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defaultThemeVersion="124226"/>
  <mc:AlternateContent xmlns:mc="http://schemas.openxmlformats.org/markup-compatibility/2006">
    <mc:Choice Requires="x15">
      <x15ac:absPath xmlns:x15ac="http://schemas.microsoft.com/office/spreadsheetml/2010/11/ac" url="C:\Users\YULIED.PENARANDA.SDA\Desktop\2024\1-ENERO-2024\PA cierre 2023\PA DICIEMBRE 2023\"/>
    </mc:Choice>
  </mc:AlternateContent>
  <xr:revisionPtr revIDLastSave="0" documentId="13_ncr:1_{E6A762C6-E2F4-436C-992F-27D046BB8A9E}" xr6:coauthVersionLast="47" xr6:coauthVersionMax="47" xr10:uidLastSave="{00000000-0000-0000-0000-000000000000}"/>
  <bookViews>
    <workbookView xWindow="-120" yWindow="-120" windowWidth="20730" windowHeight="11160" xr2:uid="{00000000-000D-0000-FFFF-FFFF00000000}"/>
  </bookViews>
  <sheets>
    <sheet name="GESTIÓN" sheetId="26" r:id="rId1"/>
    <sheet name="INVERSIÓN" sheetId="6" r:id="rId2"/>
    <sheet name="ACTIVIDADES" sheetId="7" r:id="rId3"/>
    <sheet name="TERRITORIALIZACION" sheetId="27" r:id="rId4"/>
    <sheet name="SPI " sheetId="20" r:id="rId5"/>
  </sheets>
  <externalReferences>
    <externalReference r:id="rId6"/>
    <externalReference r:id="rId7"/>
    <externalReference r:id="rId8"/>
  </externalReferences>
  <definedNames>
    <definedName name="_xlnm._FilterDatabase" localSheetId="2" hidden="1">ACTIVIDADES!$A$8:$X$8</definedName>
    <definedName name="_xlnm._FilterDatabase" localSheetId="1" hidden="1">INVERSIÓN!$A$9:$FB$61</definedName>
    <definedName name="_xlnm.Print_Area" localSheetId="2">ACTIVIDADES!$A$1:$V$66</definedName>
    <definedName name="_xlnm.Print_Area" localSheetId="1">INVERSIÓN!$A$1:$FA$62</definedName>
    <definedName name="ce" localSheetId="0">#REF!</definedName>
    <definedName name="ce">INVERSIÓN!$BX$37</definedName>
    <definedName name="CONDICION_POBLACIONAL">[1]Variables!$C$1:$C$24</definedName>
    <definedName name="GRUPO_ETAREO">[1]Variables!$A$1:$A$8</definedName>
    <definedName name="GRUPO_ETAREOS" localSheetId="0">#REF!</definedName>
    <definedName name="GRUPO_ETAREOS" localSheetId="4">#REF!</definedName>
    <definedName name="GRUPO_ETAREOS" localSheetId="3">#REF!</definedName>
    <definedName name="GRUPO_ETAREOS">#REF!</definedName>
    <definedName name="GRUPO_ETARIO" localSheetId="0">#REF!</definedName>
    <definedName name="GRUPO_ETARIO" localSheetId="4">#REF!</definedName>
    <definedName name="GRUPO_ETARIO" localSheetId="3">#REF!</definedName>
    <definedName name="GRUPO_ETARIO">#REF!</definedName>
    <definedName name="GRUPO_ETNICO" localSheetId="0">#REF!</definedName>
    <definedName name="GRUPO_ETNICO" localSheetId="4">#REF!</definedName>
    <definedName name="GRUPO_ETNICO" localSheetId="3">#REF!</definedName>
    <definedName name="GRUPO_ETNICO">#REF!</definedName>
    <definedName name="GRUPOETNICO" localSheetId="0">#REF!</definedName>
    <definedName name="GRUPOETNICO" localSheetId="4">#REF!</definedName>
    <definedName name="GRUPOETNICO" localSheetId="3">#REF!</definedName>
    <definedName name="GRUPOETNICO">#REF!</definedName>
    <definedName name="GRUPOS_ETNICOS">[1]Variables!$H$1:$H$8</definedName>
    <definedName name="LOCALIDAD" localSheetId="0">#REF!</definedName>
    <definedName name="LOCALIDAD" localSheetId="4">#REF!</definedName>
    <definedName name="LOCALIDAD" localSheetId="3">#REF!</definedName>
    <definedName name="LOCALIDAD">#REF!</definedName>
    <definedName name="LOCALIZACION" localSheetId="0">#REF!</definedName>
    <definedName name="LOCALIZACION" localSheetId="4">#REF!</definedName>
    <definedName name="LOCALIZACION" localSheetId="3">#REF!</definedName>
    <definedName name="LOCALIZACION">#REF!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X15" i="26" l="1"/>
  <c r="EW15" i="26"/>
  <c r="EV15" i="26"/>
  <c r="EU15" i="26"/>
  <c r="ET15" i="26"/>
  <c r="DO15" i="26"/>
  <c r="DN15" i="26"/>
  <c r="DM15" i="26"/>
  <c r="G60" i="6"/>
  <c r="G59" i="6"/>
  <c r="G58" i="6"/>
  <c r="G53" i="6"/>
  <c r="ES10" i="6"/>
  <c r="ER10" i="6"/>
  <c r="EV10" i="6"/>
  <c r="EV29" i="6"/>
  <c r="EV24" i="6"/>
  <c r="EV58" i="6"/>
  <c r="EU58" i="6"/>
  <c r="ET58" i="6"/>
  <c r="ES58" i="6"/>
  <c r="ER58" i="6"/>
  <c r="DM58" i="6"/>
  <c r="DN59" i="6"/>
  <c r="DN23" i="6"/>
  <c r="R53" i="27"/>
  <c r="R19" i="27"/>
  <c r="AE54" i="27"/>
  <c r="R54" i="27"/>
  <c r="AE53" i="27"/>
  <c r="AE52" i="27"/>
  <c r="R52" i="27"/>
  <c r="AE51" i="27"/>
  <c r="R51" i="27"/>
  <c r="AE50" i="27"/>
  <c r="R50" i="27"/>
  <c r="AE49" i="27"/>
  <c r="R49" i="27"/>
  <c r="AE48" i="27"/>
  <c r="R48" i="27"/>
  <c r="AE47" i="27"/>
  <c r="R47" i="27"/>
  <c r="AE46" i="27"/>
  <c r="R46" i="27"/>
  <c r="AE45" i="27"/>
  <c r="R45" i="27"/>
  <c r="AE44" i="27"/>
  <c r="R44" i="27"/>
  <c r="AE43" i="27"/>
  <c r="R43" i="27"/>
  <c r="AE42" i="27"/>
  <c r="R42" i="27"/>
  <c r="AE41" i="27"/>
  <c r="R41" i="27"/>
  <c r="AE40" i="27"/>
  <c r="R40" i="27"/>
  <c r="AE39" i="27"/>
  <c r="R39" i="27"/>
  <c r="AE38" i="27"/>
  <c r="R38" i="27"/>
  <c r="AE37" i="27"/>
  <c r="R37" i="27"/>
  <c r="AE36" i="27"/>
  <c r="R36" i="27"/>
  <c r="AE35" i="27"/>
  <c r="R35" i="27"/>
  <c r="AE34" i="27"/>
  <c r="R34" i="27"/>
  <c r="AE33" i="27"/>
  <c r="R33" i="27"/>
  <c r="AE32" i="27"/>
  <c r="R32" i="27"/>
  <c r="AE31" i="27"/>
  <c r="R31" i="27"/>
  <c r="AE30" i="27"/>
  <c r="R30" i="27"/>
  <c r="AE29" i="27"/>
  <c r="R29" i="27"/>
  <c r="AE28" i="27"/>
  <c r="R28" i="27"/>
  <c r="AE27" i="27"/>
  <c r="R27" i="27"/>
  <c r="AE26" i="27"/>
  <c r="R26" i="27"/>
  <c r="AE25" i="27"/>
  <c r="R25" i="27"/>
  <c r="AE24" i="27"/>
  <c r="R24" i="27"/>
  <c r="AE23" i="27"/>
  <c r="R23" i="27"/>
  <c r="AE22" i="27"/>
  <c r="R22" i="27"/>
  <c r="AE21" i="27"/>
  <c r="R21" i="27"/>
  <c r="AE20" i="27"/>
  <c r="R20" i="27"/>
  <c r="AE19" i="27"/>
  <c r="AE18" i="27"/>
  <c r="R18" i="27"/>
  <c r="AE17" i="27"/>
  <c r="R17" i="27"/>
  <c r="AE16" i="27"/>
  <c r="R16" i="27"/>
  <c r="AE15" i="27"/>
  <c r="R15" i="27"/>
  <c r="AE14" i="27"/>
  <c r="R14" i="27"/>
  <c r="AE13" i="27"/>
  <c r="R13" i="27"/>
  <c r="AE12" i="27"/>
  <c r="R12" i="27"/>
  <c r="AE11" i="27"/>
  <c r="R11" i="27"/>
  <c r="AE10" i="27"/>
  <c r="R10" i="27"/>
  <c r="ER17" i="6" l="1"/>
  <c r="ER20" i="6"/>
  <c r="ER24" i="6"/>
  <c r="ER27" i="6"/>
  <c r="ER31" i="6"/>
  <c r="ER34" i="6"/>
  <c r="ER38" i="6"/>
  <c r="ER41" i="6"/>
  <c r="ER42" i="6"/>
  <c r="ER48" i="6"/>
  <c r="ER49" i="6"/>
  <c r="ER52" i="6"/>
  <c r="ER53" i="6"/>
  <c r="ER54" i="6"/>
  <c r="ER55" i="6"/>
  <c r="ER56" i="6"/>
  <c r="ER13" i="6"/>
  <c r="ET16" i="26" l="1"/>
  <c r="ET14" i="26"/>
  <c r="ET13" i="26"/>
  <c r="DM12" i="26"/>
  <c r="DG35" i="6" l="1"/>
  <c r="ER35" i="6" s="1"/>
  <c r="DG36" i="6"/>
  <c r="DO16" i="26" l="1"/>
  <c r="DP12" i="26"/>
  <c r="DI12" i="26"/>
  <c r="ET12" i="26" s="1"/>
  <c r="EX16" i="26" l="1"/>
  <c r="DG45" i="6"/>
  <c r="ER45" i="6" s="1"/>
  <c r="DE54" i="6" l="1"/>
  <c r="DG28" i="6"/>
  <c r="ER28" i="6" s="1"/>
  <c r="DG21" i="6"/>
  <c r="ER21" i="6" s="1"/>
  <c r="DG14" i="6"/>
  <c r="ER14" i="6" s="1"/>
  <c r="DG47" i="6" l="1"/>
  <c r="ER47" i="6" s="1"/>
  <c r="DG40" i="6"/>
  <c r="ER40" i="6" s="1"/>
  <c r="DG33" i="6"/>
  <c r="ER33" i="6" s="1"/>
  <c r="DG32" i="6"/>
  <c r="ER32" i="6" s="1"/>
  <c r="DG26" i="6"/>
  <c r="ER26" i="6" s="1"/>
  <c r="DG19" i="6"/>
  <c r="ER19" i="6" s="1"/>
  <c r="DG12" i="6"/>
  <c r="ER12" i="6" s="1"/>
  <c r="DG46" i="6"/>
  <c r="ER46" i="6" s="1"/>
  <c r="DG39" i="6"/>
  <c r="ER39" i="6" s="1"/>
  <c r="DG25" i="6"/>
  <c r="ER25" i="6" s="1"/>
  <c r="DG18" i="6"/>
  <c r="ER18" i="6" s="1"/>
  <c r="DG11" i="6"/>
  <c r="ER11" i="6" s="1"/>
  <c r="G1425" i="20"/>
  <c r="G1423" i="20"/>
  <c r="G1422" i="20"/>
  <c r="G1419" i="20"/>
  <c r="L813" i="20"/>
  <c r="H1425" i="20" s="1"/>
  <c r="L812" i="20"/>
  <c r="H1424" i="20" s="1"/>
  <c r="L811" i="20"/>
  <c r="H1423" i="20" s="1"/>
  <c r="L810" i="20"/>
  <c r="H1422" i="20" s="1"/>
  <c r="L809" i="20"/>
  <c r="H1421" i="20" s="1"/>
  <c r="L808" i="20"/>
  <c r="H1420" i="20" s="1"/>
  <c r="L807" i="20"/>
  <c r="H1419" i="20" s="1"/>
  <c r="H507" i="20"/>
  <c r="H506" i="20"/>
  <c r="H505" i="20"/>
  <c r="H504" i="20"/>
  <c r="H503" i="20"/>
  <c r="H502" i="20"/>
  <c r="H501" i="20"/>
  <c r="H500" i="20"/>
  <c r="H499" i="20"/>
  <c r="H498" i="20"/>
  <c r="H497" i="20"/>
  <c r="DL16" i="26" l="1"/>
  <c r="DL15" i="26"/>
  <c r="DL14" i="26"/>
  <c r="DL13" i="26"/>
  <c r="DK10" i="6" l="1"/>
  <c r="DJ56" i="6"/>
  <c r="DJ55" i="6"/>
  <c r="DJ52" i="6"/>
  <c r="DJ49" i="6"/>
  <c r="DJ41" i="6"/>
  <c r="DJ38" i="6"/>
  <c r="DJ34" i="6"/>
  <c r="DJ31" i="6"/>
  <c r="DJ27" i="6"/>
  <c r="DJ24" i="6"/>
  <c r="DJ20" i="6"/>
  <c r="DJ17" i="6"/>
  <c r="DJ13" i="6"/>
  <c r="DJ10" i="6"/>
  <c r="DK52" i="6"/>
  <c r="DK45" i="6"/>
  <c r="DK38" i="6"/>
  <c r="DK31" i="6"/>
  <c r="DK26" i="6"/>
  <c r="DK24" i="6"/>
  <c r="DK17" i="6"/>
  <c r="DK11" i="6"/>
  <c r="DM16" i="26"/>
  <c r="DM14" i="26"/>
  <c r="DM13" i="26"/>
  <c r="EW16" i="26" l="1"/>
  <c r="EU16" i="26"/>
  <c r="DJ22" i="6"/>
  <c r="DJ29" i="6"/>
  <c r="DJ57" i="6"/>
  <c r="DJ36" i="6"/>
  <c r="DJ43" i="6"/>
  <c r="DE33" i="6"/>
  <c r="DE26" i="6"/>
  <c r="DE19" i="6"/>
  <c r="DE12" i="6"/>
  <c r="EU72" i="6" l="1"/>
  <c r="H492" i="20" l="1"/>
  <c r="H493" i="20"/>
  <c r="H494" i="20"/>
  <c r="H495" i="20"/>
  <c r="H496" i="20"/>
  <c r="DE53" i="6" l="1"/>
  <c r="DE32" i="6"/>
  <c r="DE25" i="6"/>
  <c r="DE18" i="6"/>
  <c r="DE11" i="6"/>
  <c r="DF50" i="6"/>
  <c r="G1418" i="20"/>
  <c r="G1416" i="20"/>
  <c r="G1415" i="20"/>
  <c r="G1412" i="20"/>
  <c r="H491" i="20"/>
  <c r="H490" i="20"/>
  <c r="H489" i="20"/>
  <c r="H488" i="20"/>
  <c r="H487" i="20"/>
  <c r="H486" i="20"/>
  <c r="H485" i="20"/>
  <c r="DF57" i="6"/>
  <c r="DF43" i="6" l="1"/>
  <c r="DF36" i="6"/>
  <c r="DF29" i="6" l="1"/>
  <c r="DF22" i="6"/>
  <c r="DF15" i="6"/>
  <c r="DK39" i="6"/>
  <c r="I14" i="26"/>
  <c r="DN16" i="26"/>
  <c r="EV16" i="26" s="1"/>
  <c r="DK16" i="26"/>
  <c r="CK16" i="26"/>
  <c r="CJ16" i="26"/>
  <c r="CI16" i="26"/>
  <c r="CH16" i="26"/>
  <c r="CG16" i="26"/>
  <c r="BG16" i="26"/>
  <c r="BF16" i="26"/>
  <c r="BE16" i="26"/>
  <c r="BC16" i="26"/>
  <c r="DK15" i="26"/>
  <c r="CK15" i="26"/>
  <c r="CJ15" i="26"/>
  <c r="CI15" i="26"/>
  <c r="CH15" i="26"/>
  <c r="CG15" i="26"/>
  <c r="BG15" i="26"/>
  <c r="BF15" i="26"/>
  <c r="BE15" i="26"/>
  <c r="BC15" i="26"/>
  <c r="DO14" i="26"/>
  <c r="DN14" i="26"/>
  <c r="DK14" i="26"/>
  <c r="CK14" i="26"/>
  <c r="CJ14" i="26"/>
  <c r="CI14" i="26"/>
  <c r="CH14" i="26"/>
  <c r="CG14" i="26"/>
  <c r="BG14" i="26"/>
  <c r="BF14" i="26"/>
  <c r="BE14" i="26"/>
  <c r="BD14" i="26"/>
  <c r="BC14" i="26"/>
  <c r="DP13" i="26"/>
  <c r="DO13" i="26"/>
  <c r="DN13" i="26"/>
  <c r="DK13" i="26"/>
  <c r="CK13" i="26"/>
  <c r="CJ13" i="26"/>
  <c r="CI13" i="26"/>
  <c r="CH13" i="26"/>
  <c r="CG13" i="26"/>
  <c r="BG13" i="26"/>
  <c r="BF13" i="26"/>
  <c r="BE13" i="26"/>
  <c r="BD13" i="26"/>
  <c r="BC13" i="26"/>
  <c r="W13" i="26"/>
  <c r="DO12" i="26"/>
  <c r="DG12" i="26"/>
  <c r="DE12" i="26"/>
  <c r="DC12" i="26"/>
  <c r="DA12" i="26"/>
  <c r="CY12" i="26"/>
  <c r="CW12" i="26"/>
  <c r="CU12" i="26"/>
  <c r="CS12" i="26"/>
  <c r="DL12" i="26" s="1"/>
  <c r="EU12" i="26" s="1"/>
  <c r="CK12" i="26"/>
  <c r="CI12" i="26"/>
  <c r="CE12" i="26"/>
  <c r="BI12" i="26"/>
  <c r="BH12" i="26"/>
  <c r="BG12" i="26"/>
  <c r="BF12" i="26"/>
  <c r="BE12" i="26"/>
  <c r="BD12" i="26"/>
  <c r="BC12" i="26"/>
  <c r="W12" i="26"/>
  <c r="EX14" i="26" l="1"/>
  <c r="CH12" i="26"/>
  <c r="I13" i="26"/>
  <c r="EX13" i="26" s="1"/>
  <c r="EU14" i="26"/>
  <c r="CG12" i="26"/>
  <c r="DK12" i="26"/>
  <c r="EV13" i="26"/>
  <c r="EV14" i="26"/>
  <c r="CJ12" i="26"/>
  <c r="EW12" i="26" s="1"/>
  <c r="EW13" i="26"/>
  <c r="EU13" i="26"/>
  <c r="I12" i="26"/>
  <c r="EX12" i="26" s="1"/>
  <c r="EW14" i="26"/>
  <c r="DN12" i="26"/>
  <c r="EV12" i="26" s="1"/>
  <c r="DD58" i="6" l="1"/>
  <c r="DD59" i="6"/>
  <c r="DK20" i="6"/>
  <c r="DD35" i="6"/>
  <c r="DD28" i="6"/>
  <c r="DD21" i="6"/>
  <c r="DD14" i="6"/>
  <c r="DC42" i="6"/>
  <c r="DC35" i="6"/>
  <c r="DC28" i="6"/>
  <c r="DC21" i="6"/>
  <c r="DC14" i="6"/>
  <c r="DD60" i="6" l="1"/>
  <c r="DD61" i="6" s="1"/>
  <c r="DD36" i="6"/>
  <c r="H474" i="20" l="1"/>
  <c r="DC54" i="6" l="1"/>
  <c r="DC53" i="6"/>
  <c r="DC47" i="6"/>
  <c r="DC46" i="6"/>
  <c r="DC40" i="6"/>
  <c r="DJ40" i="6" s="1"/>
  <c r="DC39" i="6"/>
  <c r="DJ39" i="6" s="1"/>
  <c r="DC33" i="6"/>
  <c r="DC32" i="6"/>
  <c r="DC26" i="6"/>
  <c r="DC25" i="6"/>
  <c r="DC19" i="6"/>
  <c r="DC18" i="6"/>
  <c r="DC12" i="6"/>
  <c r="DC11" i="6"/>
  <c r="G1411" i="20"/>
  <c r="G1409" i="20"/>
  <c r="G1408" i="20"/>
  <c r="G1405" i="20"/>
  <c r="H484" i="20"/>
  <c r="H483" i="20"/>
  <c r="H482" i="20"/>
  <c r="H480" i="20"/>
  <c r="H479" i="20"/>
  <c r="H478" i="20"/>
  <c r="H477" i="20"/>
  <c r="H476" i="20"/>
  <c r="H475" i="20"/>
  <c r="DM17" i="6" l="1"/>
  <c r="DM12" i="6"/>
  <c r="DM11" i="6"/>
  <c r="DM10" i="6"/>
  <c r="DK56" i="6"/>
  <c r="DK55" i="6"/>
  <c r="DK54" i="6"/>
  <c r="DK53" i="6"/>
  <c r="DK49" i="6"/>
  <c r="DK48" i="6"/>
  <c r="DK50" i="6" s="1"/>
  <c r="DK47" i="6"/>
  <c r="DK46" i="6"/>
  <c r="DK42" i="6"/>
  <c r="DK41" i="6"/>
  <c r="DK40" i="6"/>
  <c r="DK35" i="6"/>
  <c r="DK34" i="6"/>
  <c r="DK36" i="6" s="1"/>
  <c r="DK33" i="6"/>
  <c r="DK32" i="6"/>
  <c r="DK28" i="6"/>
  <c r="DK27" i="6"/>
  <c r="DK25" i="6"/>
  <c r="DK21" i="6"/>
  <c r="DM20" i="6"/>
  <c r="DK19" i="6"/>
  <c r="DK18" i="6"/>
  <c r="DK14" i="6"/>
  <c r="DK13" i="6"/>
  <c r="DK12" i="6"/>
  <c r="J808" i="20" l="1"/>
  <c r="F1420" i="20"/>
  <c r="F1113" i="20"/>
  <c r="DK59" i="6"/>
  <c r="J801" i="20"/>
  <c r="DJ15" i="6"/>
  <c r="DK43" i="6"/>
  <c r="DK60" i="6"/>
  <c r="DK58" i="6"/>
  <c r="DK23" i="6"/>
  <c r="DK57" i="6"/>
  <c r="DK22" i="6"/>
  <c r="DK29" i="6"/>
  <c r="DK15" i="6"/>
  <c r="H720" i="20"/>
  <c r="H389" i="20"/>
  <c r="H633" i="20"/>
  <c r="DK61" i="6" l="1"/>
  <c r="DB58" i="6"/>
  <c r="DB59" i="6"/>
  <c r="DB60" i="6"/>
  <c r="DB51" i="6"/>
  <c r="DB44" i="6"/>
  <c r="DB30" i="6"/>
  <c r="DB23" i="6"/>
  <c r="DB16" i="6"/>
  <c r="DA21" i="6"/>
  <c r="DA14" i="6"/>
  <c r="DB61" i="6" l="1"/>
  <c r="DA54" i="6"/>
  <c r="DA53" i="6"/>
  <c r="DA47" i="6"/>
  <c r="DA46" i="6"/>
  <c r="DA33" i="6"/>
  <c r="DA32" i="6"/>
  <c r="DA26" i="6"/>
  <c r="DA25" i="6"/>
  <c r="DA19" i="6"/>
  <c r="DA18" i="6"/>
  <c r="DA12" i="6"/>
  <c r="DA11" i="6"/>
  <c r="DA16" i="6" l="1"/>
  <c r="DA23" i="6"/>
  <c r="H473" i="20" l="1"/>
  <c r="H472" i="20"/>
  <c r="H471" i="20"/>
  <c r="H469" i="20"/>
  <c r="H468" i="20"/>
  <c r="H467" i="20"/>
  <c r="H466" i="20"/>
  <c r="H465" i="20"/>
  <c r="H464" i="20"/>
  <c r="H463" i="20"/>
  <c r="DB57" i="6" l="1"/>
  <c r="DB50" i="6"/>
  <c r="DB43" i="6"/>
  <c r="DB36" i="6"/>
  <c r="DB29" i="6"/>
  <c r="DB22" i="6" l="1"/>
  <c r="DB15" i="6"/>
  <c r="G1404" i="20" l="1"/>
  <c r="G1402" i="20"/>
  <c r="G1401" i="20"/>
  <c r="G1398" i="20"/>
  <c r="J787" i="20"/>
  <c r="DM35" i="6" l="1"/>
  <c r="DM18" i="6"/>
  <c r="DL39" i="6"/>
  <c r="DL17" i="6"/>
  <c r="DL13" i="6"/>
  <c r="E1420" i="20" l="1"/>
  <c r="G1420" i="20" s="1"/>
  <c r="I807" i="20"/>
  <c r="F1114" i="20"/>
  <c r="E1117" i="20"/>
  <c r="G1413" i="20"/>
  <c r="I800" i="20"/>
  <c r="G1406" i="20"/>
  <c r="ES13" i="6"/>
  <c r="E1096" i="20"/>
  <c r="E1399" i="20"/>
  <c r="F1399" i="20"/>
  <c r="I786" i="20"/>
  <c r="F1093" i="20"/>
  <c r="F1092" i="20"/>
  <c r="ES15" i="6"/>
  <c r="G1399" i="20" l="1"/>
  <c r="E1054" i="20" l="1"/>
  <c r="G1382" i="20"/>
  <c r="CY54" i="6" l="1"/>
  <c r="DJ54" i="6" s="1"/>
  <c r="CY47" i="6"/>
  <c r="CY26" i="6"/>
  <c r="CY19" i="6"/>
  <c r="H457" i="20" l="1"/>
  <c r="H458" i="20"/>
  <c r="H459" i="20"/>
  <c r="H460" i="20"/>
  <c r="H461" i="20"/>
  <c r="CZ30" i="6" l="1"/>
  <c r="CZ16" i="6"/>
  <c r="CZ15" i="6"/>
  <c r="CZ60" i="6"/>
  <c r="CZ59" i="6"/>
  <c r="CZ58" i="6"/>
  <c r="CZ57" i="6"/>
  <c r="CZ51" i="6"/>
  <c r="CZ50" i="6"/>
  <c r="CZ43" i="6"/>
  <c r="CZ37" i="6"/>
  <c r="CZ36" i="6"/>
  <c r="CZ29" i="6"/>
  <c r="CZ23" i="6"/>
  <c r="CZ22" i="6"/>
  <c r="CY15" i="6"/>
  <c r="DA45" i="6"/>
  <c r="DC45" i="6"/>
  <c r="DN45" i="6"/>
  <c r="DG44" i="6"/>
  <c r="DE45" i="6"/>
  <c r="CY45" i="6"/>
  <c r="CZ61" i="6" l="1"/>
  <c r="CY53" i="6"/>
  <c r="CY46" i="6"/>
  <c r="CY25" i="6"/>
  <c r="CY18" i="6"/>
  <c r="DJ53" i="6" l="1"/>
  <c r="DJ58" i="6" s="1"/>
  <c r="J780" i="20"/>
  <c r="H462" i="20"/>
  <c r="H456" i="20"/>
  <c r="H455" i="20"/>
  <c r="H454" i="20"/>
  <c r="H453" i="20"/>
  <c r="H452" i="20"/>
  <c r="K511" i="20"/>
  <c r="K512" i="20"/>
  <c r="K513" i="20"/>
  <c r="K514" i="20"/>
  <c r="K515" i="20"/>
  <c r="ES53" i="6" l="1"/>
  <c r="DK37" i="6"/>
  <c r="DK51" i="6" l="1"/>
  <c r="DK44" i="6"/>
  <c r="DK16" i="6"/>
  <c r="CO11" i="6"/>
  <c r="CU11" i="6"/>
  <c r="CU16" i="6" s="1"/>
  <c r="CW11" i="6"/>
  <c r="DM13" i="6"/>
  <c r="DM14" i="6"/>
  <c r="CW14" i="6"/>
  <c r="DJ14" i="6" s="1"/>
  <c r="DL10" i="6"/>
  <c r="CO18" i="6"/>
  <c r="CU18" i="6"/>
  <c r="CW18" i="6"/>
  <c r="DL20" i="6"/>
  <c r="I773" i="20" s="1"/>
  <c r="K773" i="20" s="1"/>
  <c r="CS21" i="6"/>
  <c r="DJ21" i="6" s="1"/>
  <c r="DM22" i="6"/>
  <c r="DM24" i="6"/>
  <c r="DL24" i="6"/>
  <c r="DM25" i="6"/>
  <c r="CW25" i="6"/>
  <c r="DJ25" i="6" s="1"/>
  <c r="DM27" i="6"/>
  <c r="DL27" i="6"/>
  <c r="I774" i="20" s="1"/>
  <c r="K774" i="20" s="1"/>
  <c r="DM28" i="6"/>
  <c r="CS28" i="6"/>
  <c r="DJ28" i="6" s="1"/>
  <c r="DM31" i="6"/>
  <c r="DL31" i="6"/>
  <c r="DM32" i="6"/>
  <c r="CW32" i="6"/>
  <c r="DJ32" i="6" s="1"/>
  <c r="DM34" i="6"/>
  <c r="DL34" i="6"/>
  <c r="CQ35" i="6"/>
  <c r="DJ35" i="6" s="1"/>
  <c r="DM38" i="6"/>
  <c r="DL38" i="6"/>
  <c r="DM39" i="6"/>
  <c r="DM41" i="6"/>
  <c r="DL41" i="6"/>
  <c r="I769" i="20" s="1"/>
  <c r="K769" i="20" s="1"/>
  <c r="CS42" i="6"/>
  <c r="DJ42" i="6" s="1"/>
  <c r="DJ44" i="6" s="1"/>
  <c r="DM45" i="6"/>
  <c r="CW45" i="6"/>
  <c r="DJ45" i="6" s="1"/>
  <c r="DM46" i="6"/>
  <c r="F1083" i="20" s="1"/>
  <c r="CW46" i="6"/>
  <c r="DJ46" i="6" s="1"/>
  <c r="DJ51" i="6" s="1"/>
  <c r="DM48" i="6"/>
  <c r="DL48" i="6"/>
  <c r="ES49" i="6"/>
  <c r="DL49" i="6"/>
  <c r="DM52" i="6"/>
  <c r="DL52" i="6"/>
  <c r="DM53" i="6"/>
  <c r="DL53" i="6"/>
  <c r="DM55" i="6"/>
  <c r="DL55" i="6"/>
  <c r="ES56" i="6"/>
  <c r="DL56" i="6"/>
  <c r="CW47" i="6"/>
  <c r="DJ47" i="6" s="1"/>
  <c r="CW33" i="6"/>
  <c r="DJ33" i="6" s="1"/>
  <c r="CW26" i="6"/>
  <c r="DJ26" i="6" s="1"/>
  <c r="CW19" i="6"/>
  <c r="CW12" i="6"/>
  <c r="DI20" i="6"/>
  <c r="ES17" i="6"/>
  <c r="CX22" i="6"/>
  <c r="H451" i="20"/>
  <c r="H450" i="20"/>
  <c r="H449" i="20"/>
  <c r="H448" i="20"/>
  <c r="H447" i="20"/>
  <c r="H446" i="20"/>
  <c r="H445" i="20"/>
  <c r="H444" i="20"/>
  <c r="H443" i="20"/>
  <c r="CX59" i="6"/>
  <c r="G1390" i="20"/>
  <c r="G1388" i="20"/>
  <c r="G1387" i="20"/>
  <c r="G1384" i="20"/>
  <c r="L778" i="20"/>
  <c r="H1390" i="20" s="1"/>
  <c r="L777" i="20"/>
  <c r="H1389" i="20" s="1"/>
  <c r="L776" i="20"/>
  <c r="H1388" i="20" s="1"/>
  <c r="L775" i="20"/>
  <c r="H1387" i="20" s="1"/>
  <c r="L774" i="20"/>
  <c r="H1386" i="20" s="1"/>
  <c r="L773" i="20"/>
  <c r="H1385" i="20" s="1"/>
  <c r="L772" i="20"/>
  <c r="H1384" i="20" s="1"/>
  <c r="L771" i="20"/>
  <c r="H1383" i="20" s="1"/>
  <c r="L770" i="20"/>
  <c r="H1382" i="20" s="1"/>
  <c r="L769" i="20"/>
  <c r="H1381" i="20" s="1"/>
  <c r="L768" i="20"/>
  <c r="H1380" i="20" s="1"/>
  <c r="L767" i="20"/>
  <c r="H1379" i="20" s="1"/>
  <c r="L766" i="20"/>
  <c r="H1378" i="20" s="1"/>
  <c r="L765" i="20"/>
  <c r="H1377" i="20" s="1"/>
  <c r="CX60" i="6"/>
  <c r="CX58" i="6"/>
  <c r="CX57" i="6"/>
  <c r="CX43" i="6"/>
  <c r="CX44" i="6"/>
  <c r="CX37" i="6"/>
  <c r="CX36" i="6"/>
  <c r="CX30" i="6"/>
  <c r="CX23" i="6"/>
  <c r="CX16" i="6"/>
  <c r="CX15" i="6"/>
  <c r="CX50" i="6"/>
  <c r="CX29" i="6"/>
  <c r="ES54" i="6"/>
  <c r="ES52" i="6"/>
  <c r="ES40" i="6"/>
  <c r="ES39" i="6"/>
  <c r="ES38" i="6"/>
  <c r="ES34" i="6"/>
  <c r="ES31" i="6"/>
  <c r="ES27" i="6"/>
  <c r="DK30" i="6"/>
  <c r="ES24" i="6"/>
  <c r="ES20" i="6"/>
  <c r="ES41" i="6"/>
  <c r="F1078" i="20"/>
  <c r="H410" i="20"/>
  <c r="H409" i="20"/>
  <c r="F1385" i="20"/>
  <c r="CU12" i="6"/>
  <c r="CU19" i="6"/>
  <c r="H434" i="20"/>
  <c r="H435" i="20"/>
  <c r="H436" i="20"/>
  <c r="H437" i="20"/>
  <c r="H438" i="20"/>
  <c r="H439" i="20"/>
  <c r="H440" i="20"/>
  <c r="H441" i="20"/>
  <c r="H442" i="20"/>
  <c r="CV60" i="6"/>
  <c r="CV59" i="6"/>
  <c r="F1071" i="20"/>
  <c r="F1072" i="20"/>
  <c r="F1073" i="20"/>
  <c r="F1074" i="20"/>
  <c r="F1075" i="20"/>
  <c r="F1076" i="20"/>
  <c r="F1077" i="20"/>
  <c r="E1077" i="20"/>
  <c r="E1076" i="20"/>
  <c r="E1075" i="20"/>
  <c r="E1074" i="20"/>
  <c r="E1073" i="20"/>
  <c r="E1072" i="20"/>
  <c r="E1071" i="20"/>
  <c r="G1383" i="20"/>
  <c r="G1381" i="20"/>
  <c r="G1380" i="20"/>
  <c r="G1379" i="20"/>
  <c r="G1378" i="20"/>
  <c r="G1377" i="20"/>
  <c r="G1376" i="20"/>
  <c r="F1375" i="20"/>
  <c r="G1374" i="20"/>
  <c r="G1373" i="20"/>
  <c r="F1372" i="20"/>
  <c r="F1371" i="20"/>
  <c r="G1371" i="20" s="1"/>
  <c r="G1370" i="20"/>
  <c r="G1369" i="20"/>
  <c r="F1368" i="20"/>
  <c r="G1367" i="20"/>
  <c r="G1366" i="20"/>
  <c r="F1365" i="20"/>
  <c r="F1364" i="20"/>
  <c r="G1363" i="20"/>
  <c r="G1362" i="20"/>
  <c r="F1361" i="20"/>
  <c r="G1360" i="20"/>
  <c r="G1359" i="20"/>
  <c r="F1358" i="20"/>
  <c r="F1357" i="20"/>
  <c r="G1356" i="20"/>
  <c r="G1355" i="20"/>
  <c r="F1354" i="20"/>
  <c r="G1353" i="20"/>
  <c r="G1352" i="20"/>
  <c r="F1351" i="20"/>
  <c r="F1350" i="20"/>
  <c r="G1349" i="20"/>
  <c r="G1348" i="20"/>
  <c r="F1347" i="20"/>
  <c r="G1347" i="20" s="1"/>
  <c r="G1346" i="20"/>
  <c r="G1345" i="20"/>
  <c r="F1344" i="20"/>
  <c r="G1344" i="20" s="1"/>
  <c r="F1343" i="20"/>
  <c r="G1343" i="20" s="1"/>
  <c r="G1342" i="20"/>
  <c r="G1338" i="20"/>
  <c r="G1337" i="20"/>
  <c r="G1336" i="20"/>
  <c r="G1335" i="20"/>
  <c r="G1334" i="20"/>
  <c r="G1333" i="20"/>
  <c r="G1332" i="20"/>
  <c r="G1331" i="20"/>
  <c r="G1330" i="20"/>
  <c r="G1329" i="20"/>
  <c r="G1328" i="20"/>
  <c r="G1327" i="20"/>
  <c r="G1326" i="20"/>
  <c r="G1325" i="20"/>
  <c r="G1324" i="20"/>
  <c r="G1323" i="20"/>
  <c r="G1322" i="20"/>
  <c r="G1321" i="20"/>
  <c r="G1320" i="20"/>
  <c r="G1319" i="20"/>
  <c r="G1318" i="20"/>
  <c r="G1317" i="20"/>
  <c r="G1316" i="20"/>
  <c r="G1315" i="20"/>
  <c r="G1314" i="20"/>
  <c r="G1313" i="20"/>
  <c r="G1312" i="20"/>
  <c r="G1311" i="20"/>
  <c r="G1310" i="20"/>
  <c r="G1309" i="20"/>
  <c r="G1308" i="20"/>
  <c r="G1307" i="20"/>
  <c r="G1306" i="20"/>
  <c r="G1305" i="20"/>
  <c r="G1304" i="20"/>
  <c r="G1303" i="20"/>
  <c r="G1302" i="20"/>
  <c r="G1301" i="20"/>
  <c r="G1300" i="20"/>
  <c r="G1299" i="20"/>
  <c r="G1298" i="20"/>
  <c r="G1297" i="20"/>
  <c r="G1296" i="20"/>
  <c r="G1295" i="20"/>
  <c r="G1294" i="20"/>
  <c r="G1293" i="20"/>
  <c r="G1292" i="20"/>
  <c r="G1291" i="20"/>
  <c r="G1290" i="20"/>
  <c r="G1289" i="20"/>
  <c r="G1288" i="20"/>
  <c r="G1287" i="20"/>
  <c r="G1286" i="20"/>
  <c r="G1285" i="20"/>
  <c r="G1284" i="20"/>
  <c r="G1283" i="20"/>
  <c r="G1282" i="20"/>
  <c r="G1281" i="20"/>
  <c r="G1280" i="20"/>
  <c r="G1279" i="20"/>
  <c r="G1278" i="20"/>
  <c r="G1277" i="20"/>
  <c r="G1276" i="20"/>
  <c r="G1275" i="20"/>
  <c r="G1274" i="20"/>
  <c r="G1273" i="20"/>
  <c r="G1272" i="20"/>
  <c r="G1271" i="20"/>
  <c r="G1270" i="20"/>
  <c r="G1269" i="20"/>
  <c r="G1268" i="20"/>
  <c r="G1267" i="20"/>
  <c r="G1266" i="20"/>
  <c r="G1265" i="20"/>
  <c r="G1264" i="20"/>
  <c r="G1263" i="20"/>
  <c r="G1262" i="20"/>
  <c r="G1261" i="20"/>
  <c r="G1260" i="20"/>
  <c r="G1259" i="20"/>
  <c r="G1258" i="20"/>
  <c r="G1257" i="20"/>
  <c r="G1256" i="20"/>
  <c r="G1255" i="20"/>
  <c r="G1251" i="20"/>
  <c r="G1250" i="20"/>
  <c r="G1249" i="20"/>
  <c r="G1248" i="20"/>
  <c r="G1247" i="20"/>
  <c r="G1246" i="20"/>
  <c r="G1245" i="20"/>
  <c r="G1244" i="20"/>
  <c r="G1243" i="20"/>
  <c r="G1242" i="20"/>
  <c r="G1241" i="20"/>
  <c r="G1240" i="20"/>
  <c r="G1239" i="20"/>
  <c r="G1238" i="20"/>
  <c r="G1237" i="20"/>
  <c r="G1236" i="20"/>
  <c r="G1235" i="20"/>
  <c r="G1234" i="20"/>
  <c r="G1233" i="20"/>
  <c r="G1232" i="20"/>
  <c r="G1231" i="20"/>
  <c r="G1230" i="20"/>
  <c r="G1229" i="20"/>
  <c r="G1228" i="20"/>
  <c r="G1227" i="20"/>
  <c r="G1226" i="20"/>
  <c r="G1225" i="20"/>
  <c r="G1224" i="20"/>
  <c r="G1223" i="20"/>
  <c r="G1222" i="20"/>
  <c r="G1221" i="20"/>
  <c r="G1220" i="20"/>
  <c r="G1219" i="20"/>
  <c r="G1218" i="20"/>
  <c r="G1217" i="20"/>
  <c r="G1216" i="20"/>
  <c r="G1215" i="20"/>
  <c r="G1214" i="20"/>
  <c r="G1213" i="20"/>
  <c r="G1212" i="20"/>
  <c r="G1211" i="20"/>
  <c r="G1210" i="20"/>
  <c r="G1209" i="20"/>
  <c r="G1208" i="20"/>
  <c r="G1207" i="20"/>
  <c r="G1206" i="20"/>
  <c r="G1205" i="20"/>
  <c r="G1204" i="20"/>
  <c r="G1203" i="20"/>
  <c r="G1202" i="20"/>
  <c r="G1201" i="20"/>
  <c r="G1200" i="20"/>
  <c r="G1199" i="20"/>
  <c r="G1198" i="20"/>
  <c r="G1197" i="20"/>
  <c r="G1196" i="20"/>
  <c r="G1195" i="20"/>
  <c r="G1194" i="20"/>
  <c r="G1193" i="20"/>
  <c r="G1192" i="20"/>
  <c r="G1191" i="20"/>
  <c r="G1190" i="20"/>
  <c r="G1189" i="20"/>
  <c r="G1188" i="20"/>
  <c r="G1187" i="20"/>
  <c r="G1186" i="20"/>
  <c r="G1185" i="20"/>
  <c r="G1184" i="20"/>
  <c r="G1183" i="20"/>
  <c r="G1182" i="20"/>
  <c r="G1181" i="20"/>
  <c r="G1180" i="20"/>
  <c r="G1179" i="20"/>
  <c r="G1178" i="20"/>
  <c r="G1177" i="20"/>
  <c r="G1176" i="20"/>
  <c r="G1175" i="20"/>
  <c r="G1174" i="20"/>
  <c r="G1173" i="20"/>
  <c r="G1172" i="20"/>
  <c r="G1171" i="20"/>
  <c r="G1170" i="20"/>
  <c r="G1169" i="20"/>
  <c r="G1168" i="20"/>
  <c r="G1164" i="20"/>
  <c r="G1163" i="20"/>
  <c r="G1162" i="20"/>
  <c r="G1161" i="20"/>
  <c r="G1160" i="20"/>
  <c r="G1159" i="20"/>
  <c r="G1158" i="20"/>
  <c r="H1157" i="20"/>
  <c r="G1157" i="20"/>
  <c r="H1156" i="20"/>
  <c r="G1156" i="20"/>
  <c r="H1155" i="20"/>
  <c r="G1155" i="20"/>
  <c r="H1154" i="20"/>
  <c r="G1154" i="20"/>
  <c r="H1153" i="20"/>
  <c r="G1153" i="20"/>
  <c r="H1152" i="20"/>
  <c r="G1152" i="20"/>
  <c r="H1151" i="20"/>
  <c r="G1151" i="20"/>
  <c r="H1150" i="20"/>
  <c r="G1150" i="20"/>
  <c r="H1149" i="20"/>
  <c r="G1149" i="20"/>
  <c r="H1148" i="20"/>
  <c r="G1148" i="20"/>
  <c r="H1147" i="20"/>
  <c r="G1147" i="20"/>
  <c r="H1146" i="20"/>
  <c r="G1146" i="20"/>
  <c r="H1145" i="20"/>
  <c r="G1145" i="20"/>
  <c r="H1144" i="20"/>
  <c r="G1144" i="20"/>
  <c r="H1143" i="20"/>
  <c r="G1143" i="20"/>
  <c r="H1142" i="20"/>
  <c r="G1142" i="20"/>
  <c r="H1141" i="20"/>
  <c r="G1141" i="20"/>
  <c r="H1140" i="20"/>
  <c r="G1140" i="20"/>
  <c r="H1139" i="20"/>
  <c r="G1139" i="20"/>
  <c r="H1138" i="20"/>
  <c r="G1138" i="20"/>
  <c r="H1137" i="20"/>
  <c r="G1137" i="20"/>
  <c r="H1136" i="20"/>
  <c r="G1136" i="20"/>
  <c r="H1135" i="20"/>
  <c r="G1135" i="20"/>
  <c r="H1134" i="20"/>
  <c r="G1134" i="20"/>
  <c r="H1133" i="20"/>
  <c r="G1133" i="20"/>
  <c r="H1132" i="20"/>
  <c r="G1132" i="20"/>
  <c r="H1131" i="20"/>
  <c r="G1131" i="20"/>
  <c r="H1130" i="20"/>
  <c r="G1130" i="20"/>
  <c r="H1129" i="20"/>
  <c r="G1129" i="20"/>
  <c r="H1128" i="20"/>
  <c r="G1128" i="20"/>
  <c r="H1127" i="20"/>
  <c r="G1127" i="20"/>
  <c r="H1126" i="20"/>
  <c r="G1126" i="20"/>
  <c r="H1125" i="20"/>
  <c r="G1125" i="20"/>
  <c r="H1124" i="20"/>
  <c r="G1124" i="20"/>
  <c r="H1123" i="20"/>
  <c r="G1123" i="20"/>
  <c r="F1070" i="20"/>
  <c r="E1070" i="20"/>
  <c r="F1069" i="20"/>
  <c r="E1069" i="20"/>
  <c r="F1068" i="20"/>
  <c r="E1068" i="20"/>
  <c r="F1067" i="20"/>
  <c r="E1067" i="20"/>
  <c r="F1066" i="20"/>
  <c r="E1066" i="20"/>
  <c r="F1065" i="20"/>
  <c r="E1065" i="20"/>
  <c r="F1064" i="20"/>
  <c r="E1064" i="20"/>
  <c r="F1063" i="20"/>
  <c r="E1063" i="20"/>
  <c r="F1062" i="20"/>
  <c r="E1062" i="20"/>
  <c r="F1061" i="20"/>
  <c r="E1061" i="20"/>
  <c r="F1060" i="20"/>
  <c r="E1060" i="20"/>
  <c r="F1059" i="20"/>
  <c r="E1059" i="20"/>
  <c r="F1058" i="20"/>
  <c r="E1058" i="20"/>
  <c r="F1057" i="20"/>
  <c r="E1057" i="20"/>
  <c r="F1056" i="20"/>
  <c r="E1056" i="20"/>
  <c r="F1055" i="20"/>
  <c r="E1055" i="20"/>
  <c r="F1054" i="20"/>
  <c r="F1053" i="20"/>
  <c r="E1053" i="20"/>
  <c r="F1052" i="20"/>
  <c r="E1052" i="20"/>
  <c r="F1051" i="20"/>
  <c r="E1051" i="20"/>
  <c r="F1050" i="20"/>
  <c r="E1050" i="20"/>
  <c r="F1049" i="20"/>
  <c r="E1049" i="20"/>
  <c r="F1048" i="20"/>
  <c r="E1048" i="20"/>
  <c r="F1047" i="20"/>
  <c r="E1047" i="20"/>
  <c r="F1046" i="20"/>
  <c r="E1046" i="20"/>
  <c r="F1045" i="20"/>
  <c r="E1045" i="20"/>
  <c r="F1044" i="20"/>
  <c r="E1044" i="20"/>
  <c r="F1043" i="20"/>
  <c r="E1043" i="20"/>
  <c r="F1042" i="20"/>
  <c r="E1042" i="20"/>
  <c r="F1041" i="20"/>
  <c r="E1041" i="20"/>
  <c r="F1040" i="20"/>
  <c r="E1040" i="20"/>
  <c r="F1039" i="20"/>
  <c r="E1039" i="20"/>
  <c r="F1038" i="20"/>
  <c r="E1038" i="20"/>
  <c r="F1037" i="20"/>
  <c r="E1037" i="20"/>
  <c r="F1036" i="20"/>
  <c r="E1036" i="20"/>
  <c r="F1032" i="20"/>
  <c r="E1032" i="20"/>
  <c r="F1031" i="20"/>
  <c r="E1031" i="20"/>
  <c r="F1030" i="20"/>
  <c r="E1030" i="20"/>
  <c r="F1029" i="20"/>
  <c r="E1029" i="20"/>
  <c r="F1028" i="20"/>
  <c r="E1028" i="20"/>
  <c r="F1027" i="20"/>
  <c r="E1027" i="20"/>
  <c r="F1026" i="20"/>
  <c r="E1026" i="20"/>
  <c r="F1025" i="20"/>
  <c r="E1025" i="20"/>
  <c r="F1024" i="20"/>
  <c r="E1024" i="20"/>
  <c r="F1023" i="20"/>
  <c r="E1023" i="20"/>
  <c r="F1022" i="20"/>
  <c r="E1022" i="20"/>
  <c r="F1021" i="20"/>
  <c r="E1021" i="20"/>
  <c r="F1020" i="20"/>
  <c r="E1020" i="20"/>
  <c r="F1019" i="20"/>
  <c r="E1019" i="20"/>
  <c r="F1018" i="20"/>
  <c r="E1018" i="20"/>
  <c r="F1017" i="20"/>
  <c r="E1017" i="20"/>
  <c r="F1016" i="20"/>
  <c r="E1016" i="20"/>
  <c r="F1015" i="20"/>
  <c r="E1015" i="20"/>
  <c r="F1014" i="20"/>
  <c r="E1014" i="20"/>
  <c r="F1013" i="20"/>
  <c r="E1013" i="20"/>
  <c r="F1012" i="20"/>
  <c r="E1012" i="20"/>
  <c r="F1011" i="20"/>
  <c r="E1011" i="20"/>
  <c r="F1010" i="20"/>
  <c r="E1010" i="20"/>
  <c r="F1009" i="20"/>
  <c r="E1009" i="20"/>
  <c r="F1008" i="20"/>
  <c r="E1008" i="20"/>
  <c r="F1007" i="20"/>
  <c r="E1007" i="20"/>
  <c r="F1006" i="20"/>
  <c r="E1006" i="20"/>
  <c r="F1005" i="20"/>
  <c r="E1005" i="20"/>
  <c r="F1004" i="20"/>
  <c r="E1004" i="20"/>
  <c r="F1003" i="20"/>
  <c r="E1003" i="20"/>
  <c r="F1002" i="20"/>
  <c r="E1002" i="20"/>
  <c r="F1001" i="20"/>
  <c r="E1001" i="20"/>
  <c r="F1000" i="20"/>
  <c r="E1000" i="20"/>
  <c r="F999" i="20"/>
  <c r="E999" i="20"/>
  <c r="F998" i="20"/>
  <c r="E998" i="20"/>
  <c r="F997" i="20"/>
  <c r="E997" i="20"/>
  <c r="F996" i="20"/>
  <c r="E996" i="20"/>
  <c r="F995" i="20"/>
  <c r="E995" i="20"/>
  <c r="F994" i="20"/>
  <c r="E994" i="20"/>
  <c r="F993" i="20"/>
  <c r="E993" i="20"/>
  <c r="F992" i="20"/>
  <c r="E992" i="20"/>
  <c r="F991" i="20"/>
  <c r="E991" i="20"/>
  <c r="F990" i="20"/>
  <c r="E990" i="20"/>
  <c r="F989" i="20"/>
  <c r="E989" i="20"/>
  <c r="F988" i="20"/>
  <c r="E988" i="20"/>
  <c r="F987" i="20"/>
  <c r="E987" i="20"/>
  <c r="F986" i="20"/>
  <c r="E986" i="20"/>
  <c r="F985" i="20"/>
  <c r="E985" i="20"/>
  <c r="F984" i="20"/>
  <c r="E984" i="20"/>
  <c r="F983" i="20"/>
  <c r="E983" i="20"/>
  <c r="F982" i="20"/>
  <c r="E982" i="20"/>
  <c r="F981" i="20"/>
  <c r="E981" i="20"/>
  <c r="F980" i="20"/>
  <c r="E980" i="20"/>
  <c r="F979" i="20"/>
  <c r="E979" i="20"/>
  <c r="F978" i="20"/>
  <c r="E978" i="20"/>
  <c r="F977" i="20"/>
  <c r="E977" i="20"/>
  <c r="F976" i="20"/>
  <c r="E976" i="20"/>
  <c r="F975" i="20"/>
  <c r="E975" i="20"/>
  <c r="F974" i="20"/>
  <c r="E974" i="20"/>
  <c r="F973" i="20"/>
  <c r="E973" i="20"/>
  <c r="F972" i="20"/>
  <c r="E972" i="20"/>
  <c r="F971" i="20"/>
  <c r="E971" i="20"/>
  <c r="F970" i="20"/>
  <c r="E970" i="20"/>
  <c r="F969" i="20"/>
  <c r="E969" i="20"/>
  <c r="F968" i="20"/>
  <c r="E968" i="20"/>
  <c r="F967" i="20"/>
  <c r="E967" i="20"/>
  <c r="F966" i="20"/>
  <c r="E966" i="20"/>
  <c r="F965" i="20"/>
  <c r="E965" i="20"/>
  <c r="F964" i="20"/>
  <c r="E964" i="20"/>
  <c r="F963" i="20"/>
  <c r="E963" i="20"/>
  <c r="F962" i="20"/>
  <c r="E962" i="20"/>
  <c r="F961" i="20"/>
  <c r="E961" i="20"/>
  <c r="F960" i="20"/>
  <c r="E960" i="20"/>
  <c r="F959" i="20"/>
  <c r="E959" i="20"/>
  <c r="F958" i="20"/>
  <c r="E958" i="20"/>
  <c r="F957" i="20"/>
  <c r="E957" i="20"/>
  <c r="F956" i="20"/>
  <c r="E956" i="20"/>
  <c r="F955" i="20"/>
  <c r="E955" i="20"/>
  <c r="F954" i="20"/>
  <c r="E954" i="20"/>
  <c r="F953" i="20"/>
  <c r="E953" i="20"/>
  <c r="F952" i="20"/>
  <c r="E952" i="20"/>
  <c r="F951" i="20"/>
  <c r="E951" i="20"/>
  <c r="F950" i="20"/>
  <c r="E950" i="20"/>
  <c r="F949" i="20"/>
  <c r="E949" i="20"/>
  <c r="F945" i="20"/>
  <c r="E945" i="20"/>
  <c r="F944" i="20"/>
  <c r="E944" i="20"/>
  <c r="F943" i="20"/>
  <c r="E943" i="20"/>
  <c r="F942" i="20"/>
  <c r="E942" i="20"/>
  <c r="F941" i="20"/>
  <c r="E941" i="20"/>
  <c r="F940" i="20"/>
  <c r="E940" i="20"/>
  <c r="F939" i="20"/>
  <c r="E939" i="20"/>
  <c r="F938" i="20"/>
  <c r="E938" i="20"/>
  <c r="F937" i="20"/>
  <c r="E937" i="20"/>
  <c r="F936" i="20"/>
  <c r="E936" i="20"/>
  <c r="F935" i="20"/>
  <c r="E935" i="20"/>
  <c r="F934" i="20"/>
  <c r="E934" i="20"/>
  <c r="F933" i="20"/>
  <c r="E933" i="20"/>
  <c r="F932" i="20"/>
  <c r="E932" i="20"/>
  <c r="F931" i="20"/>
  <c r="F930" i="20"/>
  <c r="F929" i="20"/>
  <c r="F928" i="20"/>
  <c r="F927" i="20"/>
  <c r="F926" i="20"/>
  <c r="F925" i="20"/>
  <c r="F910" i="20"/>
  <c r="F909" i="20"/>
  <c r="F908" i="20"/>
  <c r="F907" i="20"/>
  <c r="F906" i="20"/>
  <c r="F905" i="20"/>
  <c r="F904" i="20"/>
  <c r="I764" i="20"/>
  <c r="K764" i="20" s="1"/>
  <c r="H764" i="20"/>
  <c r="I763" i="20"/>
  <c r="K763" i="20" s="1"/>
  <c r="H763" i="20"/>
  <c r="I762" i="20"/>
  <c r="K762" i="20" s="1"/>
  <c r="H762" i="20"/>
  <c r="I761" i="20"/>
  <c r="K761" i="20" s="1"/>
  <c r="H761" i="20"/>
  <c r="I760" i="20"/>
  <c r="K760" i="20" s="1"/>
  <c r="H760" i="20"/>
  <c r="I759" i="20"/>
  <c r="K759" i="20" s="1"/>
  <c r="H759" i="20"/>
  <c r="I758" i="20"/>
  <c r="K758" i="20" s="1"/>
  <c r="H758" i="20"/>
  <c r="I757" i="20"/>
  <c r="K757" i="20" s="1"/>
  <c r="H757" i="20"/>
  <c r="I756" i="20"/>
  <c r="K756" i="20" s="1"/>
  <c r="H756" i="20"/>
  <c r="I755" i="20"/>
  <c r="K755" i="20" s="1"/>
  <c r="H755" i="20"/>
  <c r="I754" i="20"/>
  <c r="K754" i="20" s="1"/>
  <c r="H754" i="20"/>
  <c r="I753" i="20"/>
  <c r="K753" i="20" s="1"/>
  <c r="H753" i="20"/>
  <c r="I752" i="20"/>
  <c r="K752" i="20" s="1"/>
  <c r="H752" i="20"/>
  <c r="I751" i="20"/>
  <c r="K751" i="20" s="1"/>
  <c r="H751" i="20"/>
  <c r="I750" i="20"/>
  <c r="K750" i="20" s="1"/>
  <c r="H750" i="20"/>
  <c r="I749" i="20"/>
  <c r="K749" i="20" s="1"/>
  <c r="H749" i="20"/>
  <c r="I748" i="20"/>
  <c r="K748" i="20" s="1"/>
  <c r="H748" i="20"/>
  <c r="I747" i="20"/>
  <c r="K747" i="20" s="1"/>
  <c r="H747" i="20"/>
  <c r="I746" i="20"/>
  <c r="K746" i="20" s="1"/>
  <c r="H746" i="20"/>
  <c r="I745" i="20"/>
  <c r="K745" i="20" s="1"/>
  <c r="H745" i="20"/>
  <c r="I744" i="20"/>
  <c r="K744" i="20" s="1"/>
  <c r="H744" i="20"/>
  <c r="I743" i="20"/>
  <c r="K743" i="20" s="1"/>
  <c r="H743" i="20"/>
  <c r="I742" i="20"/>
  <c r="K742" i="20" s="1"/>
  <c r="H742" i="20"/>
  <c r="I741" i="20"/>
  <c r="K741" i="20" s="1"/>
  <c r="H741" i="20"/>
  <c r="I740" i="20"/>
  <c r="K740" i="20" s="1"/>
  <c r="H740" i="20"/>
  <c r="I739" i="20"/>
  <c r="K739" i="20" s="1"/>
  <c r="H739" i="20"/>
  <c r="I738" i="20"/>
  <c r="K738" i="20" s="1"/>
  <c r="H738" i="20"/>
  <c r="I737" i="20"/>
  <c r="K737" i="20" s="1"/>
  <c r="H737" i="20"/>
  <c r="I736" i="20"/>
  <c r="K736" i="20" s="1"/>
  <c r="H736" i="20"/>
  <c r="I735" i="20"/>
  <c r="K735" i="20" s="1"/>
  <c r="H735" i="20"/>
  <c r="I734" i="20"/>
  <c r="K734" i="20" s="1"/>
  <c r="H734" i="20"/>
  <c r="I733" i="20"/>
  <c r="K733" i="20" s="1"/>
  <c r="H733" i="20"/>
  <c r="I732" i="20"/>
  <c r="K732" i="20" s="1"/>
  <c r="H732" i="20"/>
  <c r="I731" i="20"/>
  <c r="K731" i="20" s="1"/>
  <c r="H731" i="20"/>
  <c r="I730" i="20"/>
  <c r="K730" i="20" s="1"/>
  <c r="H730" i="20"/>
  <c r="K726" i="20"/>
  <c r="H726" i="20"/>
  <c r="K725" i="20"/>
  <c r="H725" i="20"/>
  <c r="K724" i="20"/>
  <c r="H724" i="20"/>
  <c r="K723" i="20"/>
  <c r="H723" i="20"/>
  <c r="K722" i="20"/>
  <c r="H722" i="20"/>
  <c r="K721" i="20"/>
  <c r="H721" i="20"/>
  <c r="K720" i="20"/>
  <c r="K719" i="20"/>
  <c r="H719" i="20"/>
  <c r="K718" i="20"/>
  <c r="H718" i="20"/>
  <c r="K717" i="20"/>
  <c r="H717" i="20"/>
  <c r="K716" i="20"/>
  <c r="H716" i="20"/>
  <c r="K715" i="20"/>
  <c r="H715" i="20"/>
  <c r="K714" i="20"/>
  <c r="H714" i="20"/>
  <c r="K713" i="20"/>
  <c r="H713" i="20"/>
  <c r="K712" i="20"/>
  <c r="H712" i="20"/>
  <c r="K711" i="20"/>
  <c r="H711" i="20"/>
  <c r="K710" i="20"/>
  <c r="H710" i="20"/>
  <c r="K709" i="20"/>
  <c r="H709" i="20"/>
  <c r="K708" i="20"/>
  <c r="H708" i="20"/>
  <c r="K707" i="20"/>
  <c r="H707" i="20"/>
  <c r="K706" i="20"/>
  <c r="H706" i="20"/>
  <c r="K705" i="20"/>
  <c r="H705" i="20"/>
  <c r="K704" i="20"/>
  <c r="H704" i="20"/>
  <c r="K703" i="20"/>
  <c r="H703" i="20"/>
  <c r="K702" i="20"/>
  <c r="H702" i="20"/>
  <c r="K701" i="20"/>
  <c r="H701" i="20"/>
  <c r="K700" i="20"/>
  <c r="H700" i="20"/>
  <c r="K699" i="20"/>
  <c r="H699" i="20"/>
  <c r="K698" i="20"/>
  <c r="H698" i="20"/>
  <c r="K697" i="20"/>
  <c r="H697" i="20"/>
  <c r="K696" i="20"/>
  <c r="H696" i="20"/>
  <c r="K695" i="20"/>
  <c r="H695" i="20"/>
  <c r="K694" i="20"/>
  <c r="H694" i="20"/>
  <c r="K693" i="20"/>
  <c r="H693" i="20"/>
  <c r="K692" i="20"/>
  <c r="H692" i="20"/>
  <c r="K691" i="20"/>
  <c r="H691" i="20"/>
  <c r="K690" i="20"/>
  <c r="H690" i="20"/>
  <c r="K689" i="20"/>
  <c r="H689" i="20"/>
  <c r="K688" i="20"/>
  <c r="H688" i="20"/>
  <c r="K687" i="20"/>
  <c r="H687" i="20"/>
  <c r="K686" i="20"/>
  <c r="H686" i="20"/>
  <c r="K685" i="20"/>
  <c r="H685" i="20"/>
  <c r="K684" i="20"/>
  <c r="H684" i="20"/>
  <c r="K683" i="20"/>
  <c r="H683" i="20"/>
  <c r="K682" i="20"/>
  <c r="H682" i="20"/>
  <c r="K681" i="20"/>
  <c r="H681" i="20"/>
  <c r="K680" i="20"/>
  <c r="H680" i="20"/>
  <c r="K679" i="20"/>
  <c r="H679" i="20"/>
  <c r="K678" i="20"/>
  <c r="H678" i="20"/>
  <c r="K677" i="20"/>
  <c r="H677" i="20"/>
  <c r="K676" i="20"/>
  <c r="H676" i="20"/>
  <c r="K675" i="20"/>
  <c r="H675" i="20"/>
  <c r="K674" i="20"/>
  <c r="H674" i="20"/>
  <c r="K673" i="20"/>
  <c r="H673" i="20"/>
  <c r="K672" i="20"/>
  <c r="H672" i="20"/>
  <c r="K671" i="20"/>
  <c r="H671" i="20"/>
  <c r="K670" i="20"/>
  <c r="H670" i="20"/>
  <c r="K669" i="20"/>
  <c r="H669" i="20"/>
  <c r="K668" i="20"/>
  <c r="H668" i="20"/>
  <c r="K667" i="20"/>
  <c r="H667" i="20"/>
  <c r="K666" i="20"/>
  <c r="H666" i="20"/>
  <c r="K665" i="20"/>
  <c r="H665" i="20"/>
  <c r="K664" i="20"/>
  <c r="H664" i="20"/>
  <c r="K663" i="20"/>
  <c r="H663" i="20"/>
  <c r="K662" i="20"/>
  <c r="H662" i="20"/>
  <c r="K661" i="20"/>
  <c r="H661" i="20"/>
  <c r="K660" i="20"/>
  <c r="H660" i="20"/>
  <c r="K659" i="20"/>
  <c r="H659" i="20"/>
  <c r="K658" i="20"/>
  <c r="H658" i="20"/>
  <c r="K657" i="20"/>
  <c r="H657" i="20"/>
  <c r="K656" i="20"/>
  <c r="H656" i="20"/>
  <c r="K655" i="20"/>
  <c r="H655" i="20"/>
  <c r="K654" i="20"/>
  <c r="H654" i="20"/>
  <c r="K653" i="20"/>
  <c r="H653" i="20"/>
  <c r="K652" i="20"/>
  <c r="H652" i="20"/>
  <c r="K651" i="20"/>
  <c r="H651" i="20"/>
  <c r="K650" i="20"/>
  <c r="H650" i="20"/>
  <c r="K649" i="20"/>
  <c r="H649" i="20"/>
  <c r="K648" i="20"/>
  <c r="H648" i="20"/>
  <c r="K647" i="20"/>
  <c r="H647" i="20"/>
  <c r="K646" i="20"/>
  <c r="H646" i="20"/>
  <c r="K645" i="20"/>
  <c r="H645" i="20"/>
  <c r="K644" i="20"/>
  <c r="H644" i="20"/>
  <c r="K643" i="20"/>
  <c r="H643" i="20"/>
  <c r="K639" i="20"/>
  <c r="H639" i="20"/>
  <c r="K638" i="20"/>
  <c r="H638" i="20"/>
  <c r="K637" i="20"/>
  <c r="H637" i="20"/>
  <c r="K636" i="20"/>
  <c r="H636" i="20"/>
  <c r="K635" i="20"/>
  <c r="H635" i="20"/>
  <c r="K634" i="20"/>
  <c r="H634" i="20"/>
  <c r="K633" i="20"/>
  <c r="K632" i="20"/>
  <c r="H632" i="20"/>
  <c r="K631" i="20"/>
  <c r="H631" i="20"/>
  <c r="K630" i="20"/>
  <c r="H630" i="20"/>
  <c r="K629" i="20"/>
  <c r="H629" i="20"/>
  <c r="K628" i="20"/>
  <c r="H628" i="20"/>
  <c r="K627" i="20"/>
  <c r="H627" i="20"/>
  <c r="K626" i="20"/>
  <c r="H626" i="20"/>
  <c r="K625" i="20"/>
  <c r="H625" i="20"/>
  <c r="K624" i="20"/>
  <c r="H624" i="20"/>
  <c r="K623" i="20"/>
  <c r="H623" i="20"/>
  <c r="K622" i="20"/>
  <c r="H622" i="20"/>
  <c r="K621" i="20"/>
  <c r="H621" i="20"/>
  <c r="K620" i="20"/>
  <c r="H620" i="20"/>
  <c r="K619" i="20"/>
  <c r="H619" i="20"/>
  <c r="K618" i="20"/>
  <c r="H618" i="20"/>
  <c r="K617" i="20"/>
  <c r="H617" i="20"/>
  <c r="K616" i="20"/>
  <c r="H616" i="20"/>
  <c r="K615" i="20"/>
  <c r="H615" i="20"/>
  <c r="K614" i="20"/>
  <c r="H614" i="20"/>
  <c r="K613" i="20"/>
  <c r="H613" i="20"/>
  <c r="K612" i="20"/>
  <c r="H612" i="20"/>
  <c r="K611" i="20"/>
  <c r="H611" i="20"/>
  <c r="K610" i="20"/>
  <c r="H610" i="20"/>
  <c r="K609" i="20"/>
  <c r="H609" i="20"/>
  <c r="K608" i="20"/>
  <c r="H608" i="20"/>
  <c r="K607" i="20"/>
  <c r="H607" i="20"/>
  <c r="K606" i="20"/>
  <c r="H606" i="20"/>
  <c r="K605" i="20"/>
  <c r="H605" i="20"/>
  <c r="K604" i="20"/>
  <c r="H604" i="20"/>
  <c r="K603" i="20"/>
  <c r="H603" i="20"/>
  <c r="K602" i="20"/>
  <c r="H602" i="20"/>
  <c r="K601" i="20"/>
  <c r="H601" i="20"/>
  <c r="K600" i="20"/>
  <c r="H600" i="20"/>
  <c r="K599" i="20"/>
  <c r="H599" i="20"/>
  <c r="K598" i="20"/>
  <c r="H598" i="20"/>
  <c r="K597" i="20"/>
  <c r="H597" i="20"/>
  <c r="K596" i="20"/>
  <c r="H596" i="20"/>
  <c r="K595" i="20"/>
  <c r="H595" i="20"/>
  <c r="K594" i="20"/>
  <c r="H594" i="20"/>
  <c r="K593" i="20"/>
  <c r="H593" i="20"/>
  <c r="K592" i="20"/>
  <c r="H592" i="20"/>
  <c r="K591" i="20"/>
  <c r="H591" i="20"/>
  <c r="K590" i="20"/>
  <c r="H590" i="20"/>
  <c r="K589" i="20"/>
  <c r="H589" i="20"/>
  <c r="K588" i="20"/>
  <c r="H588" i="20"/>
  <c r="K587" i="20"/>
  <c r="H587" i="20"/>
  <c r="K586" i="20"/>
  <c r="H586" i="20"/>
  <c r="K585" i="20"/>
  <c r="H585" i="20"/>
  <c r="K584" i="20"/>
  <c r="H584" i="20"/>
  <c r="K583" i="20"/>
  <c r="K582" i="20"/>
  <c r="K581" i="20"/>
  <c r="K580" i="20"/>
  <c r="K579" i="20"/>
  <c r="K578" i="20"/>
  <c r="K577" i="20"/>
  <c r="K576" i="20"/>
  <c r="K575" i="20"/>
  <c r="K574" i="20"/>
  <c r="K573" i="20"/>
  <c r="K572" i="20"/>
  <c r="K571" i="20"/>
  <c r="K570" i="20"/>
  <c r="K569" i="20"/>
  <c r="K568" i="20"/>
  <c r="K567" i="20"/>
  <c r="K566" i="20"/>
  <c r="K565" i="20"/>
  <c r="K564" i="20"/>
  <c r="K563" i="20"/>
  <c r="K562" i="20"/>
  <c r="K561" i="20"/>
  <c r="K560" i="20"/>
  <c r="K559" i="20"/>
  <c r="K558" i="20"/>
  <c r="K557" i="20"/>
  <c r="K556" i="20"/>
  <c r="K552" i="20"/>
  <c r="K551" i="20"/>
  <c r="K550" i="20"/>
  <c r="K549" i="20"/>
  <c r="K548" i="20"/>
  <c r="K547" i="20"/>
  <c r="K546" i="20"/>
  <c r="K545" i="20"/>
  <c r="K544" i="20"/>
  <c r="K543" i="20"/>
  <c r="K542" i="20"/>
  <c r="K541" i="20"/>
  <c r="K540" i="20"/>
  <c r="K539" i="20"/>
  <c r="K538" i="20"/>
  <c r="K537" i="20"/>
  <c r="K536" i="20"/>
  <c r="K535" i="20"/>
  <c r="K534" i="20"/>
  <c r="K533" i="20"/>
  <c r="K532" i="20"/>
  <c r="K531" i="20"/>
  <c r="K530" i="20"/>
  <c r="K529" i="20"/>
  <c r="K528" i="20"/>
  <c r="K527" i="20"/>
  <c r="K526" i="20"/>
  <c r="K525" i="20"/>
  <c r="K524" i="20"/>
  <c r="K523" i="20"/>
  <c r="K522" i="20"/>
  <c r="K521" i="20"/>
  <c r="K520" i="20"/>
  <c r="K519" i="20"/>
  <c r="K518" i="20"/>
  <c r="K517" i="20"/>
  <c r="K516" i="20"/>
  <c r="H433" i="20"/>
  <c r="H432" i="20"/>
  <c r="H431" i="20"/>
  <c r="H430" i="20"/>
  <c r="H429" i="20"/>
  <c r="H428" i="20"/>
  <c r="H427" i="20"/>
  <c r="H426" i="20"/>
  <c r="H425" i="20"/>
  <c r="H424" i="20"/>
  <c r="H423" i="20"/>
  <c r="H422" i="20"/>
  <c r="H421" i="20"/>
  <c r="H420" i="20"/>
  <c r="H419" i="20"/>
  <c r="H418" i="20"/>
  <c r="H417" i="20"/>
  <c r="H416" i="20"/>
  <c r="H415" i="20"/>
  <c r="H414" i="20"/>
  <c r="H413" i="20"/>
  <c r="H412" i="20"/>
  <c r="H411" i="20"/>
  <c r="H408" i="20"/>
  <c r="H407" i="20"/>
  <c r="H406" i="20"/>
  <c r="H405" i="20"/>
  <c r="H404" i="20"/>
  <c r="H403" i="20"/>
  <c r="H402" i="20"/>
  <c r="H401" i="20"/>
  <c r="H400" i="20"/>
  <c r="H399" i="20"/>
  <c r="H398" i="20"/>
  <c r="H397" i="20"/>
  <c r="H396" i="20"/>
  <c r="H395" i="20"/>
  <c r="H394" i="20"/>
  <c r="H393" i="20"/>
  <c r="H392" i="20"/>
  <c r="H391" i="20"/>
  <c r="H390" i="20"/>
  <c r="C375" i="20"/>
  <c r="C336" i="20"/>
  <c r="C318" i="20"/>
  <c r="C305" i="20"/>
  <c r="I301" i="20"/>
  <c r="I300" i="20"/>
  <c r="I299" i="20"/>
  <c r="I298" i="20"/>
  <c r="I297" i="20"/>
  <c r="I296" i="20"/>
  <c r="I295" i="20"/>
  <c r="I294" i="20"/>
  <c r="I293" i="20"/>
  <c r="I292" i="20"/>
  <c r="D292" i="20"/>
  <c r="I291" i="20"/>
  <c r="I290" i="20"/>
  <c r="I289" i="20"/>
  <c r="I288" i="20"/>
  <c r="I287" i="20"/>
  <c r="C277" i="20"/>
  <c r="H68" i="20"/>
  <c r="H67" i="20"/>
  <c r="H66" i="20"/>
  <c r="H65" i="20"/>
  <c r="H63" i="20"/>
  <c r="H62" i="20"/>
  <c r="H61" i="20"/>
  <c r="H60" i="20"/>
  <c r="H59" i="20"/>
  <c r="CV57" i="6"/>
  <c r="CU57" i="6"/>
  <c r="CV50" i="6"/>
  <c r="CU50" i="6"/>
  <c r="CV43" i="6"/>
  <c r="CU43" i="6"/>
  <c r="CV36" i="6"/>
  <c r="CU36" i="6"/>
  <c r="CV29" i="6"/>
  <c r="CU29" i="6"/>
  <c r="CV22" i="6"/>
  <c r="CU22" i="6"/>
  <c r="CV15" i="6"/>
  <c r="CU15" i="6"/>
  <c r="CV58" i="6"/>
  <c r="CU58" i="6"/>
  <c r="CV51" i="6"/>
  <c r="CU51" i="6"/>
  <c r="CV44" i="6"/>
  <c r="CV37" i="6"/>
  <c r="CW37" i="6"/>
  <c r="CY37" i="6"/>
  <c r="DA37" i="6"/>
  <c r="DB37" i="6"/>
  <c r="DC37" i="6"/>
  <c r="DD37" i="6"/>
  <c r="DE37" i="6"/>
  <c r="DF37" i="6"/>
  <c r="DG37" i="6"/>
  <c r="DH37" i="6"/>
  <c r="ER37" i="6" s="1"/>
  <c r="CV30" i="6"/>
  <c r="CV23" i="6"/>
  <c r="CV16" i="6"/>
  <c r="K14" i="7"/>
  <c r="S14" i="7" s="1"/>
  <c r="CT58" i="6"/>
  <c r="CT57" i="6"/>
  <c r="CT50" i="6"/>
  <c r="CT43" i="6"/>
  <c r="CT36" i="6"/>
  <c r="CT29" i="6"/>
  <c r="CT22" i="6"/>
  <c r="CT60" i="6"/>
  <c r="CT59" i="6"/>
  <c r="CT51" i="6"/>
  <c r="CT44" i="6"/>
  <c r="CT37" i="6"/>
  <c r="CT30" i="6"/>
  <c r="CT16" i="6"/>
  <c r="CT23" i="6"/>
  <c r="G57" i="6"/>
  <c r="G43" i="6"/>
  <c r="G15" i="6"/>
  <c r="CO19" i="6"/>
  <c r="DJ19" i="6" s="1"/>
  <c r="CO12" i="6"/>
  <c r="DI49" i="6"/>
  <c r="DI48" i="6"/>
  <c r="DM47" i="6"/>
  <c r="DI34" i="6"/>
  <c r="DM33" i="6"/>
  <c r="DI31" i="6"/>
  <c r="DI27" i="6"/>
  <c r="DM26" i="6"/>
  <c r="DI24" i="6"/>
  <c r="DI56" i="6"/>
  <c r="DI55" i="6"/>
  <c r="DM54" i="6"/>
  <c r="DL54" i="6"/>
  <c r="DI54" i="6"/>
  <c r="DI53" i="6"/>
  <c r="DI52" i="6"/>
  <c r="DI41" i="6"/>
  <c r="DM40" i="6"/>
  <c r="DL40" i="6"/>
  <c r="DI40" i="6"/>
  <c r="DI39" i="6"/>
  <c r="DI38" i="6"/>
  <c r="DI10" i="6"/>
  <c r="S49" i="7"/>
  <c r="F1082" i="20"/>
  <c r="CH32" i="6"/>
  <c r="CP60" i="6"/>
  <c r="CP59" i="6"/>
  <c r="CP58" i="6"/>
  <c r="CP57" i="6"/>
  <c r="CP51" i="6"/>
  <c r="CP50" i="6"/>
  <c r="CP44" i="6"/>
  <c r="CP43" i="6"/>
  <c r="CP37" i="6"/>
  <c r="CP36" i="6"/>
  <c r="CP30" i="6"/>
  <c r="CP29" i="6"/>
  <c r="CP23" i="6"/>
  <c r="CP22" i="6"/>
  <c r="CP16" i="6"/>
  <c r="CP15" i="6"/>
  <c r="S46" i="7"/>
  <c r="CM60" i="6"/>
  <c r="CM51" i="6"/>
  <c r="CM50" i="6"/>
  <c r="CN29" i="6"/>
  <c r="DI17" i="6"/>
  <c r="CL59" i="6"/>
  <c r="CK59" i="6"/>
  <c r="S55" i="7"/>
  <c r="S13" i="7"/>
  <c r="I765" i="20"/>
  <c r="K765" i="20" s="1"/>
  <c r="I772" i="20"/>
  <c r="K772" i="20" s="1"/>
  <c r="DA22" i="6"/>
  <c r="CW22" i="6"/>
  <c r="CM29" i="6"/>
  <c r="CQ60" i="6"/>
  <c r="CQ59" i="6"/>
  <c r="CM58" i="6"/>
  <c r="CM57" i="6"/>
  <c r="CU44" i="6"/>
  <c r="CY44" i="6"/>
  <c r="CY43" i="6"/>
  <c r="DG43" i="6"/>
  <c r="DG59" i="6"/>
  <c r="CY60" i="6"/>
  <c r="CY59" i="6"/>
  <c r="CU60" i="6"/>
  <c r="CU59" i="6"/>
  <c r="CS59" i="6"/>
  <c r="CS44" i="6"/>
  <c r="CS43" i="6"/>
  <c r="CS29" i="6"/>
  <c r="CQ37" i="6"/>
  <c r="CQ36" i="6"/>
  <c r="CJ60" i="6"/>
  <c r="CM23" i="6"/>
  <c r="DH16" i="6"/>
  <c r="DH15" i="6"/>
  <c r="CM16" i="6"/>
  <c r="CJ29" i="6"/>
  <c r="CK29" i="6"/>
  <c r="CL36" i="6"/>
  <c r="U65" i="7"/>
  <c r="T65" i="7"/>
  <c r="S64" i="7"/>
  <c r="S63" i="7"/>
  <c r="S62" i="7"/>
  <c r="S61" i="7"/>
  <c r="S60" i="7"/>
  <c r="S59" i="7"/>
  <c r="S58" i="7"/>
  <c r="S57" i="7"/>
  <c r="S56" i="7"/>
  <c r="S54" i="7"/>
  <c r="S53" i="7"/>
  <c r="S52" i="7"/>
  <c r="S51" i="7"/>
  <c r="S50" i="7"/>
  <c r="S48" i="7"/>
  <c r="S47" i="7"/>
  <c r="S45" i="7"/>
  <c r="S44" i="7"/>
  <c r="S43" i="7"/>
  <c r="S42" i="7"/>
  <c r="S41" i="7"/>
  <c r="S40" i="7"/>
  <c r="S39" i="7"/>
  <c r="S38" i="7"/>
  <c r="S37" i="7"/>
  <c r="S36" i="7"/>
  <c r="S35" i="7"/>
  <c r="S34" i="7"/>
  <c r="S33" i="7"/>
  <c r="S32" i="7"/>
  <c r="S31" i="7"/>
  <c r="S30" i="7"/>
  <c r="S29" i="7"/>
  <c r="S28" i="7"/>
  <c r="S27" i="7"/>
  <c r="S26" i="7"/>
  <c r="S25" i="7"/>
  <c r="S24" i="7"/>
  <c r="S23" i="7"/>
  <c r="S22" i="7"/>
  <c r="S21" i="7"/>
  <c r="S20" i="7"/>
  <c r="S19" i="7"/>
  <c r="S18" i="7"/>
  <c r="S17" i="7"/>
  <c r="S16" i="7"/>
  <c r="S15" i="7"/>
  <c r="S12" i="7"/>
  <c r="S11" i="7"/>
  <c r="S10" i="7"/>
  <c r="S9" i="7"/>
  <c r="DM19" i="6"/>
  <c r="DI13" i="6"/>
  <c r="DH58" i="6"/>
  <c r="DG58" i="6"/>
  <c r="DE58" i="6"/>
  <c r="DC58" i="6"/>
  <c r="DA58" i="6"/>
  <c r="CY58" i="6"/>
  <c r="CW58" i="6"/>
  <c r="CS58" i="6"/>
  <c r="CR58" i="6"/>
  <c r="CQ58" i="6"/>
  <c r="CO58" i="6"/>
  <c r="CN58" i="6"/>
  <c r="CL58" i="6"/>
  <c r="CK58" i="6"/>
  <c r="CJ58" i="6"/>
  <c r="DH57" i="6"/>
  <c r="ER57" i="6" s="1"/>
  <c r="DG57" i="6"/>
  <c r="DE57" i="6"/>
  <c r="DC57" i="6"/>
  <c r="DA57" i="6"/>
  <c r="CY57" i="6"/>
  <c r="CW57" i="6"/>
  <c r="CS57" i="6"/>
  <c r="CR57" i="6"/>
  <c r="CQ57" i="6"/>
  <c r="CO57" i="6"/>
  <c r="CN57" i="6"/>
  <c r="CL57" i="6"/>
  <c r="CK57" i="6"/>
  <c r="CJ57" i="6"/>
  <c r="DH51" i="6"/>
  <c r="DG51" i="6"/>
  <c r="DE51" i="6"/>
  <c r="DC51" i="6"/>
  <c r="DA51" i="6"/>
  <c r="CY51" i="6"/>
  <c r="CS51" i="6"/>
  <c r="CR51" i="6"/>
  <c r="CQ51" i="6"/>
  <c r="CO51" i="6"/>
  <c r="CN51" i="6"/>
  <c r="CL51" i="6"/>
  <c r="CK51" i="6"/>
  <c r="CJ51" i="6"/>
  <c r="DH50" i="6"/>
  <c r="DG50" i="6"/>
  <c r="DE50" i="6"/>
  <c r="DC50" i="6"/>
  <c r="DA50" i="6"/>
  <c r="CY50" i="6"/>
  <c r="CS50" i="6"/>
  <c r="CR50" i="6"/>
  <c r="CQ50" i="6"/>
  <c r="CO50" i="6"/>
  <c r="CN50" i="6"/>
  <c r="CL50" i="6"/>
  <c r="CK50" i="6"/>
  <c r="CJ50" i="6"/>
  <c r="DH44" i="6"/>
  <c r="ER44" i="6" s="1"/>
  <c r="DE44" i="6"/>
  <c r="DC44" i="6"/>
  <c r="DA44" i="6"/>
  <c r="CW44" i="6"/>
  <c r="CR44" i="6"/>
  <c r="CO44" i="6"/>
  <c r="CN44" i="6"/>
  <c r="CM44" i="6"/>
  <c r="CL44" i="6"/>
  <c r="CK44" i="6"/>
  <c r="CJ44" i="6"/>
  <c r="DH43" i="6"/>
  <c r="ER43" i="6" s="1"/>
  <c r="DE43" i="6"/>
  <c r="DC43" i="6"/>
  <c r="DA43" i="6"/>
  <c r="CW43" i="6"/>
  <c r="CR43" i="6"/>
  <c r="CQ43" i="6"/>
  <c r="CO43" i="6"/>
  <c r="CN43" i="6"/>
  <c r="CM43" i="6"/>
  <c r="CL43" i="6"/>
  <c r="CK43" i="6"/>
  <c r="CJ43" i="6"/>
  <c r="CU37" i="6"/>
  <c r="CS37" i="6"/>
  <c r="CR37" i="6"/>
  <c r="CO37" i="6"/>
  <c r="CN37" i="6"/>
  <c r="CM37" i="6"/>
  <c r="CL37" i="6"/>
  <c r="CK37" i="6"/>
  <c r="CJ37" i="6"/>
  <c r="DH36" i="6"/>
  <c r="ER36" i="6" s="1"/>
  <c r="DE36" i="6"/>
  <c r="DC36" i="6"/>
  <c r="DA36" i="6"/>
  <c r="CY36" i="6"/>
  <c r="CW36" i="6"/>
  <c r="CS36" i="6"/>
  <c r="CR36" i="6"/>
  <c r="CO36" i="6"/>
  <c r="CN36" i="6"/>
  <c r="CM36" i="6"/>
  <c r="CK36" i="6"/>
  <c r="CJ36" i="6"/>
  <c r="DH30" i="6"/>
  <c r="ER30" i="6" s="1"/>
  <c r="DG30" i="6"/>
  <c r="DE30" i="6"/>
  <c r="DC30" i="6"/>
  <c r="DA30" i="6"/>
  <c r="CY30" i="6"/>
  <c r="CU30" i="6"/>
  <c r="CR30" i="6"/>
  <c r="CO30" i="6"/>
  <c r="CN30" i="6"/>
  <c r="CM30" i="6"/>
  <c r="CL30" i="6"/>
  <c r="CK30" i="6"/>
  <c r="CJ30" i="6"/>
  <c r="DH29" i="6"/>
  <c r="ER29" i="6" s="1"/>
  <c r="DG29" i="6"/>
  <c r="DE29" i="6"/>
  <c r="DC29" i="6"/>
  <c r="DA29" i="6"/>
  <c r="CY29" i="6"/>
  <c r="CW29" i="6"/>
  <c r="CR29" i="6"/>
  <c r="CQ29" i="6"/>
  <c r="CO29" i="6"/>
  <c r="CL29" i="6"/>
  <c r="DH23" i="6"/>
  <c r="DG23" i="6"/>
  <c r="DE23" i="6"/>
  <c r="DC23" i="6"/>
  <c r="CY23" i="6"/>
  <c r="CU23" i="6"/>
  <c r="CR23" i="6"/>
  <c r="CN23" i="6"/>
  <c r="CL23" i="6"/>
  <c r="CK23" i="6"/>
  <c r="CJ23" i="6"/>
  <c r="DH22" i="6"/>
  <c r="DG22" i="6"/>
  <c r="DE22" i="6"/>
  <c r="DC22" i="6"/>
  <c r="CY22" i="6"/>
  <c r="CS22" i="6"/>
  <c r="CR22" i="6"/>
  <c r="CQ22" i="6"/>
  <c r="CO22" i="6"/>
  <c r="CN22" i="6"/>
  <c r="CM22" i="6"/>
  <c r="CL22" i="6"/>
  <c r="CK22" i="6"/>
  <c r="CJ22" i="6"/>
  <c r="DG16" i="6"/>
  <c r="DE16" i="6"/>
  <c r="DC16" i="6"/>
  <c r="CY16" i="6"/>
  <c r="CS16" i="6"/>
  <c r="CR16" i="6"/>
  <c r="CQ16" i="6"/>
  <c r="CN16" i="6"/>
  <c r="CL16" i="6"/>
  <c r="CK16" i="6"/>
  <c r="CJ16" i="6"/>
  <c r="DG15" i="6"/>
  <c r="DE15" i="6"/>
  <c r="DC15" i="6"/>
  <c r="DA15" i="6"/>
  <c r="CW15" i="6"/>
  <c r="CS15" i="6"/>
  <c r="CR15" i="6"/>
  <c r="CQ15" i="6"/>
  <c r="CO15" i="6"/>
  <c r="CN15" i="6"/>
  <c r="CM15" i="6"/>
  <c r="CL15" i="6"/>
  <c r="CK15" i="6"/>
  <c r="CJ15" i="6"/>
  <c r="E1385" i="20"/>
  <c r="CC45" i="6"/>
  <c r="CH45" i="6" s="1"/>
  <c r="DN31" i="6"/>
  <c r="DN36" i="6" s="1"/>
  <c r="CG14" i="6"/>
  <c r="CI49" i="6"/>
  <c r="CH49" i="6"/>
  <c r="CG49" i="6"/>
  <c r="CF49" i="6"/>
  <c r="CE49" i="6"/>
  <c r="CI48" i="6"/>
  <c r="CH48" i="6"/>
  <c r="CG48" i="6"/>
  <c r="CF48" i="6"/>
  <c r="CE48" i="6"/>
  <c r="CI47" i="6"/>
  <c r="CH47" i="6"/>
  <c r="CG47" i="6"/>
  <c r="CF47" i="6"/>
  <c r="CE47" i="6"/>
  <c r="CI46" i="6"/>
  <c r="CG46" i="6"/>
  <c r="CI45" i="6"/>
  <c r="CG45" i="6"/>
  <c r="CI35" i="6"/>
  <c r="CG35" i="6"/>
  <c r="CI34" i="6"/>
  <c r="CH34" i="6"/>
  <c r="CG34" i="6"/>
  <c r="CF34" i="6"/>
  <c r="CE34" i="6"/>
  <c r="CI33" i="6"/>
  <c r="CH33" i="6"/>
  <c r="CG33" i="6"/>
  <c r="CF33" i="6"/>
  <c r="CE33" i="6"/>
  <c r="CI32" i="6"/>
  <c r="CG32" i="6"/>
  <c r="CF32" i="6"/>
  <c r="CE32" i="6"/>
  <c r="CI31" i="6"/>
  <c r="CH31" i="6"/>
  <c r="CG31" i="6"/>
  <c r="CF31" i="6"/>
  <c r="CE31" i="6"/>
  <c r="CI28" i="6"/>
  <c r="CG28" i="6"/>
  <c r="CI27" i="6"/>
  <c r="CH27" i="6"/>
  <c r="CG27" i="6"/>
  <c r="CF27" i="6"/>
  <c r="CE27" i="6"/>
  <c r="CI26" i="6"/>
  <c r="CH26" i="6"/>
  <c r="CG26" i="6"/>
  <c r="CF26" i="6"/>
  <c r="CE26" i="6"/>
  <c r="CI25" i="6"/>
  <c r="CH25" i="6"/>
  <c r="CG25" i="6"/>
  <c r="CF25" i="6"/>
  <c r="CE25" i="6"/>
  <c r="CI24" i="6"/>
  <c r="CH24" i="6"/>
  <c r="CG24" i="6"/>
  <c r="CF24" i="6"/>
  <c r="CE24" i="6"/>
  <c r="CI21" i="6"/>
  <c r="CI20" i="6"/>
  <c r="CI19" i="6"/>
  <c r="CI18" i="6"/>
  <c r="CI17" i="6"/>
  <c r="CH21" i="6"/>
  <c r="CH20" i="6"/>
  <c r="CH19" i="6"/>
  <c r="CG21" i="6"/>
  <c r="CG20" i="6"/>
  <c r="CG19" i="6"/>
  <c r="CG18" i="6"/>
  <c r="CG17" i="6"/>
  <c r="CF21" i="6"/>
  <c r="CF20" i="6"/>
  <c r="CF19" i="6"/>
  <c r="CG52" i="6"/>
  <c r="CF52" i="6"/>
  <c r="CI56" i="6"/>
  <c r="CH56" i="6"/>
  <c r="CG56" i="6"/>
  <c r="CF56" i="6"/>
  <c r="CE56" i="6"/>
  <c r="CI55" i="6"/>
  <c r="CH55" i="6"/>
  <c r="CG55" i="6"/>
  <c r="CF55" i="6"/>
  <c r="CE55" i="6"/>
  <c r="CI54" i="6"/>
  <c r="CH54" i="6"/>
  <c r="CG54" i="6"/>
  <c r="CF54" i="6"/>
  <c r="CE54" i="6"/>
  <c r="CI53" i="6"/>
  <c r="CH53" i="6"/>
  <c r="CG53" i="6"/>
  <c r="CF53" i="6"/>
  <c r="CE53" i="6"/>
  <c r="CI52" i="6"/>
  <c r="CH52" i="6"/>
  <c r="CE52" i="6"/>
  <c r="CI42" i="6"/>
  <c r="CG42" i="6"/>
  <c r="CI41" i="6"/>
  <c r="CH41" i="6"/>
  <c r="CG41" i="6"/>
  <c r="CF41" i="6"/>
  <c r="CE41" i="6"/>
  <c r="CI40" i="6"/>
  <c r="CH40" i="6"/>
  <c r="CG40" i="6"/>
  <c r="CF40" i="6"/>
  <c r="CE40" i="6"/>
  <c r="CI39" i="6"/>
  <c r="CH39" i="6"/>
  <c r="CG39" i="6"/>
  <c r="CF39" i="6"/>
  <c r="CE39" i="6"/>
  <c r="CI38" i="6"/>
  <c r="CH38" i="6"/>
  <c r="CG38" i="6"/>
  <c r="CF38" i="6"/>
  <c r="CE38" i="6"/>
  <c r="CI11" i="6"/>
  <c r="CG11" i="6"/>
  <c r="CI14" i="6"/>
  <c r="CI12" i="6"/>
  <c r="CI13" i="6"/>
  <c r="CI10" i="6"/>
  <c r="CH12" i="6"/>
  <c r="CH13" i="6"/>
  <c r="CH10" i="6"/>
  <c r="CG13" i="6"/>
  <c r="CF13" i="6"/>
  <c r="CG12" i="6"/>
  <c r="CG10" i="6"/>
  <c r="CF12" i="6"/>
  <c r="CF10" i="6"/>
  <c r="CE10" i="6"/>
  <c r="CC29" i="6"/>
  <c r="CA35" i="6"/>
  <c r="CA37" i="6" s="1"/>
  <c r="CB59" i="6"/>
  <c r="CB60" i="6"/>
  <c r="CE21" i="6"/>
  <c r="CE13" i="6"/>
  <c r="BY17" i="6"/>
  <c r="BY22" i="6" s="1"/>
  <c r="BY14" i="6"/>
  <c r="BY11" i="6"/>
  <c r="BY59" i="6" s="1"/>
  <c r="CE12" i="6"/>
  <c r="BW35" i="6"/>
  <c r="BW60" i="6" s="1"/>
  <c r="BW14" i="6"/>
  <c r="BW16" i="6" s="1"/>
  <c r="BW46" i="6"/>
  <c r="BW51" i="6" s="1"/>
  <c r="BV59" i="6"/>
  <c r="BU11" i="6"/>
  <c r="BV60" i="6"/>
  <c r="BU60" i="6"/>
  <c r="BV16" i="6"/>
  <c r="BV15" i="6"/>
  <c r="BS28" i="6"/>
  <c r="BS30" i="6" s="1"/>
  <c r="BS14" i="6"/>
  <c r="BS16" i="6" s="1"/>
  <c r="BQ14" i="6"/>
  <c r="BQ16" i="6" s="1"/>
  <c r="BR60" i="6"/>
  <c r="BP60" i="6"/>
  <c r="BO60" i="6"/>
  <c r="BN60" i="6"/>
  <c r="BM60" i="6"/>
  <c r="BL60" i="6"/>
  <c r="BK60" i="6"/>
  <c r="BJ60" i="6"/>
  <c r="BH60" i="6"/>
  <c r="BG60" i="6"/>
  <c r="BF60" i="6"/>
  <c r="CE20" i="6"/>
  <c r="CE19" i="6"/>
  <c r="BN59" i="6"/>
  <c r="BN58" i="6"/>
  <c r="BN15" i="6"/>
  <c r="BL59" i="6"/>
  <c r="BL58" i="6"/>
  <c r="BK58" i="6"/>
  <c r="BK46" i="6"/>
  <c r="BK51" i="6" s="1"/>
  <c r="BK18" i="6"/>
  <c r="CE18" i="6" s="1"/>
  <c r="BJ59" i="6"/>
  <c r="BI42" i="6"/>
  <c r="CF42" i="6" s="1"/>
  <c r="BI28" i="6"/>
  <c r="BI30" i="6" s="1"/>
  <c r="BI59" i="6"/>
  <c r="BJ58" i="6"/>
  <c r="BJ57" i="6"/>
  <c r="BJ51" i="6"/>
  <c r="BJ50" i="6"/>
  <c r="BJ44" i="6"/>
  <c r="BJ43" i="6"/>
  <c r="BJ37" i="6"/>
  <c r="BJ36" i="6"/>
  <c r="BJ30" i="6"/>
  <c r="BJ29" i="6"/>
  <c r="BJ23" i="6"/>
  <c r="BJ22" i="6"/>
  <c r="BJ16" i="6"/>
  <c r="BJ15" i="6"/>
  <c r="H43" i="6"/>
  <c r="CD30" i="6"/>
  <c r="CC30" i="6"/>
  <c r="CB30" i="6"/>
  <c r="CA30" i="6"/>
  <c r="BZ30" i="6"/>
  <c r="BY30" i="6"/>
  <c r="BX30" i="6"/>
  <c r="BW30" i="6"/>
  <c r="BV30" i="6"/>
  <c r="BU30" i="6"/>
  <c r="BT30" i="6"/>
  <c r="BR30" i="6"/>
  <c r="BQ30" i="6"/>
  <c r="BP30" i="6"/>
  <c r="BO30" i="6"/>
  <c r="BN30" i="6"/>
  <c r="BM30" i="6"/>
  <c r="BL30" i="6"/>
  <c r="BK30" i="6"/>
  <c r="CD29" i="6"/>
  <c r="CB29" i="6"/>
  <c r="CA29" i="6"/>
  <c r="BZ29" i="6"/>
  <c r="BY29" i="6"/>
  <c r="BX29" i="6"/>
  <c r="BW29" i="6"/>
  <c r="BV29" i="6"/>
  <c r="BU29" i="6"/>
  <c r="BT29" i="6"/>
  <c r="BS29" i="6"/>
  <c r="BR29" i="6"/>
  <c r="BQ29" i="6"/>
  <c r="BP29" i="6"/>
  <c r="BO29" i="6"/>
  <c r="BN29" i="6"/>
  <c r="BM29" i="6"/>
  <c r="BL29" i="6"/>
  <c r="BK29" i="6"/>
  <c r="BI29" i="6"/>
  <c r="BH30" i="6"/>
  <c r="BH29" i="6"/>
  <c r="BG30" i="6"/>
  <c r="BG29" i="6"/>
  <c r="BF30" i="6"/>
  <c r="BF29" i="6"/>
  <c r="BH23" i="6"/>
  <c r="CD16" i="6"/>
  <c r="CC16" i="6"/>
  <c r="CB16" i="6"/>
  <c r="CA16" i="6"/>
  <c r="BZ16" i="6"/>
  <c r="BX16" i="6"/>
  <c r="BT16" i="6"/>
  <c r="BR16" i="6"/>
  <c r="BP16" i="6"/>
  <c r="BO16" i="6"/>
  <c r="BN16" i="6"/>
  <c r="BM16" i="6"/>
  <c r="BL16" i="6"/>
  <c r="BK16" i="6"/>
  <c r="CD15" i="6"/>
  <c r="CC15" i="6"/>
  <c r="CB15" i="6"/>
  <c r="CA15" i="6"/>
  <c r="BZ15" i="6"/>
  <c r="BY15" i="6"/>
  <c r="BX15" i="6"/>
  <c r="BW15" i="6"/>
  <c r="BU15" i="6"/>
  <c r="BT15" i="6"/>
  <c r="BS15" i="6"/>
  <c r="BR15" i="6"/>
  <c r="BQ15" i="6"/>
  <c r="BP15" i="6"/>
  <c r="BO15" i="6"/>
  <c r="BM15" i="6"/>
  <c r="BL15" i="6"/>
  <c r="BK15" i="6"/>
  <c r="BI16" i="6"/>
  <c r="BI15" i="6"/>
  <c r="BH16" i="6"/>
  <c r="BG16" i="6"/>
  <c r="CA60" i="6"/>
  <c r="BZ60" i="6"/>
  <c r="BY60" i="6"/>
  <c r="BS60" i="6"/>
  <c r="BI51" i="6"/>
  <c r="BM44" i="6"/>
  <c r="BM43" i="6"/>
  <c r="BL44" i="6"/>
  <c r="BL43" i="6"/>
  <c r="BK44" i="6"/>
  <c r="BK43" i="6"/>
  <c r="BI43" i="6"/>
  <c r="BH44" i="6"/>
  <c r="BG44" i="6"/>
  <c r="CD37" i="6"/>
  <c r="CD36" i="6"/>
  <c r="CC37" i="6"/>
  <c r="CC36" i="6"/>
  <c r="CB37" i="6"/>
  <c r="CB36" i="6"/>
  <c r="BZ37" i="6"/>
  <c r="BZ36" i="6"/>
  <c r="CA36" i="6"/>
  <c r="BY37" i="6"/>
  <c r="BY36" i="6"/>
  <c r="BX37" i="6"/>
  <c r="BX36" i="6"/>
  <c r="BW36" i="6"/>
  <c r="BV37" i="6"/>
  <c r="BV36" i="6"/>
  <c r="BU37" i="6"/>
  <c r="BU36" i="6"/>
  <c r="BT37" i="6"/>
  <c r="BT36" i="6"/>
  <c r="BS37" i="6"/>
  <c r="BS36" i="6"/>
  <c r="BR37" i="6"/>
  <c r="BR36" i="6"/>
  <c r="BQ37" i="6"/>
  <c r="BQ36" i="6"/>
  <c r="BP37" i="6"/>
  <c r="BP36" i="6"/>
  <c r="BO37" i="6"/>
  <c r="BO36" i="6"/>
  <c r="BN37" i="6"/>
  <c r="BN36" i="6"/>
  <c r="BM37" i="6"/>
  <c r="BM36" i="6"/>
  <c r="BL37" i="6"/>
  <c r="BL36" i="6"/>
  <c r="BK37" i="6"/>
  <c r="BK36" i="6"/>
  <c r="BI37" i="6"/>
  <c r="BI36" i="6"/>
  <c r="BH37" i="6"/>
  <c r="BH36" i="6"/>
  <c r="BG37" i="6"/>
  <c r="BG36" i="6"/>
  <c r="BF37" i="6"/>
  <c r="BF36" i="6"/>
  <c r="CD51" i="6"/>
  <c r="CC51" i="6"/>
  <c r="CB51" i="6"/>
  <c r="CA51" i="6"/>
  <c r="BZ51" i="6"/>
  <c r="BY51" i="6"/>
  <c r="BX51" i="6"/>
  <c r="BV51" i="6"/>
  <c r="BU51" i="6"/>
  <c r="BT51" i="6"/>
  <c r="BS51" i="6"/>
  <c r="BR51" i="6"/>
  <c r="BQ51" i="6"/>
  <c r="BP51" i="6"/>
  <c r="BO51" i="6"/>
  <c r="BN51" i="6"/>
  <c r="BM51" i="6"/>
  <c r="BL51" i="6"/>
  <c r="BH51" i="6"/>
  <c r="BG51" i="6"/>
  <c r="CD50" i="6"/>
  <c r="CB50" i="6"/>
  <c r="CA50" i="6"/>
  <c r="BZ50" i="6"/>
  <c r="BY50" i="6"/>
  <c r="BX50" i="6"/>
  <c r="BW50" i="6"/>
  <c r="BV50" i="6"/>
  <c r="BU50" i="6"/>
  <c r="BT50" i="6"/>
  <c r="BS50" i="6"/>
  <c r="BR50" i="6"/>
  <c r="BQ50" i="6"/>
  <c r="BP50" i="6"/>
  <c r="BO50" i="6"/>
  <c r="BN50" i="6"/>
  <c r="BM50" i="6"/>
  <c r="BL50" i="6"/>
  <c r="BK50" i="6"/>
  <c r="BI50" i="6"/>
  <c r="BH50" i="6"/>
  <c r="BG50" i="6"/>
  <c r="CD23" i="6"/>
  <c r="CC23" i="6"/>
  <c r="CB23" i="6"/>
  <c r="CA23" i="6"/>
  <c r="BZ23" i="6"/>
  <c r="BY23" i="6"/>
  <c r="BX23" i="6"/>
  <c r="BW23" i="6"/>
  <c r="BV23" i="6"/>
  <c r="BU23" i="6"/>
  <c r="BT23" i="6"/>
  <c r="BS23" i="6"/>
  <c r="BR23" i="6"/>
  <c r="BQ23" i="6"/>
  <c r="BP23" i="6"/>
  <c r="BO23" i="6"/>
  <c r="BN23" i="6"/>
  <c r="BM23" i="6"/>
  <c r="BL23" i="6"/>
  <c r="BI23" i="6"/>
  <c r="CD22" i="6"/>
  <c r="CC22" i="6"/>
  <c r="CB22" i="6"/>
  <c r="CA22" i="6"/>
  <c r="BZ22" i="6"/>
  <c r="BX22" i="6"/>
  <c r="BW22" i="6"/>
  <c r="BV22" i="6"/>
  <c r="BU22" i="6"/>
  <c r="BT22" i="6"/>
  <c r="BS22" i="6"/>
  <c r="BR22" i="6"/>
  <c r="BQ22" i="6"/>
  <c r="BP22" i="6"/>
  <c r="BO22" i="6"/>
  <c r="BN22" i="6"/>
  <c r="BM22" i="6"/>
  <c r="BL22" i="6"/>
  <c r="BK22" i="6"/>
  <c r="BI22" i="6"/>
  <c r="BH22" i="6"/>
  <c r="BG23" i="6"/>
  <c r="BG22" i="6"/>
  <c r="BF23" i="6"/>
  <c r="BF22" i="6"/>
  <c r="BG15" i="6"/>
  <c r="BH15" i="6"/>
  <c r="BF15" i="6"/>
  <c r="BC45" i="6"/>
  <c r="BC38" i="6"/>
  <c r="BB41" i="6"/>
  <c r="BB40" i="6"/>
  <c r="BB38" i="6"/>
  <c r="BA41" i="6"/>
  <c r="BA40" i="6"/>
  <c r="BA38" i="6"/>
  <c r="BE55" i="6"/>
  <c r="BE52" i="6"/>
  <c r="BD56" i="6"/>
  <c r="BD55" i="6"/>
  <c r="BD54" i="6"/>
  <c r="BD52" i="6"/>
  <c r="BC55" i="6"/>
  <c r="BC52" i="6"/>
  <c r="BB56" i="6"/>
  <c r="BB55" i="6"/>
  <c r="BB54" i="6"/>
  <c r="BB52" i="6"/>
  <c r="BA56" i="6"/>
  <c r="BA55" i="6"/>
  <c r="BA54" i="6"/>
  <c r="BA52" i="6"/>
  <c r="BE45" i="6"/>
  <c r="BC48" i="6"/>
  <c r="BB48" i="6"/>
  <c r="BB47" i="6"/>
  <c r="BB46" i="6"/>
  <c r="BA48" i="6"/>
  <c r="BA47" i="6"/>
  <c r="BA46" i="6"/>
  <c r="BE41" i="6"/>
  <c r="BE38" i="6"/>
  <c r="BD41" i="6"/>
  <c r="BD38" i="6"/>
  <c r="BC41" i="6"/>
  <c r="BD31" i="6"/>
  <c r="BC34" i="6"/>
  <c r="BC31" i="6"/>
  <c r="BB35" i="6"/>
  <c r="BB34" i="6"/>
  <c r="BB33" i="6"/>
  <c r="BB31" i="6"/>
  <c r="BA31" i="6"/>
  <c r="BE24" i="6"/>
  <c r="BD24" i="6"/>
  <c r="BC24" i="6"/>
  <c r="BC27" i="6"/>
  <c r="BB27" i="6"/>
  <c r="BB24" i="6"/>
  <c r="BA24" i="6"/>
  <c r="BE17" i="6"/>
  <c r="BD17" i="6"/>
  <c r="BC20" i="6"/>
  <c r="BC17" i="6"/>
  <c r="BB21" i="6"/>
  <c r="BB20" i="6"/>
  <c r="BB19" i="6"/>
  <c r="BB17" i="6"/>
  <c r="BA21" i="6"/>
  <c r="BA20" i="6"/>
  <c r="BA19" i="6"/>
  <c r="BA17" i="6"/>
  <c r="BE13" i="6"/>
  <c r="BE10" i="6"/>
  <c r="BD13" i="6"/>
  <c r="BD11" i="6"/>
  <c r="BD10" i="6"/>
  <c r="BC13" i="6"/>
  <c r="BC10" i="6"/>
  <c r="BB13" i="6"/>
  <c r="BB11" i="6"/>
  <c r="BB10" i="6"/>
  <c r="BA13" i="6"/>
  <c r="BA11" i="6"/>
  <c r="BA10" i="6"/>
  <c r="AZ60" i="6"/>
  <c r="AZ59" i="6"/>
  <c r="AZ58" i="6"/>
  <c r="AZ57" i="6"/>
  <c r="AZ51" i="6"/>
  <c r="AZ50" i="6"/>
  <c r="AZ44" i="6"/>
  <c r="AZ43" i="6"/>
  <c r="AZ37" i="6"/>
  <c r="AZ36" i="6"/>
  <c r="AZ30" i="6"/>
  <c r="AZ29" i="6"/>
  <c r="AZ23" i="6"/>
  <c r="AZ22" i="6"/>
  <c r="AZ16" i="6"/>
  <c r="AZ15" i="6"/>
  <c r="AY45" i="6"/>
  <c r="BA45" i="6" s="1"/>
  <c r="AX60" i="6"/>
  <c r="BD46" i="6"/>
  <c r="BD40" i="6"/>
  <c r="BE31" i="6"/>
  <c r="AX59" i="6"/>
  <c r="AX58" i="6"/>
  <c r="AX57" i="6"/>
  <c r="AX51" i="6"/>
  <c r="AX50" i="6"/>
  <c r="AX44" i="6"/>
  <c r="AX43" i="6"/>
  <c r="AX37" i="6"/>
  <c r="AX36" i="6"/>
  <c r="AX30" i="6"/>
  <c r="AX29" i="6"/>
  <c r="AX23" i="6"/>
  <c r="AX22" i="6"/>
  <c r="AX16" i="6"/>
  <c r="AX15" i="6"/>
  <c r="BD33" i="6"/>
  <c r="BD47" i="6"/>
  <c r="BE20" i="6"/>
  <c r="AV60" i="6"/>
  <c r="AV59" i="6"/>
  <c r="AV58" i="6"/>
  <c r="AV57" i="6"/>
  <c r="AV51" i="6"/>
  <c r="AV50" i="6"/>
  <c r="AV44" i="6"/>
  <c r="AV43" i="6"/>
  <c r="AV37" i="6"/>
  <c r="AV36" i="6"/>
  <c r="AV30" i="6"/>
  <c r="AV29" i="6"/>
  <c r="AV23" i="6"/>
  <c r="AV22" i="6"/>
  <c r="AV16" i="6"/>
  <c r="AV15" i="6"/>
  <c r="AT43" i="6"/>
  <c r="AT44" i="6"/>
  <c r="AM60" i="6"/>
  <c r="AK60" i="6"/>
  <c r="AC60" i="6"/>
  <c r="AT60" i="6"/>
  <c r="AS42" i="6"/>
  <c r="BA42" i="6" s="1"/>
  <c r="AS28" i="6"/>
  <c r="AS14" i="6"/>
  <c r="BB14" i="6" s="1"/>
  <c r="AS53" i="6"/>
  <c r="AS58" i="6" s="1"/>
  <c r="AS39" i="6"/>
  <c r="AS32" i="6"/>
  <c r="AS25" i="6"/>
  <c r="AS18" i="6"/>
  <c r="AS23" i="6" s="1"/>
  <c r="AT58" i="6"/>
  <c r="AT57" i="6"/>
  <c r="AT30" i="6"/>
  <c r="AT29" i="6"/>
  <c r="AT23" i="6"/>
  <c r="AT22" i="6"/>
  <c r="AT16" i="6"/>
  <c r="AT15" i="6"/>
  <c r="BE34" i="6"/>
  <c r="AR30" i="6"/>
  <c r="AR29" i="6"/>
  <c r="AQ49" i="6"/>
  <c r="AQ60" i="6" s="1"/>
  <c r="AB60" i="6"/>
  <c r="BE48" i="6"/>
  <c r="BE27" i="6"/>
  <c r="AU53" i="6"/>
  <c r="AU58" i="6" s="1"/>
  <c r="AQ53" i="6"/>
  <c r="AQ58" i="6" s="1"/>
  <c r="AU39" i="6"/>
  <c r="AQ39" i="6"/>
  <c r="AQ44" i="6" s="1"/>
  <c r="AQ32" i="6"/>
  <c r="AU25" i="6"/>
  <c r="AU30" i="6" s="1"/>
  <c r="AU18" i="6"/>
  <c r="AQ18" i="6"/>
  <c r="AQ23" i="6" s="1"/>
  <c r="AR58" i="6"/>
  <c r="AR57" i="6"/>
  <c r="AR16" i="6"/>
  <c r="AR15" i="6"/>
  <c r="AR23" i="6"/>
  <c r="AR22" i="6"/>
  <c r="AR44" i="6"/>
  <c r="AR43" i="6"/>
  <c r="AP57" i="6"/>
  <c r="AP43" i="6"/>
  <c r="AP29" i="6"/>
  <c r="AP22" i="6"/>
  <c r="AP15" i="6"/>
  <c r="Z50" i="6"/>
  <c r="AM43" i="6"/>
  <c r="AP58" i="6"/>
  <c r="AP51" i="6"/>
  <c r="AP44" i="6"/>
  <c r="AP37" i="6"/>
  <c r="AP30" i="6"/>
  <c r="AP23" i="6"/>
  <c r="AP16" i="6"/>
  <c r="DN37" i="6"/>
  <c r="AM59" i="6"/>
  <c r="AS49" i="6"/>
  <c r="AS51" i="6" s="1"/>
  <c r="AY30" i="6"/>
  <c r="AY29" i="6"/>
  <c r="AW30" i="6"/>
  <c r="AW29" i="6"/>
  <c r="AU29" i="6"/>
  <c r="AS29" i="6"/>
  <c r="AQ30" i="6"/>
  <c r="AQ29" i="6"/>
  <c r="AO30" i="6"/>
  <c r="AO29" i="6"/>
  <c r="AN30" i="6"/>
  <c r="AN29" i="6"/>
  <c r="AM30" i="6"/>
  <c r="AM29" i="6"/>
  <c r="AL29" i="6"/>
  <c r="BD21" i="6"/>
  <c r="BD20" i="6"/>
  <c r="BD19" i="6"/>
  <c r="AN60" i="6"/>
  <c r="AN59" i="6"/>
  <c r="AN58" i="6"/>
  <c r="AN57" i="6"/>
  <c r="AN51" i="6"/>
  <c r="AN50" i="6"/>
  <c r="AN44" i="6"/>
  <c r="AN43" i="6"/>
  <c r="AN37" i="6"/>
  <c r="AN36" i="6"/>
  <c r="AN23" i="6"/>
  <c r="AN22" i="6"/>
  <c r="AN16" i="6"/>
  <c r="AN15" i="6"/>
  <c r="AJ54" i="6"/>
  <c r="AL54" i="6" s="1"/>
  <c r="BE54" i="6" s="1"/>
  <c r="AF56" i="6"/>
  <c r="AH56" i="6" s="1"/>
  <c r="AF53" i="6"/>
  <c r="AH53" i="6" s="1"/>
  <c r="AJ53" i="6" s="1"/>
  <c r="AF49" i="6"/>
  <c r="AH49" i="6" s="1"/>
  <c r="AJ47" i="6"/>
  <c r="AF46" i="6"/>
  <c r="AH46" i="6" s="1"/>
  <c r="AJ46" i="6" s="1"/>
  <c r="AL46" i="6" s="1"/>
  <c r="BC46" i="6" s="1"/>
  <c r="AF42" i="6"/>
  <c r="AH42" i="6" s="1"/>
  <c r="AJ42" i="6" s="1"/>
  <c r="AF39" i="6"/>
  <c r="AH39" i="6" s="1"/>
  <c r="AJ33" i="6"/>
  <c r="AL33" i="6" s="1"/>
  <c r="BE33" i="6" s="1"/>
  <c r="AF32" i="6"/>
  <c r="AH32" i="6" s="1"/>
  <c r="AL36" i="6"/>
  <c r="AF35" i="6"/>
  <c r="AH35" i="6" s="1"/>
  <c r="AJ35" i="6" s="1"/>
  <c r="AL35" i="6" s="1"/>
  <c r="AF28" i="6"/>
  <c r="AH28" i="6" s="1"/>
  <c r="AJ26" i="6"/>
  <c r="AL26" i="6" s="1"/>
  <c r="AL12" i="6"/>
  <c r="AM12" i="6" s="1"/>
  <c r="AO12" i="6" s="1"/>
  <c r="AQ12" i="6" s="1"/>
  <c r="AS12" i="6" s="1"/>
  <c r="AU12" i="6" s="1"/>
  <c r="AW12" i="6" s="1"/>
  <c r="AY12" i="6" s="1"/>
  <c r="BA12" i="6" s="1"/>
  <c r="AF14" i="6"/>
  <c r="AH14" i="6" s="1"/>
  <c r="AJ14" i="6" s="1"/>
  <c r="AL14" i="6" s="1"/>
  <c r="AF11" i="6"/>
  <c r="AJ40" i="6"/>
  <c r="AL40" i="6" s="1"/>
  <c r="BE40" i="6" s="1"/>
  <c r="AI26" i="6"/>
  <c r="BA26" i="6" s="1"/>
  <c r="AJ19" i="6"/>
  <c r="AE28" i="6"/>
  <c r="AE60" i="6" s="1"/>
  <c r="AF25" i="6"/>
  <c r="AH25" i="6" s="1"/>
  <c r="AJ25" i="6" s="1"/>
  <c r="AL25" i="6" s="1"/>
  <c r="BC25" i="6" s="1"/>
  <c r="AF21" i="6"/>
  <c r="AH21" i="6" s="1"/>
  <c r="AF18" i="6"/>
  <c r="AH18" i="6" s="1"/>
  <c r="AJ18" i="6" s="1"/>
  <c r="AL18" i="6" s="1"/>
  <c r="BE18" i="6" s="1"/>
  <c r="AB59" i="6"/>
  <c r="DN30" i="6"/>
  <c r="DN29" i="6"/>
  <c r="DN16" i="6"/>
  <c r="DN15" i="6"/>
  <c r="BF16" i="6"/>
  <c r="AK30" i="6"/>
  <c r="AK29" i="6"/>
  <c r="AJ29" i="6"/>
  <c r="AI30" i="6"/>
  <c r="AI29" i="6"/>
  <c r="AH29" i="6"/>
  <c r="AG30" i="6"/>
  <c r="AG29" i="6"/>
  <c r="AF29" i="6"/>
  <c r="AE29" i="6"/>
  <c r="AD30" i="6"/>
  <c r="AD29" i="6"/>
  <c r="AC30" i="6"/>
  <c r="AC29" i="6"/>
  <c r="AB30" i="6"/>
  <c r="AB29" i="6"/>
  <c r="AA30" i="6"/>
  <c r="AA29" i="6"/>
  <c r="Z30" i="6"/>
  <c r="Z29" i="6"/>
  <c r="H60" i="6"/>
  <c r="DN60" i="6"/>
  <c r="DH60" i="6"/>
  <c r="DE60" i="6"/>
  <c r="DC60" i="6"/>
  <c r="DA60" i="6"/>
  <c r="CR60" i="6"/>
  <c r="CO60" i="6"/>
  <c r="CN60" i="6"/>
  <c r="CL60" i="6"/>
  <c r="CK60" i="6"/>
  <c r="CD60" i="6"/>
  <c r="AW60" i="6"/>
  <c r="AU60" i="6"/>
  <c r="AR60" i="6"/>
  <c r="AP60" i="6"/>
  <c r="AO60" i="6"/>
  <c r="AI60" i="6"/>
  <c r="AG60" i="6"/>
  <c r="AD60" i="6"/>
  <c r="AA60" i="6"/>
  <c r="Z60" i="6"/>
  <c r="Y60" i="6"/>
  <c r="X60" i="6"/>
  <c r="W60" i="6"/>
  <c r="V60" i="6"/>
  <c r="U60" i="6"/>
  <c r="T60" i="6"/>
  <c r="S60" i="6"/>
  <c r="S59" i="6"/>
  <c r="R60" i="6"/>
  <c r="Q60" i="6"/>
  <c r="P60" i="6"/>
  <c r="O60" i="6"/>
  <c r="N60" i="6"/>
  <c r="M60" i="6"/>
  <c r="L60" i="6"/>
  <c r="K60" i="6"/>
  <c r="J60" i="6"/>
  <c r="I60" i="6"/>
  <c r="DH59" i="6"/>
  <c r="DE59" i="6"/>
  <c r="DC59" i="6"/>
  <c r="DA59" i="6"/>
  <c r="CR59" i="6"/>
  <c r="CN59" i="6"/>
  <c r="CM59" i="6"/>
  <c r="CJ59" i="6"/>
  <c r="CD59" i="6"/>
  <c r="CC59" i="6"/>
  <c r="CA59" i="6"/>
  <c r="BZ59" i="6"/>
  <c r="BX59" i="6"/>
  <c r="BT59" i="6"/>
  <c r="BS59" i="6"/>
  <c r="BR59" i="6"/>
  <c r="BQ59" i="6"/>
  <c r="BP59" i="6"/>
  <c r="BO59" i="6"/>
  <c r="BM59" i="6"/>
  <c r="BH59" i="6"/>
  <c r="BG59" i="6"/>
  <c r="BF59" i="6"/>
  <c r="AY59" i="6"/>
  <c r="AW59" i="6"/>
  <c r="AT59" i="6"/>
  <c r="AR59" i="6"/>
  <c r="AP59" i="6"/>
  <c r="AO59" i="6"/>
  <c r="AK59" i="6"/>
  <c r="AI59" i="6"/>
  <c r="AG59" i="6"/>
  <c r="AE59" i="6"/>
  <c r="AD59" i="6"/>
  <c r="AC59" i="6"/>
  <c r="AA59" i="6"/>
  <c r="Z59" i="6"/>
  <c r="Y59" i="6"/>
  <c r="X59" i="6"/>
  <c r="W59" i="6"/>
  <c r="V59" i="6"/>
  <c r="U59" i="6"/>
  <c r="T59" i="6"/>
  <c r="R59" i="6"/>
  <c r="Q59" i="6"/>
  <c r="P59" i="6"/>
  <c r="O59" i="6"/>
  <c r="N59" i="6"/>
  <c r="M59" i="6"/>
  <c r="L59" i="6"/>
  <c r="K59" i="6"/>
  <c r="J59" i="6"/>
  <c r="I59" i="6"/>
  <c r="H59" i="6"/>
  <c r="AB58" i="6"/>
  <c r="AB57" i="6"/>
  <c r="DN58" i="6"/>
  <c r="CD58" i="6"/>
  <c r="CC58" i="6"/>
  <c r="CB58" i="6"/>
  <c r="CA58" i="6"/>
  <c r="BZ58" i="6"/>
  <c r="BY58" i="6"/>
  <c r="BX58" i="6"/>
  <c r="BW58" i="6"/>
  <c r="BV58" i="6"/>
  <c r="BU58" i="6"/>
  <c r="BT58" i="6"/>
  <c r="BS58" i="6"/>
  <c r="BR58" i="6"/>
  <c r="BQ58" i="6"/>
  <c r="BP58" i="6"/>
  <c r="BO58" i="6"/>
  <c r="BM58" i="6"/>
  <c r="BI58" i="6"/>
  <c r="BH58" i="6"/>
  <c r="BG58" i="6"/>
  <c r="BF58" i="6"/>
  <c r="AY58" i="6"/>
  <c r="AW58" i="6"/>
  <c r="AO58" i="6"/>
  <c r="AM58" i="6"/>
  <c r="AK58" i="6"/>
  <c r="AI58" i="6"/>
  <c r="AG58" i="6"/>
  <c r="AE58" i="6"/>
  <c r="AD58" i="6"/>
  <c r="AC58" i="6"/>
  <c r="AA58" i="6"/>
  <c r="Z58" i="6"/>
  <c r="Y58" i="6"/>
  <c r="X58" i="6"/>
  <c r="W58" i="6"/>
  <c r="H58" i="6"/>
  <c r="DN57" i="6"/>
  <c r="CD57" i="6"/>
  <c r="CC57" i="6"/>
  <c r="CB57" i="6"/>
  <c r="CA57" i="6"/>
  <c r="BZ57" i="6"/>
  <c r="BY57" i="6"/>
  <c r="BX57" i="6"/>
  <c r="BW57" i="6"/>
  <c r="BV57" i="6"/>
  <c r="BU57" i="6"/>
  <c r="BT57" i="6"/>
  <c r="BS57" i="6"/>
  <c r="BR57" i="6"/>
  <c r="BQ57" i="6"/>
  <c r="BP57" i="6"/>
  <c r="BO57" i="6"/>
  <c r="BN57" i="6"/>
  <c r="BM57" i="6"/>
  <c r="BL57" i="6"/>
  <c r="BK57" i="6"/>
  <c r="BI57" i="6"/>
  <c r="BH57" i="6"/>
  <c r="BG57" i="6"/>
  <c r="BF57" i="6"/>
  <c r="AY57" i="6"/>
  <c r="AW57" i="6"/>
  <c r="AU57" i="6"/>
  <c r="AS57" i="6"/>
  <c r="AQ57" i="6"/>
  <c r="AO57" i="6"/>
  <c r="AM57" i="6"/>
  <c r="AL57" i="6"/>
  <c r="AK57" i="6"/>
  <c r="AJ57" i="6"/>
  <c r="AI57" i="6"/>
  <c r="AH57" i="6"/>
  <c r="AG57" i="6"/>
  <c r="AF57" i="6"/>
  <c r="AE57" i="6"/>
  <c r="AD57" i="6"/>
  <c r="AC57" i="6"/>
  <c r="AA57" i="6"/>
  <c r="Z57" i="6"/>
  <c r="Y57" i="6"/>
  <c r="X57" i="6"/>
  <c r="W57" i="6"/>
  <c r="H57" i="6"/>
  <c r="AC50" i="6"/>
  <c r="AB51" i="6"/>
  <c r="AB50" i="6"/>
  <c r="Z51" i="6"/>
  <c r="X51" i="6"/>
  <c r="X50" i="6"/>
  <c r="W51" i="6"/>
  <c r="W50" i="6"/>
  <c r="H51" i="6"/>
  <c r="H50" i="6"/>
  <c r="DN51" i="6"/>
  <c r="BF51" i="6"/>
  <c r="AY51" i="6"/>
  <c r="AW51" i="6"/>
  <c r="AU51" i="6"/>
  <c r="AT51" i="6"/>
  <c r="AR51" i="6"/>
  <c r="AO51" i="6"/>
  <c r="AM51" i="6"/>
  <c r="AK51" i="6"/>
  <c r="AI51" i="6"/>
  <c r="AG51" i="6"/>
  <c r="AE51" i="6"/>
  <c r="AD51" i="6"/>
  <c r="AC51" i="6"/>
  <c r="AA51" i="6"/>
  <c r="Y51" i="6"/>
  <c r="V51" i="6"/>
  <c r="U51" i="6"/>
  <c r="T51" i="6"/>
  <c r="S51" i="6"/>
  <c r="R51" i="6"/>
  <c r="Q51" i="6"/>
  <c r="P51" i="6"/>
  <c r="O51" i="6"/>
  <c r="N51" i="6"/>
  <c r="M51" i="6"/>
  <c r="L51" i="6"/>
  <c r="K51" i="6"/>
  <c r="J51" i="6"/>
  <c r="I51" i="6"/>
  <c r="DN50" i="6"/>
  <c r="BF50" i="6"/>
  <c r="AW50" i="6"/>
  <c r="AU50" i="6"/>
  <c r="AT50" i="6"/>
  <c r="AS50" i="6"/>
  <c r="AR50" i="6"/>
  <c r="AQ50" i="6"/>
  <c r="AP50" i="6"/>
  <c r="AO50" i="6"/>
  <c r="AM50" i="6"/>
  <c r="AL50" i="6"/>
  <c r="AK50" i="6"/>
  <c r="AJ50" i="6"/>
  <c r="AI50" i="6"/>
  <c r="AH50" i="6"/>
  <c r="AG50" i="6"/>
  <c r="AF50" i="6"/>
  <c r="AE50" i="6"/>
  <c r="AD50" i="6"/>
  <c r="AA50" i="6"/>
  <c r="Y50" i="6"/>
  <c r="V50" i="6"/>
  <c r="U50" i="6"/>
  <c r="T50" i="6"/>
  <c r="S50" i="6"/>
  <c r="R50" i="6"/>
  <c r="Q50" i="6"/>
  <c r="P50" i="6"/>
  <c r="O50" i="6"/>
  <c r="N50" i="6"/>
  <c r="M50" i="6"/>
  <c r="L50" i="6"/>
  <c r="K50" i="6"/>
  <c r="J50" i="6"/>
  <c r="I50" i="6"/>
  <c r="DN44" i="6"/>
  <c r="CD44" i="6"/>
  <c r="CC44" i="6"/>
  <c r="CB44" i="6"/>
  <c r="CA44" i="6"/>
  <c r="BZ44" i="6"/>
  <c r="BY44" i="6"/>
  <c r="BX44" i="6"/>
  <c r="BW44" i="6"/>
  <c r="BV44" i="6"/>
  <c r="BU44" i="6"/>
  <c r="BT44" i="6"/>
  <c r="BS44" i="6"/>
  <c r="BR44" i="6"/>
  <c r="BQ44" i="6"/>
  <c r="BP44" i="6"/>
  <c r="BO44" i="6"/>
  <c r="BN44" i="6"/>
  <c r="BF44" i="6"/>
  <c r="DN43" i="6"/>
  <c r="CD43" i="6"/>
  <c r="CC43" i="6"/>
  <c r="CB43" i="6"/>
  <c r="CA43" i="6"/>
  <c r="BZ43" i="6"/>
  <c r="BY43" i="6"/>
  <c r="BX43" i="6"/>
  <c r="BW43" i="6"/>
  <c r="BV43" i="6"/>
  <c r="BU43" i="6"/>
  <c r="BT43" i="6"/>
  <c r="BS43" i="6"/>
  <c r="BR43" i="6"/>
  <c r="BQ43" i="6"/>
  <c r="BP43" i="6"/>
  <c r="BO43" i="6"/>
  <c r="BN43" i="6"/>
  <c r="BH43" i="6"/>
  <c r="BG43" i="6"/>
  <c r="BF43" i="6"/>
  <c r="AY44" i="6"/>
  <c r="AY43" i="6"/>
  <c r="AK44" i="6"/>
  <c r="AI44" i="6"/>
  <c r="AG44" i="6"/>
  <c r="AE44" i="6"/>
  <c r="AD44" i="6"/>
  <c r="AC44" i="6"/>
  <c r="AK43" i="6"/>
  <c r="AJ43" i="6"/>
  <c r="AI43" i="6"/>
  <c r="AH43" i="6"/>
  <c r="AG43" i="6"/>
  <c r="AF43" i="6"/>
  <c r="AE43" i="6"/>
  <c r="AD43" i="6"/>
  <c r="AC43" i="6"/>
  <c r="AW44" i="6"/>
  <c r="AO44" i="6"/>
  <c r="AM44" i="6"/>
  <c r="AB44" i="6"/>
  <c r="AA44" i="6"/>
  <c r="Z44" i="6"/>
  <c r="Y44" i="6"/>
  <c r="X44" i="6"/>
  <c r="W44" i="6"/>
  <c r="H44" i="6"/>
  <c r="AW43" i="6"/>
  <c r="AU43" i="6"/>
  <c r="AS43" i="6"/>
  <c r="AQ43" i="6"/>
  <c r="AO43" i="6"/>
  <c r="AL43" i="6"/>
  <c r="AB43" i="6"/>
  <c r="AA43" i="6"/>
  <c r="Z43" i="6"/>
  <c r="Y43" i="6"/>
  <c r="X43" i="6"/>
  <c r="W43" i="6"/>
  <c r="AY37" i="6"/>
  <c r="AW37" i="6"/>
  <c r="AU37" i="6"/>
  <c r="AT37" i="6"/>
  <c r="AR37" i="6"/>
  <c r="AO37" i="6"/>
  <c r="AM37" i="6"/>
  <c r="AK37" i="6"/>
  <c r="AI37" i="6"/>
  <c r="AG37" i="6"/>
  <c r="AE37" i="6"/>
  <c r="AD37" i="6"/>
  <c r="AC37" i="6"/>
  <c r="AB37" i="6"/>
  <c r="AY36" i="6"/>
  <c r="AW36" i="6"/>
  <c r="AU36" i="6"/>
  <c r="AT36" i="6"/>
  <c r="AS36" i="6"/>
  <c r="AR36" i="6"/>
  <c r="AQ36" i="6"/>
  <c r="AP36" i="6"/>
  <c r="AO36" i="6"/>
  <c r="AM36" i="6"/>
  <c r="AK36" i="6"/>
  <c r="AJ36" i="6"/>
  <c r="AI36" i="6"/>
  <c r="AH36" i="6"/>
  <c r="AG36" i="6"/>
  <c r="AF36" i="6"/>
  <c r="AE36" i="6"/>
  <c r="AD36" i="6"/>
  <c r="AC36" i="6"/>
  <c r="AB36" i="6"/>
  <c r="AA37" i="6"/>
  <c r="Z37" i="6"/>
  <c r="Y37" i="6"/>
  <c r="X37" i="6"/>
  <c r="W37" i="6"/>
  <c r="V37" i="6"/>
  <c r="U37" i="6"/>
  <c r="T37" i="6"/>
  <c r="S37" i="6"/>
  <c r="R37" i="6"/>
  <c r="Q37" i="6"/>
  <c r="P37" i="6"/>
  <c r="O37" i="6"/>
  <c r="N37" i="6"/>
  <c r="M37" i="6"/>
  <c r="L37" i="6"/>
  <c r="K37" i="6"/>
  <c r="J37" i="6"/>
  <c r="I37" i="6"/>
  <c r="H37" i="6"/>
  <c r="AA36" i="6"/>
  <c r="Z36" i="6"/>
  <c r="Y36" i="6"/>
  <c r="X36" i="6"/>
  <c r="W36" i="6"/>
  <c r="V36" i="6"/>
  <c r="U36" i="6"/>
  <c r="T36" i="6"/>
  <c r="S36" i="6"/>
  <c r="R36" i="6"/>
  <c r="Q36" i="6"/>
  <c r="P36" i="6"/>
  <c r="O36" i="6"/>
  <c r="N36" i="6"/>
  <c r="M36" i="6"/>
  <c r="L36" i="6"/>
  <c r="K36" i="6"/>
  <c r="J36" i="6"/>
  <c r="I36" i="6"/>
  <c r="H36" i="6"/>
  <c r="BD35" i="6"/>
  <c r="BA35" i="6"/>
  <c r="BD34" i="6"/>
  <c r="BA34" i="6"/>
  <c r="BA33" i="6"/>
  <c r="Y30" i="6"/>
  <c r="Y29" i="6"/>
  <c r="X30" i="6"/>
  <c r="X29" i="6"/>
  <c r="W30" i="6"/>
  <c r="W29" i="6"/>
  <c r="H30" i="6"/>
  <c r="H29" i="6"/>
  <c r="BD27" i="6"/>
  <c r="BA27" i="6"/>
  <c r="AL15" i="6"/>
  <c r="AY23" i="6"/>
  <c r="AY22" i="6"/>
  <c r="AW23" i="6"/>
  <c r="AW22" i="6"/>
  <c r="AU22" i="6"/>
  <c r="AS22" i="6"/>
  <c r="AQ22" i="6"/>
  <c r="AO23" i="6"/>
  <c r="AO22" i="6"/>
  <c r="AM23" i="6"/>
  <c r="AM22" i="6"/>
  <c r="AL22" i="6"/>
  <c r="AK23" i="6"/>
  <c r="AK22" i="6"/>
  <c r="AJ22" i="6"/>
  <c r="AI23" i="6"/>
  <c r="AI22" i="6"/>
  <c r="AH22" i="6"/>
  <c r="AG23" i="6"/>
  <c r="AG22" i="6"/>
  <c r="AF22" i="6"/>
  <c r="AE23" i="6"/>
  <c r="AE22" i="6"/>
  <c r="AD23" i="6"/>
  <c r="AD22" i="6"/>
  <c r="AC23" i="6"/>
  <c r="AC22" i="6"/>
  <c r="AB23" i="6"/>
  <c r="AB22" i="6"/>
  <c r="AA23" i="6"/>
  <c r="AA22" i="6"/>
  <c r="Z23" i="6"/>
  <c r="Z22" i="6"/>
  <c r="Y23" i="6"/>
  <c r="Y22" i="6"/>
  <c r="AY16" i="6"/>
  <c r="AY15" i="6"/>
  <c r="AW16" i="6"/>
  <c r="AW15" i="6"/>
  <c r="AU16" i="6"/>
  <c r="AU15" i="6"/>
  <c r="AS15" i="6"/>
  <c r="AQ16" i="6"/>
  <c r="AQ15" i="6"/>
  <c r="AO16" i="6"/>
  <c r="AO15" i="6"/>
  <c r="AM16" i="6"/>
  <c r="AM15" i="6"/>
  <c r="X23" i="6"/>
  <c r="X22" i="6"/>
  <c r="W23" i="6"/>
  <c r="W22" i="6"/>
  <c r="H22" i="6"/>
  <c r="AK16" i="6"/>
  <c r="AK15" i="6"/>
  <c r="AJ15" i="6"/>
  <c r="AI16" i="6"/>
  <c r="AI15" i="6"/>
  <c r="AH15" i="6"/>
  <c r="AG16" i="6"/>
  <c r="AG15" i="6"/>
  <c r="AF15" i="6"/>
  <c r="AE16" i="6"/>
  <c r="AE15" i="6"/>
  <c r="AD16" i="6"/>
  <c r="AD15" i="6"/>
  <c r="AC16" i="6"/>
  <c r="AC15" i="6"/>
  <c r="AB15" i="6"/>
  <c r="AB16" i="6"/>
  <c r="H23" i="6"/>
  <c r="AA16" i="6"/>
  <c r="AA15" i="6"/>
  <c r="Z16" i="6"/>
  <c r="Z15" i="6"/>
  <c r="Y16" i="6"/>
  <c r="Y15" i="6"/>
  <c r="X16" i="6"/>
  <c r="X15" i="6"/>
  <c r="W16" i="6"/>
  <c r="W15" i="6"/>
  <c r="H15" i="6"/>
  <c r="H16" i="6"/>
  <c r="EM37" i="6"/>
  <c r="EQ36" i="6"/>
  <c r="EP36" i="6"/>
  <c r="EO36" i="6"/>
  <c r="EN36" i="6"/>
  <c r="EM36" i="6"/>
  <c r="EQ35" i="6"/>
  <c r="EP35" i="6"/>
  <c r="EO35" i="6"/>
  <c r="EN35" i="6"/>
  <c r="EM35" i="6"/>
  <c r="EQ34" i="6"/>
  <c r="EP34" i="6"/>
  <c r="EO34" i="6"/>
  <c r="EN34" i="6"/>
  <c r="EM34" i="6"/>
  <c r="EQ33" i="6"/>
  <c r="EP33" i="6"/>
  <c r="EO33" i="6"/>
  <c r="EN33" i="6"/>
  <c r="EM33" i="6"/>
  <c r="EQ32" i="6"/>
  <c r="EP32" i="6"/>
  <c r="EO32" i="6"/>
  <c r="EN32" i="6"/>
  <c r="EM32" i="6"/>
  <c r="EQ31" i="6"/>
  <c r="EP31" i="6"/>
  <c r="EO31" i="6"/>
  <c r="EN31" i="6"/>
  <c r="EM31" i="6"/>
  <c r="EM30" i="6"/>
  <c r="EQ29" i="6"/>
  <c r="EP29" i="6"/>
  <c r="EO29" i="6"/>
  <c r="EN29" i="6"/>
  <c r="EM29" i="6"/>
  <c r="EQ28" i="6"/>
  <c r="EP28" i="6"/>
  <c r="EO28" i="6"/>
  <c r="EN28" i="6"/>
  <c r="EM28" i="6"/>
  <c r="EQ27" i="6"/>
  <c r="EP27" i="6"/>
  <c r="EO27" i="6"/>
  <c r="EN27" i="6"/>
  <c r="EM27" i="6"/>
  <c r="EQ26" i="6"/>
  <c r="EP26" i="6"/>
  <c r="EO26" i="6"/>
  <c r="EN26" i="6"/>
  <c r="EM26" i="6"/>
  <c r="EQ25" i="6"/>
  <c r="EP25" i="6"/>
  <c r="EO25" i="6"/>
  <c r="EN25" i="6"/>
  <c r="EM25" i="6"/>
  <c r="EQ24" i="6"/>
  <c r="EP24" i="6"/>
  <c r="EO24" i="6"/>
  <c r="EN24" i="6"/>
  <c r="EM24" i="6"/>
  <c r="EM23" i="6"/>
  <c r="EQ22" i="6"/>
  <c r="EP22" i="6"/>
  <c r="EO22" i="6"/>
  <c r="EN22" i="6"/>
  <c r="EM22" i="6"/>
  <c r="EQ21" i="6"/>
  <c r="EP21" i="6"/>
  <c r="EO21" i="6"/>
  <c r="EN21" i="6"/>
  <c r="EM21" i="6"/>
  <c r="EQ20" i="6"/>
  <c r="EP20" i="6"/>
  <c r="EO20" i="6"/>
  <c r="EN20" i="6"/>
  <c r="EM20" i="6"/>
  <c r="EQ19" i="6"/>
  <c r="EP19" i="6"/>
  <c r="EO19" i="6"/>
  <c r="EN19" i="6"/>
  <c r="EM19" i="6"/>
  <c r="EQ18" i="6"/>
  <c r="EP18" i="6"/>
  <c r="EO18" i="6"/>
  <c r="EN18" i="6"/>
  <c r="EM18" i="6"/>
  <c r="EQ17" i="6"/>
  <c r="EP17" i="6"/>
  <c r="EO17" i="6"/>
  <c r="EN17" i="6"/>
  <c r="EM17" i="6"/>
  <c r="EM16" i="6"/>
  <c r="EQ15" i="6"/>
  <c r="EP15" i="6"/>
  <c r="EO15" i="6"/>
  <c r="EN15" i="6"/>
  <c r="EM15" i="6"/>
  <c r="EQ14" i="6"/>
  <c r="EP14" i="6"/>
  <c r="EO14" i="6"/>
  <c r="EN14" i="6"/>
  <c r="EM14" i="6"/>
  <c r="EQ13" i="6"/>
  <c r="EP13" i="6"/>
  <c r="EO13" i="6"/>
  <c r="EN13" i="6"/>
  <c r="EM13" i="6"/>
  <c r="EQ12" i="6"/>
  <c r="EP12" i="6"/>
  <c r="EO12" i="6"/>
  <c r="EN12" i="6"/>
  <c r="EM12" i="6"/>
  <c r="EQ11" i="6"/>
  <c r="EP11" i="6"/>
  <c r="EO11" i="6"/>
  <c r="EN11" i="6"/>
  <c r="EM11" i="6"/>
  <c r="EQ10" i="6"/>
  <c r="EP10" i="6"/>
  <c r="EO10" i="6"/>
  <c r="EN10" i="6"/>
  <c r="EM10" i="6"/>
  <c r="EM58" i="6"/>
  <c r="EQ57" i="6"/>
  <c r="EP57" i="6"/>
  <c r="EO57" i="6"/>
  <c r="EM57" i="6"/>
  <c r="EQ56" i="6"/>
  <c r="EP56" i="6"/>
  <c r="EO56" i="6"/>
  <c r="EN56" i="6"/>
  <c r="EM56" i="6"/>
  <c r="EP55" i="6"/>
  <c r="EO55" i="6"/>
  <c r="EN55" i="6"/>
  <c r="EM55" i="6"/>
  <c r="EQ54" i="6"/>
  <c r="EP54" i="6"/>
  <c r="EO54" i="6"/>
  <c r="EN54" i="6"/>
  <c r="EM54" i="6"/>
  <c r="EQ53" i="6"/>
  <c r="EP53" i="6"/>
  <c r="EO53" i="6"/>
  <c r="EN53" i="6"/>
  <c r="EM53" i="6"/>
  <c r="EQ52" i="6"/>
  <c r="EP52" i="6"/>
  <c r="EO52" i="6"/>
  <c r="EN52" i="6"/>
  <c r="EM52" i="6"/>
  <c r="EM51" i="6"/>
  <c r="EQ50" i="6"/>
  <c r="EP50" i="6"/>
  <c r="EO50" i="6"/>
  <c r="EN50" i="6"/>
  <c r="EM50" i="6"/>
  <c r="EQ49" i="6"/>
  <c r="EP49" i="6"/>
  <c r="EO49" i="6"/>
  <c r="EN49" i="6"/>
  <c r="EM49" i="6"/>
  <c r="EQ48" i="6"/>
  <c r="EP48" i="6"/>
  <c r="EO48" i="6"/>
  <c r="EN48" i="6"/>
  <c r="EM48" i="6"/>
  <c r="EQ47" i="6"/>
  <c r="EP47" i="6"/>
  <c r="EO47" i="6"/>
  <c r="EN47" i="6"/>
  <c r="EM47" i="6"/>
  <c r="EQ46" i="6"/>
  <c r="EP46" i="6"/>
  <c r="EO46" i="6"/>
  <c r="EN46" i="6"/>
  <c r="EM46" i="6"/>
  <c r="EQ45" i="6"/>
  <c r="EP45" i="6"/>
  <c r="EO45" i="6"/>
  <c r="EN45" i="6"/>
  <c r="EM45" i="6"/>
  <c r="EM44" i="6"/>
  <c r="EQ42" i="6"/>
  <c r="EP42" i="6"/>
  <c r="EO42" i="6"/>
  <c r="EN42" i="6"/>
  <c r="EM42" i="6"/>
  <c r="EP41" i="6"/>
  <c r="EO41" i="6"/>
  <c r="EN41" i="6"/>
  <c r="EQ40" i="6"/>
  <c r="EP40" i="6"/>
  <c r="EO40" i="6"/>
  <c r="EN40" i="6"/>
  <c r="EM40" i="6"/>
  <c r="EQ39" i="6"/>
  <c r="EP39" i="6"/>
  <c r="EO39" i="6"/>
  <c r="EN39" i="6"/>
  <c r="EM39" i="6"/>
  <c r="EO38" i="6"/>
  <c r="EQ38" i="6" s="1"/>
  <c r="EQ43" i="6" s="1"/>
  <c r="EN38" i="6"/>
  <c r="EM38" i="6"/>
  <c r="EP38" i="6" s="1"/>
  <c r="AY60" i="6"/>
  <c r="ER22" i="6" l="1"/>
  <c r="EV52" i="6"/>
  <c r="ER50" i="6"/>
  <c r="ER15" i="6"/>
  <c r="I766" i="20"/>
  <c r="K766" i="20" s="1"/>
  <c r="ER51" i="6"/>
  <c r="ER16" i="6"/>
  <c r="I767" i="20"/>
  <c r="K767" i="20" s="1"/>
  <c r="ER23" i="6"/>
  <c r="CG15" i="6"/>
  <c r="CQ30" i="6"/>
  <c r="DJ11" i="6"/>
  <c r="DJ16" i="6" s="1"/>
  <c r="CQ44" i="6"/>
  <c r="DI28" i="6"/>
  <c r="DJ12" i="6"/>
  <c r="ES12" i="6" s="1"/>
  <c r="DL33" i="6"/>
  <c r="I776" i="20"/>
  <c r="K776" i="20" s="1"/>
  <c r="CH36" i="6"/>
  <c r="I813" i="20"/>
  <c r="J813" i="20"/>
  <c r="H806" i="20"/>
  <c r="H813" i="20"/>
  <c r="E1119" i="20"/>
  <c r="I812" i="20"/>
  <c r="J812" i="20"/>
  <c r="F1424" i="20"/>
  <c r="I811" i="20"/>
  <c r="H804" i="20"/>
  <c r="H811" i="20"/>
  <c r="J811" i="20"/>
  <c r="DJ37" i="6"/>
  <c r="H803" i="20"/>
  <c r="H810" i="20"/>
  <c r="I810" i="20"/>
  <c r="J810" i="20"/>
  <c r="K810" i="20" s="1"/>
  <c r="ET31" i="6"/>
  <c r="H802" i="20"/>
  <c r="H809" i="20"/>
  <c r="I809" i="20"/>
  <c r="E1421" i="20"/>
  <c r="J809" i="20"/>
  <c r="F1421" i="20"/>
  <c r="H801" i="20"/>
  <c r="H808" i="20"/>
  <c r="I808" i="20"/>
  <c r="K808" i="20" s="1"/>
  <c r="DJ60" i="6"/>
  <c r="H800" i="20"/>
  <c r="H807" i="20"/>
  <c r="J807" i="20"/>
  <c r="K807" i="20" s="1"/>
  <c r="F1119" i="20"/>
  <c r="F1118" i="20"/>
  <c r="F1117" i="20"/>
  <c r="F1116" i="20"/>
  <c r="F1115" i="20"/>
  <c r="DJ30" i="6"/>
  <c r="DJ18" i="6"/>
  <c r="DJ23" i="6" s="1"/>
  <c r="EV38" i="6"/>
  <c r="G17" i="6"/>
  <c r="EV17" i="6" s="1"/>
  <c r="DI11" i="6"/>
  <c r="I806" i="20"/>
  <c r="I805" i="20"/>
  <c r="J806" i="20"/>
  <c r="I804" i="20"/>
  <c r="J804" i="20"/>
  <c r="I803" i="20"/>
  <c r="J803" i="20"/>
  <c r="I802" i="20"/>
  <c r="J802" i="20"/>
  <c r="J800" i="20"/>
  <c r="K800" i="20" s="1"/>
  <c r="I801" i="20"/>
  <c r="K801" i="20" s="1"/>
  <c r="ET10" i="6"/>
  <c r="J805" i="20"/>
  <c r="BD45" i="6"/>
  <c r="DI33" i="6"/>
  <c r="CW50" i="6"/>
  <c r="DI35" i="6"/>
  <c r="DI14" i="6"/>
  <c r="ES14" i="6"/>
  <c r="CF15" i="6"/>
  <c r="G20" i="6"/>
  <c r="EU10" i="6"/>
  <c r="EV15" i="6"/>
  <c r="DI32" i="6"/>
  <c r="ET24" i="6"/>
  <c r="H790" i="20"/>
  <c r="I778" i="20"/>
  <c r="K778" i="20" s="1"/>
  <c r="K793" i="20"/>
  <c r="AH11" i="6"/>
  <c r="AJ11" i="6" s="1"/>
  <c r="AL11" i="6" s="1"/>
  <c r="AL16" i="6" s="1"/>
  <c r="H788" i="20"/>
  <c r="H789" i="20"/>
  <c r="F1389" i="20"/>
  <c r="E1386" i="20"/>
  <c r="K794" i="20"/>
  <c r="BC12" i="6"/>
  <c r="U61" i="6"/>
  <c r="BC50" i="6"/>
  <c r="CG58" i="6"/>
  <c r="CE57" i="6"/>
  <c r="G1407" i="20"/>
  <c r="F1081" i="20"/>
  <c r="E1084" i="20"/>
  <c r="CH11" i="6"/>
  <c r="CQ23" i="6"/>
  <c r="ES21" i="6"/>
  <c r="CO23" i="6"/>
  <c r="BB45" i="6"/>
  <c r="BB50" i="6" s="1"/>
  <c r="CF11" i="6"/>
  <c r="DI42" i="6"/>
  <c r="CZ44" i="6" s="1"/>
  <c r="EU52" i="6"/>
  <c r="AN61" i="6"/>
  <c r="BC43" i="6"/>
  <c r="ES28" i="6"/>
  <c r="CG50" i="6"/>
  <c r="BU16" i="6"/>
  <c r="AT61" i="6"/>
  <c r="AV61" i="6"/>
  <c r="CG23" i="6"/>
  <c r="CI23" i="6"/>
  <c r="CG30" i="6"/>
  <c r="CS30" i="6"/>
  <c r="BU59" i="6"/>
  <c r="BU61" i="6" s="1"/>
  <c r="DL26" i="6"/>
  <c r="ET26" i="6" s="1"/>
  <c r="BA14" i="6"/>
  <c r="BA16" i="6" s="1"/>
  <c r="CE11" i="6"/>
  <c r="CE17" i="6"/>
  <c r="CE22" i="6" s="1"/>
  <c r="EP30" i="6"/>
  <c r="BC15" i="6"/>
  <c r="DI26" i="6"/>
  <c r="W61" i="6"/>
  <c r="BS61" i="6"/>
  <c r="CE46" i="6"/>
  <c r="CE51" i="6" s="1"/>
  <c r="BW59" i="6"/>
  <c r="BW61" i="6" s="1"/>
  <c r="CE29" i="6"/>
  <c r="CE42" i="6"/>
  <c r="CE44" i="6" s="1"/>
  <c r="AY50" i="6"/>
  <c r="DI43" i="6"/>
  <c r="AP61" i="6"/>
  <c r="M61" i="6"/>
  <c r="CD61" i="6"/>
  <c r="BA22" i="6"/>
  <c r="BA43" i="6"/>
  <c r="BL61" i="6"/>
  <c r="CI58" i="6"/>
  <c r="G49" i="6"/>
  <c r="CF17" i="6"/>
  <c r="CF22" i="6" s="1"/>
  <c r="EN37" i="6"/>
  <c r="T61" i="6"/>
  <c r="X61" i="6"/>
  <c r="CH17" i="6"/>
  <c r="CH22" i="6" s="1"/>
  <c r="EP44" i="6"/>
  <c r="H61" i="6"/>
  <c r="P61" i="6"/>
  <c r="AD61" i="6"/>
  <c r="CN61" i="6"/>
  <c r="DE61" i="6"/>
  <c r="DA61" i="6"/>
  <c r="CG36" i="6"/>
  <c r="CH28" i="6"/>
  <c r="CH30" i="6" s="1"/>
  <c r="CH46" i="6"/>
  <c r="CH51" i="6" s="1"/>
  <c r="CF28" i="6"/>
  <c r="CF30" i="6" s="1"/>
  <c r="BD29" i="6"/>
  <c r="AH51" i="6"/>
  <c r="BE15" i="6"/>
  <c r="BB29" i="6"/>
  <c r="BE43" i="6"/>
  <c r="CF44" i="6"/>
  <c r="CF43" i="6"/>
  <c r="CE58" i="6"/>
  <c r="CF57" i="6"/>
  <c r="CG29" i="6"/>
  <c r="H774" i="20"/>
  <c r="DM57" i="6"/>
  <c r="J792" i="20"/>
  <c r="BQ60" i="6"/>
  <c r="BQ61" i="6" s="1"/>
  <c r="CE28" i="6"/>
  <c r="CE30" i="6" s="1"/>
  <c r="CI51" i="6"/>
  <c r="CM61" i="6"/>
  <c r="CH15" i="6"/>
  <c r="I771" i="20"/>
  <c r="K771" i="20" s="1"/>
  <c r="I792" i="20"/>
  <c r="DI57" i="6"/>
  <c r="H792" i="20"/>
  <c r="E1098" i="20"/>
  <c r="CF29" i="6"/>
  <c r="J791" i="20"/>
  <c r="F1403" i="20"/>
  <c r="I770" i="20"/>
  <c r="K770" i="20" s="1"/>
  <c r="I791" i="20"/>
  <c r="BJ61" i="6"/>
  <c r="BN61" i="6"/>
  <c r="I790" i="20"/>
  <c r="J61" i="6"/>
  <c r="N61" i="6"/>
  <c r="J790" i="20"/>
  <c r="I789" i="20"/>
  <c r="G31" i="6"/>
  <c r="EV31" i="6" s="1"/>
  <c r="I768" i="20"/>
  <c r="K768" i="20" s="1"/>
  <c r="J789" i="20"/>
  <c r="I775" i="20"/>
  <c r="K775" i="20" s="1"/>
  <c r="Y61" i="6"/>
  <c r="AK61" i="6"/>
  <c r="I788" i="20"/>
  <c r="E1400" i="20"/>
  <c r="BD28" i="6"/>
  <c r="J788" i="20"/>
  <c r="F1400" i="20"/>
  <c r="H765" i="20"/>
  <c r="H786" i="20"/>
  <c r="H780" i="20"/>
  <c r="H787" i="20"/>
  <c r="I787" i="20"/>
  <c r="K787" i="20" s="1"/>
  <c r="J786" i="20"/>
  <c r="K786" i="20" s="1"/>
  <c r="I61" i="6"/>
  <c r="Q61" i="6"/>
  <c r="F1098" i="20"/>
  <c r="F1097" i="20"/>
  <c r="F1096" i="20"/>
  <c r="F1095" i="20"/>
  <c r="F1094" i="20"/>
  <c r="F1080" i="20"/>
  <c r="AR61" i="6"/>
  <c r="BP61" i="6"/>
  <c r="DL46" i="6"/>
  <c r="DL25" i="6"/>
  <c r="DL14" i="6"/>
  <c r="Z61" i="6"/>
  <c r="AW61" i="6"/>
  <c r="DC61" i="6"/>
  <c r="CF46" i="6"/>
  <c r="CF51" i="6" s="1"/>
  <c r="CF14" i="6"/>
  <c r="CI43" i="6"/>
  <c r="CH58" i="6"/>
  <c r="CI30" i="6"/>
  <c r="CG59" i="6"/>
  <c r="CF36" i="6"/>
  <c r="CG51" i="6"/>
  <c r="CQ61" i="6"/>
  <c r="ES19" i="6"/>
  <c r="CS60" i="6"/>
  <c r="CS61" i="6" s="1"/>
  <c r="DL21" i="6"/>
  <c r="DL18" i="6"/>
  <c r="CH29" i="6"/>
  <c r="DL35" i="6"/>
  <c r="DL32" i="6"/>
  <c r="ES32" i="6"/>
  <c r="DL28" i="6"/>
  <c r="DL15" i="6"/>
  <c r="BG61" i="6"/>
  <c r="AF58" i="6"/>
  <c r="BY16" i="6"/>
  <c r="BH61" i="6"/>
  <c r="CO59" i="6"/>
  <c r="CO61" i="6" s="1"/>
  <c r="BA15" i="6"/>
  <c r="BD15" i="6"/>
  <c r="BB43" i="6"/>
  <c r="DI21" i="6"/>
  <c r="BA36" i="6"/>
  <c r="CE35" i="6"/>
  <c r="CE37" i="6" s="1"/>
  <c r="AE30" i="6"/>
  <c r="CO16" i="6"/>
  <c r="H771" i="20"/>
  <c r="CH35" i="6"/>
  <c r="CH37" i="6" s="1"/>
  <c r="BW37" i="6"/>
  <c r="CF35" i="6"/>
  <c r="CF37" i="6" s="1"/>
  <c r="AH23" i="6"/>
  <c r="CK61" i="6"/>
  <c r="CE23" i="6"/>
  <c r="CI44" i="6"/>
  <c r="CI60" i="6"/>
  <c r="AF23" i="6"/>
  <c r="DI15" i="6"/>
  <c r="I777" i="20"/>
  <c r="K777" i="20" s="1"/>
  <c r="DI19" i="6"/>
  <c r="CH42" i="6"/>
  <c r="CH44" i="6" s="1"/>
  <c r="BI44" i="6"/>
  <c r="BA28" i="6"/>
  <c r="BI60" i="6"/>
  <c r="BI61" i="6" s="1"/>
  <c r="BR61" i="6"/>
  <c r="CJ61" i="6"/>
  <c r="AH30" i="6"/>
  <c r="AM61" i="6"/>
  <c r="BD53" i="6"/>
  <c r="BD58" i="6" s="1"/>
  <c r="BO61" i="6"/>
  <c r="DL19" i="6"/>
  <c r="ET19" i="6" s="1"/>
  <c r="CS23" i="6"/>
  <c r="AQ51" i="6"/>
  <c r="BD26" i="6"/>
  <c r="BD18" i="6"/>
  <c r="BD23" i="6" s="1"/>
  <c r="G48" i="6"/>
  <c r="EV48" i="6" s="1"/>
  <c r="BA32" i="6"/>
  <c r="BA37" i="6" s="1"/>
  <c r="BA29" i="6"/>
  <c r="AS44" i="6"/>
  <c r="BD43" i="6"/>
  <c r="CI15" i="6"/>
  <c r="CG43" i="6"/>
  <c r="CF58" i="6"/>
  <c r="CG22" i="6"/>
  <c r="CI22" i="6"/>
  <c r="CE45" i="6"/>
  <c r="CE50" i="6" s="1"/>
  <c r="BB18" i="6"/>
  <c r="BB23" i="6" s="1"/>
  <c r="AS37" i="6"/>
  <c r="EN16" i="6"/>
  <c r="EO23" i="6"/>
  <c r="BB36" i="6"/>
  <c r="CF45" i="6"/>
  <c r="CF50" i="6" s="1"/>
  <c r="CH14" i="6"/>
  <c r="AF60" i="6"/>
  <c r="EN51" i="6"/>
  <c r="EO58" i="6"/>
  <c r="K61" i="6"/>
  <c r="CA61" i="6"/>
  <c r="EV41" i="6"/>
  <c r="CG37" i="6"/>
  <c r="L61" i="6"/>
  <c r="BA57" i="6"/>
  <c r="CI50" i="6"/>
  <c r="CI37" i="6"/>
  <c r="BT60" i="6"/>
  <c r="BT61" i="6" s="1"/>
  <c r="BE50" i="6"/>
  <c r="DI18" i="6"/>
  <c r="BC40" i="6"/>
  <c r="BB32" i="6"/>
  <c r="BB37" i="6" s="1"/>
  <c r="BD32" i="6"/>
  <c r="BD37" i="6" s="1"/>
  <c r="AU59" i="6"/>
  <c r="AU61" i="6" s="1"/>
  <c r="BB53" i="6"/>
  <c r="BB58" i="6" s="1"/>
  <c r="O61" i="6"/>
  <c r="AI61" i="6"/>
  <c r="BF61" i="6"/>
  <c r="BE29" i="6"/>
  <c r="BA25" i="6"/>
  <c r="BA30" i="6" s="1"/>
  <c r="CC50" i="6"/>
  <c r="DI47" i="6"/>
  <c r="DL47" i="6"/>
  <c r="ET47" i="6" s="1"/>
  <c r="EP43" i="6"/>
  <c r="EO16" i="6"/>
  <c r="EQ30" i="6"/>
  <c r="CE15" i="6"/>
  <c r="EP23" i="6"/>
  <c r="CE36" i="6"/>
  <c r="EN58" i="6"/>
  <c r="EN30" i="6"/>
  <c r="I785" i="20"/>
  <c r="DL57" i="6"/>
  <c r="I784" i="20"/>
  <c r="DL45" i="6"/>
  <c r="DI45" i="6"/>
  <c r="EQ51" i="6"/>
  <c r="EQ16" i="6"/>
  <c r="AO61" i="6"/>
  <c r="S61" i="6"/>
  <c r="AB61" i="6"/>
  <c r="BD39" i="6"/>
  <c r="BB16" i="6"/>
  <c r="BB57" i="6"/>
  <c r="BX60" i="6"/>
  <c r="BX61" i="6" s="1"/>
  <c r="CI16" i="6"/>
  <c r="CG44" i="6"/>
  <c r="CI57" i="6"/>
  <c r="H778" i="20"/>
  <c r="H785" i="20"/>
  <c r="ET54" i="6"/>
  <c r="ET33" i="6"/>
  <c r="ET55" i="6"/>
  <c r="J785" i="20"/>
  <c r="ET48" i="6"/>
  <c r="J784" i="20"/>
  <c r="DL29" i="6"/>
  <c r="EM43" i="6"/>
  <c r="R61" i="6"/>
  <c r="AG61" i="6"/>
  <c r="CR61" i="6"/>
  <c r="AQ59" i="6"/>
  <c r="AQ61" i="6" s="1"/>
  <c r="BA53" i="6"/>
  <c r="BA58" i="6" s="1"/>
  <c r="CV61" i="6"/>
  <c r="DL58" i="6"/>
  <c r="BC22" i="6"/>
  <c r="BC29" i="6"/>
  <c r="BC36" i="6"/>
  <c r="BC57" i="6"/>
  <c r="CU61" i="6"/>
  <c r="CT61" i="6"/>
  <c r="DI12" i="6"/>
  <c r="H769" i="20"/>
  <c r="H783" i="20"/>
  <c r="H775" i="20"/>
  <c r="H782" i="20"/>
  <c r="I783" i="20"/>
  <c r="I782" i="20"/>
  <c r="EQ44" i="6"/>
  <c r="EN43" i="6"/>
  <c r="EO37" i="6"/>
  <c r="EP37" i="6"/>
  <c r="J783" i="20"/>
  <c r="ET38" i="6"/>
  <c r="CH43" i="6"/>
  <c r="E1082" i="20"/>
  <c r="EO43" i="6"/>
  <c r="EQ37" i="6"/>
  <c r="CE43" i="6"/>
  <c r="DH61" i="6"/>
  <c r="AX61" i="6"/>
  <c r="CI29" i="6"/>
  <c r="AE61" i="6"/>
  <c r="AZ61" i="6"/>
  <c r="BB22" i="6"/>
  <c r="BD22" i="6"/>
  <c r="BY61" i="6"/>
  <c r="CB61" i="6"/>
  <c r="CG16" i="6"/>
  <c r="CY61" i="6"/>
  <c r="H767" i="20"/>
  <c r="H781" i="20"/>
  <c r="DI29" i="6"/>
  <c r="I779" i="20"/>
  <c r="EP16" i="6"/>
  <c r="BM61" i="6"/>
  <c r="BV61" i="6"/>
  <c r="CL61" i="6"/>
  <c r="H772" i="20"/>
  <c r="H779" i="20"/>
  <c r="DN61" i="6"/>
  <c r="CX61" i="6"/>
  <c r="I781" i="20"/>
  <c r="ET20" i="6"/>
  <c r="I780" i="20"/>
  <c r="K780" i="20" s="1"/>
  <c r="ET13" i="6"/>
  <c r="J779" i="20"/>
  <c r="EN23" i="6"/>
  <c r="EO30" i="6"/>
  <c r="AF16" i="6"/>
  <c r="BZ61" i="6"/>
  <c r="ET27" i="6"/>
  <c r="J781" i="20"/>
  <c r="DL22" i="6"/>
  <c r="DM59" i="6"/>
  <c r="ET34" i="6"/>
  <c r="J782" i="20"/>
  <c r="G1351" i="20"/>
  <c r="G1354" i="20"/>
  <c r="G1357" i="20"/>
  <c r="G1365" i="20"/>
  <c r="G1368" i="20"/>
  <c r="G1350" i="20"/>
  <c r="G1358" i="20"/>
  <c r="G1361" i="20"/>
  <c r="G1364" i="20"/>
  <c r="G1372" i="20"/>
  <c r="G1375" i="20"/>
  <c r="G1385" i="20"/>
  <c r="DM50" i="6"/>
  <c r="DM29" i="6"/>
  <c r="BC26" i="6"/>
  <c r="BE26" i="6"/>
  <c r="EV26" i="6" s="1"/>
  <c r="ES47" i="6"/>
  <c r="ET53" i="6"/>
  <c r="ES51" i="6"/>
  <c r="AF59" i="6"/>
  <c r="BK59" i="6"/>
  <c r="BK61" i="6" s="1"/>
  <c r="BB39" i="6"/>
  <c r="BD14" i="6"/>
  <c r="BA50" i="6"/>
  <c r="BB15" i="6"/>
  <c r="CW30" i="6"/>
  <c r="ES36" i="6"/>
  <c r="CP61" i="6"/>
  <c r="F1386" i="20"/>
  <c r="CH18" i="6"/>
  <c r="CH23" i="6" s="1"/>
  <c r="BD49" i="6"/>
  <c r="BD51" i="6" s="1"/>
  <c r="BD36" i="6"/>
  <c r="AQ37" i="6"/>
  <c r="AL19" i="6"/>
  <c r="BC19" i="6" s="1"/>
  <c r="BE12" i="6"/>
  <c r="EV12" i="6" s="1"/>
  <c r="BB42" i="6"/>
  <c r="EU13" i="6"/>
  <c r="EV55" i="6"/>
  <c r="CG62" i="6"/>
  <c r="F1079" i="20"/>
  <c r="CW16" i="6"/>
  <c r="DI46" i="6"/>
  <c r="DI51" i="6" s="1"/>
  <c r="CW59" i="6"/>
  <c r="ET52" i="6"/>
  <c r="ET41" i="6"/>
  <c r="EN44" i="6"/>
  <c r="H776" i="20"/>
  <c r="CW60" i="6"/>
  <c r="ES45" i="6"/>
  <c r="CI59" i="6"/>
  <c r="CE14" i="6"/>
  <c r="AU23" i="6"/>
  <c r="AU44" i="6"/>
  <c r="BK23" i="6"/>
  <c r="BA39" i="6"/>
  <c r="BA44" i="6" s="1"/>
  <c r="AS60" i="6"/>
  <c r="AY61" i="6"/>
  <c r="EO44" i="6"/>
  <c r="EP51" i="6"/>
  <c r="EP58" i="6"/>
  <c r="AA61" i="6"/>
  <c r="BB26" i="6"/>
  <c r="CH57" i="6"/>
  <c r="CG57" i="6"/>
  <c r="CG60" i="6"/>
  <c r="CW51" i="6"/>
  <c r="F1084" i="20"/>
  <c r="H768" i="20"/>
  <c r="ET40" i="6"/>
  <c r="ET39" i="6"/>
  <c r="CF18" i="6"/>
  <c r="CF23" i="6" s="1"/>
  <c r="BA18" i="6"/>
  <c r="BA23" i="6" s="1"/>
  <c r="BE22" i="6"/>
  <c r="EQ58" i="6"/>
  <c r="DI58" i="6"/>
  <c r="DL12" i="6"/>
  <c r="ET12" i="6" s="1"/>
  <c r="DM43" i="6"/>
  <c r="DL43" i="6"/>
  <c r="ET17" i="6"/>
  <c r="BC14" i="6"/>
  <c r="AF30" i="6"/>
  <c r="AC61" i="6"/>
  <c r="BE46" i="6"/>
  <c r="BE51" i="6" s="1"/>
  <c r="BE36" i="6"/>
  <c r="BA49" i="6"/>
  <c r="BA51" i="6" s="1"/>
  <c r="BB28" i="6"/>
  <c r="AF44" i="6"/>
  <c r="AS16" i="6"/>
  <c r="BB49" i="6"/>
  <c r="BB51" i="6" s="1"/>
  <c r="BE57" i="6"/>
  <c r="CW23" i="6"/>
  <c r="DI22" i="6"/>
  <c r="ES26" i="6"/>
  <c r="DL42" i="6"/>
  <c r="DL36" i="6"/>
  <c r="DL11" i="6"/>
  <c r="AS30" i="6"/>
  <c r="BC54" i="6"/>
  <c r="AF51" i="6"/>
  <c r="AF37" i="6"/>
  <c r="BD42" i="6"/>
  <c r="AS59" i="6"/>
  <c r="BD57" i="6"/>
  <c r="CI36" i="6"/>
  <c r="CH50" i="6"/>
  <c r="DI25" i="6"/>
  <c r="DI30" i="6" s="1"/>
  <c r="ES55" i="6"/>
  <c r="ES33" i="6"/>
  <c r="ES35" i="6"/>
  <c r="DM37" i="6"/>
  <c r="ES43" i="6"/>
  <c r="ES22" i="6"/>
  <c r="AL42" i="6"/>
  <c r="BE42" i="6" s="1"/>
  <c r="AJ56" i="6"/>
  <c r="AJ58" i="6" s="1"/>
  <c r="AH58" i="6"/>
  <c r="DM16" i="6"/>
  <c r="EV33" i="6"/>
  <c r="BE25" i="6"/>
  <c r="EQ23" i="6"/>
  <c r="BE14" i="6"/>
  <c r="AH44" i="6"/>
  <c r="AJ39" i="6"/>
  <c r="BC18" i="6"/>
  <c r="EV40" i="6"/>
  <c r="EU40" i="6"/>
  <c r="AJ28" i="6"/>
  <c r="EU17" i="6"/>
  <c r="BD12" i="6"/>
  <c r="V61" i="6"/>
  <c r="BB12" i="6"/>
  <c r="EO51" i="6"/>
  <c r="EV54" i="6"/>
  <c r="EU54" i="6"/>
  <c r="AJ21" i="6"/>
  <c r="AH60" i="6"/>
  <c r="AJ49" i="6"/>
  <c r="AL49" i="6" s="1"/>
  <c r="AL51" i="6" s="1"/>
  <c r="AH37" i="6"/>
  <c r="AJ32" i="6"/>
  <c r="AL53" i="6"/>
  <c r="BE53" i="6" s="1"/>
  <c r="BB25" i="6"/>
  <c r="AL47" i="6"/>
  <c r="BC47" i="6" s="1"/>
  <c r="H766" i="20"/>
  <c r="DM49" i="6"/>
  <c r="DM42" i="6"/>
  <c r="DM30" i="6"/>
  <c r="EV13" i="6"/>
  <c r="H773" i="20"/>
  <c r="BD25" i="6"/>
  <c r="DM15" i="6"/>
  <c r="EU24" i="6"/>
  <c r="EU34" i="6"/>
  <c r="EU38" i="6"/>
  <c r="EU55" i="6"/>
  <c r="BC33" i="6"/>
  <c r="G27" i="6"/>
  <c r="EV27" i="6" s="1"/>
  <c r="G34" i="6"/>
  <c r="G24" i="6"/>
  <c r="DI36" i="6"/>
  <c r="DM56" i="6"/>
  <c r="DM36" i="6"/>
  <c r="EU20" i="6"/>
  <c r="DM21" i="6"/>
  <c r="EU27" i="6"/>
  <c r="EU31" i="6"/>
  <c r="EU41" i="6"/>
  <c r="ES57" i="6"/>
  <c r="K813" i="20" l="1"/>
  <c r="K812" i="20"/>
  <c r="K811" i="20"/>
  <c r="K809" i="20"/>
  <c r="DI60" i="6"/>
  <c r="CH16" i="6"/>
  <c r="G1421" i="20"/>
  <c r="G22" i="6"/>
  <c r="EV22" i="6" s="1"/>
  <c r="H805" i="20"/>
  <c r="H812" i="20"/>
  <c r="E1424" i="20"/>
  <c r="G1424" i="20" s="1"/>
  <c r="E1118" i="20"/>
  <c r="E1116" i="20"/>
  <c r="E1115" i="20"/>
  <c r="DJ59" i="6"/>
  <c r="E1114" i="20"/>
  <c r="E1113" i="20"/>
  <c r="EV20" i="6"/>
  <c r="CF16" i="6"/>
  <c r="G1414" i="20"/>
  <c r="BC11" i="6"/>
  <c r="K802" i="20"/>
  <c r="K806" i="20"/>
  <c r="ES11" i="6"/>
  <c r="DI37" i="6"/>
  <c r="G1417" i="20"/>
  <c r="K805" i="20"/>
  <c r="K803" i="20"/>
  <c r="K804" i="20"/>
  <c r="CH60" i="6"/>
  <c r="G1386" i="20"/>
  <c r="ES23" i="6"/>
  <c r="K796" i="20"/>
  <c r="DI44" i="6"/>
  <c r="K798" i="20"/>
  <c r="AH16" i="6"/>
  <c r="AH59" i="6"/>
  <c r="AH61" i="6" s="1"/>
  <c r="G1410" i="20"/>
  <c r="K795" i="20"/>
  <c r="AJ16" i="6"/>
  <c r="CE59" i="6"/>
  <c r="EV57" i="6"/>
  <c r="K799" i="20"/>
  <c r="G45" i="6"/>
  <c r="BE11" i="6"/>
  <c r="G11" i="6" s="1"/>
  <c r="EV11" i="6" s="1"/>
  <c r="K797" i="20"/>
  <c r="DI23" i="6"/>
  <c r="ES16" i="6"/>
  <c r="H784" i="20"/>
  <c r="E1078" i="20"/>
  <c r="ET11" i="6"/>
  <c r="K790" i="20"/>
  <c r="DI59" i="6"/>
  <c r="EU43" i="6"/>
  <c r="EU46" i="6"/>
  <c r="ET57" i="6"/>
  <c r="EU29" i="6"/>
  <c r="CE60" i="6"/>
  <c r="CI61" i="6"/>
  <c r="G1400" i="20"/>
  <c r="EU51" i="6"/>
  <c r="ET28" i="6"/>
  <c r="K789" i="20"/>
  <c r="EU22" i="6"/>
  <c r="K782" i="20"/>
  <c r="K792" i="20"/>
  <c r="CF59" i="6"/>
  <c r="BD44" i="6"/>
  <c r="CF60" i="6"/>
  <c r="E1403" i="20"/>
  <c r="G1403" i="20" s="1"/>
  <c r="E1097" i="20"/>
  <c r="H791" i="20"/>
  <c r="K791" i="20"/>
  <c r="EV43" i="6"/>
  <c r="G36" i="6"/>
  <c r="EV36" i="6" s="1"/>
  <c r="E1095" i="20"/>
  <c r="CG61" i="6"/>
  <c r="K781" i="20"/>
  <c r="K788" i="20"/>
  <c r="E1094" i="20"/>
  <c r="E1092" i="20"/>
  <c r="E1093" i="20"/>
  <c r="K783" i="20"/>
  <c r="K784" i="20"/>
  <c r="G42" i="6"/>
  <c r="EV42" i="6" s="1"/>
  <c r="K785" i="20"/>
  <c r="DG60" i="6"/>
  <c r="DG61" i="6" s="1"/>
  <c r="ES44" i="6"/>
  <c r="ES42" i="6"/>
  <c r="BB30" i="6"/>
  <c r="EV53" i="6"/>
  <c r="EU53" i="6"/>
  <c r="CC60" i="6"/>
  <c r="CC61" i="6" s="1"/>
  <c r="EU33" i="6"/>
  <c r="BB60" i="6"/>
  <c r="ES29" i="6"/>
  <c r="AF61" i="6"/>
  <c r="AJ59" i="6"/>
  <c r="CH59" i="6"/>
  <c r="ET45" i="6"/>
  <c r="DL50" i="6"/>
  <c r="EU36" i="6"/>
  <c r="EU18" i="6"/>
  <c r="E1389" i="20"/>
  <c r="G1389" i="20" s="1"/>
  <c r="K779" i="20"/>
  <c r="DI16" i="6"/>
  <c r="AJ51" i="6"/>
  <c r="EU49" i="6"/>
  <c r="BC49" i="6"/>
  <c r="BD48" i="6" s="1"/>
  <c r="ET29" i="6"/>
  <c r="ES46" i="6"/>
  <c r="ES37" i="6"/>
  <c r="ET32" i="6"/>
  <c r="DL44" i="6"/>
  <c r="G35" i="6"/>
  <c r="EV35" i="6" s="1"/>
  <c r="BC42" i="6"/>
  <c r="ET43" i="6"/>
  <c r="CW61" i="6"/>
  <c r="BE19" i="6"/>
  <c r="EU19" i="6" s="1"/>
  <c r="G29" i="6"/>
  <c r="DL60" i="6"/>
  <c r="ET15" i="6"/>
  <c r="ET22" i="6"/>
  <c r="EU45" i="6"/>
  <c r="ET25" i="6"/>
  <c r="G18" i="6"/>
  <c r="ET49" i="6"/>
  <c r="ET42" i="6"/>
  <c r="ET36" i="6"/>
  <c r="EU12" i="6"/>
  <c r="BA60" i="6"/>
  <c r="ET35" i="6"/>
  <c r="BD60" i="6"/>
  <c r="BD16" i="6"/>
  <c r="ES18" i="6"/>
  <c r="BB44" i="6"/>
  <c r="AS61" i="6"/>
  <c r="BA59" i="6"/>
  <c r="E1079" i="20"/>
  <c r="EU35" i="6"/>
  <c r="DL23" i="6"/>
  <c r="ES30" i="6"/>
  <c r="ES25" i="6"/>
  <c r="ET18" i="6"/>
  <c r="EU26" i="6"/>
  <c r="H770" i="20"/>
  <c r="H777" i="20"/>
  <c r="DI50" i="6"/>
  <c r="EU57" i="6"/>
  <c r="DL30" i="6"/>
  <c r="E1080" i="20"/>
  <c r="DL59" i="6"/>
  <c r="CE16" i="6"/>
  <c r="DM60" i="6"/>
  <c r="DM44" i="6"/>
  <c r="EU42" i="6"/>
  <c r="AL21" i="6"/>
  <c r="BC21" i="6" s="1"/>
  <c r="BC23" i="6" s="1"/>
  <c r="AJ60" i="6"/>
  <c r="AL28" i="6"/>
  <c r="AL30" i="6" s="1"/>
  <c r="AL39" i="6"/>
  <c r="AL44" i="6" s="1"/>
  <c r="AJ44" i="6"/>
  <c r="BB59" i="6"/>
  <c r="ET56" i="6"/>
  <c r="DL16" i="6"/>
  <c r="E1081" i="20"/>
  <c r="DL37" i="6"/>
  <c r="EU15" i="6"/>
  <c r="EU25" i="6"/>
  <c r="G25" i="6"/>
  <c r="EU14" i="6"/>
  <c r="G14" i="6"/>
  <c r="EV14" i="6" s="1"/>
  <c r="DM23" i="6"/>
  <c r="ET21" i="6"/>
  <c r="BE47" i="6"/>
  <c r="BC16" i="6"/>
  <c r="DM51" i="6"/>
  <c r="E1083" i="20"/>
  <c r="DL51" i="6"/>
  <c r="G46" i="6"/>
  <c r="BC53" i="6"/>
  <c r="EV34" i="6"/>
  <c r="AJ23" i="6"/>
  <c r="EV49" i="6"/>
  <c r="BB6" i="6"/>
  <c r="AJ30" i="6"/>
  <c r="BD30" i="6"/>
  <c r="BD59" i="6"/>
  <c r="AL32" i="6"/>
  <c r="AJ37" i="6"/>
  <c r="EU11" i="6"/>
  <c r="BE16" i="6"/>
  <c r="ET46" i="6"/>
  <c r="ET14" i="6"/>
  <c r="AL56" i="6"/>
  <c r="BE56" i="6" s="1"/>
  <c r="DJ61" i="6" l="1"/>
  <c r="CH61" i="6"/>
  <c r="CE61" i="6"/>
  <c r="ET16" i="6"/>
  <c r="EU16" i="6"/>
  <c r="AJ61" i="6"/>
  <c r="CF61" i="6"/>
  <c r="BB61" i="6"/>
  <c r="BC51" i="6"/>
  <c r="DI61" i="6"/>
  <c r="EV18" i="6"/>
  <c r="ET50" i="6"/>
  <c r="BD50" i="6"/>
  <c r="BD61" i="6"/>
  <c r="BC39" i="6"/>
  <c r="BC44" i="6" s="1"/>
  <c r="ET37" i="6"/>
  <c r="EV19" i="6"/>
  <c r="DL61" i="6"/>
  <c r="ET30" i="6"/>
  <c r="DM61" i="6"/>
  <c r="ET44" i="6"/>
  <c r="ET23" i="6"/>
  <c r="G50" i="6"/>
  <c r="EV50" i="6" s="1"/>
  <c r="EV45" i="6"/>
  <c r="BE39" i="6"/>
  <c r="G39" i="6" s="1"/>
  <c r="G44" i="6" s="1"/>
  <c r="BA61" i="6"/>
  <c r="EU56" i="6"/>
  <c r="G56" i="6"/>
  <c r="EV56" i="6" s="1"/>
  <c r="BE58" i="6"/>
  <c r="AL37" i="6"/>
  <c r="AL59" i="6"/>
  <c r="BC32" i="6"/>
  <c r="AL58" i="6"/>
  <c r="EV47" i="6"/>
  <c r="EU47" i="6"/>
  <c r="G51" i="6"/>
  <c r="EV51" i="6" s="1"/>
  <c r="EV46" i="6"/>
  <c r="AL60" i="6"/>
  <c r="AL23" i="6"/>
  <c r="BE28" i="6"/>
  <c r="G28" i="6" s="1"/>
  <c r="G16" i="6"/>
  <c r="EV16" i="6" s="1"/>
  <c r="ET51" i="6"/>
  <c r="BE21" i="6"/>
  <c r="BC56" i="6"/>
  <c r="BC58" i="6" s="1"/>
  <c r="BE32" i="6"/>
  <c r="EV25" i="6"/>
  <c r="BC28" i="6"/>
  <c r="BC30" i="6" s="1"/>
  <c r="BE44" i="6" l="1"/>
  <c r="EU39" i="6"/>
  <c r="EV39" i="6"/>
  <c r="AL61" i="6"/>
  <c r="BC60" i="6"/>
  <c r="EU28" i="6"/>
  <c r="G30" i="6"/>
  <c r="BE30" i="6"/>
  <c r="EU30" i="6" s="1"/>
  <c r="BC37" i="6"/>
  <c r="BC59" i="6"/>
  <c r="EU21" i="6"/>
  <c r="G21" i="6"/>
  <c r="G23" i="6" s="1"/>
  <c r="BE23" i="6"/>
  <c r="BE60" i="6"/>
  <c r="EU32" i="6"/>
  <c r="BE37" i="6"/>
  <c r="G32" i="6"/>
  <c r="EV32" i="6" s="1"/>
  <c r="BE59" i="6"/>
  <c r="EU44" i="6" l="1"/>
  <c r="EV44" i="6"/>
  <c r="EU23" i="6"/>
  <c r="EV23" i="6"/>
  <c r="EU37" i="6"/>
  <c r="BC61" i="6"/>
  <c r="BE61" i="6"/>
  <c r="EV30" i="6"/>
  <c r="G37" i="6"/>
  <c r="EV37" i="6" s="1"/>
  <c r="EV21" i="6"/>
  <c r="EV28" i="6"/>
  <c r="G61" i="6" l="1"/>
  <c r="ES50" i="6"/>
  <c r="EU50" i="6"/>
  <c r="EU48" i="6" l="1"/>
  <c r="DJ48" i="6"/>
  <c r="ES48"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YULIED.PENARANDA</author>
  </authors>
  <commentList>
    <comment ref="M36" authorId="0" shapeId="0" xr:uid="{00000000-0006-0000-0200-000001000000}">
      <text>
        <r>
          <rPr>
            <b/>
            <sz val="9"/>
            <color rgb="FF000000"/>
            <rFont val="Tahoma"/>
            <family val="2"/>
          </rPr>
          <t xml:space="preserve">YULIED.PENARANDA:
</t>
        </r>
        <r>
          <rPr>
            <b/>
            <sz val="9"/>
            <color rgb="FF000000"/>
            <rFont val="Tahoma"/>
            <family val="2"/>
          </rPr>
          <t xml:space="preserve">
</t>
        </r>
        <r>
          <rPr>
            <sz val="9"/>
            <color rgb="FF000000"/>
            <rFont val="Tahoma"/>
            <family val="2"/>
          </rPr>
          <t>Verificar ya que es 11</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YULIED.PENARANDA</author>
  </authors>
  <commentList>
    <comment ref="A4" authorId="0" shapeId="0" xr:uid="{00000000-0006-0000-0300-000001000000}">
      <text>
        <r>
          <rPr>
            <b/>
            <sz val="9"/>
            <color rgb="FF000000"/>
            <rFont val="Tahoma"/>
            <family val="2"/>
          </rPr>
          <t>YULIED.PENARANDA:</t>
        </r>
        <r>
          <rPr>
            <sz val="9"/>
            <color rgb="FF000000"/>
            <rFont val="Tahoma"/>
            <family val="2"/>
          </rPr>
          <t xml:space="preserve">
</t>
        </r>
        <r>
          <rPr>
            <sz val="9"/>
            <color rgb="FF000000"/>
            <rFont val="Tahoma"/>
            <family val="2"/>
          </rPr>
          <t>Describir el nombre completo de la oficina, dirección o subdirección que gerencia el proyecto de inversión.</t>
        </r>
      </text>
    </comment>
    <comment ref="A5" authorId="0" shapeId="0" xr:uid="{00000000-0006-0000-0300-000002000000}">
      <text>
        <r>
          <rPr>
            <b/>
            <sz val="9"/>
            <color rgb="FF000000"/>
            <rFont val="Tahoma"/>
            <family val="2"/>
          </rPr>
          <t>YULIED.PENARANDA:</t>
        </r>
        <r>
          <rPr>
            <sz val="9"/>
            <color rgb="FF000000"/>
            <rFont val="Tahoma"/>
            <family val="2"/>
          </rPr>
          <t xml:space="preserve">
</t>
        </r>
        <r>
          <rPr>
            <sz val="9"/>
            <color rgb="FF000000"/>
            <rFont val="Tahoma"/>
            <family val="2"/>
          </rPr>
          <t xml:space="preserve">Describir el número y nombre completo del proyecto de inversión. </t>
        </r>
      </text>
    </comment>
    <comment ref="A387" authorId="0" shapeId="0" xr:uid="{00000000-0006-0000-0300-000003000000}">
      <text>
        <r>
          <rPr>
            <b/>
            <sz val="9"/>
            <color rgb="FF000000"/>
            <rFont val="Tahoma"/>
            <family val="2"/>
          </rPr>
          <t>YULIED.PENARANDA:</t>
        </r>
        <r>
          <rPr>
            <sz val="9"/>
            <color rgb="FF000000"/>
            <rFont val="Tahoma"/>
            <family val="2"/>
          </rPr>
          <t xml:space="preserve">
</t>
        </r>
        <r>
          <rPr>
            <sz val="9"/>
            <color rgb="FF000000"/>
            <rFont val="Tahoma"/>
            <family val="2"/>
          </rPr>
          <t>Corresponde a la información en firme de cada vigencia fiscal.</t>
        </r>
      </text>
    </comment>
    <comment ref="A388" authorId="0" shapeId="0" xr:uid="{00000000-0006-0000-0300-000004000000}">
      <text>
        <r>
          <rPr>
            <b/>
            <sz val="9"/>
            <color rgb="FF000000"/>
            <rFont val="Tahoma"/>
            <family val="2"/>
          </rPr>
          <t>YULIED.PENARANDA:</t>
        </r>
        <r>
          <rPr>
            <sz val="9"/>
            <color rgb="FF000000"/>
            <rFont val="Tahoma"/>
            <family val="2"/>
          </rPr>
          <t xml:space="preserve">
</t>
        </r>
        <r>
          <rPr>
            <sz val="9"/>
            <color rgb="FF000000"/>
            <rFont val="Tahoma"/>
            <family val="2"/>
          </rPr>
          <t>Vigencia a reportar</t>
        </r>
      </text>
    </comment>
    <comment ref="C388" authorId="0" shapeId="0" xr:uid="{00000000-0006-0000-0300-000005000000}">
      <text>
        <r>
          <rPr>
            <b/>
            <sz val="9"/>
            <color rgb="FF000000"/>
            <rFont val="Tahoma"/>
            <family val="2"/>
          </rPr>
          <t>YULIED.PENARANDA:</t>
        </r>
        <r>
          <rPr>
            <sz val="9"/>
            <color rgb="FF000000"/>
            <rFont val="Tahoma"/>
            <family val="2"/>
          </rPr>
          <t xml:space="preserve">
</t>
        </r>
        <r>
          <rPr>
            <sz val="9"/>
            <color rgb="FF000000"/>
            <rFont val="Tahoma"/>
            <family val="2"/>
          </rPr>
          <t>Apropiación inicial acorde con la herramienta oficial de la SDH</t>
        </r>
      </text>
    </comment>
    <comment ref="D388" authorId="0" shapeId="0" xr:uid="{00000000-0006-0000-0300-000006000000}">
      <text>
        <r>
          <rPr>
            <b/>
            <sz val="9"/>
            <color rgb="FF000000"/>
            <rFont val="Tahoma"/>
            <family val="2"/>
          </rPr>
          <t>YULIED.PENARANDA:</t>
        </r>
        <r>
          <rPr>
            <sz val="9"/>
            <color rgb="FF000000"/>
            <rFont val="Tahoma"/>
            <family val="2"/>
          </rPr>
          <t xml:space="preserve">
</t>
        </r>
        <r>
          <rPr>
            <sz val="9"/>
            <color rgb="FF000000"/>
            <rFont val="Tahoma"/>
            <family val="2"/>
          </rPr>
          <t>Apropiación inicial + 0 - movimientos positivos y/o negativos, con este valor se proyecta los compromisos</t>
        </r>
      </text>
    </comment>
    <comment ref="E388" authorId="0" shapeId="0" xr:uid="{00000000-0006-0000-0300-000007000000}">
      <text>
        <r>
          <rPr>
            <b/>
            <sz val="9"/>
            <color rgb="FF000000"/>
            <rFont val="Tahoma"/>
            <family val="2"/>
          </rPr>
          <t>YULIED.PENARANDA:</t>
        </r>
        <r>
          <rPr>
            <sz val="9"/>
            <color rgb="FF000000"/>
            <rFont val="Tahoma"/>
            <family val="2"/>
          </rPr>
          <t xml:space="preserve">
</t>
        </r>
        <r>
          <rPr>
            <sz val="9"/>
            <color rgb="FF000000"/>
            <rFont val="Tahoma"/>
            <family val="2"/>
          </rPr>
          <t>Valores contenidos en los Registros Presupuestales de Compromisos</t>
        </r>
      </text>
    </comment>
    <comment ref="F388" authorId="0" shapeId="0" xr:uid="{00000000-0006-0000-0300-000008000000}">
      <text>
        <r>
          <rPr>
            <b/>
            <sz val="9"/>
            <color rgb="FF000000"/>
            <rFont val="Tahoma"/>
            <family val="2"/>
          </rPr>
          <t>YULIED.PENARANDA:</t>
        </r>
        <r>
          <rPr>
            <sz val="9"/>
            <color rgb="FF000000"/>
            <rFont val="Tahoma"/>
            <family val="2"/>
          </rPr>
          <t xml:space="preserve">
</t>
        </r>
        <r>
          <rPr>
            <sz val="9"/>
            <color rgb="FF000000"/>
            <rFont val="Tahoma"/>
            <family val="2"/>
          </rPr>
          <t xml:space="preserve">Corresponde al pago </t>
        </r>
      </text>
    </comment>
    <comment ref="G388" authorId="0" shapeId="0" xr:uid="{00000000-0006-0000-0300-000009000000}">
      <text>
        <r>
          <rPr>
            <b/>
            <sz val="9"/>
            <color indexed="81"/>
            <rFont val="Tahoma"/>
            <family val="2"/>
          </rPr>
          <t>YULIED.PENARANDA:</t>
        </r>
        <r>
          <rPr>
            <sz val="9"/>
            <color indexed="81"/>
            <rFont val="Tahoma"/>
            <family val="2"/>
          </rPr>
          <t xml:space="preserve">
Extinción de la obligación a cargo de la SDA.</t>
        </r>
      </text>
    </comment>
  </commentList>
</comments>
</file>

<file path=xl/sharedStrings.xml><?xml version="1.0" encoding="utf-8"?>
<sst xmlns="http://schemas.openxmlformats.org/spreadsheetml/2006/main" count="4993" uniqueCount="795">
  <si>
    <t>DEPENDENCIA:</t>
  </si>
  <si>
    <t>Programa Plan de Desarrollo</t>
  </si>
  <si>
    <t>CÓDIGO Y NOMBRE PROYECTO:</t>
  </si>
  <si>
    <t>PRESUPUESTO VIGENCIA</t>
  </si>
  <si>
    <t>RESERVA PRESUPUESTAL</t>
  </si>
  <si>
    <t>TOTAL PROYECTO</t>
  </si>
  <si>
    <t>Ene</t>
  </si>
  <si>
    <t>Feb</t>
  </si>
  <si>
    <t>Mar</t>
  </si>
  <si>
    <t>Abr</t>
  </si>
  <si>
    <t>May</t>
  </si>
  <si>
    <t>Jun</t>
  </si>
  <si>
    <t>Jul</t>
  </si>
  <si>
    <t>Ago</t>
  </si>
  <si>
    <t>Sep</t>
  </si>
  <si>
    <t>Oct</t>
  </si>
  <si>
    <t>Nov</t>
  </si>
  <si>
    <t>Dic</t>
  </si>
  <si>
    <t>Total</t>
  </si>
  <si>
    <t>Programado</t>
  </si>
  <si>
    <t>Ejecutado</t>
  </si>
  <si>
    <t>TOTALES - PROYECTO</t>
  </si>
  <si>
    <t>1, LÍNEA DE ACCIÓN</t>
  </si>
  <si>
    <t>2, META DE PROYECTO</t>
  </si>
  <si>
    <t>4, SE EJECUTA CON RECURSOS DE:</t>
  </si>
  <si>
    <t>4,1 VIGENCIA</t>
  </si>
  <si>
    <t>4,2 RESERVA</t>
  </si>
  <si>
    <t>VARIABLES</t>
  </si>
  <si>
    <t xml:space="preserve">6,PONDERACIÓN VERTICAL </t>
  </si>
  <si>
    <t>6,1 META</t>
  </si>
  <si>
    <t>6,2 ACTIVIDAD</t>
  </si>
  <si>
    <t>TOTAL PRESUPUESTO</t>
  </si>
  <si>
    <t>TOTALES Rec. Reservas</t>
  </si>
  <si>
    <t>TOTALES Rec. Vigencia</t>
  </si>
  <si>
    <t>CONTROL DE CAMBIOS</t>
  </si>
  <si>
    <t>Versión</t>
  </si>
  <si>
    <t xml:space="preserve">Descripción de la Modificación </t>
  </si>
  <si>
    <t>No. Acto Administrativo y fecha</t>
  </si>
  <si>
    <t>DIRECCIONAMIENTO ESTRATÉGICO</t>
  </si>
  <si>
    <t>Codigo:PE01-PR02-F2</t>
  </si>
  <si>
    <t>MAGNITUD  FÍSICA</t>
  </si>
  <si>
    <t>MAGNITUD FÍSICA RESERVAS</t>
  </si>
  <si>
    <t>TOTAL MAGNITUD FÍSICA</t>
  </si>
  <si>
    <t>TOTAL PRESUPUESTO VIGENCIA  DEL PROYECTO</t>
  </si>
  <si>
    <t>TOTAL PRESUPUESTO DE LA META</t>
  </si>
  <si>
    <t>TOTAL RESERVA PRESUPUESTAL DEL PROYECTO</t>
  </si>
  <si>
    <t>TOTAL PROYECTO VIGENCIA + RESERVAS</t>
  </si>
  <si>
    <t>Código: PE01-PR02-F2</t>
  </si>
  <si>
    <t>AÑO 2020</t>
  </si>
  <si>
    <t>AÑO 2021</t>
  </si>
  <si>
    <r>
      <t xml:space="preserve">EJECUTADO </t>
    </r>
    <r>
      <rPr>
        <b/>
        <sz val="12"/>
        <rFont val="Arial"/>
        <family val="2"/>
      </rPr>
      <t>NOV.</t>
    </r>
  </si>
  <si>
    <r>
      <t xml:space="preserve">EJECUTADO </t>
    </r>
    <r>
      <rPr>
        <b/>
        <sz val="12"/>
        <rFont val="Arial"/>
        <family val="2"/>
      </rPr>
      <t>ENE.</t>
    </r>
  </si>
  <si>
    <r>
      <t xml:space="preserve">EJECUTADO </t>
    </r>
    <r>
      <rPr>
        <b/>
        <sz val="12"/>
        <rFont val="Arial"/>
        <family val="2"/>
      </rPr>
      <t>FEB.</t>
    </r>
  </si>
  <si>
    <r>
      <t xml:space="preserve">EJECUTADO </t>
    </r>
    <r>
      <rPr>
        <b/>
        <sz val="12"/>
        <rFont val="Arial"/>
        <family val="2"/>
      </rPr>
      <t>MAR.</t>
    </r>
  </si>
  <si>
    <r>
      <t xml:space="preserve">EJECUTADO </t>
    </r>
    <r>
      <rPr>
        <b/>
        <sz val="12"/>
        <rFont val="Arial"/>
        <family val="2"/>
      </rPr>
      <t>ABR.</t>
    </r>
  </si>
  <si>
    <t>Propósito Plan de Desarrollo</t>
  </si>
  <si>
    <r>
      <t xml:space="preserve">EJECUTADO  </t>
    </r>
    <r>
      <rPr>
        <b/>
        <sz val="12"/>
        <rFont val="Arial"/>
        <family val="2"/>
      </rPr>
      <t>MAY.</t>
    </r>
  </si>
  <si>
    <r>
      <t xml:space="preserve">EJECUTADO  </t>
    </r>
    <r>
      <rPr>
        <b/>
        <sz val="12"/>
        <rFont val="Arial"/>
        <family val="2"/>
      </rPr>
      <t>JUL.</t>
    </r>
  </si>
  <si>
    <r>
      <t xml:space="preserve">EJECUTADO  </t>
    </r>
    <r>
      <rPr>
        <b/>
        <sz val="12"/>
        <rFont val="Arial"/>
        <family val="2"/>
      </rPr>
      <t>AGO.</t>
    </r>
  </si>
  <si>
    <r>
      <t xml:space="preserve">EJECUTADO  </t>
    </r>
    <r>
      <rPr>
        <b/>
        <sz val="12"/>
        <rFont val="Arial"/>
        <family val="2"/>
      </rPr>
      <t>SEP</t>
    </r>
    <r>
      <rPr>
        <sz val="12"/>
        <rFont val="Arial"/>
        <family val="2"/>
      </rPr>
      <t>.</t>
    </r>
  </si>
  <si>
    <r>
      <t xml:space="preserve">EJECUTADO  </t>
    </r>
    <r>
      <rPr>
        <b/>
        <sz val="12"/>
        <rFont val="Arial"/>
        <family val="2"/>
      </rPr>
      <t>OCT</t>
    </r>
    <r>
      <rPr>
        <sz val="12"/>
        <rFont val="Arial"/>
        <family val="2"/>
      </rPr>
      <t>.</t>
    </r>
  </si>
  <si>
    <t>AÑO 2022</t>
  </si>
  <si>
    <t>AÑO 2023</t>
  </si>
  <si>
    <t>AÑO 2024</t>
  </si>
  <si>
    <t xml:space="preserve"> AÑO 2020</t>
  </si>
  <si>
    <t>Observaciones</t>
  </si>
  <si>
    <t>Observaciones y/o descripcion de acciones en el punto de inversión</t>
  </si>
  <si>
    <t>10. POBLACIÓN</t>
  </si>
  <si>
    <t>3, CÓDIGO Y NOMBRE DE LA ACTIVIDAD</t>
  </si>
  <si>
    <t>1. ESTRUCTURA DEL PLAN DE DESARROLLO</t>
  </si>
  <si>
    <t>1.1.1. Propósito</t>
  </si>
  <si>
    <t>1.1.2. Programa</t>
  </si>
  <si>
    <t>1.1.3. COD.</t>
  </si>
  <si>
    <t>1.1.4.  META PLAN DE DESARROLLO</t>
  </si>
  <si>
    <t>1.1.5. COD.</t>
  </si>
  <si>
    <t>1.1.6. INDICADOR</t>
  </si>
  <si>
    <t>1.1.7.UNIDAD DE MEDIDA</t>
  </si>
  <si>
    <t>1.1.8. TIPOLOGÍA</t>
  </si>
  <si>
    <t>1.1.9. MAGNITUD PD</t>
  </si>
  <si>
    <t>1.1. META PLAN DE DESARROLLO</t>
  </si>
  <si>
    <t>Radicado 2020IE191541 del 29 de octubre de 2020</t>
  </si>
  <si>
    <t>1,1 LÍNEA DE ACCIÓN</t>
  </si>
  <si>
    <t>1,2 COD.</t>
  </si>
  <si>
    <t>1,3 META</t>
  </si>
  <si>
    <t>1,4 TIPOLOGÍA</t>
  </si>
  <si>
    <t>1,5 COD. META PDD A QUE SE ASOCIA META PROY</t>
  </si>
  <si>
    <t>1,6, VARIABLE REQUERIDA</t>
  </si>
  <si>
    <t>1,7, VALOR   CUATRIENIO</t>
  </si>
  <si>
    <t>1,  INFORMACIÓN META DE PROYECTO</t>
  </si>
  <si>
    <t>Se crea hoja de SPI</t>
  </si>
  <si>
    <t>1 INFORMACIÓN META DE PROYECTO</t>
  </si>
  <si>
    <t>1,1 COD. META</t>
  </si>
  <si>
    <t>1,2, Meta Proyecto</t>
  </si>
  <si>
    <t>1,3. Identificación del punto de invesión</t>
  </si>
  <si>
    <t>1,4, Variable</t>
  </si>
  <si>
    <t>1.6.REPROGRAMACIÓN VIGENCIA</t>
  </si>
  <si>
    <t xml:space="preserve">2, ACTUALIZACIÓN </t>
  </si>
  <si>
    <t>3,EJECUTADO</t>
  </si>
  <si>
    <t>4, LOCALIZACIÓN GEOGRÁFICA</t>
  </si>
  <si>
    <t>4,1 LOCALIDAD(ES)</t>
  </si>
  <si>
    <t>4.2 UPZ(S)</t>
  </si>
  <si>
    <t>4,3 BARRIO(S)</t>
  </si>
  <si>
    <t>4,4 GEORREFERENCIACIÓN</t>
  </si>
  <si>
    <t>4,5 ÁREA DE INFLUENCIA E INCIDENCIA</t>
  </si>
  <si>
    <t>5, ORIENTACIÓN</t>
  </si>
  <si>
    <t>5,1 POLÍGONO DE MEJORAMIENTO INTEGRAL</t>
  </si>
  <si>
    <t>5,2 POLÍTICA</t>
  </si>
  <si>
    <t>6.1 POBLACIÓN RELACIONADA A LA LOCALIZACIÓN</t>
  </si>
  <si>
    <t>6.2 NÚMERO DE HOMBRES</t>
  </si>
  <si>
    <t>6.3 NÚMERO DE MUJERES</t>
  </si>
  <si>
    <t xml:space="preserve">6.4 NÚMERO INTERSEXUAL </t>
  </si>
  <si>
    <t>6.5  GRUPO ETARIO</t>
  </si>
  <si>
    <t>6.6  NÚMERO PERSONAS POR GRUPO ETARIO</t>
  </si>
  <si>
    <t>6.7  CONDICION POBLACIONAL</t>
  </si>
  <si>
    <t>6.8 NUMERO PERSONAS POR CONDICIÓN POBLACIONAL</t>
  </si>
  <si>
    <t>6.9  GRUPOS ETNICOS</t>
  </si>
  <si>
    <t>6.10 NÚMERO DE PERSONAS POR GRUPOS ETNICOS</t>
  </si>
  <si>
    <t>6.11  SEGUIMIENTO A LA POBLACIÓN
PERSONAS/CANTIDAD</t>
  </si>
  <si>
    <t>7, LECCIONES APRENDIDAS - OBSERVACIONES</t>
  </si>
  <si>
    <t>Formato: Programación, Atualización y Seguimiento  al Sistema de Información de Seguimiento a los Proyectos de Inversión Pública -SPI</t>
  </si>
  <si>
    <t>I PRESUPUESTAL VIGENCIA 2020</t>
  </si>
  <si>
    <t>FUENTE</t>
  </si>
  <si>
    <t>APROPIACION INICIAL</t>
  </si>
  <si>
    <t>APROPIACION VIGENTE</t>
  </si>
  <si>
    <t>COMPROMISOS</t>
  </si>
  <si>
    <t xml:space="preserve">OBLIGACIÓN </t>
  </si>
  <si>
    <t>PAGO</t>
  </si>
  <si>
    <t>%PAGO</t>
  </si>
  <si>
    <t>JULIO</t>
  </si>
  <si>
    <t>AGOSTO</t>
  </si>
  <si>
    <t>SEPTIEMBRE</t>
  </si>
  <si>
    <t>OCTUBRE</t>
  </si>
  <si>
    <t>NOVIEMBRE</t>
  </si>
  <si>
    <t>DICIEMBRE</t>
  </si>
  <si>
    <t>I PRESUPUESTAL VIGENCIA 2021</t>
  </si>
  <si>
    <t>ENERO</t>
  </si>
  <si>
    <t>FEBRERO</t>
  </si>
  <si>
    <t>MARZO</t>
  </si>
  <si>
    <t>ABRIL</t>
  </si>
  <si>
    <t>MAYO</t>
  </si>
  <si>
    <t>JUNIO</t>
  </si>
  <si>
    <t>I PRESUPUESTAL VIGENCIA 2022</t>
  </si>
  <si>
    <t>I PRESUPUESTAL VIGENCIA 2023</t>
  </si>
  <si>
    <t>II PRODUCTO (FÍSICO) VIGENCIA 2020</t>
  </si>
  <si>
    <t xml:space="preserve">OBJETIVO ESPECÍFICO </t>
  </si>
  <si>
    <t>PRODUCTO MGA</t>
  </si>
  <si>
    <t>INDICADOR DE PRODUCTO</t>
  </si>
  <si>
    <t>UNIDAD DE MEDIDA</t>
  </si>
  <si>
    <t>% PESO 2020</t>
  </si>
  <si>
    <t>META TOTAL PROYECTO 2000-2024</t>
  </si>
  <si>
    <t>META VIGENCIA  2020</t>
  </si>
  <si>
    <t>META REZAGADA</t>
  </si>
  <si>
    <t>AVANCE REZAGADO</t>
  </si>
  <si>
    <t>%AVANCE RESERVA</t>
  </si>
  <si>
    <t>OBSERVACIÓN MENSUAL (200 Caracteres)</t>
  </si>
  <si>
    <t>% PESO 2021</t>
  </si>
  <si>
    <t>META VIGENCIA  2021</t>
  </si>
  <si>
    <t>II PRODUCTO (FÍSICO) VIGENCIA 2022</t>
  </si>
  <si>
    <t>% PESO 2022</t>
  </si>
  <si>
    <t>META VIGENCIA  2022</t>
  </si>
  <si>
    <t>II PRODUCTO (FÍSICO) VIGENCIA 2023</t>
  </si>
  <si>
    <t>% PESO 2023</t>
  </si>
  <si>
    <t>META VIGENCIA  2023</t>
  </si>
  <si>
    <t>III ACTIVIDADES SUIFT (PRESUPUESTO) VIGENCIA 2020</t>
  </si>
  <si>
    <t>ACTIVIDAD (SUIFT) META (SEGPLAN)</t>
  </si>
  <si>
    <t>PRESUPUESTO VIGENCIA SUIFP 2020</t>
  </si>
  <si>
    <t>PRESUPUESTO
OBLIGADO (GIRADO) 2020</t>
  </si>
  <si>
    <t>Observación mensual (200 Caracteres)</t>
  </si>
  <si>
    <t>III ACTIVIDADES SUIFT (PRESUPUESTO) VIGENCIA 2021</t>
  </si>
  <si>
    <t>PRESUPUESTO VIGENCIA SUIFP 2021</t>
  </si>
  <si>
    <t>PRESUPUESTO
OBLIGADO (GIRADO) 2021</t>
  </si>
  <si>
    <t>III ACTIVIDADES SUIFT (PRESUPUESTO) VIGENCIA 2023</t>
  </si>
  <si>
    <t>PRESUPUESTO VIGENCIA SUIFP 2023</t>
  </si>
  <si>
    <t>PRESUPUESTO
OBLIGADO (GIRADO) 2023</t>
  </si>
  <si>
    <t>IV GESTIÓN  (FÍSICO) VIGENCIA 2020</t>
  </si>
  <si>
    <t>DESCRIPCIÓN DEL INDICADORES DE GESTIÓN</t>
  </si>
  <si>
    <t>META VIGENCIA 2020</t>
  </si>
  <si>
    <t>AVANCE META VIGENCIA 2020</t>
  </si>
  <si>
    <t>% AVANCE META VIGENCIA 2020</t>
  </si>
  <si>
    <t>IV GESTIÓN  (FÍSICO) VIGENCIA 2022</t>
  </si>
  <si>
    <t>META VIGENCIA 2022</t>
  </si>
  <si>
    <t>AVANCE META VIGENCIA 2022</t>
  </si>
  <si>
    <t>% AVANCE META VIGENCIA 2022</t>
  </si>
  <si>
    <t>IV GESTIÓN  (FÍSICO) VIGENCIA 2023</t>
  </si>
  <si>
    <t>META VIGENCIA 2023</t>
  </si>
  <si>
    <t>AVANCE META VIGENCIA 2023</t>
  </si>
  <si>
    <t>% AVANCE META VIGENCIA 2023</t>
  </si>
  <si>
    <t>12-OTROS DISTRITO</t>
  </si>
  <si>
    <t>IV GESTIÓN  (FÍSICO) VIGENCIA 2021</t>
  </si>
  <si>
    <t>II PRODUCTO (FÍSICO) VIGENCIA 2021</t>
  </si>
  <si>
    <t>META VIGENCIA 2021</t>
  </si>
  <si>
    <t>AVANCE META VIGENCIA 2021</t>
  </si>
  <si>
    <t>% AVANCE META VIGENCIA 2021</t>
  </si>
  <si>
    <r>
      <t xml:space="preserve">PROGRAMADO </t>
    </r>
    <r>
      <rPr>
        <b/>
        <sz val="12"/>
        <rFont val="Arial"/>
        <family val="2"/>
      </rPr>
      <t>ENE.</t>
    </r>
  </si>
  <si>
    <r>
      <t>PROGRAMADO</t>
    </r>
    <r>
      <rPr>
        <b/>
        <sz val="12"/>
        <rFont val="Arial"/>
        <family val="2"/>
      </rPr>
      <t xml:space="preserve"> FEB.</t>
    </r>
  </si>
  <si>
    <r>
      <t xml:space="preserve">PROGRAMADO </t>
    </r>
    <r>
      <rPr>
        <b/>
        <sz val="12"/>
        <rFont val="Arial"/>
        <family val="2"/>
      </rPr>
      <t>MAR.</t>
    </r>
  </si>
  <si>
    <r>
      <t xml:space="preserve">PROGRAMADO </t>
    </r>
    <r>
      <rPr>
        <b/>
        <sz val="12"/>
        <rFont val="Arial"/>
        <family val="2"/>
      </rPr>
      <t>ABR.</t>
    </r>
  </si>
  <si>
    <r>
      <t xml:space="preserve">PROGRAMADO </t>
    </r>
    <r>
      <rPr>
        <b/>
        <sz val="12"/>
        <rFont val="Arial"/>
        <family val="2"/>
      </rPr>
      <t>MAY.</t>
    </r>
  </si>
  <si>
    <r>
      <t>PROGRAMADO</t>
    </r>
    <r>
      <rPr>
        <b/>
        <sz val="12"/>
        <rFont val="Arial"/>
        <family val="2"/>
      </rPr>
      <t xml:space="preserve"> JUN.</t>
    </r>
  </si>
  <si>
    <r>
      <t>PROGRAMADO</t>
    </r>
    <r>
      <rPr>
        <b/>
        <sz val="12"/>
        <rFont val="Arial"/>
        <family val="2"/>
      </rPr>
      <t xml:space="preserve"> JUL.</t>
    </r>
  </si>
  <si>
    <r>
      <t xml:space="preserve">PROGRAMADO </t>
    </r>
    <r>
      <rPr>
        <b/>
        <sz val="12"/>
        <rFont val="Arial"/>
        <family val="2"/>
      </rPr>
      <t>AGO.</t>
    </r>
  </si>
  <si>
    <r>
      <t xml:space="preserve">PROGRAMADO </t>
    </r>
    <r>
      <rPr>
        <b/>
        <sz val="12"/>
        <rFont val="Arial"/>
        <family val="2"/>
      </rPr>
      <t>SEP.</t>
    </r>
  </si>
  <si>
    <r>
      <t>PROGRAMADO</t>
    </r>
    <r>
      <rPr>
        <b/>
        <sz val="12"/>
        <rFont val="Arial"/>
        <family val="2"/>
      </rPr>
      <t xml:space="preserve"> OCT.</t>
    </r>
  </si>
  <si>
    <r>
      <t xml:space="preserve">PROGRAMADO </t>
    </r>
    <r>
      <rPr>
        <b/>
        <sz val="12"/>
        <rFont val="Arial"/>
        <family val="2"/>
      </rPr>
      <t>NOV.</t>
    </r>
  </si>
  <si>
    <r>
      <t xml:space="preserve">PROGRAMADO  </t>
    </r>
    <r>
      <rPr>
        <b/>
        <sz val="12"/>
        <rFont val="Arial"/>
        <family val="2"/>
      </rPr>
      <t>DIC.</t>
    </r>
  </si>
  <si>
    <t>GIRO VIGENCIA</t>
  </si>
  <si>
    <t>PROGRAMADO VALOR ABSOLUTO VIGENCIA</t>
  </si>
  <si>
    <r>
      <t xml:space="preserve">EJECUTADO </t>
    </r>
    <r>
      <rPr>
        <b/>
        <sz val="12"/>
        <rFont val="Arial"/>
        <family val="2"/>
      </rPr>
      <t>JUN.</t>
    </r>
  </si>
  <si>
    <r>
      <t xml:space="preserve">EJECUTADO </t>
    </r>
    <r>
      <rPr>
        <b/>
        <sz val="12"/>
        <rFont val="Arial"/>
        <family val="2"/>
      </rPr>
      <t>DIC.</t>
    </r>
  </si>
  <si>
    <t>3, % CUMPLIMIENTO 
(En el periodo)</t>
  </si>
  <si>
    <t>4, % CUMPLIMIENTO ACUMULADO (al periodo)</t>
  </si>
  <si>
    <t>5, % CUMPLIMIENTO ACUMULADO (Vigencia) SEGPLAN</t>
  </si>
  <si>
    <t>PROGRAMADO ACUMULADO AL PERIODO
AÑO 2022</t>
  </si>
  <si>
    <t>EJECUTADO ACUMUALDO AL PERIODO
 AÑO 2022</t>
  </si>
  <si>
    <t>PROGRAMADO ACUMULADO SEGPLAN
AÑO 2022</t>
  </si>
  <si>
    <t>EJECUTADO ACUMUALDO  SEGPLAN
 AÑO 2022</t>
  </si>
  <si>
    <t>2, PROGRAMACIÓN Y EJECUCIÓN</t>
  </si>
  <si>
    <t>2. PROGRAMACIÓN Y EJECUCIÓN</t>
  </si>
  <si>
    <t>PROGRAMADO ACUMULADO AL PERIODO
AÑO 2023</t>
  </si>
  <si>
    <t>EJECUTADO ACUMUALDO AL PERIODO
 AÑO 2023</t>
  </si>
  <si>
    <t>PROGRAMADO ACUMULADO SEGPLAN
AÑO 2023</t>
  </si>
  <si>
    <t>EJECUTADO ACUMUALDO  SEGPLAN
 AÑO 2023</t>
  </si>
  <si>
    <t>PROGRAMADO ACUMULADO AL PERIODO
AÑO 2024</t>
  </si>
  <si>
    <t>EJECUTADO ACUMUALDO AL PERIODO
 AÑO 2024</t>
  </si>
  <si>
    <t>PROGRAMADO ACUMULADO SEGPLAN
AÑO 2024</t>
  </si>
  <si>
    <t>EJECUTADO ACUMUALDO  SEGPLAN
 AÑO 2024</t>
  </si>
  <si>
    <r>
      <t xml:space="preserve">REPROGRAMACIÓN </t>
    </r>
    <r>
      <rPr>
        <b/>
        <sz val="12"/>
        <rFont val="Arial"/>
        <family val="2"/>
      </rPr>
      <t>VIGENCIA 
(VALOR INICIAL)</t>
    </r>
  </si>
  <si>
    <r>
      <t>Versión:</t>
    </r>
    <r>
      <rPr>
        <b/>
        <sz val="20"/>
        <color rgb="FFFF0000"/>
        <rFont val="Arial"/>
        <family val="2"/>
      </rPr>
      <t xml:space="preserve"> </t>
    </r>
    <r>
      <rPr>
        <b/>
        <sz val="20"/>
        <rFont val="Arial"/>
        <family val="2"/>
      </rPr>
      <t>14</t>
    </r>
  </si>
  <si>
    <t>Versión : 14</t>
  </si>
  <si>
    <t xml:space="preserve"> Versión : 14</t>
  </si>
  <si>
    <t>PROGRAMADO ACUMULADO SEGPLAN
AÑO 2021</t>
  </si>
  <si>
    <t>EJECUTADO ACUMUALDO AL PERIODO
 AÑO 2021</t>
  </si>
  <si>
    <t>PROGRAMADO ACUMULADO AL PERIODO
AÑO 2021</t>
  </si>
  <si>
    <t>7 ,% DE AVANCE CUATRIENIO</t>
  </si>
  <si>
    <t>8, DESCRIPCIÓN DE LOS AVANCES Y LOGROS ALCANZADOS</t>
  </si>
  <si>
    <t xml:space="preserve">9, RETRASOS 
</t>
  </si>
  <si>
    <t xml:space="preserve">10, SOLUCIONES PLANTEADAS </t>
  </si>
  <si>
    <t>12, FUENTE DE EVIDENCIAS</t>
  </si>
  <si>
    <t>11,  BENEFICIOS O RESULTADOS A LA POBLACIÓN</t>
  </si>
  <si>
    <t>PROGRAMADO ACUMULADO AL PERIODO
AÑO 2020</t>
  </si>
  <si>
    <t>EJECUTADO ACUMUALDO AL PERIODO
 AÑO 2020</t>
  </si>
  <si>
    <t>PROGRAMADO ACUMULADO SEGPLAN
AÑO 2020</t>
  </si>
  <si>
    <t>EJECUTADO ACUMUALDO  SEGPLAN
 AÑO 2020</t>
  </si>
  <si>
    <t>Formato: Programación, Actualización y Seguimiento del Plan de Acción -  Componente de gestión</t>
  </si>
  <si>
    <t>Formato: Programación, Actualización y Seguimiento del Plan de Acción -Componente de Inversión</t>
  </si>
  <si>
    <t>Formato: Programación, Actualización y Seguimiento del Plan de Acción - Componente de Actividades</t>
  </si>
  <si>
    <t>Versión: 14</t>
  </si>
  <si>
    <t>Se agregan  en el componente de gestión y de inversión nuevas columnas para establecer más patrones de medición</t>
  </si>
  <si>
    <t xml:space="preserve">Subdirección de Calidad del Aire, Auditiva y Visual																																																																																																																																							</t>
  </si>
  <si>
    <t xml:space="preserve">7778 - Control a los factores de deterioro de calidad del aire, acústica y visual del Distrito Capital. Bogotá																																																																																																																																							</t>
  </si>
  <si>
    <t xml:space="preserve">02 Cambiar nuestros hábitos de vida para reverdecer a Bogotá y adaptarnos y mitigar la crisis																																																																																																																																							</t>
  </si>
  <si>
    <t xml:space="preserve">35 Manejo y prevención de contaminación																																																																																																																																							</t>
  </si>
  <si>
    <t>Realizar 4.000 acciones de seguimiento y control sobre los elementos de publicidad exterior visual instalados en las zonas con mayor densidad.</t>
  </si>
  <si>
    <t>Número de Acciones de Seguimiento realizadas</t>
  </si>
  <si>
    <t>Numero</t>
  </si>
  <si>
    <t>Suma</t>
  </si>
  <si>
    <t>Realizar 4.700 acciones de seguimiento y control de emisión de ruido a los establecimientos de comercio, industria y servicio ubicados en el perímetro urbano del DC.</t>
  </si>
  <si>
    <t>Realizar el 100% de las acciones para operar, mantener y ampliar la red de monitoreo de ruido ambiental de Bogotá para la identificación de la población urbana afectada por ruido en el Distrito.</t>
  </si>
  <si>
    <t>Porcentaje de acciones  de operación, mantenimiento y monitoreo de la red de ruido realizadas</t>
  </si>
  <si>
    <t>%</t>
  </si>
  <si>
    <t>Constante</t>
  </si>
  <si>
    <t>Reducir en el 10% como promedio ponderado ciudad, la concentración de material particulado PM10 y PM2.5, mediante la implementación del Plan de Gestión Integral de Calidad de Aire</t>
  </si>
  <si>
    <t>Concentración promedio ponderado de ciudad de material particulado PM10.</t>
  </si>
  <si>
    <t>ug/m3</t>
  </si>
  <si>
    <t>Decreciente</t>
  </si>
  <si>
    <t>-</t>
  </si>
  <si>
    <t>( - )</t>
  </si>
  <si>
    <t>REPROGRAMACIÓN VIGENCIA 
(VALOR INICIAL)</t>
  </si>
  <si>
    <t>PROGRAMADO JUN.</t>
  </si>
  <si>
    <t>EJECUTADO JUN.</t>
  </si>
  <si>
    <t>PROGRAMADO JUL.</t>
  </si>
  <si>
    <t>EJECUTADO  JUL.</t>
  </si>
  <si>
    <t>PROGRAMADO AGO.</t>
  </si>
  <si>
    <t>EJECUTADO  AGO.</t>
  </si>
  <si>
    <t>PROGRAMADO SEP.</t>
  </si>
  <si>
    <t>EJECUTADO  SEP.</t>
  </si>
  <si>
    <t>PROGRAMADO OCT.</t>
  </si>
  <si>
    <t>EJECUTADO  OCT.</t>
  </si>
  <si>
    <t>PROGRAMADO NOV.</t>
  </si>
  <si>
    <t>EJECUTADO NOV.</t>
  </si>
  <si>
    <t>PROGRAMADO  DIC.</t>
  </si>
  <si>
    <t>EJECUTADO DIC.</t>
  </si>
  <si>
    <t>PROGRAMADO ENE.</t>
  </si>
  <si>
    <t>EJECUTADO ENE.</t>
  </si>
  <si>
    <t>PROGRAMADO FEB.</t>
  </si>
  <si>
    <t>EJECUTADO FEB.</t>
  </si>
  <si>
    <t>PROGRAMADO MAR.</t>
  </si>
  <si>
    <t>EJECUTADO MAR.</t>
  </si>
  <si>
    <t>PROGRAMADO ABR.</t>
  </si>
  <si>
    <t>EJECUTADO ABR.</t>
  </si>
  <si>
    <t>PROGRAMADO MAY.</t>
  </si>
  <si>
    <t>EJECUTADO  MAY.</t>
  </si>
  <si>
    <t>Aire</t>
  </si>
  <si>
    <t xml:space="preserve">Ruido
</t>
  </si>
  <si>
    <t xml:space="preserve">Red de Ruido
</t>
  </si>
  <si>
    <t>Visual</t>
  </si>
  <si>
    <t>Realizar el 100% de las acciones para operar, mantener y ampliar la red de monitoreo de calidad del aire.</t>
  </si>
  <si>
    <t xml:space="preserve">Realizar 4.700 acciones de evaluación, seguimiento y control de emisión de ruido a los establecimientos de comercio, industria y servicio ubicados en el perímetro urbano del D.C.
</t>
  </si>
  <si>
    <t xml:space="preserve">Realizar el 100% de las acciones para operar, mantener y ampliar la Red de Monitoreo de Ruido Ambiental de Bogotá para la identificación de la población urbana afectada por ruido en el distrito.
</t>
  </si>
  <si>
    <t xml:space="preserve">Atender el 100% de los conceptos técnicos que recomiendan actuaciones administrativas sancionatorias durante la vigencia para mejorar la eficiencia del proceso sancionatorio ambiental.
</t>
  </si>
  <si>
    <t xml:space="preserve">Constante
</t>
  </si>
  <si>
    <t>100%%</t>
  </si>
  <si>
    <t xml:space="preserve">Subdirección de Calidad del Aire, Auditiva y Visual		</t>
  </si>
  <si>
    <t xml:space="preserve">7778 - Control a los factores de deterioro de calidad del aire, acústica y visual del Distrito Capital. Bogotá		</t>
  </si>
  <si>
    <t>Realizar el 100% de las acciones para operar, mantener y ampliar la red de monitoreo de calidad del aire</t>
  </si>
  <si>
    <t>X</t>
  </si>
  <si>
    <t>Ruido</t>
  </si>
  <si>
    <t>Red de Ruido</t>
  </si>
  <si>
    <t>Realizar el 100% de las acciones para operar, mantener y ampliar la Red de Monitoreo de Ruido Ambiental de Bogotá para la identificación de la población urbana afectada por ruido en el distrito.</t>
  </si>
  <si>
    <t>Atender el 100% de los conceptos técnicos que recomiendan actuaciones administrativas sancionatorias durante la vigencia para mejorar la eficiencia del proceso sancionatorio ambiental</t>
  </si>
  <si>
    <t>Bogotá D.C. Nota: El Plan de Gestión Integral de Calidad del Aire se encuentra enmarcado en las acciones de monitoreo, control y gestión a la calidad del aire, las cuales serán realizadas conjuntamente como ciudad en el marco del desarrollo de gobernanza, es decir que las estrategias, planes y proyectos estarán orientados al cumplimiento de la meta de reducir el 10% promedio ponderado de Material Partículado PM10 y PM2.5 para la ciudad. Como instrumento de planeación aplica para la ciudad y no cuenta con un diferenciador por localidad, sino como eje articulador de acciones que se desarrollen para mejorar la calidad del aire de la ciudad.</t>
  </si>
  <si>
    <t>Todas las Localidades (19).</t>
  </si>
  <si>
    <t>N.A</t>
  </si>
  <si>
    <t>Guaymaral	GYR	4°47'1.52"N	74°2'39.06"W
Usaquén	USQ	4°42'37.26"N	74°1'49.50"W
Suba	SUB	4°45'40.49"N	74° 5'36.46"W
Bolivia	BOL	4°44'9.12"N	74°7'33.18"W
Las Ferias	LFR	4°41'26.52"N	74°4'56.94"W
Centro de Alto Rendimiento	CDAR	4°39'30.48"N	74°5'2.28"W
Estación Móvil 7ma	MOV	4°38'32.75"N	74°5'2.28"W
MinAmbiente	MAM	4°37'31.75"N	74°4'1.13"W
Fontibón	FTB	4°40'41.67"N	74°8'37.75"W
Puente Aranda	PTE	4°37'54.36"N	74°7'2.94"W
Kennedy	KEN	4°37'30.18"N	74°9'40.80"W
Carvajal - Sevillana	CSE	4°35'44.22"N	74°8'54.90"W
Tunal	TUN	4°34'34.41"N	74°7'51.44"W
San Cristóbal	SCR	4°34'21.19"N	74°5'1.73"W
El Jazmín	JAZ	4°36'30.6"N 	74°06'53.8"W
Usme 	USM	4°31'55.4"N 	74°07'01.7"W
Bosa	BOS	4°36'20.2"N 	74°12'14.6"W
Ciudad Bolívar	CBV	4°34'40.1"N 	74°09'58.6"W
Colina	COL	4°44'14.1"N 	74°04'10.0"W
Móvil Fontibón	MOV2	4°40'03.7"N 	74°08'55.9"W</t>
  </si>
  <si>
    <t>DISTRITO CAPITAL</t>
  </si>
  <si>
    <t>Formular 29 documentos técnicos de formulación, seguimiento o evaluación de la gestión integral de la calidad del aire de Bogotá</t>
  </si>
  <si>
    <t>Realizar 8 informes de acciones de evaluación, control y seguimiento a fuentes fijas y fuentes móviles incluidos centros de diagnóstico automotor que operan en el distrito capital.</t>
  </si>
  <si>
    <t>Realizar 4.700 acciones de evaluación, seguimiento y control de emisión de ruido a los establecimientos de comercio, industria y servicio ubicados en el perímetro urbano del D.C.</t>
  </si>
  <si>
    <t xml:space="preserve">Bogotá D.C. Nota: La ejecución y cumplimiento de la meta del Proyecto de Inversión, se desarrolla sobre el Distrito Capital toda vez que su acción de evaluación, control y seguimiento no se delimitan a una o varias zonas especificas, la medición, impacto y resultados generados se aplican a nivel ciudad. </t>
  </si>
  <si>
    <t>1	CAI La Aurora	4,520859002	-74,122551	USME	UPZ57	GRAN YOMASA	Carrera 14L No. 71-03 Sur
2	CAI 20 De Julio	4,572536002	-74,092696	SAN CRISTOBAL	UPZ34	20 DE JULIO	calle 20 a sur No. 6A-46
3	CAI Ciudad Berna	4,582926002	-74,090467	ANTONIO NARIÑO	UPZ35	CIUDAD JARDIN	Calle 11 sur No. 10-03
4	CAI Claret	4,583737001	-74,127257	RAFAEL URIBE URIBE	UPZ39	QUIROGA	Calle 44 No. 27-50 Sur
5	Antonio Nariño	4,584800787	-74,10007024	ANTONIO NARIÃ‘O	UPZ38	RESTREPO	Calle 17 sur No. 16-91
6	CAI Venecia	4,589745001	-74,138379	TUNJUELITO	UPZ42	VENECIA	 Transv 44 No. 50G-00 Sur
7	CAI San Victorino	4,601214002	-74,081783	LOS MARTIRES	UPZ102	LA SABANA	Avenida Caracas con Calle 10
8	CAI Tejar	4,609127001	-74,128176	PUENTE ARANDA	UPZ40	CIUDAD MONTES	Avenida Carrera 68 con Avenida 1 de Mayo
9	CAI Caldas	4,632131001	-74,154017	KENNEDY	UPZ46	CASTILLA	Diagonal 38 sur Carrera 80
10	Edificio Marly	4,637504515	-74,06424644	CHAPINERO	UPZ99	CHAPINERO	Carrera 9 No. 50-60
11	Secretaria Distrital de Ambiente	4,641740007	-74,06575488	CHAPINERO	UPZ99	CHAPINERO	Avenida caracas No. 54-38
12	CAI Galerías	4,641821001	-74,07461	TEUSAQUILLO	UPZ100	GALERIAS	Calle 53 No. 25-01
13	CAI Siete De Agosto	4,658550001	-74,077148	BARRIOS UNIDOS	UPZ98	LOS ALCAZARES	Carrera 30 con Calle 64
14	CAI Modelia	4,664866001	-74,118697	FONTIBON	UPZ114	MODELIA	Carrera 74 No. 24-22
15	Estación Policía Fontibón	4,667842705	-74,14854885	FONTIBON	UPZ75	FONTIBON	Carrera 98 No. 16B-50
16	Jardín Botánico	4,668859017	-74,09874723	ENGATIVA	UPZ105	JARDIN BOTANICO	Calle 63 No. 68-95
17	Hotel Morrison	4,669047548	-74,05441343	CHAPINERO	UPZ97	CHICO LAGO	Calle 84 Bis No. 13-54
18	Estación Policía Santa Cecilia	4,669752341	-74,11901859	FONTIBON	UPZ114	MODELIA	Carrera 81 No. 24D-75
19	Cruz Roja Colombiana	4,673240542	-74,08914905	ENGATIVA	UPZ26	LAS FERIAS	Carrera 68 No. 68B-31
20	Alcaldía Local de Fontibón	4,673435455	-74,14407712	FONTIBON	UPZ75	FONTIBON	Carrera 99 No. 19-43
21	CAI Villa Luz	4,681289001	-74,107361	ENGATIVA	UPZ31	SANTA CECILIA	Carrera 77A No. 64C-26
22	CAI Álamos	4,690443001	-74,117244	ENGATIVA	UPZ116	ALAMOS	Transversal 93 No. 64G-00
23	CAI Navarra	4,695576001	-74,055263	USAQUEN	UPZ16	SANTA BARBARA	Autopista Norte No. 108A-60
24	Edificio Ejecutivo Plaza	4,699811326	-74,05065773	USAQUEN	UPZ16	SANTA BARBARA	Carrera 19A No. 118-13
25	CAI Villa Nidia	4,737773001	-74,022585	USAQUEN	UPZ11	SAN CRISTOBAL NORTE	Calle 163 No. 6A-25
26	CAI Villa Del Prado	4,753339688	-74,04699756	SUBA	UPZ17	SAN JOSE DE BAVARIA	Calle 172 con Autopista Norte</t>
  </si>
  <si>
    <t>Bogotá D.C.</t>
  </si>
  <si>
    <t>*Disminución de la afectación paisajística originada por la sobreexposición de elementos publicitarios en Bogotá a través de la pedagogía y las actuaciones administrativas y jurídicas sobre los presuntos infractores.
*Legalización de la publicidad exterior visual en la ciudad.</t>
  </si>
  <si>
    <t>Las metas planteadas, implican la evaluación, control y seguimiento a fuentes de emisión de ruido, para así, identificar aquellas zonas donde las actividades de comercio, industria o servicio están impactando de forma negativa las condiciones acústicas del sector donde se desarrollan, de esta forma, perjudicando la calidad de vida de la comunidad circunvecina, esta identificación debe permitir que la gestión para el mejoramiento del bienestar, la salud y calidad de vida de los ciudadanos en el D.C sea más efectiva por todos los actores involucrados en la problemática ambiental del ruido, esto en el entendido que el compromiso frente al fomento de la calidad acústica del Distrito, depende de todos los generadores de emisiones, por medio del cumplimiento normativo ambiental vigente, que se traduce en una mejor calidad de vida para los ciudadanos.</t>
  </si>
  <si>
    <t>La correcta operación de la Red de Ruido de Bogotá, permiten una mejor cobertura del monitoreo de niveles de ruido ambiental, así como la identificación de zonas con fuentes sonoras de alto impacto con las cuales se establecen los insumos para la identificación de la población afectada por ruido en el Distrito.</t>
  </si>
  <si>
    <t>Mantener las condiciones ambientales atmosféricas de la ciudad, de acuerdo con la norma nacional de calidad del aire con el objetivo de mejorar las condiciones de vida de la población de la ciudad.</t>
  </si>
  <si>
    <t xml:space="preserve">Realizar 8 informes de acciones de evaluación, control y seguimiento a fuentes fijas y fuentes móviles incluidos centros de diagnóstico automotor que operan en el distrito capital.
</t>
  </si>
  <si>
    <t>En el marco de la gestión integral de la calidad del aire de Bogotá, hasta la fecha (Junio-2021) se ha venido trabajando en el desarrollo de 3 documentos técnicos, los cuales son: 1. Documento técnico de Plan Aire con sus respectivos anexos y el Decreto del Plan Aire, en el cual se realizaron los ajustes relaciones a las observaciones dadas por la Secretaría Jurídica, el cual se encuentra en proceso de firma en el despacho de la Alcaldía de Bogotá. 2. Plan de Contingencia Distrital para la atención de episodios por condiciones desfavorables de calidad del aire en la ciudad, el cual recibió observaciones del IDIGER y en este momento se encuentran realizando las debidas correcciones, así mismo, se adelantó la Mesa Regional de Calidad del Aire con el propósito de conocer los procedimientos aplicados por la CAR para la atención de episodios de contaminación atmosférica y por último se entregan los avances de la metodología para la evaluación y ajuste de los intervalos del IBOCA. 3. Documento de modelación, el cual se entrega en su versión final para ser revisado y aprobado por parte del subdirector de calidad del aire y así pueda ser publicado.</t>
  </si>
  <si>
    <t>Subdirección de Calidad del Aire, Auditiva y Visual</t>
  </si>
  <si>
    <t>7778 - Control a los factores de deterioro de calidad del aire, acústica y visual del Distrito Capital. Bogotá</t>
  </si>
  <si>
    <t>META PROYECTO</t>
  </si>
  <si>
    <t>ATENDER EL 100% DE LOS CONCEPTOS TÉCNICOS QUE RECOMIENDAN ACTUACIONES ADMINISTRATIVAS SANCIONATORIAS DURANTE LA VIGENCIA PARA MEJORAR LA EFICIENCIA DEL PROCESO SANCIONATORIO AMBIENTAL.</t>
  </si>
  <si>
    <t>FORMULAR 29 DOCUMENTOS TÉCNICOS DE FORMULACIÓN, SEGUIMIENTO O EVALUACIÓN DE LA GESTIÓN INTEGRAL DE LA CALIDAD DEL AIRE DE BOGOTÁ</t>
  </si>
  <si>
    <t>74-RECURSOS PASIVOS EXIGIBLES OTROS DISTRITO</t>
  </si>
  <si>
    <t>REALIZAR 4.000 ACCIONES TÉCNICO-JURÍDICAS DE EVALUACIÓN, SEGUIMIENTO Y CONTROL SOBRE LOS ELEMENTOS DE PUBLICIDAD EXTERIOR VISUAL - PEV, INSTALADOS EN EL PERÍMETRO URBANO DEL D.C.</t>
  </si>
  <si>
    <t>492-MULTAS AMBIENTALES</t>
  </si>
  <si>
    <t>REALIZAR 4.700 ACCIONES DE EVALUACIÓN, SEGUIMIENTO Y CONTROL DE EMISIÓN DE RUIDO A LOS ESTABLECIMIENTOS DE COMERCIO, INDUSTRIA Y SERVICIO UBICADOS EN EL PERÍMETRO URBANO DEL D.C.</t>
  </si>
  <si>
    <t>152-RECURSOS PASIVOS MULTAS</t>
  </si>
  <si>
    <t>REALIZAR 8 INFORMES DE ACCIONES DE EVALUACIÓN, CONTROL Y SEGUIMIENTO A FUENTES FIJAS Y FUENTES MÓVILES INCLUIDOS CENTROS DE DIAGNÓSTICO AUTOMOTOR QUE OPERAN EN EL DISTRITO CAPITAL</t>
  </si>
  <si>
    <t>REALIZAR EL 100% DE ACCIONES PARA OPERAR, MANTENER Y AMPLIAR LA RED DE MONITOREO DE RUIDO AMBIENTAL DE BOGOTÁ PARA LA IDENTIFICACIÓN DE LA POBLACIÓN URBANA AFECTADA POR RUIDO EN EL DISTRITO.</t>
  </si>
  <si>
    <t>REALIZAR EL 100% DE LAS ACCIONES PARA OPERAR, MANTENER Y AMPLIAR LA RED DE MONITOREO DE CALIDAD DEL AIRE</t>
  </si>
  <si>
    <t>1-100-F001-VA-RECURSOS DISTRITO</t>
  </si>
  <si>
    <t>1-100-I073-VA-MULTAS AMBIENTALES</t>
  </si>
  <si>
    <t>1-200-I056-RB-MULTAS AMBIENTALES</t>
  </si>
  <si>
    <t>1.	Controlar y gestionar las emisiones contaminantes generadas por las diferentes fuentes de contaminación atmosférica.</t>
  </si>
  <si>
    <t>271-REDUCIR EN UN 10% COMO PROMEDIO PONDERADO CIUDAD, LA CONCENTRACIÓN DE MATERIAL PARTICULADO PM10 Y PM2.5, MEDIANTE LA IMPLEMENTACIÓN DEL PLAN DE GESTIÓN INTEGRAL DE LA CALIDAD DE AIRE.</t>
  </si>
  <si>
    <t>Porcentaje de reducción en la concentración
promedio ponderado del material partículado PM10 y PM2.5 en la ciudad</t>
  </si>
  <si>
    <t>Porcentaje</t>
  </si>
  <si>
    <t xml:space="preserve">Para el mes de julio de 2020, se remite el reporte de los mantenimientos preventivos y correctivos que se han realizado durante el mes, estos han sido ejecutados por los técnicos de campo. En el reporte se relaciona la fecha del mantenimiento, el No. de inventario, el nombre y la ubicación del equipo, la actividad que se realiza, el tipo de mantenimiento, el técnico responsable y la estación en la cual se realizó el mantenimiento. 
Por otro lado, se realizó la validación diaria de los datos de concentraciones de contaminantes criterio y parámetros meteorológicos que monitorea la RMCAB, se adjunta reporte de operatividad en el que se evidencia un 95,1% de los datos validos para el mes. 
Se realizó el análisis de datos del mes de junio de 2020 para plasmarlo en el informe de calidad del aire, se adjunta el documento de Excel en el que se evidencia el tratamiento de los datos. Asimismo, el equipo de la RMCAB en el mes de julio de 2020 elaboró y publicó el informe mensual de junio. Se adjunta copia de este.  </t>
  </si>
  <si>
    <t xml:space="preserve">No fueron programados avances para el mes de julio, la ejecución respectiva se realizará desde el mes de agosto </t>
  </si>
  <si>
    <t>Julio de 2020: Con el fin de construir el informe correspondiente al segundo semestre de 2020, se realizó intervención mediante actuaciones técnicas, atención a PQRs, visitas de control, acompañamientos entre otras actividades del sector de fuentes fijas, operativos de medición de seguimiento y control ambiental de emisiones a vehículos que transitan en el Distrito, visitas técnicas de auditoria  a centros de diagnóstico automotor del Distrito Capital y la caracterización de procedimientos vigentes correspondientes al control y seguimiento de fuentes móviles, con esta información se adelanta la construcción del informe de acciones de evaluación, control y seguimiento a las fuentes fijas y móviles.</t>
  </si>
  <si>
    <t>2.	Determinar las condiciones acústicas ambientales predominantes, que permitan   gestionar el mejoramiento del bienestar, la salud y calidad de vida de los ciudadanos en el D.C.</t>
  </si>
  <si>
    <t>269-REALIZAR 4.700 ACCIONES DE SEGUIMIENTO Y CONTROL DE EMISIÓN DE RUIDO A LOS ESTABLECIMIENTOS DE COMERCIO, INDUSTRIA Y SERVICIO UBICADOS EN EL PERÍMETRO URBANO DEL D.C.</t>
  </si>
  <si>
    <t>Número de acciones realizadas</t>
  </si>
  <si>
    <t>En cumplimiento a la meta plan de desarrollo planteada para el periodo de julio  2020, el área técnica de ruido realizó cinco (5) visitas técnicas, de las cuales una (1), corresponde a visita efectiva con medición, cuatro (4) visitas no efectivas por presencia de piso húmedo y/o presencia de lloviznas, las cuales, son objeto de reprogramación (articulo 20° Resolución 0627 de 2006) y tres (3) actuaciones técnicas correspondientes a otros documentos, dos (2) Conceptos Técnicos Aclaratorios y un (1) Concepto de Favorabilidad SUGA.  La Meta del proyecto de Inversión presenta avance en el mes de Julio, toda vez que las acciones realizadas se ejecutaron al comienzo del mes de Julio con personal contratado vigente desde el mes de marzo de 2020 y aun en el Plan de Desarrollo BMPT.</t>
  </si>
  <si>
    <t>3.	Fortalecer la cobertura de monitoreo de fuentes de emisión de ruido</t>
  </si>
  <si>
    <t>270-REALIZAR EL 100% DE LAS ACCIONES PARA OPERAR, MANTENER Y AMPLIAR LA RED DE MONITOREO DE RUIDO AMBIENTAL DE BOGOTÁ PARA LA IDENTIFICACIÓN DE LA POBLACIÓN URBANA AFECTADA POR RUIDO EN EL DISTRITO</t>
  </si>
  <si>
    <t>Porcentaje de acciones de operación,
mantenimiento y monitoreo de la red de ruido
realizadas</t>
  </si>
  <si>
    <t xml:space="preserve">Para el presente periodo, se programaron y realizaron visitas técnicas con la Empresa de Telecomunicaciones de Bogotá (ETB), para la instalación de tendido, configuración y puesta en marcha de servicio de internet por canal dedicado de las estaciones de la Red de Monitoreo de Ruido Ambiental de Bogotá (RMRAB) ubicadas en el CAI Berna, Jardín Botánico JCM, Cruz Roja Avenida 68, CAI Quirigua, CAI Las Ferias y CAI Normandía. 
Durante el presente periodo se diligencia y envía por correo electrónico matriz Inventario de equipos/ patrones/ material de referencia y programa de mantenimiento, calibración y verificación. </t>
  </si>
  <si>
    <t>4.	Reducir la saturación del paisaje urbano generada por los elementos de publicidad exterior visual ilegales.</t>
  </si>
  <si>
    <t>268-REALIZAR 4.000 ACCIONES DE SEGUIMIENTO Y CONTROL SOBRE LOS ELEMENTOS DE PUBLICIDAD EXTERIOR VISUAL - PEV, INSTALADOS EN LA ZONAS CON MAYOR DENSIDAD</t>
  </si>
  <si>
    <t>Número de acciones de seguimiento realizadas</t>
  </si>
  <si>
    <t>Se realizaron las siguientes actividades en cumplimiento de la meta
- Siete (7) operativos (5 Op. de sensibilización y 2 Op. de Control) - 87 establecimientos
- Cinco (5) visitas a elementos mayores (vallas tubulares): (3 visitas de evaluación y 2 visitas de control y seguimiento)
- Un (1) documento técnico: 1 Concepto técnico 
- Quince (15) visitas a elementos menores
- Cero (0) actuaciones técnicas de evaluación de elementos de publicidad de la vigencia.
La Meta del proyecto de Inversión presenta avance en el mes de Julio, toda vez que las acciones realizadas se ejecutaron al comienzo del mes de Julio con personal contratado vigente desde el mes de marzo de 2020 y aun en el Plan de Desarrollo BMPT.</t>
  </si>
  <si>
    <t>Durante julio, se atendió el 100% de los conceptos técnicos que recomendaron actuación administrativa sancionatoria, obteniendo el siguiente avance: 
Julio 2020:
N° de Conceptos Técnicos que recomiendan actuaciones administrativas sancionatorias: 13
N° de Conceptos Técnicos atendidos jurídicamente: 13
Total, avance meta julio 2020: 100 % 
Es importante aclarar que los avances en la magnitud de la meta están sujetos a la demanda de conceptos técnicos que genere el área técnica para ser acogidos jurídicamente; por lo tanto, el porcentaje de la magnitud programada es a 100% de conformidad con el volumen de conceptos recibidos durante el periodo.
La Meta del proyecto de Inversión presenta avance en el mes de Julio, toda vez que las actuaciones realizadas se ejecutaron al comienzo del mes de Julio con personal contratado vigente desde el mes de marzo de 2020 y aun en el Plan de Desarrollo BMPT.</t>
  </si>
  <si>
    <t xml:space="preserve">"Para el mes de julio, se realizó los mantenimientos preventivos y correctivos, se realizó la validación diaria de los datos de concentraciones de contaminantes criterio y parámetros meteorológicos que monitorea la RMCAB, el reporte de operatividad para el mes fue del 95,1%. Se realizó el análisis de datos del mes de junio para plasmarlo en el informe de calidad del aire. Asimismo, en el mes de julio de 2020 se elaboró y publicó el informe mensual de junio.
Para el mes de agosto, se realizó los mantenimientos preventivos y correctivos, se realizó la validación diaria de los datos de concentraciones de contaminantes criterio y parámetros meteorológicos que monitorea la RMCAB, el reporte de operatividad para el mes fue del 93,2%. Se realizó el análisis de datos del mes de julio para plasmarlo en el informe de calidad del aire, el informe mensual de julio se publicará a más tardar el 14 de septiembre, debido a los retrasos generados por la reducción de la capacidad operativa del personal durante la primera mitad de agosto."
</t>
  </si>
  <si>
    <t>En el marco de la gestión integral de la calidad del aire de Bogotá, se ha avanzado en la estructuración del contenido de 3 informes, los cuales son: 1. contenido en el cual se encuentra el cierre del PDDAB con los resultados respectivos de su implementación de 2010 a 2020, así como el contenido del plan estratégico para la gestión integral de la calidad del aire; 2. Definición del plan de trabajo con sus alcances teniendo en cuenta los 5 temas estratégicos definidos, avanzando en la concertación de las acciones relacionadas con las mesas de trabajo para la actualización del IBOCA y los lineamientos de protocolos de actuación con la mesa de expertos de calidad del aire, entre otras acciones relacionadas con la gestión de la calidad del aire; 3. Validación de datos e información de inventarios realizada para el Informe Anual de Calidad del Aire Año 2019, como estructura general del documento.</t>
  </si>
  <si>
    <t>Con el fin de construir el informe correspondiente al segundo semestre de 2020, se realizó intervención mediante la generación de actuaciones técnicas, producto de las visitas de Inspección Vigilancia, Control y Monitoreo generadas de la atención a PQRs,  y el ejercicio misional propio de la Entidad, mediante operativos internos, e interinstitucionales, acompañamientos a monitoreo de Fuentes Fijas de combustión externa y Fuentes Fijas de emisión por proceso así como operativos de medición en vía a vehículos que transitan en el Distrito Capital como parte del seguimiento y control ambiental a fuentes móviles, visitas técnicas de auditoria a Centros de Diagnóstico Automotor CDA'S  y la caracterización de procedimientos vigentes correspondientes al control y seguimiento de fuentes móviles.
Con esta información se adelanta la construcción del informe de acciones de evaluación, control y seguimiento a las fuentes fijas y móviles en el cual se reporta el avance de las actividades que desarrolla cada grupo, el cual habla de los objetivos la operatividad del grupo y los programas de autogestión aplicados durante la vigencia  semestre II 2020 teniendo en cuenta el control a los factores de deterioro ambiental  en pro de aportar a la meta plan de desarrollo de reducir en un 10% como promedio ponderado ciudad, la concentración de material partículado pm10 y pm2.5, mediante la implementación del plan de gestión integral de la calidad de aire. Alcanzando un 0.33% de la meta de gestión.</t>
  </si>
  <si>
    <t>En cumplimiento a la meta plan de desarrollo planteada para el periodo de julio  2020, el área técnica de ruido realizó cinco (5) visitas técnicas, de las cuales una (1), corresponde a visita efectiva con medición, cuatro (4) visitas no efectivas por presencia de piso húmedo y/o presencia de lloviznas, las cuales, son objeto de reprogramación (articulo 20° Resolución 0627 de 2006) y tres (3) actuaciones técnicas correspondientes a otros documentos, dos (2) Conceptos Técnicos Aclaratorios y un (1) Concepto de Favorabilidad SUGA.  
Agosto 2020, el área técnica de ruido realizó un total de 1 visita técnica, correspondientes a visita no efectiva, la cual es objeto de reprogramación. 6 actuaciones técnicas correspondientes a otros documentos así; 1 comunicación oficial externa sin visita para finalizar el caso, 1 oficio relacionado con una petición en el marco del SUGA, 1 presentación en ppt para una socialización a realizar en la Cámara de Comercio de Bogotá y 3 documentos técnicos relacionados con informes mensuales de las Acciones Populares que cursan en materia de ruido para un sector de las localidades de Bosa, Antonio Nariño y Teusaquillo. 
Así, el acumulado para el II semestre del 2020 es de: 6 visitas técnicas; 1 visita efectiva con medición, 5 visitas no efectivas objeto de reprogramación. 9 actuaciones técnicas correspondientes a otros documentos, dos 2 conceptos técnicos aclaratorios, dos 2 documentos relacionados con SUGA, 1 comunicación oficial externa para finalizar caso de presunta afectación por emisión de ruido, 1 presentación técnica enviada, vía correo electrónico, dirigida a la Cámara de Comercio de Bogotá y 3 informes mensuales para las Acciones Populares mencionadas previamente.</t>
  </si>
  <si>
    <t>Para el presente periodo, se programaron y realizaron visitas técnicas con la Empresa de Telecomunicaciones de Bogotá (ETB), para la instalación de tendido, configuración y puesta en marcha de servicio de internet por canal dedicado de las estaciones de la Red de Monitoreo de Ruido Ambiental de Bogotá (RMRAB) ubicadas en el CAI Las Ferias, CAI Quirigua y CAI Normandía. 
Asimismo, se participó en las reuniones de seguimiento programadas por los profesionales del laboratorio ambiental de la SDA – LABCIMAB, en donde se programa la presentación de plan de capacitaciones, proyección de matriz de equipos activos, cartas control y demás documentos necesarios para la acreditación en la matriz aire – ruido – ruido ambiental ante el IDEAM.</t>
  </si>
  <si>
    <t>Para la vigencia del Proyecto de Inversión se han realizado (46) acciones de evaluación, control y seguimiento:
            Trece (13) operativos de control y seguimiento, Nueve (09) visitas a elementos mayores, Un (1) documento técnico, Veintitrés (23)  visitas a elementos menores.
JULIO: Se realizaron veintiocho (28) actividades en cumplimiento de la meta
- Siete (7) operativos (5 Op. de sensibilización y 2 Op. de Control) - 87 establecimientos
- Cinco (5) visitas a elementos mayores (vallas tubulares)
- Un (1) documento técnico: 1 Concepto técnico 
- Quince (15) visitas a elementos menores
AGOSTO: se realizaron dieciocho (18) acciones en cumplimiento de la meta
- Seis (06) operativos (03 Op. de control y 03 Op. de sensibilización) - 45 establecimientos.
- Cuatro (04) visitas a elementos mayores (vallas tubulares).
- Ocho (08) visitas a elementos menores de PEV.
Nota: La información de evaluación a elementos de Publicidad Exterior Visual se reporta trimestralmente</t>
  </si>
  <si>
    <t>Para el cumplimiento de las regulaciones asociadas al control de los factores de deterioro de calidad del aire, acústica y visual del Distrito Capital, la Secretaría Distrital de Ambiente durante el mes de Agosto atendió el 100% de los conceptos técnicos que recomiendan una actuación administrativa sancionatoria, obteniendo el siguiente avance: 
Agosto 2020 
N° de Conceptos Técnicos que recomiendan actuaciones administrativas sancionatorias: 13 (Conceptos Técnicos No 6572, 7991, 569, 6322, 13400, 8356, 1360, 8126, 8784, 4927, 7458, 11323, 2092).  
N° de Conceptos Técnicos atendidos jurídicamente: 13 (AUTO N. AUTO DCA-02819-AUTO DCA-02820-AUTO DCA-02821-AUTO DCA-02822-AUTO DCA-02824-AUTO DCA-02861-AUTO DCA-02869-AUTO DCA 02878
AUTO DCA-02882-AUTO DCA-02883-AUTO DCA-02902-AUTO DCA-02903-AUTO DCA-02904)
Total, avance meta Agosto 2020: 100 % 
Por último, es importante tener presente que los avances en la magnitud de la meta están sujetos a la demanda de conceptos técnicos que remitan las áreas para ser acogidos jurídicamente; por lo tanto, el porcentaje de la magnitud programada corresponde al 100%.</t>
  </si>
  <si>
    <t>Para el mes de septiembre el porcentaje de cumplimiento para este indicador es del 100%, basado en: se realizó el reporte de los mantenimientos preventivos y correctivos que se realizaron en el mes, se realizó la validación diaria de los datos de concentraciones de contaminantes criterio y parámetros meteorológicos que monitorea la RMCAB, el reporte de operatividad para el mes de septiembre fue del 95,7%. (el cual es promedio de los datos validos de todos los parámetros de la red  que se genera a través del software Envista).
Se realizó el análisis de datos del mes de agosto de 2020 y del Trimestre abr-jun 2020. Asimismo, el equipo de la RMCAB en el mes de septiembre elaboró y publicó el informe mensual de agosto y el informe Trimestral abr-jun 2020, adicionalmente se publico el informe mensual de julio que estaba retrasado. Se mantiene el proceso de validación de los datos generados por las nuevas estaciones y los equipos, se solicito la activación de las estaciones nuevas (El Jazmín, Usme y Bosa) en el Envista Web. 
De acuerdo con la tipología constante de la meta se presenta un avance acumulado del 100% para la vigencia.</t>
  </si>
  <si>
    <t>En el marco de la gestión integral de la calidad del aire de Bogotá, durante la vigencia en el Proyecto de Inversión se ha avanzado en la estructuración del contenido de 3 informes, los cuales son: 
1. Avance en el desarrollo del documento técnico el cual contiene los resultados y se evidencian las acciones realizadas en el marco del PDDAB de 2010 a 2019 con los indicadores de seguimiento, resultados de las medidas optimas y medidas complementarias. 
2. El documento con las metodologías utilizadas para la estimación de los inventarios de emisión que contemplan enfoques Top-Down y Bottom-Up. Mientras que el primer enfoque utiliza información en un rango de tiempo y zona específica (lo cual es ideal para tener un panorama general del estado de las emisiones a nivel ciudad); el segundo permite desagregar temporal y espacialmente las emisiones, útil para ejercicios de modelación detallada de la calidad del aire.  
3. El documento técnico que recopila las acciones orientados a la definición de los protocolos de actuaciones de alertas ambientales, adelantando además las etapas para la definición y adopción del nuevo IBOCA de acuerdo con lo estipulado por la Resolución 2254 de 2017, adicionalmente se ha nutrido diferentes espacios de gobernanza con temas de articulación entre la SDS y SDA, así como instancia de participación con mesas de expertos, entre otros.
Se presenta un avance acumulado del 25% de la meta para la vigencia 2020. Y del 3,45% para el Cuatrienio.</t>
  </si>
  <si>
    <t>A este corte, se ha avanzado un 0.34% del informe programado en la vigencia, basado en las actividades de recolección de la información de las acciones de seguimiento y control de los grupos de fuentes fijas y fuentes móviles. Este documento  contendrá la presentación del estado del arte de los grupos competentes, descripción de la metodología desarrollada en las acciones de evaluación, seguimiento, control y monitoreo realizadas, con la cual se podrá determinar la toma de decisiones a nivel jurídico y la formulación de proyectos en el marco de la disminución los índices de contaminación ambiental.</t>
  </si>
  <si>
    <t>A 30 de septiembre, se han realizado 120 acciones, equivalentes a: 71 visitas técnicas (8 visitas efectivas con medición, 44 visitas efectivas para cerrar el caso y 19 visitas no efectivas objeto de reprogramación), así como 49 actuaciones técnicas de otros documentos (2 conceptos técnicos aclaratorios, 1 comunicación oficial externa para finalizar caso de presunta afectación por emisión de ruido, 1 presentación técnica enviada, dirigida a la Cámara de Comercio de Bogotá, 15 oficios SUGA, 6 Informes de acciones populares, 1 evaluación de estudio de ruido, 2 participaciones WEBINAR MADS, 19 capacitaciones a los gestores de la OPEL, 1 Socialización a la CAL Mártires, 1 informe para la CAL de Tunjuelito).
Acumulado de 120 equivalente al 28,17% de avance en la vigencia.</t>
  </si>
  <si>
    <t>A este corte, se presenta un avance del 100%, que equivalen a: 1) Visitas técnicas de evaluación de daños a 11 de las estaciones de monitoreo de ruido ambiental que se vieron involucradas en los desmanes ocurridos en los CAI, los días 09 y 10 de septiembre de 2020, y 2) Visitas de mantenimiento preventivo a 20 de las estaciones que componen el sistema. (En caso que se tengan las cantidades de visitas, por favor enunciarlas).</t>
  </si>
  <si>
    <t>Para la vigencia del Proyecto de Inversión se han realizado (192) acciones de evaluación, control y seguimiento:
- Veintiocho (28) operativos de control y seguimiento
- Cincuenta y tres (53) visitas a elementos mayores
- Dos (02) documentos técnicos
- Un (01) cargue de información a la plataforma SIIPEV.
- Cincuenta y cinco (55) evaluaciones a solicitudes de elementos de publicidad exterior visual.
- Cincuenta y tres (53) visitas a elementos menores.
Correspondiente a un avance en la meta para la vigencia del 82,05%, y un avance en la meta del cuatrienio del 4,8%.</t>
  </si>
  <si>
    <t>Para el cumplimiento de las regulaciones asociadas al control de los factores de deterioro de calidad del Aire, Auditiva y Visual del Distrito Capital, la Secretaría Distrital de Ambiente durante el trimestre, se atendió el 100% de los conceptos técnicos que recomiendan una actuación Administrativa Sancionatoria, obteniendo el siguiente avance: 
•	N° de Conceptos Técnicos que recomiendan actuaciones administrativas sancionatorias: 146 
•	N° de Conceptos Técnicos atendidos jurídicamente: 146
Por último, es importante tener presente que los avances en la magnitud de la meta están sujetos a la demanda de conceptos técnicos que remitan las áreas para ser acogidos jurídicamente.</t>
  </si>
  <si>
    <t>De acuerdo con la tipología constante de la meta se presenta un avance acumulado del 100% para la vigencia 2020.  Se realizaron mantenimientos preventivos y correctivos, validación y análisis de datos, incluyendo nuevas estaciones en la RMCAB (Bolivia, Usme, Ciudad Bolívar, Bosa, Jazmín) se trabajó en integración SDA-CAR y en plan de prueba de sensores de bajo costo.
Para el mes de noviembre el porcentaje de cumplimiento para este indicador es del 98%, se realizó el reporte de los mantenimientos preventivos y correctivos que se realizaron en el mes, se realizó la validación diaria de los datos de concentraciones de contaminantes criterio y parámetros meteorológicos que monitorea la RMCAB, el reporte de operatividad para el mes de noviembre fue del 96,4%  el cual es promedio de los datos validos de todos los parámetros de la red  que se genera a través del software Envista. Se realizó el análisis de datos del mes de octubre de 2020. Asimismo, el equipo de la RMCAB en el mes de noviembre elaboró el informe mensual de octubre y lo publicó el 02 de diciembre. Se mantiene el proceso de validación de los datos generados por las nuevas estaciones y los equipos.
Avance acumulado en la ejecución de la meta 100%.</t>
  </si>
  <si>
    <t>En el segundo semestre de 2020, con respecto a lo programado de la meta se tiene un avance del 75%, correspondiendo a 3 documentos técnicos para que al final del año se entreguen los 4 documentos totales, Con respecto al cuatrienio hay un avance del 10,3%, la descripción de las actividades realizadas para el mes de noviembre a continuación:
1.	se procedió a realizar la consolidación de la información de resultados logrados para cada uno de los proyectos, teniendo en cuenta el periodo de implementación definido para cada uno de estos en el marco de las reuniones y concertaciones realizadas, logrando capturar y consolidar la información y datos de los indicadores de resultados y gestión, específicamente lo relacionado con las estrategias sectoriales, ya que las mismas con identificadas como los sectores y fuentes que aportan en mayor proporción a las emisiones de material partículado en la ciudad.
Seguido, se realizó la descripción de la metodología de seguimiento y evaluación a cada uno de los proyectos, mencionada metodología será enfocada a aquellos proyectos que se encuentren en implementación, y mediante el cual se obtienen los resultados respectivos
2.	se realizó la consolidación de la información faltante del documento, en especial en los resultados de resuspendido, en donde se realiza el cálculo de las emisiones de este para el año 2018 y en el documento se realiza la explicación de este cálculo y los resultados encontrados para este año y sus impactos en la calidad de aire. Adicionalmente se realizan correcciones enviadas por el profesional a cargo de la revisión del documento para posteriormente ordenar el documento para la presentación del mes actual. En este documento las secciones que tendrá ejecución para el siguiente mes serán el resumen ejecutivo, conclusiones, y estética del documento, para su presentación final. 
3.	en el marco de la actualización normativa del IBOCA, se busca la armonización con la normatividad nacional, sin dejar a un lado el papel central en la gestión del riesgo que tiene este indicador. Con base en las discusiones y análisis adelantados entre la SDA y la SDS, se avanzó en el borrador del Documento Técnico de Soporte para la primera etapa de modificación normativa del IBOCA. Este documento se desarrolla con base en las justificaciones conceptuales, técnicas y jurídicas del borrador del articulado. En este documento se debe incluir el análisis retrospectivo de los nuevos niveles de alerta que sean definidos en dicha modificación normativa,
Seguidamente, y en el marco del proceso que debe surtir los protocolos de actuación frente a las alertas por calidad del aire, se están realizando las mesas de trabajo y concertación para los mismos, en ese sentido durante este mes de noviembre, se adelantaron diferentes espacios de trabajo para exponer los resultados de la modelación de restricciones para las fuentes fijas y fuentes móviles en la ciudad durante episodios de contaminación atmosférica. Uno de ellos es la articulación entre la Secretaria Distrital de Ambiente y la Secretaria Distrital de Movilidad, y también reuniones con la ANDI exponiendo los resultados de los escenarios de modelación para las fuentes fijas industriales en la ciudad.</t>
  </si>
  <si>
    <t>El avance acumulado para la vigencia 2020 del cumplimiento en la ejecución de la meta es del 0.71% del informe programado esto basado en: las actividades de recolección de la información de las acciones de seguimiento y control de los grupos de fuentes fijas y fuentes móviles. 
El avance acumulado se registra, así:
•	Julio, 017% de avance en el Informe de gestión.
•	Agosto, 0,16% de avance en el Informe de gestión.
•	Septiembre, 0,01% de avance en el Informe de gestión.
•	Octubre, 0,17% de avance en el Informe de gestión.
Avance de Noviembre 0,20, basado en : Este documento contiene la presentación del estado del arte de los grupos competentes, descripción de la metodología desarrollada en las acciones de evaluación, seguimiento, control y monitoreo realizadas, con la cual se podrá determinar la toma de decisiones a nivel jurídico y la formulación de proyectos en el marco de la disminución los índices de contaminación ambiental.
Se registra el inicio de los monitoreos de fuentes fijas como laboratorio acreditado para la toma de muestras de los parámetros de NOx, SO2 y MP en las industrias objeto de control; se atienden las visitas de seguimiento de la autorización realizada por el IDEAM para cada uno de los programas de evaluación control y seguimiento de fuentes móviles. 
Así mismo, se realizan los seguimientos a empresas que son objeto de permiso de emisiones, operativos de medición en vía a vehículos que transitan en el Distrito Capital, visitas técnicas de auditoria a Centros de Diagnóstico Automotor CDA'S, vinculación de empresas al programa de autorregulación y requerimientos ambientales presentados por la ciudadanía.
Alcanzando un 71% del cumplimiento de la meta de inversión para la vigencia 2020.</t>
  </si>
  <si>
    <t>Para la vigencia 2020, se presenta un avance acumulado de la meta de cuatrocientas veintitrés (423) actuaciones, correspondientes al 99,30% de ejecución, es así: 
•	Julio; acciones de seguimiento y control de emisión de ruido; cinco (05) visitas y tres (03) documentos técnicos. Total, ocho (08) acciones.
•	Agosto; acciones de seguimiento y control de emisión de ruido; uno (01) visitas y seis (06) documentos técnicos. Total, siete (07) acciones.
•	Septiembre; acciones de seguimiento y control de emisión de ruido; sesenta y cinco (65) visitas y cuarenta (40) documentos técnicos. Total, ciento cinco (105) acciones.
•	Octubre; acciones de seguimiento y control de emisión de ruido; ciento veinte (120) visitas y veintiocho (28) documentos técnicos. Total, ciento cuarenta y ocho (148) acciones.
•	Noviembre; acciones de seguimiento y control de emisión de ruido; ciento veinte dos (122) visitas y treinta y tres (33) documentos técnicos. Total, ciento cincuenta y cinco acciones (155)
En general se distribuyen:
•	313 visitas técnicas (51 visitas efectivas con medición, 184 visitas efectivas para cerrar el caso y 78 visitas no efectivas (reprogramación).
•	110 actuaciones técnicas de otros documentos:
o	12 informes acciones populares
o	2 conceptos aclaratorios
o	1 presentación a la Cámara de Comercio de Bogotá
o	20 socializaciones OPEL
o	7 socializaciones CAL
o	1 socialización en mesa territorial
o	1 oficio de salida cerrando caso
o	3 estudios de ruido
o	2 WEBINAR con el MADS
o	1 informe CAL
o	60 oficios SUGA
Avance acumulado en la vigencia de 99,30%.</t>
  </si>
  <si>
    <t>En cumplimiento la meta en la vigencia 2020, se presenta un avance del 100%, basado en el desarrollo de actividades así: (tipología de la Meta Constante)
Julio: se avanza en el informe técnico semestral en el cual se relacionan estadística y geográficamente, las empresas que tramitan reactivación económica ante la alcaldía mayor de Bogotá, a fin de clasificar y priorizar posibles establecimientos objeto de monitoreo de ruido, que sirvan de insumo para la identificación del %PUAR. Avance en el periodo 100%.
Agosto: Durante el presente periodo se avanza en la proyección del informe técnico semestral en el cual se incluyen los datos de las estaciones de la Red de Monitoreo de Ruido Ambiental de Bogotá (RMRAB) y los avances en la formulación de procedimiento de validación de los datos generados. Avance en el periodo 100%.
Septiembre: Para el presente periodo se avanza en la proyección del informe semestral de operación de la red de ruido del Distrito, dentro del cual se incluye reporte de siniestros en nueve (9) de las estaciones de monitoreo de ruido que fueron objeto de vandalismo durante las protestas ocurridas el 09 y 10 se septiembre. Avance en el periodo 100%.
Octubre: Durante el presente periodo se avanza con la proyección del informe semestral de operación de la Red de Monitoreo de Ruido Ambiental de Bogotá (RMRAB) en el cual se destacan la realización de las siguientes actividades: reporte de empresas que solicitaron reactivación económica por COVID 19, acreditación del procedimiento de monitoreo de ruido ambiental ante el IDEAM, soporte y mantenimiento a las estaciones de monitoreo de ruido, actualización del visor monitor web MAIGRAI. Avance en el periodo 100%.
Noviembre:  Para el presente mes, se avanza con la proyección del informe semestral de operación de la Red de Monitoreo de Ruido Ambiental de Bogotá (RMRAB) en el cual se reportan principalmente  la realización de las siguientes actividades: reporte de empresas que solicitaron reactivación económica por COVID 19, acreditación del procedimiento de monitoreo de ruido ambiental ante el IDEAM, actividades de soporte y mantenimiento  realizado a las estaciones de monitoreo de ruido, actualización del visor monitor web MAIGRAI , reporte de estaciones de la RMRAB afectadas durante protestas y espacialización de datos de emisión de ruido Colector-ESRI. 
Avance acumulado según la tipología de la meta es del 100% para la vigencia 2020.</t>
  </si>
  <si>
    <t>Para la vigencia 2020 del Proyecto de Inversión se han realizado doscientas veinte nueve (229) acciones de evaluación, control y seguimiento, así:
•	Julio, 28 Acciones, avance de ejecución del 12%.
•	Agosto, 18 Acciones, avance de ejecución del 8%.
•	Septiembre, 136 Acciones, avance de ejecución del 62%.
•	Octubre, 37 Acciones, avance de ejecución del 16%.
•	Noviembre, No se realizaron acciones de evaluación sobre el resto del Distrito, se encaminaron a las Zonas de Alta Densidad.
Avance Acumulado 97,86%.</t>
  </si>
  <si>
    <t>Para el cumplimiento de las regulaciones asociadas al control de los factores de deterioro de calidad del Aire, Auditiva y Visual del Distrito Capital, la Secretaría Distrital de Ambiente durante el periodo del 1 de julio al 30 de noviembre de 2020 atendió el 100% de los conceptos técnicos que recomiendan una actuación Administrativa Sancionatoria, obteniendo el siguiente avance: 
Julio 2020:
N° de Conceptos Técnicos que recomiendan actuaciones administrativas sancionatorias: 13 
N° de Conceptos Técnicos atendidos jurídicamente: 13
Agosto 2020
N° de Conceptos Técnicos que recomiendan actuaciones administrativas sancionatorias: 13 
N° de Conceptos Técnicos atendidos jurídicamente: 13.
Septiembre 2020
N° de Conceptos Técnicos que recomiendan actuaciones administrativas sancionatorias: 133
N° de Conceptos Técnicos atendidos jurídicamente: 133.
Octubre 2020
N° de Conceptos Técnicos que recomiendan actuaciones administrativas sancionatorias: 13
N° de Conceptos Técnicos atendidos jurídicamente: 13.
Noviembre 2020
N° de Conceptos Técnicos que recomiendan actuaciones administrativas sancionatorias: 04
N° de Conceptos Técnicos atendidos jurídicamente: 04.  
Total, avance meta Noviembre 2020: 100 %
Por último, es importante tener presente que los avances en la magnitud de la meta están sujetos a la demanda de conceptos técnicos que remitan los grupos técnicos para ser acogidos jurídicamente; por lo tanto, el porcentaje de la magnitud programada corresponde al 100%</t>
  </si>
  <si>
    <t xml:space="preserve">Para el mes de enero el porcentaje de cumplimiento para este indicador es del 86%, se realizó el reporte de los mantenimientos preventivos y correctivos que se realizaron en el mes, se realizó la validación diaria de los datos de concentraciones de contaminantes criterio y parámetros meteorológicos que monitorea la RMCAB en las estaciones antiguas, quedando pendiente la validación de las estaciones nuevas por falta de contrato del profesional de validación. El reporte de operatividad para el mes de enero fue del 94,5% el cual es promedio de los datos validos de todos los parámetros de la red en las estaciones antiguas que se genera a través del software Envista. Se realizó el análisis de datos del mes de diciembre de 2020 y esta pendiente la terminación y publicación del informe mensual. Se mantiene el proceso de validación de los datos generados por las nuevas estaciones y los equipos. 
Para el mes de enero como parte del proceso de colaboración entre la Red de Monitoreo de Calidad del Aire de Bogotá – RMCAB y los diferentes actores en el establecimiento de esta red colaborativa de sensores de bajo costo se mantuvo la operación de los sensores instalados en la estación de Las ferias por parte del Colectivo CanAir.io, La Universidad Central y La Universidad Nacional. Adicionalmente, se mantiene en operación los sensores de bajo costo del Colectivo CanAir.io en la estación Kennedy y en la estación del Tunal.
Se realizaron mantenimientos preventivos y correctivos, validación y análisis de datos, incluyendo nuevas estaciones en la RMCAB (Bolivia, Usme, Ciudad Bolívar, Bosa, Jazmín) se mantuvo el plan de prueba de sensores de bajo costo.
</t>
  </si>
  <si>
    <t>Avance acumulado para la vigencia 2021 del cumplimiento en la ejecución de la meta es del 100% de la presentación de dos (02) informes programados esto basado en: las actividades de recolección de la información de las acciones de seguimiento y control de los grupos de fuentes fijas y fuentes móviles. 
El avance acumulado se registra, así:
•	Enero 0.1 % de avance en el Informe de gestión de la vigencia 2021.</t>
  </si>
  <si>
    <t>Avance acumulado para la vigencia 2020 del cumplimiento en la ejecución de la meta es del 100% de la presentación de uno (01) informe programado esto basado en: las actividades de recolección de la información de las acciones de seguimiento y control de los grupos de fuentes fijas y fuentes móviles. 
El avance acumulado se registra, así:
•	Julio, 017% de avance en el Informe de gestión.
•	Agosto, 0,16% de avance en el Informe de gestión.
•	Septiembre, 0,01% de avance en el Informe de gestión.
•	Octubre, 0,17% de avance en el Informe de gestión.
•	Noviembre, 0,20% de avance en el Informe de gestión.
Avance de Diciembre 0,29, basado en: Con el fin de construir el informe correspondiente al segundo semestre del año, se realizó intervención mediante actuaciones técnicas, visitas de control, acompañamientos, monitoreos, operativos de medición en vía a vehículos que transitan en el Distrito Capital, visitas técnicas de auditoria a Centros de Diagnóstico Automotor CDA'S, vinculación de empresas al programa de autorregulación y requerimientos ambientales presentados por la ciudadanía. entre otras actividades del grupo fuentes, con esta información se construyó el informe de acciones de evaluación, control y seguimiento a las fuentes de emisión.
Con lo anterior, se evidenciaron fortalezas y acciones de mejora a implementar en los grupos fuentes de emisión, para el cumplimiento de la meta.  
Alcanzando un 100% del cumplimiento de la meta de inversión para la vigencia 2020.</t>
  </si>
  <si>
    <t>En cumplimiento acumulativo de la meta para enero del 2021 se desarrollaron 36 actuaciones técnicas, correspondientes a acciones de seguimiento y control de emisión de ruido (visitas) y documentos técnicos, a continuación, se detallan las acciones:
•	Enero: 20 visitas – 16 documentos técnicos, total 36 acciones.
De las acciones realizadas se resume:
20 visitas técnicas discriminadas así: 8 visitas efectivas con medición, 4 visitas efectivas sin medición, 6 visitas efectivas para cerrar el caso y 2 visitas no efectivas para reprogramar.
16 actuaciones técnicas de otros documentos diferenciados así: 1 informe de la acción popular que cursa en la localidad Antonio Nariño, 1 concepto técnico aclaratorio, 14 oficios SUGA.</t>
  </si>
  <si>
    <t>Enero: Se proyectan informes relacionados con la operación de la Red de Monitoreo de Ruido Ambiental de Bogotá (RMRAB) durante el mes de enero del 2021 en la cual se reportan principalmente la realización de las siguientes actividades acreditación del procedimiento de monitoreo de ruido ambiental ante el IDEAM, actividades de soporte y mantenimiento realizado a las estaciones de monitoreo de ruido, espacialización de datos de emisión de ruido Colector - ESRI y se presenta el procedimiento interno de manejo de PQR´s a la secretaria de salud.</t>
  </si>
  <si>
    <t xml:space="preserve">Acumulado 2021: Para la vigencia del Proyecto de Inversión del año 2021 se han realizado doscientas setenta y ocho (278) acciones de evaluación, control y seguimiento:
Cuatro (04) operativos de control
Doce (12) visitas de evaluación a elementos mayores 
Doscientas sesenta y dos (262) evaluaciones a solicitudes de elementos de publicidad exterior visual.
Acumulado vigencia: Para la vigencia del año 2020 y 2021 del Proyecto de Inversión se han realizado mil quinientas sesenta (1.570) acciones de evaluación, control y seguimiento:
Cincuenta y nueve (59) operativos de control y seguimiento
Ciento nueve (109) visitas a elementos mayores
Tres (03) documentos técnicos
Tres (03) cargues de información a la plataforma SIIPEV.
Mil trescientos cuarenta y dos (1.342) evaluaciones a solicitudes de elementos de publicidad exterior visual.
</t>
  </si>
  <si>
    <t>Para el cumplimiento de las regulaciones asociadas al control de los factores de deterioro de calidad del Aire, Auditiva  y Visual del Distrito Capital,  la Secretaría Distrital de Ambiente programo ejecución de actividades a partir del mes de febrero del 2021.</t>
  </si>
  <si>
    <t>En la ejecución de la meta durante la vigencia 2021; Se han realizado mantenimientos preventivos y correctivos, validación y análisis de datos, incluyendo nuevas estaciones en la RMCAB (Bolivia, Usme, Ciudad Bolívar, Bosa, Jazmín) se mantuvo el plan de prueba de sensores de bajo costo.
Enero; el porcentaje de cumplimiento para este indicador es del 86%, el cual corresponde al reporte de los mantenimientos preventivos y correctivos que se realizaron en el mes, se realizó la validación diaria de los datos de concentraciones de contaminantes criterio y parámetros meteorológicos que monitorea la RMCAB en las estaciones antiguas, quedando pendiente la validación de las estaciones nuevas por falta de contrato del profesional de validación.
Febrero el porcentaje de cumplimiento para este indicador es del 75%, se realizó el reporte de los mantenimientos preventivos y correctivos que se realizaron en el mes, se realizó la validación diaria de los datos de concentraciones de contaminantes criterio y parámetros meteorológicos que monitorea la RMCAB. El reporte de operatividad para el mes de febrero fue del 95,6% el cual es promedio de los datos validos de todos los parámetros de la red en las estaciones que se genera a través del software Envista. Se realizó el análisis de datos del mes de enero de 2021 y esta pendiente la terminación y publicación del informe mensual. Se mantiene el proceso de validación de los datos generados por las nuevas estaciones y los equipos.</t>
  </si>
  <si>
    <t>Avance acumulado para la vigencia 2021 en el cumplimiento de la meta es del 5,3% de la presentación de ocho (08) informes programados esto basado en: las actividades de recolección de la información de las acciones de seguimiento y control de la calidad del aire de Bogotá.
El avance acumulado se registra, así:
•	Enero 0,2 % de avance en el Informe de gestión de la vigencia 2021.
•	Febrero 0,25% de avance en el Informe de gestión de la vigencia 2021.</t>
  </si>
  <si>
    <t>Avance acumulado para la vigencia 2021 del cumplimiento en la ejecución de la meta es del 13% de la presentación de dos (02) informes; programado esto basado en: las actividades de recolección de la información de las acciones de seguimiento y control de los grupos de fuentes fijas y fuentes móviles. 
El avance acumulado se registra, así:
•	Enero 0,15, de avance en la ejecución de la meta.
•	Febrero 0,11, de avance en la ejecución de la meta.
basado en: la intervención mediante actuaciones técnicas, visitas de control, acompañamientos, monitoreos, operativos de medición en vía a vehículos que transitan en el Distrito Capital, visitas técnicas de auditoria a Centros de Diagnóstico Automotor CDA'S, con esta información se construyó el informe de acciones de evaluación, control y seguimiento a las fuentes de emisión.</t>
  </si>
  <si>
    <t>En cumplimiento acumulativo de la meta para 2021 se han desarrollado 52 actuaciones técnicas así: 20 visitas (8 efectivas con medición, 6 efectivas cerrar caso, 2 no efectivas para reprogramar, 4 efectivas sin medición en cumplimiento a actos administrativos) y 32 actuaciones técnicas correspondientes a otros documentos (3 informes acciones populares para las localidades de Antonio Nariño, Bosa y Teusaquillo, 1 concepto técnico aclaratorio, 28 oficios SUGA para eventos de aglomeración de público en el Distrito Capital).  Avnce Acumulado en la vigencia 5,82%</t>
  </si>
  <si>
    <t>A corte Enero 20201, se proyecta el informe relacionado con la operación de la Red de Monitoreo de Ruido Ambiental de Bogotá (RMRAB), en la cual, se reportan principalmente la realización de las  actividades acreditación del procedimiento de monitoreo de ruido ambiental ante el IDEAM, actividades de soporte y mantenimiento realizado a las estaciones de monitoreo de ruido, espacialización de datos de emisión de ruido Colector - ESRI y se presentó el procedimiento interno de manejo de PQR´s a la secretaria de salud.
Febrero: Se proyecta informe relacionado con la operación de la Red de Monitoreo de Ruido Ambiental de Bogotá (RMRAB), se reportan principalmente la realización de las siguientes actividades, de soporte y mantenimiento realizado a las estaciones de monitoreo de ruido, y el avance en el proceso de instalación de las estaciones de la RMRAB afectadas durante protestas. contratación del personal para a la operación de la RMRAB.
Avance acumulado en la vigencia : 100%."</t>
  </si>
  <si>
    <t>Acumulado en la vigencia 2021: se han realizado cuatrocientas ochenta y nueve (489) acciones de evaluación, control y seguimiento:
•	Cuatro (04) operativos de control
•	Doce (12) visitas de evaluación a elementos mayores 
•	Cuatrocientos sesenta y tres (473) evaluaciones a solicitudes de elementos de publicidad exterior visual.
Avance en a la ejecución de la Meta Vigencia; 64,43%.
Acumulada vigencia: Para la vigencia del año 2020 y 2021 del Proyecto de Inversión se han realizado mil setecientas ochenta y un (1.781) acciones de evaluación, control y seguimiento:
Cincuenta y nueve (59) operativos de control y seguimiento
Ciento nueve (109) visitas a elementos mayores
Tres (03) documentos técnicos
Tres (03) cargues de información a la plataforma SIIPEV.
Cincuenta y cuatro (54) visitas IVC a elementos menores
Mil quinientas cincuenta y tres (1.553) evaluaciones a solicitudes de elementos de publicidad exterior visual.  Avance en a la ejecución de la Meta Cuatrienio; 44,53%.</t>
  </si>
  <si>
    <t>La Secretaría Distrital de Ambiente del 01 de febrero al 28 de febrero de 2021 en ejercicio de su función sancionatoria acogió el 100% de los conceptos técnicos relacionados con el recurso ambiental aire, auditiva y visual y que recomiendan una actuación administrativa sancionatoria, como se relaciona a continuación: 
No de Conceptos Técnicos que recomiendan actuaciones administrativas sancionatorias: 18 Conceptos Técnicos.
No de Conceptos Técnicos atendidos jurídicamente: 18 Conceptos Técnicos acogidos
Avance total corte 28 de febrero de 2021: 100%</t>
  </si>
  <si>
    <t>En la ejecución de la meta durante la vigencia 2021, se realizaron mantenimientos preventivos y correctivos, validación y análisis de datos, incluyendo nuevas estaciones en la red (Bolivia, Usme, Ciudad Bolívar, Bosa, Jazmín), y además, se mantuvo el plan de prueba de sensores de bajo costo.
Para el mes de Enero, el porcentaje de cumplimiento para este indicador es del 86%, el cual corresponde al reporte de los mantenimientos preventivos y correctivos que se realizaron en el mes, se realizó la validación diaria de los datos de concentraciones de contaminantes criterio y parámetros meteorológicos que monitorea la red en las estaciones antiguas, quedando pendiente la validación de las estaciones nuevas por falta de contrato del profesional de validación.
Febrero: el porcentaje de cumplimiento para este indicador es del 75%, donde se realizó el reporte de los mantenimientos preventivos y correctivos para el mes, validación diaria de los datos de concentraciones de contaminantes criterio y parámetros meteorológicos que monitorea la red. Se realizó el análisis de datos del mes de enero de 2021 y esta pendiente la terminación y publicación del informe mensual. Se mantiene el proceso de validación de los datos generados por las nuevas estaciones y los equipos.</t>
  </si>
  <si>
    <t>En el marco de la gestión integral de la calidad del aire de Bogotá, se ha venido trabajando en el desarrollo de 3 documentos técnicos, los cuales son: 1. Publicación a consulta publica de los documentos relacionados con el Plan Aire, recopilando observaciones realizadas por los actores externos y posteriormente realizando los debidos ajustes al documento. 2. Concertación de medidas de restricción a las fuentes móviles entre la SDA Y SDM, así mismo, en el marco de actuación definido en la Estrategia Distrital de Respuesta se remitió al IDIGER para su revisión, aprobación y posterior divulgación. 3. Identificación de la metodología del primer informe de modelación por medio de la validación de datos e información del capítulo de modelación de calidad de aire en la ciudad del Informe Anual de Calidad del Aire Año 2019.
Avance acumulado para la vigencia 2021 en el cumplimiento de la meta es del 12,50%. Este seguimiento corresponde a las actividades de recolección de la información, y de las acciones de seguimiento y control de la calidad del aire de Bogotá.
El avance acumulado se registra, así:
•	Enero 0,2.
•	Febrero 0,25.
•	Marzo 0,55 de avance en el Informe de gestión de la vigencia 2021.</t>
  </si>
  <si>
    <t>Avance acumulado para la vigencia 2021 del cumplimiento en la ejecución de la meta es del 36%. Este avance está basado en las actividades de recolección de información de las acciones de seguimiento y control de los grupos de fuentes fijas y fuentes móviles. También en la intervención mediante actuaciones técnicas, visitas de control, acompañamientos, monitoreos, operativos de medición en vía a vehículos que transitan en el Distrito Capital, visitas técnicas de auditoria a Centros de Diagnóstico Automotor CDA'S, con esta información se construyó el informe de acciones de evaluación, control y seguimiento a las fuentes de emisión.
El avance acumulado se registra, así:
•	Enero 0,15, de avance en la ejecución de la meta.
•	Febrero 0,11, de avance en la ejecución de la meta.
•	Marzo 0,1, de avance en la ejecución de la meta.</t>
  </si>
  <si>
    <t>En cumplimiento acumulativo de la meta para 2021 se han desarrollado 156 actuaciones técnicas así: 109 visitas (13 efectivas con medición, 57 efectivas cerrar caso, 30 no efectivas para reprogramar, 9 efectivas sin medición en cumplimiento a actos administrativos) y 47 actuaciones técnicas correspondientes a otros documentos (5 informes acciones populares para las localidades de Antonio Nariño, Bosa y Teusaquillo, 1 concepto técnico aclaratorio, 41 oficios SUGA para eventos de aglomeración de público en el Distrito Capital).</t>
  </si>
  <si>
    <t>La meta presenta un avance del 100%, en el I trimestre del 2021 dado por:
 *Enero 2021, se proyecta el informe relacionado con la operación de la Red de Monitoreo de Ruido Ambiental de Bogotá (RMRAB), en la cual, se reportan principalmente la realización de las actividades acreditación del procedimiento de monitoreo de ruido ambiental ante el IDEAM, actividades de soporte y mantenimiento realizado a las estaciones de monitoreo de ruido, espacialización de datos de emisión de ruido Colector - ESRI y se presentó el procedimiento interno de manejo de PQR´s a la secretaria de salud.
*Febrero: actividades, de soporte y mantenimiento realizado a las estaciones de monitoreo de ruido, y el avance en el proceso de instalación de las estaciones de la RMRAB afectadas durante protestas. contratación del personal para a la operación de la RMRAB.
*Marzo: Se genera informe de avance semestral del mes de marzo relacionado con la operación de la Red de Monitoreo de Ruido Ambiental de Bogotá (RMRAB) durante el primer trimestre del 2021 en la cual se reportan principalmente la realización de las actividades de soporte y mantenimiento realizado a las estaciones de monitoreo de ruido y el avance en el proceso de instalación de las estaciones de la RMRAB afectadas durante protestas, además se realizaron los estudios previos para la renovación de los contratos de arrendamiento y se realizó el análisis técnico de los datos reportados en el mes de enero en el visor WEB MAIGRAI, solicitudes de cotización pata la compra de software y solicitudes de cotizaciones para la calibración de equipos.</t>
  </si>
  <si>
    <t>Para la vigencia del Proyecto de Inversión del año 2021 se han realizado mil trescientas veinte y seis (1.326) acciones de evaluación, control y seguimiento:
Cuatro (05) operativos de control.
Veinticuatro (24) visitas de evaluación a elementos mayores.
Un (01) cargue de información a la plataforma SIIPEV.
Mil doscientas noventa y seis (1.296) evaluaciones a solicitudes de elementos de publicidad exterior visual.
Acumulado Cuatrienio: Para la vigencia del año 2020 y 2021 del Proyecto de Inversión se han realizado dos mil seiscientas diez y ocho (2.618) acciones de evaluación, control y seguimiento:
Sesenta (60) operativos de control y seguimiento
Ciento veintiún (121) visitas a elementos mayores
Tres (03) documentos técnicos
Cuatro (04) cargues de información a la plataforma SIIPEV.
Cincuenta y cuatro (54) visitas IVC a elementos menores
Dos mil trescientas setenta y seis (2.376) evaluaciones a solicitudes de elementos de publicidad exterior visual.</t>
  </si>
  <si>
    <t>La Secretaría Distrital de Ambiente del 01 de enero al 31 de marzo de 2021 en ejercicio de su función sancionatoria acogió el 100% de los conceptos técnicos relacionados con el recurso ambiental aire, auditiva y visual y que recomiendan una actuación administrativa sancionatoria, como se relaciona a continuación: 
No de Conceptos Técnicos que recomiendan actuaciones administrativas sancionatorias: 24 Conceptos Técnicos.
No de Conceptos Técnicos atendidos jurídicamente: 24 Conceptos Técnicos acogidos
Avance total corte 31 de marzo de 2021: 100%.</t>
  </si>
  <si>
    <t>Durante la ejecución 2021, se han realizado mantenimientos preventivos y correctivos, validación y análisis de datos, diaria de las concentraciones de contaminantes criterio y parámetros meteorológicos que monitorea la RMCAB incluyendo nuevas estaciones en la red (Bolivia, Usme, Ciudad Bolívar, Bosa, Jazmín, Colina y Móvil Fontibón), así como sus respectivos informes. Además, se realizó la validación diaria de los datos de concentraciones de contaminantes criterio y parámetros meteorológicos que monitorea la red en las estaciones antiguas. Se mantuvo el plan de prueba de sensores de bajo costo.
Se realizó el análisis de datos del mes de marzo de 2021. 
Como parte del proceso de colaboración entre la Red de Monitoreo de Calidad del Aire de Bogotá – RMCAB y los diferentes actores en el establecimiento de esta red colaborativa de sensores de bajo costo se mantuvo la operación de los sensores instalados en la estación de Las ferias por parte del Colectivo CanAir.io, La Universidad Central y La Universidad Nacional. Adicionalmente, se mantiene en operación los sensores de bajo costo del Colectivo CanAir.io en la estación Kennedy y en la estación del Tunal.
Para el mes de Abril se realizó el análisis de datos del mes de marzo de 2021. Asimismo, el equipo de la RMCAB en el mes de abril publicó los informes de diciembre 2020, enero, febrero 2021 y el informe trimestral oct-dic 2020 que estaba retrasado y se avanzo en la elaboración del informe de marzo de 2021.</t>
  </si>
  <si>
    <t>En el marco de la gestión integral de la calidad del aire de Bogotá, hasta la fecha se ha venido trabajando en el desarrollo de 3 documentos técnicos, los cuales son: 
1.	Revisión y ajuste al documento técnico de Plan Aire, así mismo, su envió a las diferentes secretarias firmantes para su respectiva revisión y firma del Decreto Distrital del Plan Aire y posteriormente, remisión del documento técnico, anexos y Decreto del Plan aire a la alcaldía mayor de Bogotá.
2.	Suscripción entre la SDA y SDS de la Resolución por la cual se establece el nuevo “Índice Bogotano de Calidad del Aire y Riesgo en salud - IBOCA- para la gestión conjunta del riesgo de deterioro del ambiente y de salud humana”. Así mismo, en relación con el Plan de Contingencia y Emergencia Distrital por contaminación atmosférica para la atención de eventos por contaminación atmosférica fue remitido para su revisión al IDIGER.
3.	Adición de los resultados gráficos de modelación y calidad del aire al primer informe de modelación, de igual manera, se han enlistado las posibilidades de mejoras del Sistema Integrado de Modelación de Calidad de Aire.
Este avance de uno (1,6) en términos numéricos, corresponde a:
•	Enero 0,2.
•	Febrero 0,25.
•	Marzo 0,55 
•	Abril 0,60; de avance en el Informe de gestión de la vigencia 2021.</t>
  </si>
  <si>
    <t>En el cumplimiento del (01) informes de gestión programados para la vigencia 2021; se ha alcanzado un avance acumulado en la ejecución de la meta del 0,51, equivalente a un 51% respecto a lo programado. 
Este avance está basado en las actividades de recolección de información de las acciones de evaluación, control y seguimiento de los grupos de fuentes fijas y fuentes móviles. También en la intervención mediante actuaciones técnicas, visitas de control y seguimiento, acompañamientos, monitoreos, operativos de medición en vía a vehículos que transitan en el Distrito Capital, visitas técnicas de auditoria a Centros de Diagnóstico Automotor CDA'S, con esta información se construyó el informe de acciones de evaluación, control y seguimiento a las fuentes de emisión.
El avance acumulado se registra, así:
•	Enero 0,15, de avance en la ejecución de la meta.
•	Febrero 0,11, de avance en la ejecución de la meta.
•	Marzo 0,10, de avance en la ejecución de la meta.
•Abril 0,15, de avance en la ejecución de la meta.</t>
  </si>
  <si>
    <t>Para la vigencia 2021, se han desarrollado 272 actuaciones técnicas que corresponde a un 30,46% respecto a lo programado, y a su vez, un avance del 16,23% durante el cuatrienio.
Este avance del 2021, se conforma de 205 visitas (25 efectivas con medición, 22 efectivas sin medición en cumplimiento a actos administrativos, 97 efectivas para cerrar el caso, 61 no efectivas para reprogramar) y 67 actuaciones técnicas correspondientes a otros documentos (8 informes de acciones populares, para las localidades de Antonio Nariño, Bosa y Teusaquillo, 1 concepto técnico aclaratorio, 52 oficios SUGA, 6 participaciones en reuniones interinstitucionales).</t>
  </si>
  <si>
    <t>La meta presenta un avance del 100% para la vigencia, que corresponde a:
 *Enero 2021, se proyecta el informe relacionado con la operación de la Red de Monitoreo de Ruido Ambiental de Bogotá (RMRAB), en la cual, se reportan principalmente la realización de las actividades acreditación del procedimiento de monitoreo de ruido ambiental ante el IDEAM, actividades de soporte y mantenimiento realizado a las estaciones de monitoreo de ruido, espacialización de datos de emisión de ruido Colector - ESRI y se presentó el procedimiento interno de manejo de PQR´s a la secretaria de salud.
*Febrero: actividades, de soporte y mantenimiento realizado a las estaciones de monitoreo de ruido, y el avance en el proceso de instalación de las estaciones de la RMRAB afectadas durante protestas. contratación del personal para a la operación de la RMRAB.
*Marzo: Se genera informe de avance semestral del mes de marzo relacionado con la operación de la Red de Monitoreo de Ruido Ambiental de Bogotá (RMRAB) durante el primer trimestre del 2021 en la cual se reportan principalmente la realización de las actividades de soporte y mantenimiento realizado a las estaciones de monitoreo de ruido y el avance en el proceso de instalación de las estaciones de la RMRAB afectadas durante protestas, además se realizaron los estudios previos para la renovación de los contratos de arrendamiento y se realizó el análisis técnico de los datos reportados en el mes de enero en el visor WEB MAIGRAI, solicitudes de cotización pata la compra de software y solicitudes de cotizaciones para la calibración de equipos.   
                                                                                                                                                                                                                                          * Abril:  Se genera informe de avance semestral del mes de abril relacionado con la operación de la Red de Monitoreo de Ruido Ambiental de Bogotá (RMRAB) durante los cuatro primeros meses del 2021 en la cual se reportan principalmente la realización de las   actividades de soporte y mantenimiento  realizado a las estaciones de monitoreo de ruido y la instalación de las 10 estaciones de la RMRAB afectadas durante protestas, además se firmaron los estudios previos para la renovación de los contratos de arrendamiento y se realizó el análisis técnico de los datos reportados en el mes de enero en el visor MAIGRAI, e avanzo en la realización del estudio previo para la compra de un software de modelación acústica.</t>
  </si>
  <si>
    <t>Para la vigencia del Proyecto de Inversión del año 2021 se han realizado mil setecientas setenta y cuatro (1.501) acciones de evaluación, control y seguimiento:
Quince (15) operativos de control.
Cuarenta y ocho (48) visitas de evaluación a elementos mayores.
Uno (01) cargue de información a la plataforma SIIPEV.
Mil cuatrocientos treinta y siete(1.437) evaluaciones a solicitudes de elementos de publicidad exterior visual.
Lo anterior, dando un avance para el cuatrienio de (2.793)  acciones de evaluación, control y seguimiento 70 operativos de control y seguimiento,145 visitas a elementos mayores, 03 documentos técnicos, 05 cargues de información a la plataforma SIIPEV, 54 visitas a elementos menores, 2.516 evaluaciones a solicitudes de elementos de publicidad exterior visual.</t>
  </si>
  <si>
    <t>La Secretaría Distrital de Ambiente del 01 de enero al 30 de abril de 2021 en ejercicio de su función sancionatoria acogió el 64% de los conceptos técnicos relacionados con el recurso ambiental aire, auditiva y visual y que recomiendan una actuación administrativa sancionatoria, como se relaciona a continuación: 
No de Conceptos Técnicos que recomiendan actuaciones administrativas sancionatorias: 108 Conceptos Técnicos.
No de Conceptos Técnicos atendidos jurídicamente: 69 Conceptos Técnicos acogidos
Avance total corte 30 de abril de 2021: 64%</t>
  </si>
  <si>
    <t>3201013 - Documentos de lineamientos técnicos para mejorar la calidad ambiental de las áreas urbanas</t>
  </si>
  <si>
    <t>Valor correspondiente a la ejecución de OPS.</t>
  </si>
  <si>
    <t>No se ejecutaron recuros</t>
  </si>
  <si>
    <t xml:space="preserve">Realizar 8 informes de acciones de evaluación, control y seguimiento a fuentes fijas y fuentes móviles incluidos Centros de Diagnóstico Automotor que operan en el Distrito Capital. </t>
  </si>
  <si>
    <t>3201021 - Documentos de instrumentos técnicos de evaluación y seguimiento ambiental</t>
  </si>
  <si>
    <t>Realizar 4.700 acciones de evaluación, seguimiento y control de emisión de ruido a los establecimientos de comercio, industria y servicio ubicados en el perímetro urbano del DC.</t>
  </si>
  <si>
    <t>3201010 - Servicio de divulgación de la incorporación de consideraciones ambientales en la planificación sectorial</t>
  </si>
  <si>
    <t>100% de las acciones para operar, mantener y ampliar la red de monitoreo de ruido ambiental de Bogotá para la identificación del porcentaje de Población Urbana Afectada por Ruido (%PUAR) en el perímetro urbano del DC</t>
  </si>
  <si>
    <t>3201005 - Documentos de estudios técnicos para el fortalecimiento del desempeño ambiental de los sectores productivos</t>
  </si>
  <si>
    <t>Realizar 4.000 acciones técnico-jurídicas de evaluación, seguimiento y control sobre los elementos de publicidad exterior visual - PEV instalados en el perímetro urbano del D.C.</t>
  </si>
  <si>
    <t>Valor correspondiente a la ejecución de OPS. Y pago en la ejecución de contratos de Bienes y Servicios.</t>
  </si>
  <si>
    <t>III ACTIVIDADES SUIFT (PRESUPUESTO) VIGENCIA 2022</t>
  </si>
  <si>
    <t>PRESUPUESTO VIGENCIA SUIFP 2022</t>
  </si>
  <si>
    <t>PRESUPUESTO
OBLIGADO (GIRADO) 2022</t>
  </si>
  <si>
    <t>Estaciones de monitoreo con mantenimiento realizado</t>
  </si>
  <si>
    <t>Número</t>
  </si>
  <si>
    <t>Planes de Acción o Gestión Formulados.</t>
  </si>
  <si>
    <t>Informes elaborados para acompañar la toma de decisiones de autoridades ambientales</t>
  </si>
  <si>
    <t>Visitas realizadas a predios</t>
  </si>
  <si>
    <t>Sistemas de Información Diseñados, Actualizados o en Funcionamiento</t>
  </si>
  <si>
    <t>Informes de seguimiento realizados</t>
  </si>
  <si>
    <t>Porcentaje De Procesos Ejecutados</t>
  </si>
  <si>
    <t xml:space="preserve">"Durante la ejecución 2021, se han realizado mantenimientos preventivos y correctivos, validación y análisis de datos, diaria de las concentraciones de contaminantes criterio y parámetros meteorológicos que monitorea la RMCAB incluyendo las nuevas estaciones en la red (Bolivia, Usme, Ciudad Bolívar, Bosa, Jazmín, Colina y Móvil Fontibón), así como sus respectivos informes. Se mantuvo el plan de prueba de sensores de bajo costo.
Se realizó y publicó el informe mensual de abril de 2021. 
Como parte del proceso de colaboración entre la Red de Monitoreo de Calidad del Aire de Bogotá – RMCAB y los diferentes actores en el establecimiento de esta red colaborativa de sensores de bajo costo se mantuvo la operación de los sensores instalados en la estación de Las Ferias por parte del Colectivo CanAir.io, La Universidad Central y La Universidad Nacional. Se mantiene en operación los sensores de bajo costo del Colectivo CanAir.io en la estación Kennedy y en la estación del Tunal. Adicionalmente se realizó una visita de inspección a la estación de Las Ferias con el personal del proceso de consultoría que lidera el CIMAB para este tema.
Para el mes de mayo se elaboró y publicó el informe mensual de abril de 2021. Asimismo, el equipo de la RMCAB en el mes de mayo publicó el informe de marzo 2021."
</t>
  </si>
  <si>
    <t xml:space="preserve">En el marco de la gestión integral de la calidad del aire de Bogotá, hasta la fecha (Mayo 2021), se ha venido trabajando en el desarrollo de 3 documentos técnicos, los cuales son: 1. Documento técnico de Plan Aire con sus respectivos anexos y el Decreto del Plan Aire, los cual se encuentra en proceso de firma en el despacho de la Alcaldía de Bogotá. 2. Plan de Contingencia Distrital para la atención de episodios por condiciones desfavorables de calidad del aire en la ciudad, el cual se encuentra en proceso de divulgación con las alcaldías municipales de Soacha, Mosquera, Funza, la CAR y SDM de Bogotá, así mismo, se avanzó en la conceptualización del Análisis Costo Beneficio de las medidas de restricción, este instrumento permitirá elegir las restricciones que impacten en menor medida en términos económicos y sociales durante los episodios de contaminación atmosférica. 3. Documento de modelación, en el cual se ha avanzado en la consolidación de las emisiones que se presentan en la ciudad con sus respectivos resultados, de igual manera se realizó la revisión y organización del documento, buscando validar el modelo de calidad del aire y determinar las oportunidades de mejora.
</t>
  </si>
  <si>
    <t xml:space="preserve">"En el cumplimiento de los dos (02) informes de gestión programados para la vigencia 2021; se ha alcanzado un avance acumulado en la ejecución de la meta del 0,65, equivalente a un 25,5% respecto a lo programado. 
Este avance está basado en las actividades de recolección de información de las acciones de evaluación, control y seguimiento de los grupos de fuentes fijas y fuentes móviles. También en la intervención mediante actuaciones técnicas, visitas de control y seguimiento, acompañamientos, monitoreos, operativos de medición en vía a vehículos que transitan en el Distrito Capital, visitas técnicas de auditoria a Centros de Diagnóstico Automotor CDA'S, con esta información se construyó el informe de acciones de evaluación, control y seguimiento a las fuentes de emisión.
El avance acumulado se registra, así:
•Enero 0,15, de avance en la ejecución de la meta.
•Febrero 0,11, de avance en la ejecución de la meta.
•Marzo 0,10, de avance en la ejecución de la meta.
•	Abril 0,15, de avance en la ejecución de la meta.
•	Mayo 0,14, de avance en la ejecución de la meta."
</t>
  </si>
  <si>
    <t xml:space="preserve">"La Secretaría Distrital de Ambiente, en el marco de las acciones de seguimiento y control de emisión de ruido a los establecimientos de comercio, industria y servicio ubicados en el perímetro urbano del D.C., presenta avance acumulado al Plan de Desarrollo de (883) acciones, de los cuales (491) corresponde a la vigencia 2020 y (348) en la vigencia 2021, así:
•	Enero: (20) visitas y (16) documentos técnicos, total (36) acciones.
•	Febrero: (16) documentos técnicos.
•	Marzo: (89) visitas y (15) documentos técnicos, total (104) acciones.
•	 Abril: (96) visitas y (20) documentos técnicos, total mes (116) acciones, 
•	 Mayo: (76) visitas y (50) documentos técnicos, total mes (26) acciones, acumulado (348) acciones
Vigencia 2020:
Se realizaron 491 actuaciones técnicas, correspondientes a las 374 visitas relacionadas con acciones de seguimiento y control a emisiones de ruido y 117 documentos técnicos."
</t>
  </si>
  <si>
    <t xml:space="preserve">"La meta presenta un avance del 100% para la vigencia, que corresponde a:
 *Enero 2021, se proyecta el informe relacionado con la operación de la Red de Monitoreo de Ruido Ambiental de Bogotá (RMRAB), en la cual, se reportan principalmente la realización de las actividades acreditación del procedimiento de monitoreo de ruido ambiental ante el IDEAM, actividades de soporte y mantenimiento realizado a las estaciones de monitoreo de ruido, espacialización de datos de emisión de ruido Colector - ESRI y se presentó el procedimiento interno de manejo de PQR´s a la secretaria de salud.
*Febrero: actividades, de soporte y mantenimiento realizado a las estaciones de monitoreo de ruido, y el avance en el proceso de instalación de las estaciones de la RMRAB afectadas durante protestas. contratación del personal para a la operación de la RMRAB.
*Marzo: Se genera informe de avance semestral del mes de marzo relacionado con la operación de la Red de Monitoreo de Ruido Ambiental de Bogotá (RMRAB) durante el primer trimestre del 2021 en la cual se reportan principalmente la realización de las actividades de soporte y mantenimiento realizado a las estaciones de monitoreo de ruido y el avance en el proceso de instalación de las estaciones de la RMRAB afectadas durante protestas, además se realizaron los estudios previos para la renovación de los contratos de arrendamiento y se realizó el análisis técnico de los datos reportados en el mes de enero en el visor WEB MAIGRAI, solicitudes de cotización pata la compra de software y solicitudes de cotizaciones para la calibración de equipos.
* Abril:  Se genera informe de avance semestral del mes de abril relacionado con la operación de la Red de Monitoreo de Ruido Ambiental de Bogotá (RMRAB) durante los cuatro primeros meses del 2021 en la cual se reportan principalmente la realización de las   actividades de soporte y mantenimiento  realizado a las estaciones de monitoreo de ruido y la instalación de las 10 estaciones de la RMRAB afectadas durante protestas, además se firmaron los estudios previos para la renovación de los contratos de arrendamiento y se realizó el análisis técnico de los datos reportados en el mes de enero en el visor MAIGRAI, e avanzo en la realización del estudio previo para la compra de un software de modelación acústica.
Mayo: Para el mes de Mayo se proyecta en informe de operación de la Red de Monitoreo de Ruido Ambiental de Bogotá (RMRAB), en el cual se relacionan las operaciones y mantenimientos realizados a las estaciones que se encuentran en operación actualmente."
</t>
  </si>
  <si>
    <t xml:space="preserve">"Para la vigencia del Proyecto de Inversión del año 2021 se han realizado dos mil setecientas seis (2.706) acciones de evaluación, control y seguimiento:
Quince (15) operativos de control.
Sesenta (60) visitas de evaluación a elementos mayores.
Un (01) documento técnico firmado.
Tres (03) cargues de información a la plataforma SIIPEV.
Dos mil seiscientas veintisiete (2.627) evaluaciones a solicitudes de elementos de publicidad exterior visual.  Lo anterior, dando un avance para el cuatrienio de 3.998 acciones de evaluación, control y seguimiento 70 operativos de control y seguimiento,157 visitas a elementos mayores, 04 documentos técnicos, 54 visitas a elementos menores, 06 cargues de información a la plataforma SIIPEV, 3.707 evaluaciones a solicitudes de elementos de publicidad exterior visual."
</t>
  </si>
  <si>
    <t xml:space="preserve">"La Secretaría Distrital de Ambiente del 01 de enero al 31 de mayo de 2021 en ejercicio de su función sancionatoria acogió el 87.7% de los conceptos técnicos relacionados con el recurso ambiental aire, auditiva y visual y que recomiendan una actuación administrativa sancionatoria, como se relaciona a continuación: 
No de Conceptos Técnicos que recomiendan actuaciones administrativas sancionatorias: 122 Conceptos Técnicos.
No de Conceptos Técnicos atendidos jurídicamente: 107 Conceptos Técnicos acogidos
Avance  corte 31 mayo de 2021: 87.7%"
</t>
  </si>
  <si>
    <t>En cumplimiento acumulativo de la meta para 2021 se han desarrollado 52 actuaciones técnicas así: 20 visitas (8 efectivas con medición, 6 efectivas cerrar caso, 2 no efectivas para reprogramar, 4 efectivas sin medición en cumplimiento a actos administrativos) y 32 actuaciones técnicas correspondientes a otros documentos (3 informes acciones populares para las localidades de Antonio Nariño, Bosa y Teusaquillo, 1 concepto técnico aclaratorio, 28 oficios SUGA para eventos de aglomeración de público en el Distrito Capital).  Avance Acumulado en la vigencia 5,82%</t>
  </si>
  <si>
    <t>"Para el primer trimestre de la vigencia 2021, se han realizado los mantenimientos mensuales a todos los equipos de todas las estaciones de monitoreo de la red. Para el mes de abril de la vigencia 2021, se han realizado los mantenimientos mensuales a todos los equipos de todas las estaciones de monitoreo de la red.
Para el mes de mayo de la vigencia 2021, se han realizado los mantenimientos mensuales a todos los equipos de todas las estaciones de monitoreo de la red. Sin embargo, se generaron retrasos significativos en la atención a los correctivos debido a la capacidad operativa limitada que tiene la Red actualmente por no contar con los vehículos necesarios para atender las 20 estaciones actuales.
Acumulado de la actividad del 36,16%."</t>
  </si>
  <si>
    <t>"En el cumplimiento de los dos (02) informes de gestión programados para la vigencia 2021; se ha alcanzado un avance acumulado en la ejecución de la meta del 0,65, equivalente a un 25,5% respecto a lo programado. 
Este avance está basado en las actividades de recolección de información de las acciones de evaluación, control y seguimiento de los grupos de fuentes fijas y fuentes móviles. También en la intervención mediante actuaciones técnicas, visitas de control y seguimiento, acompañamientos, monitoreos, operativos de medición en vía a vehículos que transitan en el Distrito Capital, visitas técnicas de auditoria a Centros de Diagnóstico Automotor CDA'S, con esta información se construyó el informe de acciones de evaluación, control y seguimiento a las fuentes de emisión.
El avance acumulado se registra, así:
•Enero 0,15, de avance en la ejecución de la meta.
•Febrero 0,11, de avance en la ejecución de la meta.
•Marzo 0,10, de avance en la ejecución de la meta.
•	Abril 0,15, de avance en la ejecución de la meta.
•	Mayo 0,14, de avance en la ejecución de la meta.</t>
  </si>
  <si>
    <t>"ENERO 20 visitas así: 8 efectivas con medición, 4 efectivas sin medición, correspondientes a actos administrativos, 6 efectivas para cerrar el caso y 2 no efectivas (reprogramar). 
FEBRERO 0 visitas.
MARZO 89 visitas así: 5 visitas efectivas con medición, 5 visitas efectivas sin medición, 51 visitas efectivas cerrar caso, 28 visitas no efectivas (reprogramar). 
ABRIL 96 visitas así: 12 visitas efectivas con medición, 13 visitas efectivas en atención a actos administrativos, 40 visitas efectivas para cerrar el caso y 31 visitas no efectivas (reprogramar).
MAYO: 61 visitas.</t>
  </si>
  <si>
    <t>Durante la vigencia 2021, se ha realizado la construcción y proyección del informe relacionado con la operación de la Red de Monitoreo de Ruido Ambiental de Bogotá (RMRAB) durante los meses de enero, febrero, marzo, abril y Mayo del 2021 en la cual se reportan principalmente la realización de las siguientes actividades: acreditación del procedimiento de monitoreo de ruido ambiental ante el IDEAM, actividades de soporte y mantenimiento realizado a las estaciones de monitoreo de ruido, espacialización de datos de emisión de ruido Colector - ESRI y se presenta el procedimiento interno de manejo de PQR´s a la Secretaría de Salud, la firma  de estudios previos para la renovación de los contratos del Edificio Ejecutivo Plaza, Edificio Marly 51, Edificio Restrepo y Hotel Morrison.</t>
  </si>
  <si>
    <t>"Para la vigencia del Proyecto de Inversión del año 2021 se han realizado dos mil setecientas seis (2.706) acciones de evaluación, control y seguimiento:
Quince (15) operativos de control.
Sesenta (60) visitas de evaluación a elementos mayores.
Un (01) documento técnico firmado.
Tres (03) cargues de información a la plataforma SIIPEV.
Dos mil seiscientas veintisiete (2.627) evaluaciones a solicitudes de elementos de publicidad exterior visual.  Lo anterior, dando un avance para el cuatrienio de 3.998 acciones de evaluación, control y seguimiento 70 operativos de control y seguimiento,157 visitas a elementos mayores, 04 documentos técnicos, 54 visitas a elementos menores, 06 cargues de información a la plataforma SIIPEV, 3.707 evaluaciones a solicitudes de elementos de publicidad exterior visual.</t>
  </si>
  <si>
    <t>"Durante la ejecución 2021, se han realizado mantenimientos preventivos y correctivos, validación y análisis de datos, diaria de las concentraciones de contaminantes criterio y parámetros meteorológicos que monitorea la RMCAB incluyendo las nuevas estaciones en la red (Bolivia, Usme, Ciudad Bolívar, Bosa, Jazmín, Colina y Móvil Fontibón), así como sus respectivos informes. Se mantuvo el plan de prueba de sensores de bajo costo.
Se realizó y publicó el informe trimestral ene-abr 2021 y anual 2020. Adicionalmente se publicó el informe mensual de mayo 2021.
Se mantiene el proceso de validación de los datos generados por las nuevas estaciones y los equipos. Se realizó la revisión de la parte jurídica y de cooperación a la estructura del Convenio entre la SDA y la CAR de Cundinamarca, estableciendo necesidades de poder definir el tipo de convenio a realizar, el periodo de ejecución y el rol de cada entidad para los formatos a utilizar y el cargue de los documentos. En ese sentido, se realizó reunión con los profesionales de la Corporación Autónoma Regional de Cundinamarca para establecer las actividades a realizar en el marco de la integración de las redes de la SDA y la CAR, específicamente lo relacionado con el tema de modelación de calidad del aire, en ese sentido se avanzó en la estructura del Convenio, específicamente en lo relacionado con las actividades para el componente de modelación.
Como parte del proceso de colaboración entre la Red de Monitoreo de Calidad del Aire de Bogotá – RMCAB y los diferentes actores en el establecimiento de esta red colaborativa de sensores de bajo costo se mantuvo la operación de los sensores instalados en la estación de Las Ferias por parte del Colectivo CanAir.io, La Universidad Central y La Universidad Nacional. Adicionalmente, se mantiene en operación los sensores de bajo costo del Colectivo CanAir.io en la estación Kennedy y en la estación del Tunal y se realizó la instalación de los sensores en el marco de la consultoría para evaluación de sensores de bajo costo liderado por el grupo de CIMAB y SATAB.
Para el mes de junio se completo el análisis de datos y la redacción del informe mensual de mayo de 2021. Asimismo, el equipo de la RMCAB en el mes de junio completo la elaboración y publicó los informes trimestrales ene-abr 2021 y anual 2020. Adicionalmente se publicó el informe mensual de mayo.</t>
  </si>
  <si>
    <t>"En el cumplimiento de los dos (02) informes de gestión programados para la vigencia 2021; se ha alcanzado un avance acumulado en la ejecución de la meta de 1 equivalente a un 50% respecto a lo programado. 
Este avance está basado en las actividades de recolección de información de las acciones de evaluación, control y seguimiento de los grupos de fuentes fijas y fuentes móviles. También en la intervención mediante actuaciones técnicas, visitas de control y seguimiento, acompañamientos, monitoreos, operativos de medición en vía a vehículos que transitan en el Distrito Capital, visitas técnicas de auditoria a Centros de Diagnóstico Automotor CDA'S, con esta información se construyó el informe de acciones de evaluación, control y seguimiento a las fuentes de emisión.
El avance acumulado se registra, así:
•	Enero 0,15, de avance en la ejecución de la meta.
•	Febrero 0,11, de avance en la ejecución de la meta.
•	Marzo 0,10, de avance en la ejecución de la meta.
•	Abril 0,15, de avance en la ejecución de la meta.
•	Mayo 0,14, de avance en la ejecución de la meta.
•	Junio 0,35, de avance en la ejecución de la meta.</t>
  </si>
  <si>
    <t>"Para la vigencia 2021, se han desarrollado 463 actuaciones técnicas que corresponde a un 51,85% respecto a lo programado, y a su vez, un avance del 20,2% durante el cuatrienio.
Este avance del 2021, se conforma de 357 (41 visitas efectivas con medición, 24 visitas efectivas sin medición en cumplimiento a actos administrativos, 175 visitas efectivas para cerrar el caso, 117 visitas no efectivas para reprogramar) y 106 actuaciones técnicas correspondientes a otros documentos (14 informes de acciones populares, para las localidades de Antonio Nariño, Bosa, Fontibón y Teusaquillo, 1 concepto técnico aclaratorio, 19 socializaciones a la OPEL, 1 socialización CAL, 1 socialización CAL, 4 otras socializaciones a JAL, Humedal el Burro, mesa de empresarios y mesa de ASOBARES, 4 estudios de ruido, 57 oficios SUGA).</t>
  </si>
  <si>
    <t>"La meta presenta un avance del 100% para la vigencia, que corresponde a:
 *Enero 2021, se proyecta el informe relacionado con la operación de la Red de Monitoreo de Ruido Ambiental de Bogotá (RMRAB), en la cual, se reportan principalmente la realización de las actividades acreditación del procedimiento de monitoreo de ruido ambiental ante el IDEAM, actividades de soporte y mantenimiento realizado a las estaciones de monitoreo de ruido, espacialización de datos de emisión de ruido Colector - ESRI y se presentó el procedimiento interno de manejo de PQR´s a la secretaria de salud.
*Febrero: actividades, de soporte y mantenimiento realizado a las estaciones de monitoreo de ruido, y el avance en el proceso de instalación de las estaciones de la RMRAB afectadas durante protestas. contratación del personal para a la operación de la RMRAB.
*Marzo: Se genera informe de avance semestral del mes de marzo relacionado con la operación de la Red de Monitoreo de Ruido Ambiental de Bogotá (RMRAB) durante el primer trimestre del 2021 en la cual se reportan principalmente la realización de las actividades de soporte y mantenimiento realizado a las estaciones de monitoreo de ruido y el avance en el proceso de instalación de las estaciones de la RMRAB afectadas durante protestas, además se realizaron los estudios previos para la renovación de los contratos de arrendamiento y se realizó el análisis técnico de los datos reportados en el mes de enero en el visor WEB MAIGRAI, solicitudes de cotización pata la compra de software y solicitudes de cotizaciones para la calibración de equipos.
* Abril:  Se genera informe de avance semestral del mes de abril relacionado con la operación de la Red de Monitoreo de Ruido Ambiental de Bogotá (RMRAB) durante los cuatro primeros meses del 2021 en la cual se reportan principalmente la realización de las   actividades de soporte y mantenimiento  realizado a las estaciones de monitoreo de ruido y la instalación de las 10 estaciones de la RMRAB afectadas durante protestas, además se firmaron los estudios previos para la renovación de los contratos de arrendamiento y se realizó el análisis técnico de los datos reportados en el mes de enero en el visor MAIGRAI, e avanzo en la realización del estudio previo para la compra de un software de modelación acústica.
* Mayo: Para el mes de Mayo se proyecta en informe de operación de la Red de Monitoreo de Ruido Ambiental de Bogotá (RMRAB), en el cual se relacionan las operaciones y mantenimientos realizados a las estaciones que se encuentran en operación actualmente.
*Junio: Se termina la consolidación del informe semestral de operación de la Red de Monitoreo de Ruido Ambiental de Bogotá (RMRAB).</t>
  </si>
  <si>
    <t>"Para la vigencia del Proyecto de Inversión del año 2021 se han realizado tres mil quinientas cuatro (3.504) acciones de evaluación, control y seguimiento:
-	Dieciséis (16) operativos de control.
-	Setenta y cuatro (74) visitas de evaluación a elementos mayores.
-	Tres (03) documentos técnicos firmados.
-	Cuatro (04) cargues de información a la plataforma SIIPEV.
-	Tres mil cuatrocientas siete (3.407) evaluaciones a solicitudes de elementos de publicidad exterior visual.
Lo anterior, dando un avance para el cuatrienio de 4.796 acciones de evaluación, control y seguimiento 70 operativos de control y seguimiento,157 visitas a elementos mayores, 04 documentos técnicos, 54 visitas a elementos menores, 06 cargues de información a la plataforma SIIPEV, 3.707 evaluaciones a solicitudes de elementos de publicidad exterior visual.
Para la vigencia del año 2020 y 2021 del Proyecto de Inversión se han realizado tres mil novecientas noventa y ocho (4.796) acciones de evaluación, control y seguimiento:
-	Setenta y un (71) operativos de control y seguimiento
-	Ciento setenta y un (171) visitas a elementos mayores
-	Seis (06) documentos técnicos
-	Cincuenta y cuatro (54) visitas IVC a elementos menores
-	Siete (07) cargues de información a la plataforma SIIPEV
-	Cuatro mil cuatrocientas ochenta y siete (4.487) evaluaciones a solicitudes de elementos de publicidad exterior visual.</t>
  </si>
  <si>
    <t xml:space="preserve">"La Secretaría Distrital de Ambiente del 01 de enero al 30 de junio de 2021 en ejercicio de su función sancionatoria acogió el 91.6% de los conceptos técnicos relacionados con el recurso ambiental aire, auditiva y visual y que recomiendan una actuación administrativa sancionatoria, como se relaciona a continuación: 
No de Conceptos Técnicos que recomiendan actuaciones administrativas sancionatorias: 192 Conceptos Técnicos.
No de Conceptos Técnicos atendidos jurídicamente: 176 Conceptos Técnicos acogidos."
</t>
  </si>
  <si>
    <t>"Para el primer trimestre de la vigencia 2021, se han realizado los mantenimientos mensuales a todos los equipos de todas las estaciones de monitoreo de la red. Para el mes de abril de la vigencia 2021, se han realizado los mantenimientos mensuales a todos los equipos de todas las estaciones de monitoreo de la red.
Para el mes de mayo de la vigencia 2021, se han realizado los mantenimientos mensuales a todos los equipos de todas las estaciones de monitoreo de la red. Sin embargo, se generaron retrasos significativos en la atención a los correctivos debido a la capacidad operativa limitada que tiene la Red actualmente por no contar con los vehículos necesarios para atender las 20 estaciones actuales.
junio, se han realizado los mantenimientos mensuales a todos los equipos de todas las estaciones de monitoreo de la red. Sin embargo, se evidenció una limitación en la operatividad, asociada a los 4 casos positivos de COVID-19 que se presentaron en el equipo de campo.</t>
  </si>
  <si>
    <t xml:space="preserve">"En el cumplimiento de los dos (02) informes de gestión programados para la vigencia 2021; se ha alcanzado un avance acumulado en la ejecución de la meta de 1 equivalente a un 50% respecto a lo programado. 
Este avance está basado en las actividades de recolección de información de las acciones de evaluación, control y seguimiento de los grupos de fuentes fijas y fuentes móviles. También en la intervención mediante actuaciones técnicas, visitas de control y seguimiento, acompañamientos, monitoreos, operativos de medición en vía a vehículos que transitan en el Distrito Capital, visitas técnicas de auditoria a Centros de Diagnóstico Automotor CDA'S, con esta información se construyó el informe de acciones de evaluación, control y seguimiento a las fuentes de emisión.
El avance acumulado se registra, así:
•	Enero 0,15, de avance en la ejecución de la meta.
•	Febrero 0,11, de avance en la ejecución de la meta.
•	Marzo 0,10, de avance en la ejecución de la meta.
•	Abril 0,15, de avance en la ejecución de la meta.
•	Mayo 0,14, de avance en la ejecución de la meta.
•	Junio 0,35, de avance en la ejecución de la meta."
</t>
  </si>
  <si>
    <t>"ENERO 20 visitas así: 8 efectivas con medición, 4 efectivas sin medición, correspondientes a actos administrativos, 6 efectivas para cerrar el caso y 2 no efectivas (reprogramar). 
FEBRERO 0 visitas.
MARZO 89 visitas así: 5 visitas efectivas con medición, 5 visitas efectivas sin medición, 51 visitas efectivas cerrar caso, 28 visitas no efectivas (reprogramar). 
ABRIL 96 visitas así: 12 visitas efectivas con medición, 13 visitas efectivas en atención a actos administrativos, 40 visitas efectivas para cerrar el caso y 31 visitas no efectivas (reprogramar).
MAYO 61 visitas así: 9 visitas efectivas con medición, 2 visitas efectivas en atención a actos administrativos, 33 visitas efectivas para cerrar el caso, 17 visitas no efectivas (reprogramar)
JUNIO 91 visitas así: 7 visitas efectivas con medición, 45 visitas efectivas para cerrar el caso, 39 visitas no efectivas para (reprogramar)."</t>
  </si>
  <si>
    <t>El Plan Estratégico para la Gestión Integral de la Calidad del Aire – Plan Aire 2030, se encuentra enmarcado en el desarrollo de las acciones de monitoreo, control y gestión a la calidad del aire en la ciudad de Bogotá; las cuales serán realizadas conjuntamente como ciudad, en el marco del desarrollo de la estrategia de gobernanza, mediante la ejecución de los 45 proyectos consolidados en su estructura, los cuales aportan al cumplimiento de la meta de reducir el 10% promedio ponderado de Material Partículado PM 10 y PM 2.5 a 2030. 
En ese orden de ideas, el Plan Aire 2030, pretende resolver la problemática de contaminación atmosférica en Bogotá, con la ejecución de los proyectos enfocadas en la mitigación de las principales fuentes generadores de emisión, como son: sector transporte, sector industrial, sector de la construcción e infraestructura urbana, sector comercial y sector de maquinaria fuera de ruta. 
Como instrumento de planeación de la ciudad, no se podrá generar para el Plan Aire una diferenciación territorial en la intervención de las acciones, sino que estará enfocado a los sectores y fuentes de emisiones priorizadas</t>
  </si>
  <si>
    <t>Mapas de Plan Aire ( Anexo SHAPE FILE)</t>
  </si>
  <si>
    <t>Distrito Capital:  Fuentes Fijas
En la ejecución de la meta del PDD y en particular en la meta del Proyecto de Inversión para el caso de los informes de la meta plan de desarrollo y su territorialización especifica se dificulta en algunos casos puntuales ya que las afectaciones generadas son temporales y difíciles de ubicar, para el caso de fuentes fijas, debido a que las emisiones generadas tienen una repetitividad en el tiempo y el espacio ya que las actividades económicas procesos productivos de gran tamaño no pueden trasladarse permanentemente su ubicación por localidades UPZ y barrio es mucho mas factible, en cuanto a los operativos de móviles ya que la secretaria escoge los puntos de control su georefenciacion es mas sencilla.</t>
  </si>
  <si>
    <t>Bogotá D.C. 
Ruido ambiental, de acuerdo con lo establecido en la Resolución 0627 de 2006 del entonces Ministerio de Ambiente, Vivienda y Desarrollo Territorial, se constituyó la Red de Monitoreo de Ruido Ambiental de Bogotá – RMRAB, la cual consiste en un sistema de adquisición en tiempo real de datos acústicos relacionados con ruido ambiental, adquisición que emplea el método descrito en la Norma ISO 1996: Acústica. Descripción, medición y evaluación del ruido ambiental
Nota: Si bien la operación de la red de monitoreo de ruido ambiental de Bogotá, se realiza por estaciones ubicadas en distintos sectores de la ciudad; la medición y resultados generados se establecen a nivel ciudad.</t>
  </si>
  <si>
    <t>Localidades:
USAQUEN
USME
TUNJUELITO
FONTIBON
ENGATIVA
BARRIOS UNIDOS
TEUSAQUILLO
LOS MARTIRES
ANTONIO NARIÑO
PUENTE ARANDA
LA CANDELARIA
RAFAEL URIBE URIBE</t>
  </si>
  <si>
    <t>Durante la ejecución 2021, se han realizado mantenimientos preventivos y correctivos, validación y análisis de datos, diaria de las concentraciones de contaminantes criterio y parámetros meteorológicos que monitorea la RMCAB incluyendo las nuevas estaciones en la red (Bolivia, Usme, Ciudad Bolívar, Bosa, Jazmín, Colina y Móvil Fontibón), así como sus respectivos informes. Se mantuvo el plan de prueba de sensores de bajo costo.
Se realizó y publicó el informe trimestral ene-abr 2021 y anual 2020. Adicionalmente se publicó el informe mensual de mayo 2021.
Se mantiene el proceso de validación de los datos generados por las nuevas estaciones y los equipos. Se realizó la revisión de la parte jurídica y de cooperación a la estructura del Convenio entre la SDA y la CAR de Cundinamarca, estableciendo necesidades de poder definir el tipo de convenio a realizar, el periodo de ejecución y el rol de cada entidad para los formatos a utilizar y el cargue de los documentos. En ese sentido, se realizó reunión con los profesionales de la Corporación Autónoma Regional de Cundinamarca para establecer las actividades a realizar en el marco de la integración de las redes de la SDA y la CAR, específicamente lo relacionado con el tema de modelación de calidad del aire, en ese sentido se avanzó en la estructura del Convenio, específicamente en lo relacionado con las actividades para el componente de modelación.
Como parte del proceso de colaboración entre la Red de Monitoreo de Calidad del Aire de Bogotá – RMCAB y los diferentes actores en el establecimiento de esta red colaborativa de sensores de bajo costo se mantuvo la operación de los sensores instalados en la estación de Las Ferias por parte del Colectivo CanAir.io, La Universidad Central y La Universidad Nacional. Adicionalmente, se mantiene en operación los sensores de bajo costo del Colectivo CanAir.io en la estación Kennedy y en la estación del Tunal y se realizó la instalación de los sensores en el marco de la consultoría para evaluación de sensores de bajo costo liderado por el grupo de CIMAB y SATAB.
Para el mes de junio se completo el análisis de datos y la redacción del informe mensual de mayo de 2021. Asimismo, el equipo de la RMCAB en el mes de junio completo la elaboración y publicó los informes trimestrales ene-abr 2021 y anual 2020. Adicionalmente se publicó el informe mensual de mayo.
Para el mes de julio se reportaron los mantenimientos preventivos y correctivos que se realizaron durante el mes, se realizó la validación diaria de los datos de concentraciones de contaminantes criterio y parámetros meteorológicos que monitorea la RMCAB. Para el mes de julio se completo el análisis de datos y la redacción del informe mensual de junio de 2021, completando su elaboración y posterior publicación. 
Para el mes de julio como parte del proceso de colaboración entre la Red de Monitoreo de Calidad del Aire de Bogotá – RMCAB y los diferentes actores en el establecimiento de esta red colaborativa de sensores de bajo costo se mantuvo la operación de los sensores instalados en la estación de Las Ferias por parte del Colectivo CanAir.io, La Universidad Central y La Universidad Nacional. Se mantiene en operación los sensores de bajo costo del Colectivo CanAir.io en la estación Kennedy y en la estación del Tunal y se realizó la instalación de los microsensores en el marco del proceso de consultoría para evaluación de sensores de bajo costo liderado por el grupo de CIMAB y SATAB. Adicionalmente, se realizó el apoyo para el montaje de otros microsensores en cuatro estaciones de la RMCAB en el marco de un proyecto liderado por la Universidad Nacional y que busca medir la calidad del aire en cinco ciudades del pais con este tipo de instrumentos.</t>
  </si>
  <si>
    <t xml:space="preserve">En el marco de la gestión integral de la calidad del aire de Bogotá, a la fecha (julio - 2021) se han presentado 3 documentos técnicos, los cuales son: 1. Documento técnico de Plan Aire, con sus respectivos anexos y el Decreto del Plan Aire, 2. Informe de seguimiento semestral del grupo de SATAB 2021-I. 3. Documento de modelación. Así mismo, se viene trabajando en el desarrollo de 5 documentos técnicos, los cuales serán presentados en el transcurso del año, siendo: 1. Informe semestral de Seguimiento al Plan Estratégico para la Gestión Integral de la Calidad del Aire – Plan Aire 2030, en el cual se ha venido reportando el avance mensual de los 37 proyectos que se encuentran en el plan de acción. 2. Se ha venido trabajando en la estructuración del documento de inventario de emisiones 2021. 3. Documento protocolo de actuación, donde se ajustó el documento del Plan de Contingencia para la atención de episodios de contaminación atmosférica en la ciudad conforme a las observaciones realizadas por parte del equipo del IDIGER. 4. Documento estrategia de gobernanza, este se incluyó en el plan de gestión integral de Calidad del Aire de Bogotá con dos fases principales: Formulación de la estrategia en 2021-2022 e implementación de la estrategia durante el periodo 2022-2024. 5. Informe de seguimiento semestral del grupo de SATAB 2021-II, en el cual se ha venido trabajando en la descripción de las cuatro líneas estratégicas para su operación: i) Índice Bogotano de Calidad del Aire y Riesgo en salud -IBOCA- ii) Avance en la actualización del Plan de Contingencia para la atención de eventos de contaminación atmosférica iii) Gobernanza de la calidad del aire, iv) Monitoreo y análisis de contaminantes y sensores de bajo costo. 
</t>
  </si>
  <si>
    <t xml:space="preserve">"En el cumplimiento de los dos (02) informes de gestión programados para la vigencia 2021; se ha alcanzado un avance acumulado en la ejecución de la meta de 1 equivalente a un 50% respecto a lo programado. 
Este avance está basado en las actividades de recolección de información de las acciones de evaluación, control y seguimiento de los grupos de fuentes fijas y fuentes móviles. También en la intervención mediante actuaciones técnicas, visitas de control y seguimiento, acompañamientos, monitoreos, operativos de medición en vía a vehículos que transitan en el Distrito Capital, visitas técnicas de auditoria a Centros de Diagnóstico Automotor CDA'S, con esta información se construyó el informe de acciones de evaluación, control y seguimiento a las fuentes de emisión.
El avance acumulado se registra, así:
•	Enero 0,15, de avance en la ejecución de la meta.
•	Febrero 0,11, de avance en la ejecución de la meta.
•	Marzo 0,10, de avance en la ejecución de la meta.
•	Abril 0,15, de avance en la ejecución de la meta.
•	Mayo 0,14, de avance en la ejecución de la meta.
•	Junio 0,35, de avance en la ejecución de la meta.
•	Julio 0,18, de avance en la ejecución de la meta"
</t>
  </si>
  <si>
    <t xml:space="preserve">"La meta presenta un avance del 100% para la vigencia, que corresponde a:
- Enero 2021, se proyecta el informe relacionado con la operación de la Red de Monitoreo de Ruido Ambiental de Bogotá (RMRAB), en la cual, se reportan principalmente la realización de las actividades acreditación del procedimiento de monitoreo de ruido ambiental ante el IDEAM, actividades de soporte y mantenimiento realizado a las estaciones de monitoreo de ruido, espacialización de datos de emisión de ruido Colector - ESRI y se presentó el procedimiento interno de manejo de PQR´s a la secretaria de salud.
- Febrero: actividades, de soporte y mantenimiento realizado a las estaciones de monitoreo de ruido, y el avance en el proceso de instalación de las estaciones de la RMRAB afectadas durante protestas. contratación del personal para a la operación de la RMRAB.
- Marzo: Se genera informe de avance semestral del mes de marzo relacionado con la operación de la Red de Monitoreo de Ruido Ambiental de Bogotá (RMRAB) durante el primer trimestre del 2021 en la cual se reportan principalmente la realización de las actividades de soporte y mantenimiento realizado a las estaciones de monitoreo de ruido y el avance en el proceso de instalación de las estaciones de la RMRAB afectadas durante protestas, además se realizaron los estudios previos para la renovación de los contratos de arrendamiento y se realizó el análisis técnico de los datos reportados en el mes de enero en el visor WEB MAIGRAI, solicitudes de cotización pata la compra de software y solicitudes de cotizaciones para la calibración de equipos.
- Abril:  Se genera informe de avance semestral del mes de abril relacionado con la operación de la Red de Monitoreo de Ruido Ambiental de Bogotá (RMRAB) durante los cuatro primeros meses del 2021 en la cual se reportan principalmente la realización de las   actividades de soporte y mantenimiento  realizado a las estaciones de monitoreo de ruido y la instalación de las 10 estaciones de la RMRAB afectadas durante protestas, además se firmaron los estudios previos para la renovación de los contratos de arrendamiento y se realizó el análisis técnico de los datos reportados en el mes de enero en el visor MAIGRAI, e avanzo en la realización del estudio previo para la compra de un software de modelación acústica.
- Mayo: Para el mes de Mayo se proyecta en informe de operación de la Red de Monitoreo de Ruido Ambiental de Bogotá (RMRAB), en el cual se relacionan las operaciones y mantenimientos realizados a las estaciones que se encuentran en operación actualmente.
- Junio: Se termina la consolidación del informe semestral de operación de la Red de Monitoreo de Ruido Ambiental de Bogotá (RMRAB).
- Julio:  se genera avance del informe  semestral relacionado con la operación de la Red de Monitoreo de Ruido Ambiental de Bogotá (RMRAB) durante el primer mes del segundo semestre del del 2021, en el cual se reportan principalmente la realización de las   actividades de soporte y mantenimiento  realizado a las estaciones de monitoreo de ruido, se hace el reporte del informe semestral de operación y análisis de datos del primer semestre, informe semestral de laboratorio ambiental e infome de gestión. Se avanzó en la realización del estudio previo para la compra de un software de modelación acústica, además se realizó la proyección de presupuesto para el año 2022. Por otro lado se cargaron a SIPSE los documentos actualizados del Edificio Ejecutivo Plaza para la renovación del contrato; en lo refente a materia de acreditación de la metodología de la ISO 1996 ante el IDEAM , se adelantó con la generación y revisión de documentos requeridos en la lista de chequeo generada por la RMRAB"
</t>
  </si>
  <si>
    <t xml:space="preserve">"Durante el mes de julio, se realizaron doscientas sesenta y cinco (265) acciones en cumplimiento de la meta:
Once (11) operativos de control: 55 establecimientos en Teusaquillo
Veinticuatro (24) visitas de evaluación a elementos mayores en Barrios Unidos, Fontibón, Kennedy, Puente Aranda, Suba, Teusaquillo, Tunjuelito y Usaquén.
Ciento once (111) documentos técnicos firmados.
Un (01) cargue de información a la plataforma SIIPEV.
Ciento dieciocho (118) evaluaciones a solicitudes de elementos de publicidad exterior visual.
Para la vigencia del Proyecto de Inversión del año 2021 se han realizado tres mil quinientas cuatro (3.769) acciones de evaluación, control y seguimiento:
Veintisiete (27) operativos de control.
Noventa y ocho (98) visitas de evaluación a elementos mayores.
Ciento catorce (114) documentos técnicos firmados.
Cinco (05) cargues de información a la plataforma SIIPEV.
Tres mil quinientas veinticinco (3.525) evaluaciones a solicitudes de elementos de publicidad exterior visual.
Lo anterior, dando un avance para el cuatrienio de 5.061  acciones de evaluación, control y seguimiento: 82 operativos de control y seguimiento,195 visitas a elementos mayores, 117 documentos técnicos, 54 visitas a elementos menores, 08 cargues de información a la plataforma SIIPEV, 4.605 evaluaciones a solicitudes de elementos de publicidad exterior visual."
</t>
  </si>
  <si>
    <t xml:space="preserve">"La Secretaría Distrital de Ambiente del 01 de enero al 31 de julio de 2021 en ejercicio de su funcion sancionatoria acogió el 97.63% de los conceptos técnicos relacionados con el recurso  ambiental aire, auditiva y visual y que recomiendan una actuación administrativa sancionatoria, como se relaciona a continuación: 
No de Conceptos Técnicos que recomiendan actuaciones administrativas sancionatorias: 294 Conceptos Técnicos.
No de Conceptos Técnicos atendidos jurídicamente: 286 Conceptos Técnicos acogidos
</t>
  </si>
  <si>
    <t>Para la vigencia 2021, se han desarrollado 559 actuaciones técnicas que corresponde a un 62,6% respecto a lo programado para el año, y a su vez, un avance del 22,3% durante el cuatrienio.
Este avance del 2021, se conforma de 440  (49 visitas efectivas con medición, 31 visitas efectivas sin medición en cumplimiento a actos administrativos, 214 visitas efectivas para cerrar el caso, 146 visitas no efectivas para reprogramar) y 119 actuaciones técnicas correspondientes a otros documentos (17 informes de acciones populares, para las localidades de Antonio Nariño, Bosa, Fontibón y Teusaquillo, 1 concepto técnico aclaratorio, 19 socializaciones a la OPEL, 1 socialización CAL, 1 socialización CAL, 4 otras socializaciones a JAL, Humedal el Burro, mesa de empresarios y mesa de ASOBARES, 4 estudios de ruido, 67 oficios SUGA)</t>
  </si>
  <si>
    <t>ENERO 20 visitas así: 8 efectivas con medición, 4 efectivas sin medición, correspondientes a actos administrativos, 6 efectivas para cerrar el caso y 2 no efectivas (reprogramar). 
FEBRERO 0 visitas.
MARZO 89 visitas así: 5 visitas efectivas con medición, 5 visitas efectivas sin medición, 51 visitas efectivas cerrar caso, 28 visitas no efectivas (reprogramar). 
ABRIL 96 visitas así: 12 visitas efectivas con medición, 13 visitas efectivas en atención a actos administrativos, 40 visitas efectivas para cerrar el caso y 31 visitas no efectivas (reprogramar).
MAYO 61 visitas así: 9 visitas efectivas con medición, 2 visitas efectivas en atención a actos administrativos, 33 visitas efectivas para cerrar el caso, 17 visitas no efectivas (reprogramar)
JUNIO 91 visitas así: 7 visitas efectivas con medición, 45 visitas efectivas para cerrar el caso, 39 visitas no efectivas para (reprogramar).
JULIO 83 visitas así: 8 visitas efectivas con medición, 7 visitas efectivas sin medición, 39 visitas efectivas para cerrar el caso y 29 visitas no efectivas para (reprogramar)</t>
  </si>
  <si>
    <t xml:space="preserve">Durante el mes agosto se realizaron doscientas tres (203) acciones en cumplimiento de la meta:
Diez (10) operativos: (09) de control en Teusaquillo y (01) de sensibilización en La Candelaria: 45 y 10 establecimientos respectivamente.
Veinticinco (25) visitas de evaluación a elementos mayores en Barrios Unidos, Engativá, Fontibón, Kennedy, Suba, Teusaquillo, y Usaquén.
Cinco (05) documentos técnicos firmados.
Un (01) cargue de información a la plataforma SIIPEV.
Ciento treinta y dos (132) evaluaciones a solicitudes de elementos de publicidad exterior visual.
Para la vigencia del Proyecto de Inversión del año 2021 se han realizado tres mil novecientas setenta y dos (3.972) acciones de evaluación, control y seguimiento:
Treinta y siete (37) operativos de control y sensibilización
Ciento veintitrés (123) visitas de evaluación a elementos mayores.
Ciento diecinueve (119) documentos técnicos firmados.
Seis (06) cargues de información a la plataforma SIIPEV.
Tres mil seiscientas ochenta y siete (3.687) evaluaciones a solicitudes de elementos de publicidad exterior visual.
Lo anterior, dando un avance para el cuatrienio de 5.264 acciones de evaluación, control y seguimiento: 92 operativos de control y seguimiento, 220 visitas de evaluación a elementos mayores, 122 documentos técnicos, 54 visitas a elementos menores, 09 cargues de información a la plataforma SIIPEV, 4.767 evaluaciones a solicitudes de elementos de publicidad exterior visual.
</t>
  </si>
  <si>
    <t>Para la vigencia 2021, se han desarrollado 661 actuaciones técnicas que corresponde a un 74,0% respecto a lo programado para el año, y a su vez, un avance del 24,5% durante el cuatrienio.
Este avance del 2021, se conforma de 529  (58 visitas efectivas con medición, 45 visitas efectivas sin medición en cumplimiento a actos administrativos, 251 visitas efectivas para cerrar el caso, 175 visitas no efectivas para reprogramar) y 132 actuaciones técnicas correspondientes a otros documentos (18 informes de acciones populares, para las localidades de Antonio Nariño, Bosa, Fontibón y Teusaquillo, 1 concepto técnico aclaratorio, 19 socializaciones a la OPEL, 1 socialización CAL, 1 socialización CAL, 4 otras socializaciones a JAL, Humedal el Burro, mesa de empresarios y mesa de ASOBARES, 5 estudios de ruido, 78 oficios SUGA).</t>
  </si>
  <si>
    <t>La meta presenta un avance del 100% para la vigencia, que corresponde a:
- Enero 2021, se proyecta el informe relacionado con la operación de la Red de Monitoreo de Ruido Ambiental de Bogotá (RMRAB), en la cual, se reportan principalmente la realización de las actividades acreditación del procedimiento de monitoreo de ruido ambiental ante el IDEAM, actividades de soporte y mantenimiento realizado a las estaciones de monitoreo de ruido, espacialización de datos de emisión de ruido Colector - ESRI y se presentó el procedimiento interno de manejo de PQR´s a la secretaria de salud.
- Febrero: actividades, de soporte y mantenimiento realizado a las estaciones de monitoreo de ruido, y el avance en el proceso de instalación de las estaciones de la RMRAB afectadas durante protestas. contratación del personal para a la operación de la RMRAB.
- Marzo: Se genera informe de avance semestral del mes de marzo relacionado con la operación de la Red de Monitoreo de Ruido Ambiental de Bogotá (RMRAB) durante el primer trimestre del 2021 en la cual se reportan principalmente la realización de las actividades de soporte y mantenimiento realizado a las estaciones de monitoreo de ruido y el avance en el proceso de instalación de las estaciones de la RMRAB afectadas durante protestas, además se realizaron los estudios previos para la renovación de los contratos de arrendamiento y se realizó el análisis técnico de los datos reportados en el mes de enero en el visor WEB MAIGRAI, solicitudes de cotización pata la compra de software y solicitudes de cotizaciones para la calibración de equipos.
- Abril:  Se genera informe de avance semestral del mes de abril relacionado con la operación de la Red de Monitoreo de Ruido Ambiental de Bogotá (RMRAB) durante los cuatro primeros meses del 2021 en la cual se reportan principalmente la realización de las   actividades de soporte y mantenimiento  realizado a las estaciones de monitoreo de ruido y la instalación de las 10 estaciones de la RMRAB afectadas durante protestas, además se firmaron los estudios previos para la renovación de los contratos de arrendamiento y se realizó el análisis técnico de los datos reportados en el mes de enero en el visor MAIGRAI, e avanzo en la realización del estudio previo para la compra de un software de modelación acústica.
- Mayo: Para el mes de Mayo se proyecta en informe de operación de la Red de Monitoreo de Ruido Ambiental de Bogotá (RMRAB), en el cual se relacionan las operaciones y mantenimientos realizados a las estaciones que se encuentran en operación actualmente.
- Junio: Se termina la consolidación del informe semestral de operación de la Red de Monitoreo de Ruido Ambiental de Bogotá (RMRAB).
- Julio:  se genera avance del informe  semestral relacionado con la operación de la Red de Monitoreo de Ruido Ambiental de Bogotá (RMRAB) durante el primer mes del segundo semestre del 2021, en el cual se reportan principalmente la realización de las   actividades de soporte y mantenimiento  realizado a las estaciones de monitoreo de ruido, se hace el reporte del informe semestral de operación y análisis de datos del primer semestre, informe semestral de laboratorio ambiental e informe de gestión. Se avanzó en la realización del estudio previo para la compra de un software de modelación acústica, además se realizó la proyección de presupuesto para el año 2022. Por otro lado, se cargaron a SIPSE los documentos actualizados del Edificio Ejecutivo Plaza para la renovación del contrato; en lo refente a materia de acreditación de la metodología de la ISO 1996 ante el IDEAM, se adelantó con la generación y revisión de documentos requeridos en la lista de chequeo generada por la RMRAB.
Agosto: se realiza el 100% de las acciones relacionadas con la operación y mantenimiento de la Red de Monitoreo de Ruido Ambiental de Bogotá (RMRAB), presentación avance del informe semestral para el segundo periodo del 2021, presentación del avance del informe de los Mapas Estratégicos de Ruido del Distrito (MER), actualización de valor central cartas control, seguimiento a arriendos, respuestas a solicitudes ciudadanas, cargue de documentos para la renovación de los contratos de arriendo,  realización de anexo técnico  del estudio previo para la adquisición de un software de modelación acústica, solicitud a la empresa ETB del cronograma de instalación de internet, solicitud de mantenimientos de las estaciones de ruido por parte de la empresa TEKCEN S.A.S. y Cargue de adiciones en el sistema SIPSE del personal de la RMRAB.</t>
  </si>
  <si>
    <t>En el marco de la gestión integral de la calidad del aire de Bogotá, a la fecha se han presentado 3 documentos técnicos, los cuales son: 1. Documento técnico de Plan Aire, con sus respectivos anexos y el Decreto del Plan Aire, 2. Informe de seguimiento semestral del grupo de SATAB 2021-I. 3. Documento de modelación. Así mismo, se viene trabajando en el desarrollo de 5 documentos técnicos, los cuales serán presentados en el transcurso del año, siendo: 1. Informe semestral de Seguimiento al Plan Estratégico para la Gestión Integral de la Calidad del Aire – Plan Aire 2030, en el cual se ha venido reportando el avance mensual de los 37 proyectos que se encuentran en el plan de acción. 2. Se ha venido trabajando en la estructuración y revisión metodológica del Informe de Actualización de Inventarios de Emisiones 2021 - II. 3. Documento protocolo de actuación, donde se ajustó el documento del Plan de Contingencia para la atención de episodios de contaminación atmosférica en la ciudad conforme a las observaciones realizadas por parte del equipo del IDIGER. 4. Documento estrategia de gobernanza, este se incluyó en el plan de gestión integral de Calidad del Aire de Bogotá con dos fases principales: Formulación de la estrategia en 2021-2022 e implementación de la estrategia durante el periodo 2022-2024. 5. Informe de seguimiento semestral del grupo de SATAB 2021-II, en el cual se ha venido trabajando en la descripción de las cuatro líneas estratégicas para su operación: i) Índice Bogotano de Calidad del Aire y Riesgo en salud -IBOCA- ii) Avance en la actualización del Plan de Contingencia para la atención de eventos de contaminación atmosférica iii) Gobernanza de la calidad del aire, iv) Monitoreo y análisis de contaminantes y v) sensores de bajo costo.</t>
  </si>
  <si>
    <t>Durante la ejecución 2021, se han realizado mantenimientos preventivos y correctivos, validación y análisis de datos, diaria de las concentraciones de contaminantes criterio y parámetros meteorológicos que monitorea la RMCAB incluyendo las nuevas estaciones en la red (Bolivia, Usme, Ciudad Bolívar, Bosa, Jazmín, Colina y Móvil Fontibón), así como sus respectivos informes. Se mantuvo el plan de prueba de sensores de bajo costo.
Se realizó y publicó el informe trimestral ene-abr 2021 y anual 2020. Adicionalmente se han publicó los informes mensuales de enero a julio de 2021.
Se mantiene el proceso de validación de los datos generados por las nuevas estaciones y los equipos. Se realizó la revisión de la parte jurídica y de cooperación a la estructura del Convenio entre la SDA y la CAR de Cundinamarca, estableciendo necesidades de poder definir el tipo de convenio a realizar, el periodo de ejecución y el rol de cada entidad para los formatos a utilizar y el cargue de los documentos. En ese sentido, se realizó reunión con los profesionales de la Corporación Autónoma Regional de Cundinamarca para establecer las actividades a realizar en el marco de la integración de las redes de la SDA y la CAR, específicamente lo relacionado con el tema de modelación de calidad del aire, en ese sentido se avanzó en la estructura del Convenio, específicamente en lo relacionado con las actividades para el componente de modelación.
Se realizaron mantenimientos preventivos y correctivos, validación y análisis de datos y se mantuvo el plan de prueba de sensores de bajo costo.
Para el mes de agosto el porcentaje de cumplimiento para este indicador es del 93%. Se reportaron los mantenimientos preventivos y correctivos que se realizaron durante el mes, se realizó la validación diaria de los datos de concentraciones de contaminantes criterio y parámetros meteorológicos que monitorea la RMCAB. El reporte de operatividad para el mes de agosto fue del 92,6%  el cual es promedio de los datos validos de todos los parámetros de la red en las estaciones que se genera a través de Envista. Para el mes de agosto se completo el análisis de datos y la redacción del  informe mensual de julio de 2021, completando su elaboración y posterior publicación. Cabe mencionar que durante agosto los indicadores relacionados con el trabajo en campo se vieron afectados debido a las limitaciones en la operación de la RMCAB asociadas a la baja disponibilidad de vehículos que ha tenido la SCAAV y que ha generado retrasos en la atención a las actividades correctivas y algunas actividades de tipo preventivo debido a que la mayor parte del tiempo solo se cuenta con un vehículo  para atender 20 estaciones y mover 7 contratistas.
Para el mes de agosto como parte del proceso de colaboración entre la Red de Monitoreo de Calidad del Aire de Bogotá – RMCAB y los diferentes actores en el establecimiento de esta red colaborativa de sensores de bajo costo se mantuvo la operación de los sensores instalados en la estación de Las Ferias por parte del Colectivo CanAir.io, La Universidad Central y La Universidad Nacional. Se mantiene en operación los sensores de bajo costo del Colectivo CanAir.io en la estación Kennedy y en la estación del Tunal y se realizó la instalación de los microsensores en el marco del proceso de  consultoria para evaluación de sensores de bajo costo liderado por el grupo de CIMAB y SATAB. Adicionalmente, se realizó el apoyo para el montaje de otros microsensores en cuatro estaciones de la RMCAB en el marco de un proyecto liderado por la Universidad Nacional y que busca medir la calidad del aire en cinco ciudades del pais con este tipo de instrumentos.</t>
  </si>
  <si>
    <t>En el cumplimiento de los dos (02) informes de gestión programados para la vigencia 2021; se ha alcanzado un avance acumulado en la ejecución de la meta de 1,39 equivalente a un 69,5% respecto a lo programado. 
Este avance está basado en las actividades de recolección de información de las acciones de evaluación, control y seguimiento de los grupos de fuentes fijas y fuentes móviles. También en la intervención mediante actuaciones técnicas, visitas de control y seguimiento, acompañamientos, monitoreos, operativos de medición en vía a vehículos que transitan en el Distrito Capital, visitas técnicas de auditoria a Centros de Diagnóstico Automotor CDA'S, con esta información se construyó el informe de acciones de evaluación, control y seguimiento a las fuentes de emisión.
El avance acumulado se registra, así:
•	Enero 0,15, de avance en la ejecución de la meta.
•	Febrero 0,11, de avance en la ejecución de la meta.
•	Marzo 0,10, de avance en la ejecución de la meta.
•	Abril 0,15, de avance en la ejecución de la meta.
•	Mayo 0,14, de avance en la ejecución de la meta.
•	Junio 0,35, de avance en la ejecución de la meta.
•	Julio 0,18, de avance en la ejecución de la meta.
•	Agosto 0,13, de avance en la ejecución de la meta</t>
  </si>
  <si>
    <t>La Secretaría Distrital de Ambiente del 01 de enero al 31 de agosto de 2021 en ejercicio de su función sancionatoria acogió el 97.72% de los conceptos técnicos relacionados con el recurso ambiental aire, auditiva y visual y que recomiendan una actuación administrativa sancionatoria, como se relaciona a continuación: 
No de Conceptos Técnicos que recomiendan actuaciones administrativas sancionatorias: 352 Conceptos Técnicos.
No de Conceptos Técnicos atendidos jurídicamente: 344 Conceptos Técnicos acogidos.</t>
  </si>
  <si>
    <t>Durante el mes de septiembre se realizaron doscientas noventa y cuatro (294) acciones en cumplimiento de la meta:
Diez (10) operativos de control en Engativá y Teusaquillo: 50 establecimientos.
Dieciocho (18) visitas de evaluación a elementos mayores en Antonio Nariño, Chapinero, Fontibón, Suba, Teusaquillo, y Usaquén.
Un (01) cargue de información a la plataforma SIIPEV.
Doscientos sesenta y cinco (265) evaluaciones a solicitudes de elementos de publicidad exterior visual.
Para la vigencia del Proyecto de Inversión del año 2021 se han realizado cuatro mil doscientas sesenta y seis (4.266) acciones de evaluación, control y seguimiento:
Cuarenta y siete (47) operativos de control y sensibilización
Ciento cuarenta y uno (141) visitas de evaluación a elementos mayores.
Ciento diecinueve (119) documentos técnicos firmados.
Siete (07) cargues de información a la plataforma SIIPEV.
Tres mil novecientas cincuenta y dos (3.952) evaluaciones a solicitudes de elementos de publicidad exterior visual.
Lo anterior, dando un avance para el cuatrienio de 5.558 acciones de evaluación, control y seguimiento: 102 operativos de control y seguimiento, 238 visitas de evaluación a elementos mayores, 122 documentos técnicos, 54 visitas a elementos menores, 10 cargues de información a la plataforma SIIPEV, 5.032 evaluaciones a solicitudes de elementos de publicidad exterior visual.</t>
  </si>
  <si>
    <t>Para la vigencia 2021, se han desarrollado 757 actuaciones técnicas que corresponde a un 84,8% respecto a lo programado para el año, y a su vez, un avance del 26,6% durante el cuatrienio.
Este avance del 2021, se conforma de: 622 visitas y 135 actuaciones correspondientes a otros documentos técnicos;
•	I trimestre: 13 efectivas con medición, 9 efectivas sin medición, 57 efectivas para cerrar el caso, 30 no efectivas para reprogramar y 47 otros documentos técnicos. Total, trimestre 156 acciones.
•	II trimestre: 28 efectivas con medición, 15 efectivas sin medición, 118 efectivas para cerrar el caso, 87 no efectivas para reprogramar y 59 otros documentos técnicos. Total, trimestre 307 acciones.
•	III trimestre: 25 efectivas con medición, 29 efectivas sin medición, 113 efectivas para cerrar el caso, 98 no efectivas para reprogramar y 29 otros documentos técnicos. Total, trimestre 294 acciones.</t>
  </si>
  <si>
    <t>Avance del 100% para la vigencia 2021, que corresponde a:
* Primer trimestre del año 2021 se avanza en la consolidación del informe relacionado con la operación de la Red de Monitoreo de Ruido Ambiental de Bogotá (RMRAB), se realizaron actividades, de soporte y mantenimiento realizado a las estaciones de monitoreo de ruido, y el avance en el proceso de instalación de las estaciones de la RMRAB afectadas durante protestas del 2020 y la contratación del personal para a la operación de la RMRAB.
* Segundo trimestre del 2021 se realiza el 100% de las acciones relacionadas con la operación y mantenimiento de la Red de Monitoreo de Ruido Ambiental de Bogotá (RMRAB), presentación avance del informe semestral del 2021, informe de gestión y balance social e informe de laboratorio y metrología para la operación de la RMRAB, actualización de Valor Central Cartas Control, seguimiento a arriendos, respuestas a solicitudes ciudadanas, firma de estudios previos para la renovación de los contratos de arriendo, convenios para la operación de estaciones de monitoreo, reporte de las estaciones vandalizadas, reunión con el comité técnico para la aprobación del contrato de arrendamiento con el Edificio Ejecutivo Plaza, realización de estudio previo para la adquisición de un Software de modelación acústica, acompañamiento a la empresa ETB para la reconexión de internet, verificación y acompañamiento a los mantenimientos de las estaciones de ruido por parte de la empresa TEKCEN S.A.S.
* Tercer trimestre del año 2021; avance del informe semestral relacionado con la operación de la Red de Monitoreo de Ruido Ambiental de Bogotá (RMRAB) durante el segundo mes del segundo semestre del 2021, en la cual se reportan la realización de las actividades de soporte y mantenimiento realizado a las estaciones de monitoreo de ruido, se hace entrega del primer avance del informe de actualización de los Mapas Estratégicos del Distrito (MER), avance del informe de Laboratorio Ambiental y se solicitó concepto técnico sobre la infraestructura tecnológica para la instalación del software de modelación acústica. La acreditación ante el IDEAM y la NTC ISO/IEC 17025, se adelantó con la generación y revisión de documentos requeridos en la lista de chequeo generada para tal fin.</t>
  </si>
  <si>
    <t>En el marco de la gestión integral de la calidad del aire de Bogotá, en el Primer semestre de la vigencia 2021 se han presentado 3 documentos técnicos, asi: 
1. Documento técnico de Plan Aire, con sus respectivos anexos y el Decreto del Plan Aire.
2. Informe de seguimiento semestral del grupo de SATAB 2021-I.
3. Documento de modelación. 
Para el Segundo semestre, se viene trabajando en el desarrollo de 5 documentos técnicos, los cuales serán presentados al termino del segundo semestre del 2021;
1. Informe semestral de Seguimiento al Plan Estratégico para la Gestión Integral de la Calidad del Aire – Plan Aire 2030, en el cual se reporta el avance mensual de los 37 proyectos que se encuentran en el plan de acción. 
2. Estructuración y revisión metodológica del Informe de Actualización de Inventarios de Emisiones 2021 - II.
3. Documento protocolo de actuación, del Plan de Contingencia para la atención de episodios de contaminación atmosférica en la ciudad frente a los componentes de conocimiento del riesgo, reducción del riesgo y manejo de alertas y emergencias.
4. Documento estrategia de Gobernanza, este se incluyó en el plan de gestión integral de Calidad del Aire de Bogotá con dos fases principales: Formulación de la estrategia en 2021-2022 e implementación de la estrategia durante el periodo 2022-2024.
5. Informe de seguimiento semestral del grupo de SATAB 2021-II, descripción de las cuatro líneas estratégicas para su operación: i) Índice Bogotano de Calidad del Aire y Riesgo en salud -IBOCA- ii) Avance en la actualización del Plan de Contingencia para la atención de eventos de contaminación atmosférica iii) Gobernanza de la calidad del aire, iv) Monitoreo y análisis de contaminantes y v) sensores de bajo costo.</t>
  </si>
  <si>
    <t>En el cumplimiento de los dos (02) informes de gestión programados para la vigencia 2021; se ha alcanzado un avance acumulado en la ejecución de la meta de equivalente a un 75% respecto a lo programado. 
Este avance está basado en las actividades de recolección de información de las acciones de evaluación, control y seguimiento de los grupos de fuentes fijas y fuentes móviles. También en la intervención mediante actuaciones técnicas, visitas de control y seguimiento, acompañamientos, monitoreos, operativos de medición en vía a vehículos que transitan en el Distrito Capital, visitas técnicas de auditoria a Centros de Diagnóstico Automotor CDA'S, con esta información se construyó el informe de acciones de evaluación, control y seguimiento a las fuentes de emisión.
Para el primer semestre del año el acumulado es de 1 informe entregado como avance en la ejecución de la meta
Para el segundo semestre del año el acumulado es de 0,48 de avance en la ejecución de la meta.</t>
  </si>
  <si>
    <t>Durante la ejecución 2021, se han realizado mantenimientos preventivos y correctivos, validación y análisis de datos, diaria de las concentraciones de contaminantes criterio y parámetros meteorológicos que monitorea la RMCAB incluyendo las nuevas estaciones en la red (Bolivia, Usme, Ciudad Bolívar, Bosa, Jazmín, Colina y Móvil Fontibón), así como sus respectivos informes. Se mantuvo el plan de prueba de sensores de bajo costo.
Para el tercer trimestre de la vigencia 2021, Se realizaron mantenimientos preventivos y correctivos, validación y análisis de datos, incluyendo nuevas estaciones en la RMCAB (Bolivia, Usme, Ciudad Bolívar, Bosa, Jazmín, Colina y Móvil Fontibón) se trabajó en integración SDA-CAR y se mantuvo el plan de prueba de sensores de bajo costo. Promedio Trimestral 96%
Para el mes de septiembre el porcentaje de cumplimiento para este indicador es del 98%. Se reportaron los mantenimientos preventivos y correctivos que se realizaron durante el mes, se realizó la validación diaria de los datos de concentraciones de contaminantes criterio y parámetros meteorológicos que monitorea la RMCAB. El reporte de operatividad para el mes de septiembre fue del 92,6% el cual es promedio de los datos validos de todos los parámetros de la red en las estaciones que se genera a través de Envista. Para el mes de septiembre se completo el análisis de datos y la redacción del informe mensual de agosto y del informe trimestral abr-jun del 2021, completando su elaboración y posterior publicación.
como parte del proceso de colaboración entre la Red de Monitoreo de Calidad del Aire de Bogotá – RMCAB y los diferentes actores en el establecimiento de esta red colaborativa de sensores de bajo costo se mantuvo la operación de los sensores instalados en la estación de Las Ferias por parte del Colectivo CanAir.io, La Universidad Central y La Universidad Nacional. Se mantiene en operación los sensores de bajo costo del Colectivo CanAir.io en las estaciones Kennedy y Tunal.</t>
  </si>
  <si>
    <t>La Secretaría Distrital de Ambiente del 01 de enero al 30 de septiembre de 2021 en ejercicio de su función sancionatoria acogió el 98% de los conceptos técnicos relacionados con el recurso  ambiental aire, auditiva y visual y que recomiendan una actuación administrativa sancionatoria, como se relaciona a continuación: 
No de Conceptos Técnicos que recomiendan actuaciones administrativas sancionatorias: 627 Conceptos Técnicos.
No de Conceptos Técnicos atendidos jurídicamente: 612 Conceptos Técnicos acogidos.</t>
  </si>
  <si>
    <t>Para el 2021, se han desarrollado 826 actuaciones técnicas correspondientes al 92,5% de lo programado en el año, y un avance del 28% del cuatrienio.
El avance 2021 es: 691 visitas y 135 actuaciones de otros documentos técnicos
•	I trimestre: 13 efectivas de medición, 9 efectivas sin medición, 57 efectivas para cerrar el caso, 30 no efectivas para reprogramar y 47 otros documentos técnicos. Total, trimestre 156 acciones.
•	II trimestre: 28 efectivas de medición, 15 efectivas sin medición, 118 efectivas para cerrar el caso, 87 no efectivas para reprogramar y 59 otros documentos técnicos. Total, trimestre 307 acciones.
•	III trimestre: 25 efectivas de medición, 29 efectivas sin medición, 113 efectivas para cerrar el caso, 98 no efectivas para reprogramar y 29 otros documentos técnicos. Total, trimestre 294 acciones.
•	Octubre: 12 efectivas de medición, 3 efectivas sin medición, 22 efectivas para cerrar el caso, 32 no efectivas para reprogramar. Total, mes 69 acciones.</t>
  </si>
  <si>
    <t>La Secretaría Distrital de Ambiente, en el marco de las acciones de operación, mantenimiento y monitoreo de la red de ruido realizadas, presenta el avance de la vigencia que se detalla a continuación:
Durante el año 2020 se proyectaron los informes correspondientes a la operación Red de Monitoreo de Ruido Ambiental de Bogotá - RMRAB, en la cual, se reportan principalmente la realización de las actividades acreditación del procedimiento de monitoreo de ruido ambiental ante el IDEAM, actividades de soporte y mantenimiento realizado a las estaciones de monitoreo.
*Durante el primer trimestre del año 2021 se avanza en la consolidación del informe relacionado con la operación de la RMRAB, donde se realizaron las siguientes actividades, de soporte y mantenimiento realizado a las estaciones de monitoreo de ruido, y el avance en el proceso de instalación de las estaciones de la RMRAB afectadas durante protestas. contratación del personal para a la operación de la RMRAB.
* Durante el segundo trimestre del 2021 se realiza el 100% de las acciones relacionadas con la operación y mantenimiento de la Red, presentación avance del informe semestral del 2021, informe de gestión y balance social e informe de laboratorio y metrología para la operación de la RMRAB, , Firma de estudios previos para la renovación de los contratos de arriendo, convenios para la operación de estaciones de monitoreo, reporte de las estaciones vandalizadas, realización de estudio previo para la adquisición de un software de modelación acústica.
Durante el decimo (10) mes del año 2021, se mantiene el 100% de avance en la Meta; Se genera avance del informe  semestral relacionado con la operación de la RMRAB, , en la cual se reportan principalmente la realización de las actividades de soporte y mantenimiento  realizado a las estaciones de monitoreo de ruido, se realiza cargue al sistema SIPSE para la compra de los Mapas Estratégicos del Distrito (MER).</t>
  </si>
  <si>
    <t>La meta presenta a Octubre de 2021 un avance del 100% para la vigencia, que corresponde a: 
 *Durante el primer trimestre del año 2021 se avanza en la consolidación del informe relacionado con la operación de la RMRAB, donde se realizaron las siguientes actividades, de soporte y mantenimiento realizado a las estaciones de monitoreo de ruido, y el avance en el proceso de instalación de las estaciones de la RMRAB afectadas durante protestas. contratación del personal para a la operación de la RMRAB.
* Durante el segundo trimestre del 2021 se realiza el 100% de las acciones relacionadas con la operación y mantenimiento de la Red, presentación avance del informe semestral del 2021, informe de gestión y balance social e informe de laboratorio y metrología para la operación de la RMRAB, , Firma de estudios previos para la renovación de los contratos de arriendo, convenios para la operación de estaciones de monitoreo, reporte de las estaciones vandalizadas, realización de estudio previo para la adquisición de un software de modelación acústica.
Durante el decimo (10) mes del año 2021, se mantiene el 100% de avance en la Meta; Se genera avance del informe  semestral relacionado con la operación de la RMRAB, , en la cual se reportan principalmente la realización de las actividades de soporte y mantenimiento  realizado a las estaciones de monitoreo de ruido, se realiza cargue al sistema SIPSE para la compra de los Mapas Estratégicos del Distrito (MER).</t>
  </si>
  <si>
    <t>En el marco de la gestión integral de la calidad del aire de Bogotá, en el Primer semestre de la vigencia 2021 se presentaron los siguientes 3 documentos técnicos, asi: 
1. Documento técnico de Plan Aire, con sus respectivos anexos y el Decreto del Plan Aire.
2. Informe de seguimiento semestral del grupo de SATAB 2021-I.
3. Documento de modelación. 
A continuación, se da el avance de los otros cinco (5) documentos, a presentar:
4. Informe semestral de Seguimiento al Plan Estratégico para la Gestión Integral de la Calidad del Aire – Plan Aire 2030, en el cual se reporta el avance mensual de los 37 proyectos que se encuentran en el plan de acción. 
5. Estructuración y revisión metodológica del Informe de Actualización de Inventarios de Emisiones 2021 - II.
6. Documento protocolo de actuación, del Plan de Contingencia para la atención de episodios de contaminación atmosférica en la ciudad frente a los componentes de conocimiento del riesgo, reducción del riesgo y manejo de alertas y emergencias.
7. Documento estrategia de Gobernanza, este se incluyó en el plan de gestión integral de Calidad del Aire de Bogotá con dos fases principales: Formulación de la estrategia en 2021-2022 e implementación de la estrategia durante el periodo 2022-2024.
8. Informe de seguimiento semestral del grupo de SATAB 2021-II, descripción de las cuatro líneas estratégicas para su operación: i) Índice Bogotano de Calidad del Aire y Riesgo en salud -IBOCA- ii) Avance en la actualización del Plan de Contingencia para la atención de eventos de contaminación atmosférica iii) Gobernanza de la calidad del aire, iv) Monitoreo y análisis de contaminantes y v) sensores de bajo costo.</t>
  </si>
  <si>
    <t>La Secretaría Distrital de Ambiente del 01 de enero al 31 de octubre de 2021 en ejercicio de su función sancionatoria acogió el 99.8% de los conceptos técnicos relacionados con el recurso ambiental aire, auditiva y visual y que recomiendan una actuación administrativa sancionatoria, como se relaciona a continuación: 
No de Conceptos Técnicos que recomiendan actuaciones administrativas sancionatorias: 851 Conceptos Técnicos.
No de Conceptos Técnicos atendidos jurídicamente: 850 Conceptos Técnicos acogidos
Avance corte 30 octubre de 2021: 100%.</t>
  </si>
  <si>
    <t>Durante la ejecución 2021, se han realizado mantenimientos preventivos y correctivos, validación y análisis de datos, diaria de las concentraciones de contaminantes criterio y parámetros meteorológicos que monitorea la RMCAB incluyendo las nuevas estaciones en la red (Bolivia, Usme, Ciudad Bolívar, Bosa, Jazmín, Colina y Móvil Fontibón), así como sus respectivos informes. Se mantuvo el plan de prueba de sensores de bajo costo.
Para el tercer trimestre de la vigencia 2021, Se realizaron mantenimientos preventivos y correctivos, validación y análisis de datos, incluyendo nuevas estaciones en la RMCAB (Bolivia, Usme, Ciudad Bolívar, Bosa, Jazmín, Colina y Móvil Fontibón) se trabajó en integración SDA-CAR y se mantuvo el plan de prueba de sensores de bajo costo. Promedio Trimestral 96%
Para el mes de octubre el porcentaje de cumplimiento para este indicador es del 96%. Se reportaron los mantenimientos preventivos y correctivos que se realizaron durante el mes, se realizó la validación diaria de los datos de concentraciones de contaminantes criterio y parámetros meteorológicos que monitorea la RMCAB. 
Para el mes de octubre se completo el análisis de datos y la redacción del informe mensual de septiembre completando su elaboración y posterior publicación.</t>
  </si>
  <si>
    <t>En el cumplimiento de los dos (02) informes de gestión programados para la vigencia 2021; se ha alcanzado un avance acumulado en la ejecución de la meta de equivalente a un 88,5% respecto a lo programado. 
Este avance está basado en las actividades de recolección de información de las acciones de evaluación, control y seguimiento de los grupos de fuentes fijas y fuentes móviles. También en la intervención mediante actuaciones técnicas, visitas de control y seguimiento, acompañamientos, monitoreos, operativos de medición en vía a vehículos que transitan en el Distrito Capital, visitas técnicas de auditoria a Centros de Diagnóstico Automotor CDA'S, con esta información se construyó el informe de acciones de evaluación, control y seguimiento a las fuentes de emisión.
Para el primer semestre del año el acumulado es de 1 ,0 de avance en la ejecución de la meta
Para el segundo semestre del año el acumulado es de 0,83 de avance en la ejecución de la meta.</t>
  </si>
  <si>
    <t>Para la vigencia del Proyecto de Inversión del año 2021 se han realizado cuatro mil doscientas sesenta y seis (4.841) acciones de evaluación, control y seguimiento:
Cincuenta y cuatro (54) operativos de control y sensibilización
Ciento cuarenta y uno (141) visitas de evaluación a elementos mayores.
Doscientos Cuatro (204) documentos técnicos firmados.
Ocho (08) cargues de información a la plataforma SIIPEV.
Cuatro Mil Cuatrocientas treinta y cuatro (4.434) evaluaciones a solicitudes de elementos de publicidad exterior visual.
Lo anterior, dando un avance para el cuatrienio de 6.133 acciones de evaluación, control y seguimiento: 109 operativos de control y seguimiento, 238 visitas de evaluación a elementos mayores, 207 documentos técnicos, 54 visitas a elementos menores, 11 cargues de información a la plataforma SIIPEV, 5.514 evaluaciones a solicitudes de elementos de publicidad exterior visual.</t>
  </si>
  <si>
    <t>1-601-F001 PAS-OTROS DISTRITO</t>
  </si>
  <si>
    <t>Para la vigencia 2021, se viene trabajando en el desarrollo de 5 documentos técnicos, los cuales serán presentados asi;
1. Informe semestral de Seguimiento al Plan Estratégico para la Gestión Integral de la Calidad del Aire – Plan Aire 2030, en el cual se reporta el avance mensual de los 37 proyectos que se encuentran en el plan de acción. 
2. Estructuración y revisión metodológica del Informe de Actualización de Inventarios de Emisiones 2021 - II.
3. Documento protocolo de actuación, del Plan de Contingencia para la atención de episodios de contaminación atmosférica en la ciudad frente a los componentes de conocimiento del riesgo, reducción del riesgo y manejo de alertas y emergencias.
4. Documento estrategia de Gobernanza, este se incluyó en el plan de gestión integral de Calidad del Aire de Bogotá con dos fases principales: Formulación de la estrategia en 2021-2022 e implementación de la estrategia durante el periodo 2022-2024.
5. Informe de seguimiento semestral del grupo de SATAB 2021-II, descripción de las cuatro líneas estratégicas para su operación: i) Índice Bogotano de Calidad del Aire y Riesgo en salud -IBOCA- ii) Avance en la actualización del Plan de Contingencia para la atención de eventos de contaminación atmosférica iii) Gobernanza de la calidad del aire, iv) Monitoreo y análisis de contaminantes y v) sensores de bajo costo.</t>
  </si>
  <si>
    <t>En el cumplimiento de los dos (02) informes de gestión programados para la vigencia 2021; se ha alcanzado un avance acumulado en la ejecución de la meta de equivalente a un 89% respecto a lo programado. 
Este avance está basado en las actividades de recolección de información de las acciones de evaluación, control y seguimiento de los grupos de fuentes fijas y fuentes móviles. También en la intervención mediante actuaciones técnicas, visitas de control y seguimiento, acompañamientos, monitoreos, operativos de medición en vía a vehículos que transitan en el Distrito Capital, visitas técnicas de auditoria a Centros de Diagnóstico Automotor CDA'S, con esta información se construyó el informe de acciones de evaluación, control y seguimiento a las fuentes de emisión.
Para el primer semestre del año el acumulado es de 1 informe entregado como avance en la ejecución de la meta.</t>
  </si>
  <si>
    <t>Para Octubre de 2021, se han realizado de: 691 visitas 
•	I trimestre: Total, trimestre 109 visitas tecnicas.
•	II trimestre: Total, trimestre 248 visitas tecnicas.
•	III trimestre:  Total, trimestre 265 visitas tecnicas.
Octubre de 2021, Total 69 visitas tecnicas.</t>
  </si>
  <si>
    <t>EJECUTADO ACUMUALDO  SEGPLAN AÑO 2021</t>
  </si>
  <si>
    <t>PROGRAMADO ACUMULADO SEGPLAN AÑO 2021</t>
  </si>
  <si>
    <t>EJECUTADO ACUMUALDO AL PERIODO AÑO 2021</t>
  </si>
  <si>
    <t>PROGRAMADO ACUMULADO AL PERIODO AÑO 2021</t>
  </si>
  <si>
    <t xml:space="preserve"> AÑO 2021</t>
  </si>
  <si>
    <t>Para el 2021, se han desarrollado 891 actuaciones técnicas correspondientes al 99,8% de lo programado en el año, y un avance del 29,4% del cuatrienio.
El avance 2021 es: 756 visitas y 135 actuaciones de otros documentos técnicos
•	I trimestre: 13 efectivas de medición, 9 efectivas sin medición, 57 efectivas para cerrar el caso, 30 no efectivas para reprogramar y 47 otros documentos técnicos. Total, trimestre 156 acciones.
•	II trimestre: 28 efectivas de medición, 15 efectivas sin medición, 118 efectivas para cerrar el caso, 87 no efectivas para reprogramar y 59 otros documentos técnicos. Total, trimestre 307 acciones.
•	III trimestre: 25 efectivas de medición, 29 efectivas sin medición, 113 efectivas para cerrar el caso, 98 no efectivas para reprogramar y 29 otros documentos técnicos. Total, trimestre 294 acciones.
•	Octubre: 12 efectivas de medición, 3 efectivas sin medición, 22 efectivas para cerrar el caso, 32 no efectivas para reprogramar. Total, mes 69 acciones.
•	Noviembre: 10 efectivas de medición, 2 efectivas sin medición, 11 efectivas para cerrar el caso, 42 no efectivas para reprogramar. Total, mes 65 acciones.</t>
  </si>
  <si>
    <t>En el marco de la gestión integral de la calidad del aire de Bogotá, a la fecha se han presentado 4 documentos técnicos, los cuales son: 1. Documento técnico de Plan Aire, con sus respectivos anexos y el Decreto del Plan Aire. 2. Informe de seguimiento semestral del grupo de SATAB 2021-I. 3. Documento de modelación. 4. Plan de Contingencia para la atención de eventos de contaminación atmosférica.
Así mismo, se viene trabajando en el desarrollo de 4 documentos técnicos, los cuales serán presentados al final del año, siendo: 1. Informe semestral de Seguimiento al Plan Estratégico para la Gestión Integral de la Calidad del Aire – Plan Aire 2030, donde se ha venido reportando el avance mensual de los 37 proyectos que se encuentran en el plan de acción, el cual cuenta con un 50% de ejecución. 2. Respecto al Informe de Actualización del Inventario de Emisiones 2021 – II Se ha venido trabajando en el cálculo de emisiones de Blanck Carbon para el año 2020 y los impactos que este tiene en la calidad del aire, teniendo un 65% de ejecución. 3. Documento estrategia de gobernanza, este se incluyó en el plan de gestión integral de Calidad del Aire de Bogotá con dos fases principales: Formulación de la estrategia en 2021-2022 e implementación de la estrategia durante el periodo 2022-2024, el cual cuenta con un 70% de ejecución. 4. Informe de seguimiento semestral del grupo de SATAB 2021-II, en el cual se ha venido trabajando en la descripción de las cuatro líneas estratégicas para su operación: i) Índice Bogotano de Calidad del Aire y Riesgo en salud -IBOCA- ii) Avance en la actualización del Plan de Contingencia para la atención de eventos de contaminación atmosférica iii) Gobernanza de la calidad del aire, iv) Monitoreo y análisis de contaminantes y v) sensores de bajo costo, el cual cuenta con un 80% de ejecución.
Avance Acumulado de la Meta: 88,75%</t>
  </si>
  <si>
    <t>La meta presenta un avance del 100% para la vigencia, que corresponde a:
*Para el primer trimestre del año 2021 se avanza en la consolidación del informe relacionado con la operación de la Red de Monitoreo de Ruido Ambiental de Bogotá (RMRAB), donde se realizaron las siguientes actividades, de soporte y mantenimiento realizado a las estaciones de monitoreo de ruido, y el avance en el proceso de instalación de las estaciones de la RMRAB afectadas durante protestas. contratación del personal para a la operación de la RMRAB.
* Para el segundo trimestre del 2021 se realizan las acciones relacionadas con la operación y mantenimiento de la Red de Monitoreo de Ruido Ambiental de Bogotá (RMRAB), presentación avance del informe semestral del 2021, actualización de Valor Central Cartas Control, seguimiento a arriendos, respuestas a solicitudes ciudadanas, reporte de las estaciones vandalizadas, reunión con el comité técnico para la aprobación del contrato del ejecutivo plaza,  realización de estudio previo para la adquisición de un software de modelación acústica y acompañamiento a los mantenimientos de las estaciones de ruido por parte de la empresa TEKCEN S.A.S.
*Para el un decimo (11) mes del año 2021 Se genera avance del informe semestral relacionado con la operación de la Red de Monitoreo de Ruido Ambiental de Bogotá (RMRAB), en la cual se reportan principalmente la realización de las actividades de soporte y mantenimiento realizado a las estaciones de monitoreo de ruido, se hace entrega del avance del informe semestral. Por otro lado, se cargaron las adiciones del personal de la RMRAB.</t>
  </si>
  <si>
    <t>La Secretaría Distrital de Ambiente del 01 de enero al 30 de noviembre de 2021 en ejercicio de su función sancionatoria acogió el 100 % de los conceptos técnicos relacionados con el recurso ambiental aire, auditiva y visual y que recomiendan una actuación administrativa sancionatoria, como se relaciona a continuación: 
No de Conceptos Técnicos que recomiendan actuaciones administrativas sancionatorias: 1.023 Conceptos Técnicos.
No de Conceptos Técnicos atendidos jurídicamente: 1.022 Conceptos Técnicos acogidos
Avance con corte 30 noviembre de 2021: 90.9%.</t>
  </si>
  <si>
    <t>Durante la ejecución 2021, se han realizado mantenimientos preventivos y correctivos, validación y análisis de datos, diaria de las concentraciones de contaminantes criterio y parámetros meteorológicos que monitorea la RMCAB incluyendo las nuevas estaciones en la red (Bolivia, Usme, Ciudad Bolívar, Bosa, Jazmín, Colina y Móvil Fontibón), así como sus respectivos informes. Se mantuvo el plan de prueba de sensores de bajo costo.
Para el tercer trimestre de la vigencia 2021, Se realizaron mantenimientos preventivos y correctivos, validación y análisis de datos, incluyendo nuevas estaciones en la RMCAB (Bolivia, Usme, Ciudad Bolívar, Bosa, Jazmín, Colina y Móvil Fontibón) se trabajó en integración SDA-CAR y se mantuvo el plan de prueba de sensores de bajo costo. Promedio Trimestral 96%
Para el mes de octubre el porcentaje de cumplimiento para este indicador es del 96%. Se reportaron los mantenimientos preventivos y correctivos que se realizaron durante el mes, se realizó la validación diaria de los datos de concentraciones de contaminantes criterio y parámetros meteorológicos que monitorea la RMCAB. 
Para el mes de noviembre se completo el análisis de datos y la redacción del informe mensual de septiembre completando su elaboración y posterior publicación.</t>
  </si>
  <si>
    <t>Para la vigencia del Proyecto de Inversión del año 2021 se han realizado cuatro mil ochocientas noventa y ocho (4.898) acciones de evaluación, control y seguimiento:
- Cincuenta y nueve (59) operativos de control y sensibilización
- Ciento cuarenta y uno (141) visitas de evaluación a elementos mayores.
- Doscientos cuatro (204) documentos técnicos firmados.
- Nueve (09) cargues de información a la plataforma SIIPEV.
- Cuatro mil cuatrocientas ochenta y cinco (4.485) evaluaciones a solicitudes de elementos de publicidad exterior visual.
Durante el mes de Noviembre Se realizaron cincuenta y nueve (57) acciones en cumplimiento de la meta:
- Cinco (05) operativos de control en Teusaquillo y Suba: 29 establecimientos.
- Un (01) cargue de información a la plataforma SIIPEV.
- Cuatrocientas cincuenta y un (51) evaluaciones a solicitudes de elementos de publicidad exterior visual.
Lo anterior, dando un avance para el cuatrienio de 6.190 acciones de evaluación, control y seguimiento: 114 operativos de control y seguimiento, 238 visitas de evaluación a elementos mayores, 207 documentos técnicos, 54 visitas a elementos menores, 12 cargues de información a la plataforma SIIPEV, 5.565 evaluaciones a solicitudes de elementos de publicidad exterior visual.</t>
  </si>
  <si>
    <t>En el cumplimiento de los dos (02) informes de gestión programados para la vigencia 2021; se ha alcanzado un avance acumulado en la ejecución de la meta de equivalente a un 97% respecto a lo programado. 
Este avance está basado en las actividades de recolección de información de las acciones de evaluación, control y seguimiento de los grupos de fuentes fijas y fuentes móviles. También en la intervención mediante actuaciones técnicas, visitas de control y seguimiento, acompañamientos, monitoreos, operativos de medición en vía a vehículos que transitan en el Distrito Capital, visitas técnicas de auditoria a Centros de Diagnóstico Automotor CDA'S, con esta información se construyó el informe de acciones de evaluación, control y seguimiento a las fuentes de emisión.
Para el primer semestre del año el acumulado es de 1,0 Informe de seguimiento y avance en la ejecución de la meta
Para el segundo semestre del año el acumulado es de 0,94 de avance en la ejecución de la meta.</t>
  </si>
  <si>
    <t xml:space="preserve">Durante la ejecución 2021, se han realizado mantenimientos preventivos y correctivos, validación y análisis de datos, diaria de las concentraciones de contaminantes criterio y parámetros meteorológicos que monitorea la RMCAB incluyendo las nuevas estaciones en la red (Bolivia, Usme, Ciudad Bolívar, Bosa, Jazmín, Colina y Móvil Fontibón), así como sus respectivos informes. Se mantuvo el plan de prueba de sensores de bajo costo.
</t>
  </si>
  <si>
    <t>Para Octubre de 2021, se han realizado de: 756 visitas 
•	I trimestre: Total, trimestre 109 visitas tecnicas.
•	II trimestre: Total, trimestre 248 visitas tecnicas.
•	III trimestre:  Total, trimestre 265 visitas tecnicas.
Octubre de 2021, Total 69 visitas tecnicas.
Noviembre de 2021, Total 65 visitas tecnicas.</t>
  </si>
  <si>
    <t>Radicado No. 2021IE106063 del 31 de mayo del 2021.</t>
  </si>
  <si>
    <t xml:space="preserve">La Secretaría Distrital de Ambiente del 01 al 31 de enero de 2022 no acogio conceptos técnicos relacionados con el recurso aire, auditiva y visual y que recomiendan una actuación administrativa sancionatoria.
Los avances en la magnitud de la meta están sujetos a la demanda de conceptos técnicos que remita el área técnica para ser acogidos jurídicamente; por lo tanto, el porcentaje de la magnitud programada se subdivide en proporciones de 9,09% (febrero-diciembre) sobre este porcentaje se miden los avances mensuales.  "
</t>
  </si>
  <si>
    <t xml:space="preserve">Mejorar transversalmente el proceso sancionatorio ambiental con el fin de dar cumplimiento a las normas y lineamientos establecidos para controlar los factores de deterioro de calidad del aire, acústica y visual del Distrito Capital y a su vez contribuir al mejoramiento de la calidad de vida de los ciudadanos, a través de la función de vigilancia y control ambiental sobre dicho recurso.
</t>
  </si>
  <si>
    <t xml:space="preserve">La Secretaría Distrital de Ambiente, en el marco de las acciones de operación, mantenimiento y monitoreo de la red de ruido realizadas, presenta el avance de la vigencia que se detalla a continuación:
Vigencia 2020 se realizo el informe correspondiente a la operación Red de Monitoreo de Ruido Ambiental de Bogotá - RMRAB, en el cual, se reporta la realización de las actividades acreditación del procedimiento de monitoreo de ruido ambiental ante el IDEAM, actividades de soporte y mantenimiento realizado a las estaciones de monitoreo.
Vigencia 2021: se realizaron y presentaron los tres (03) informes correspondientes a la vigencia y se mantuvo la operación de la red de ruido.
2022: En el primer mes de la vigencia se mantuvo la operación de la Red, se realizaron el 100% de las operaciones de mantenimiento y monitoreo de la estaciones que conforman la red de ruido.
</t>
  </si>
  <si>
    <t xml:space="preserve">Garantizar el monitoreo permanente de la calidad del aire del distrito capital, informando a la ciudadanía, academia y otras entidades para la toma de decisiones y el seguimiento a la gestión del recurso aire </t>
  </si>
  <si>
    <t>Para el Primer mes de la vigencia 2022, Se realizaron los mantenimientos preventivos y correctivos, validación y análisis de datos programados. Igualmente se realizó la validación diaria de los datos de concentraciones de contaminantes criterio y parámetros meteorológicos que monitorea la RMCAB. 
Se completo el análisis de datos y la redacción del informe programado, completando su elaboración y posterior publicación. 
Se mantuvo el proceso de validación de los datos generados por las nuevas estaciones y los equipos para la elaboración de los documentos técnicos en el cual se establece cuales son los beneficios de la integración de las Redes SDA-CAR y la articulación requerida.
Avance acumulado en la vigencia 2022: 100%.</t>
  </si>
  <si>
    <t>No se realizaron avance en la ejecución de la meta; toda vez que el desarrollo del proceso contractual se vio perjudicado por diferentes razones ajenas a la gestión realizada por los grupos que componen esta meta.</t>
  </si>
  <si>
    <t>Contar con los documentos técnicos en los cuales se evidencien las acciones de vigilancia, modelación y gestión de la calidad del aire de la ciudad, incluyendo la gobernanza, riesgos en la salud, restricciones por episodios de contaminación, regionalidad, y el cambio climático.</t>
  </si>
  <si>
    <t>Con la información recolectada se va compilando la caracterización y documentación para la elaboración del informe semestral y los resultados sirven para determinar el cumplimiento normativo.</t>
  </si>
  <si>
    <t>No se realizaron avance en la ejecución de la meta; toda vez que el desarrollo del proceso contractual se vio rettrasado por diferentes razones ajenas a la gestión realizada por los grupos de fuentes de emisión.</t>
  </si>
  <si>
    <t>En la vigencia 2022, se presenta un avance en el desarrollo de 11 actuaciones técnicas correspondiente a:
El avance 2022 es: 7 visitas y 4 actuaciones de otros documentos técnicos
Total, Actuaciones acumuladas en el PDD 1.399 actuaciones.</t>
  </si>
  <si>
    <t>Disminución de la afectación paisajística originada por la sobreexposición de elementos publicitarios en Bogotá a través de la pedagogía y las actuaciones administrativas y jurídicas sobre los presuntos infractores.
Legalización de la publicidad exterior visual en la ciudad.</t>
  </si>
  <si>
    <t xml:space="preserve">Realizar 8 informes de acciones de evaluación, control y seguimiento a fuentes fijas y fuentes móviles incluidos centros de diagnóstico automotor que operan en el Distrito Capital.
</t>
  </si>
  <si>
    <t>REALIZAR 7.948 ACCIONES TÉCNICO-JURÍDICAS DE EVALUACIÓN, SEGUIMIENTO Y CONTROL SOBRE LOS ELEMENTOS DE PUBLICIDAD EXTERIOR VISUAL - PEV, INSTALADOS EN EL PERÍMETRO URBANO DEL D.C.</t>
  </si>
  <si>
    <t>1-601-I016-PAS-MULTAS CÓDIGO DE POLICIA</t>
  </si>
  <si>
    <t>No se reporta avance en este periodo</t>
  </si>
  <si>
    <t>No se realizo avance en la ejecución de la meta.</t>
  </si>
  <si>
    <t>No se realizaron avances en la ejecución de la meta.</t>
  </si>
  <si>
    <t xml:space="preserve">La Secretaría Distrital de Ambiente del 01 al 31 de enero de 2022  acogio los conceptos técnicos relacionados con el recurso aire, auditiva y visual y que recomiendan una actuación administrativa sancionatoria.
</t>
  </si>
  <si>
    <t xml:space="preserve">La Secretaría Distrital de Ambiente, en el marco de las acciones de operación, mantenimiento y monitoreo de la red de ruido realizadas, presenta el avance de la vigencia que se detalla a continuación:
2022: En el primer mes de la vigencia se mantuvo la operación de la Red, se realizaron el 100% de las operaciones de mantenimiento y monitoreo de la estaciones que conforman la red de ruido.
Vigencia 2020 se realizo el informe correspondiente a la operación Red de Monitoreo de Ruido Ambiental de Bogotá - RMRAB, en el cual, se reporta la realización de las actividades acreditación del procedimiento de monitoreo de ruido ambiental ante el IDEAM, actividades de soporte y mantenimiento realizado a las estaciones de monitoreo.
Vigencia 2021: se realizaron y presentaron los tres (03) informes correspondientes a la vigencia y se mantuvo la operación de la red de ruido.
</t>
  </si>
  <si>
    <t>6, % CUMPLIMIENTO ACUMULADO (al periodo) DEL CUATRIENIO</t>
  </si>
  <si>
    <t>Para la vigencia del Proyecto de Inversión del año 2022 se han realizado treinta y dos (32) acciones de evaluación, control y seguimiento:
- Diecinueve (19) visitas de evaluación a elementos mayores.
- Un (01) cargue de información a la plataforma SIIPEV.
- Doce (12) evaluaciones a solicitudes de elementos de publicidad exterior visual.
Lo anterior, dando un avance para el cuatrienio de 6.218 acciones de evaluación, control y seguimiento: 
114 operativos de control y seguimiento
269 visitas de evaluación a elementos mayores
207 documentos técnicos, 54 visitas a elementos menores
14 cargues de información a la plataforma SIIPEV
5.614 evaluaciones a solicitudes de elementos de publicidad exterior visual.</t>
  </si>
  <si>
    <t>En el marco de la Gestión Integral de la Calidad del Aire de Bogotá, para el año 2022 se realizará la entrega de seis (06) informes; a la fecha se ha venido trabajando en el desarrollo de tres (03) documentos técnicos, los cuales serán entregados en el primer semestre de la vigencia 2022, estos son: 
1. Informe semestral de Seguimiento al Plan Estratégico para la Gestión Integral de la Calidad del Aire – Plan Aire 2030 (I-2022), donde se elaboró la herramienta de seguimiento y la estructura del informe, para el reporte del avance de los proyectos del Plan Aire. 
2. Informe de gestión del Sistema de Alertas Tempranas Ambientales en su componente aire, donde se viene trabajando en el desarrollo de cinco líneas estratégicas, siendo: i) la Gestión del índice Bogotano de calidad del aire y riesgo en salud; IBOCA ii) el avance en la actualización del Plan de contingencia para la atención de alertas y emergencias por contaminación atmosférica; iii) la Gobernanza de calidad del aire, iv) el Monitoreo y análisis de contaminantes y v) la red colaborativa de microsensores de calidad del aire. 
3. Informe de modelación de calidad de aire sobre Bogotá 2022, donde se consolido la estructura del documento para su debida elaboración.
Avance acumulado de la meta 7,5 % para la vigencia 2022.</t>
  </si>
  <si>
    <t>Para la vigencia 2022 y en el cumplimiento de los dos (02) informes de gestión programados para esta vigencia; se ha alcanzado un avance acumulado en la ejecución de la meta de 0,34 (del Primer Informe para el I semestre del 2022) equivalente a un 16,5 % de avance y el 97% con respecto a lo programado. 
Este avance está basado en las actividades de recolección de información de las acciones de evaluación, control y seguimiento de los grupos de fuentes fijas y fuentes móviles. También en la intervención mediante actuaciones técnicas, visitas de control y seguimiento, acompañamientos, monitoreos, operativos de medición en vía a vehículos que transitan en el Distrito Capital, visitas técnicas de auditoria a Centros de Diagnóstico Automotor CDA'S, con esta información se construyó el informe de acciones de evaluación, control y seguimiento a las fuentes de emisión.
El avance acumulado se registra, así:
•	Enero 0,0, No se registro avance en este periodo.
•	Febrero 0,34, de avance en la ejecución de la meta.</t>
  </si>
  <si>
    <t>Para el 2022, se han adelantado 140 acciones correspondientes al 11,01 % de lo programado en el año y un avance del 32,51 % del cuatrienio.
El avance 2022 es: 110 visitas y 30 otras acciones de gestión.
•	Enero: 3 visitas técnicas sin medición para operativos de acciones populares y 1 visita no efectiva objeto de reprogramación; 6 otros documentos de gestión correspondientes a oficios SUGA y 1 reunión mesa de trabajo Zona Rosa de Chapinero, para un total de 11 acciones.
•	Febrero: 6 visitas con medición, 25 efectivas para cerrar el caso, 75 no efectivas para reprogramar; 30 otros documentos de gestión correspondientes a 4 informes, 3 socializaciones, 3 evaluaciones de estudio de ruido, 6 reuniones, 7 oficios SUGA, para un total de 129 acciones.</t>
  </si>
  <si>
    <t>"La Secretaría Distrital de Ambiente, en el marco de las acciones de operación, mantenimiento y monitoreo de la red de ruido realizadas, presenta el avance de la vigencia que se detalla a continuación:
Vigencia 2020 se realizo el informe correspondiente a la operación Red de Monitoreo de Ruido Ambiental de Bogotá - RMRAB, en el cual, se reporta la realización de las actividades acreditación del procedimiento de monitoreo de ruido ambiental ante el IDEAM, actividades de soporte y mantenimiento realizado a las estaciones de monitoreo.
Vigencia 2021: se realizaron y presentaron los tres (03) informes correspondientes a la vigencia y se mantuvo la operación de la red de ruido.
2022: En el primer mes de la vigencia se mantuvo la operación de la Red, se realizaron el 100% de las operaciones de mantenimiento y monitoreo de las estaciones que conforman la red de ruido.
Febrero:  Se genera avance del informe semestral relacionado con la operación de la Red de Monitoreo de Ruido Ambiental de Bogotá (RMRAB) para el segundo mes de primer semestre del 2022, en la cual se reportan principalmente la realización de las actividades de soporte y mantenimiento realizado a las estaciones de monitoreo de ruido, se envía avance del informe de Laboratorio Ambiental y se realizan capacitaciones para la actualización de los MER. Se realiza seguimiento a los contratos del personal de la RMRAB; en lo referente a materia de acreditación ante el IDEAM y la NTC ISO/IEC 17025, se adelantó con la generación y revisión de documentos requeridos en la lista de chequeo, se presenta los nuevos procedimientos de la RMRAB ante el Laboratorio Ambiental de la SDA."</t>
  </si>
  <si>
    <t xml:space="preserve">La Secretaría Distrital de Ambiente del 01 de enero al 28 de Febrero de 2022 avanzó en la revisión y programación en Plan de trabajo de los conceptos técnicos relacionados con el recurso aire, auditiva y visual y que recomiendan una actuación administrativa sancionatoria.
Los avances en la magnitud de la meta están sujetos a la demanda de conceptos técnicos que remita el área técnica para ser acogidos jurídicamente; por lo tanto, el porcentaje de la magnitud mensual programada es de 100% toda vez que la tipología de medición es "Constante”.
</t>
  </si>
  <si>
    <t>Se realizaron mantenimientos preventivos y correctivos, validación y análisis de datos y publicación de informes periódicos.
Para el mes de febrero el porcentaje de cumplimiento para este indicador es del 97%. Se reportaron los mantenimientos preventivos y correctivos que se realizaron durante el mes, se realizó la validación diaria de los datos de concentraciones de contaminantes criterio y parámetros meteorológicos que monitorea la RMCAB. El reporte de operatividad para el mes de febrero fue del 91,8%  el cual es promedio de los datos validos de todos los parámetros de la red en las estaciones que se genera a través de Envista. Para el mes de febrero se completo el análisis de datos y la redacción del  informe mensual de diciembre del 2021 y el informe mensual de enero de 2022, completando su elaboración y posterior publicación.</t>
  </si>
  <si>
    <t xml:space="preserve">
El avance 2022 es: 110 visitas 
•	Enero: 3 visitas técnicas sin medición para operativos de acciones populares y 1 visita no efectiva objeto de reprogramación;
•	Febrero: 6 visitas con medición, 25 efectivas para cerrar el caso, 75 no efectivas para reprogramar; </t>
  </si>
  <si>
    <t>Realizar 4.700 acciones de seguimiento y control de emisión de ruido a los establecimientos de comercio, industria y servicio ubicados en el perímetro urbano del D.C.</t>
  </si>
  <si>
    <t>Reducir en el 10% como promedio ponderado ciudad, la concentración de material particulado PM10 y PM2.5, mediante la implementación del Plan de Gestión Integral de Calidad de Aire.</t>
  </si>
  <si>
    <t>Para el primer trimestre de la vigencia 2022, Se realizaron mantenimientos preventivos y correctivos, validación y análisis de datos, publicación de informes periódicos, se trabajó en integración SDA-CAR y se mantuvo el plan de prueba de sensores de bajo costo.
Para el mes de marzo el porcentaje de cumplimiento para este indicador es del 100%. Se reportaron los mantenimientos preventivos y correctivos que se realizaron durante el mes, se realizó la validación diaria de los datos de concentraciones de contaminantes criterio y parámetros meteorológicos que monitorea la RMCAB. El reporte de operatividad para el mes de marzo fue del 93,0% el cual es promedio de los datos validos de todos los parámetros de la red en las estaciones que se genera a través de Envista. Para el mes de marzo se completo el análisis de datos y la redacción del informe mensual de febrero del 2022 y el informe trimestral octubre-diciembre 2021, completando su elaboración y posterior publicación.
Se sigue construyendo por parte de la SDA un documento técnico en el cual se establece cuales son los beneficios de la integración de las Redes SDA-CAR y la articulación requerida.
Para el mes de marzo como parte del proceso de colaboración entre la Red de Monitoreo de Calidad del Aire de Bogotá – RMCAB y los diferentes actores en el establecimiento de esta red colaborativa de sensores de bajo costo se mantuvo la operación de los sensores instalados en la estación de Las Ferias por parte del Colectivo CanAir.io, La Universidad Central y La Universidad Nacional. Se mantiene en operación los sensores de bajo costo del Colectivo CanAir.io en las estaciones Kennedy y Tunal. Adicionalmente se instalo un nuevo sensor en la estación de Las Ferias.</t>
  </si>
  <si>
    <t>En el marco de la gestión integral de la calidad del aire de Bogotá, para el año 2022 se realizara la entrega de seis (6) documentos técnicos, de los cuales, a la fecha se ha venido trabajando en el desarrollo de tres (3), siendo estos entregados en el primer semestre de la vigencia 2022, los cuales son: 1. Informe semestral de Seguimiento al Plan Estratégico para la Gestión Integral de la Calidad del Aire – Plan Aire 2030 (I-2022), realizando el debido seguimiento y reporte de los avances de los 41 proyectos en implementación del Plan Aire 2030. 2. Informe de gestión del Sistema de Alertas Tempranas Ambientales en su componente aire, donde se viene trabajando en el desarrollo de cinco líneas estratégicas, siendo: i) la Gestión del índice Bogotano de calidad del aire y riesgo en salud; IBOCA ii) el avance en la actualización del Plan de contingencia para la atención de alertas y emergencias por contaminación atmosférica; iii) la Gobernanza de calidad del aire, iv) el Monitoreo y análisis de contaminantes y v) la red colaborativa de micro-sensores de calidad del aire. 3. Informe de modelación de calidad de aire sobre Bogotá 2022, realizando la actualización de la caracterización de los modelos, la validación de la información y la estructuración general del documento.</t>
  </si>
  <si>
    <t>Para la vigencia 2022 y en el cumplimiento de los dos (02) informes de gestión programados para esta vigencia; se ha alcanzado un avance acumulado en la ejecución de la meta de 0,5 (del Primer Informe para el I semestre del 2022) equivalente a un 25 % de avance y el 100% con respecto a lo programado. 
Este avance está basado en las actividades de recolección de información de las acciones de evaluación, control y seguimiento de los grupos de fuentes fijas y fuentes móviles. También en la intervención mediante actuaciones técnicas, visitas de control y seguimiento, acompañamientos, monitoreos, operativos de medición en vía a vehículos que transitan en el Distrito Capital, visitas técnicas de auditoria a Centros de Diagnóstico Automotor CDA'S, con esta información se construyó el informe de acciones de evaluación, control y seguimiento a las fuentes de emisión.
El avance acumulado se registra, así:
•	Enero 0,0, No se registro avance en este periodo.
•	Febrero 0,33, de avance en la ejecución de la meta.
•	Marzo 0,17, de avance en la ejecución de la meta.</t>
  </si>
  <si>
    <t>La Secretaría Distrital de Ambiente, en el marco de las acciones de operación, mantenimiento y monitoreo de la red de ruido realizadas, presenta el avance de la vigencia que se detalla a continuación:
Vigencia 2020 se realizo el informe correspondiente a la operación Red de Monitoreo de Ruido Ambiental de Bogotá - RMRAB, en el cual, se reporta la realización de las actividades acreditación del procedimiento de monitoreo de ruido ambiental ante el IDEAM, actividades de soporte y mantenimiento realizado a las estaciones de monitoreo.
Vigencia 2021: se realizaron y presentaron los tres (03) informes correspondientes a la vigencia y se mantuvo la operación de la red de ruido.
Para el primer trimestre del 2022  Se genera avance del informe semestral relacionado con la operación de la Red de Monitoreo de Ruido Ambiental de Bogotá (RMRAB) p, en la cual se reportan principalmente la realización de las actividades de soporte y mantenimiento realizado a las estaciones de monitoreo de ruido, se envía avance del informe de Laboratorio Ambiental y se realizan capacitaciones para la actualización de los MER. Se realiza seguimiento a los contratos del personal de la RMRAB; en lo referente a materia de acreditación ante el IDEAM y la NTC ISO/IEC 17025, se adelantó con la generación y revisión de documentos requeridos en la lista de chequeo, se presenta los nuevos procedimientos de la RMRAB ante el Laboratorio Ambiental de la SDA, se participo en las capacitaciones para las actualización de los MER y se adelanto el ingreso al almacén de la entidad de las estaciones entregadas por reposición de las vandalzdas en mayo del 2021.</t>
  </si>
  <si>
    <t>Para el 2022, se han adelantado 249 acciones correspondientes al 19,5% de lo programado en el año y un avance del 34,8% del cuatrienio.
El avance 2022 es: 196 visitas y 53 otras acciones de gestión.
•	I trimestre: 28 visitas efectivas con medición, 12 visitas efectivas sin medición relacionadas con inventarios, sensibilizaciones, visitas en atención a actos administrativos, 39 visitas efectivas para cerrar el caso y 117 visitas no efectivas objeto de reprogramación. En otras acciones de gestión se realizaron 9 informes de acciones populares, 4 estudio de ruido, 10 reuniones o mesas de trabajo, 3 presentaciones socializaciones y 27 oficios SUGA.</t>
  </si>
  <si>
    <t>Durante el mes de Marzo, se realizaron cincuenta y cinco (55) acciones en cumplimiento de la meta:
- Un (01) operativo de control a las zonas de Resto del Distrito
- Ocho (08) visitas de evaluación a elementos mayores.
- Un (01) cargue de información a la plataforma SIIPEV.
- Cuarenta y cinco (45) evaluaciones a solicitudes de elementos de publicidad exterior visual.
Para la vigencia del Proyecto de Inversión del año 2022 se han realizado ochenta y siete (87) acciones de evaluación, control y seguimiento:
- Un (01) operativo de control a zonas de Resto del Distrito.
- Veintisiete (27) visitas de evaluación a elementos mayores.
- Dos (02) cargue de información a la plataforma SIIPEV.
- Cincuenta y siete (57) evaluaciones a solicitudes de elementos de publicidad exterior visual.
Lo anterior, dando un avance para el cuatrienio de 6.329 acciones de evaluación, control y seguimiento: 115 operativos de control y seguimiento, 277 visitas de evaluación a elementos mayores, 207 documentos técnicos, 54 visitas a elementos menores, 15 cargues de información a la plataforma SIIPEV, 5.661 evaluaciones a solicitudes de elementos de publicidad exterior visual.</t>
  </si>
  <si>
    <t>La Secretaría Distrital de Ambiente del 01 de enero al 31 de marzo de 2022 atendió el 100% de los conceptos técnicos generados por afectación al recurso aire, auditiva y visual en el Distrito Capital y que recomiendan actuaciones administrativas sancionatorias, como se relaciona a continuación:
No de Conceptos Técnicos que recomiendan actuaciones administrativas sancionatorias: 33
No de Conceptos Técnicos acogidos jurídicamente mediante acto administrativo: 33
Avance total corte 31 de marzo de 2022 (Vigencia): 100% 
*Los avances en la magnitud de la meta están sujetos a la demanda de conceptos técnicos que remita el área técnica para ser acogidos jurídicamente; por lo tanto, el porcentaje de la magnitud mensual programada es de 100% toda vez que la tipología de medición es "Constante".</t>
  </si>
  <si>
    <t>La Secretaría Distrital de Ambiente del 01 de enero al 30 de abril de 2022 atendió el 100% de los conceptos técnicos generados por afectación al recurso aire, auditiva y visual en el Distrito Capital y que recomiendan actuaciones administrativas sancionatorias, como se relaciona a continuación:
No de Conceptos Técnicos que recomiendan actuaciones administrativas sancionatorias: 326
No de Conceptos Técnicos acogidos jurídicamente mediante acto administrativo: 326
Avance total corte 30 de abril de 2022 (Vigencia): 100% 
Acorde con la programación establecida, durante el mes de enero y febrero se realizaron las actividades encaminadas a la elaboración de planes de trabajo y organización de los equipos técnicos y juridicos.
Los avances en la magnitud de la meta están sujetos a la demanda de conceptos técnicos que remita el área técnica para ser acogidos jurídicamente; por lo tanto, el porcentaje de la magnitud mensual programada es de 100% toda vez que la tipologia de medición es "Constante".</t>
  </si>
  <si>
    <t>N.A.</t>
  </si>
  <si>
    <t>La Secretaría Distrital de Ambiente, en el marco de las acciones de operación, mantenimiento y monitoreo de la red de ruido realizadas, presenta el avance de la vigencia que se detalla a continuación:
Vigencia 2020 se realizó el informe correspondiente a la operación Red de Monitoreo de Ruido Ambiental de Bogotá - RMRAB, en el cual, se reporta la realización de las actividades acreditación del procedimiento de monitoreo de ruido ambiental ante el IDEAM, actividades de soporte y mantenimiento realizado a las estaciones de monitoreo.
Vigencia 2021: se realizaron y presentaron los tres (03) informes correspondientes a la vigencia y se mantuvo la operación de la red de ruido.
En la vigencia 2022; se continua con la generación del avance del informe semestral relacionado con la operación de la Red de Monitoreo de Ruido Ambiental de Bogotá (RMRAB), en la cual se reportan principalmente la realización de las actividades de soporte y mantenimiento realizado a las estaciones de monitoreo de ruido, se envía avance del informe de Laboratorio Ambiental. Se realiza seguimiento a los contratos del personal de la RMRAB; en lo referente a materia de acreditación ante el IDEAM y la NTC ISO/IEC 17025, se adelantó con la generación y revisión de documentos requeridos en la lista de chequeo, se presenta los nuevos procedimientos de la RMRAB ante el Laboratorio Ambiental de la SDA, se participó en las capacitaciones para las actualizaciones de los MER y se adelantó el ingreso al almacén del software SoundPLAN.</t>
  </si>
  <si>
    <t xml:space="preserve">En el marco de la gestión integral de la calidad del aire de Bogotá, para el año 2022 se realizará la entrega de seis (6) documentos técnicos, de los cuales, a la fecha se ha venido trabajando en el desarrollo de tres (3), siendo estos entregados en el primer semestre de la vigencia 2022, los cuales son: 
1.	Informe semestral de Seguimiento al Plan Estratégico para la Gestión Integral de la Calidad del Aire – Plan Aire 2030 (I-2022), realizando el debido seguimiento y reporte de los avances de los 41 proyectos en implementación del Plan Aire 2030. 
2.	Informe de gestión del Sistema de Alertas Tempranas Ambientales en su componente aire, donde se viene trabajando en el desarrollo de cinco líneas estratégicas, siendo: i) la Gestión del índice Bogotano de calidad del aire y riesgo en salud; IBOCA ii) el avance en la actualización del Plan de contingencia para la atención de alertas y emergencias por contaminación atmosférica; iii) la Gobernanza de calidad del aire, iv) el Monitoreo y análisis de contaminantes y v) la red colaborativa de microsensores de calidad del aire. 
3.	Informe de modelación de calidad de aire sobre Bogotá 2022, realizando la actualización del análisis de emisiones con sus respectivos cálculos y los cálculos correspondientes a las trayectorias de los contaminantes del aire.
El Avance acumulado en el desarrollo de los informes es del 26,67 %, que corresponde al 100% de la programación inicial de la meta para el año 2022.  </t>
  </si>
  <si>
    <t>Para el 2022, se han adelantado 364 acciones correspondientes al 28,62 % de lo programado en el año y un avance del 37,28% del cuatrienio.
El avance 2022 es: 291 visitas y 73 otras acciones de gestión.
• I trimestre: 28 visitas efectivas con medición, 12 visitas efectivas sin medición relacionadas con inventarios, sensibilizaciones, visitas en atención a actos administrativos, 39 visitas efectivas para cerrar el caso y 117 visitas no efectivas objeto de reprogramación. En otras acciones de gestión se realizaron 9 informes de acciones populares, 4 estudio de ruido, 10 reuniones o mesas de trabajo, 3 presentaciones o socializaciones y 27 oficios SUGA.
•	Abril: 13 visitas efectivas con medición, 38 visitas efectivas en atención a actos administrativos, sensibilizaciones, inventarios, 14 visitas efectivas para cerrar el caso y 30 visitas no efectivas objeto de reprogramación. En otras acciones de gestión 6 informes de acciones populares, 2 presentaciones o socializaciones, 3 estudios de ruido, 2 reuniones o mesas de trabajo y 7 oficios SUGA.</t>
  </si>
  <si>
    <t>En el cumplimiento de los dos (02) informes de gestión programados para la vigencia 2022; se ha alcanzado un avance basado en las actividades de recolección de información de las acciones de evaluación, control y seguimiento de los grupos de fuentes fijas y fuentes móviles. También en la intervención mediante actuaciones técnicas, visitas de control y seguimiento, acompañamientos, monitoreos, operativos de medición en vía a vehículos que transitan en el Distrito Capital, visitas técnicas de auditoría a Centros de Diagnóstico Automotor CDA'S, con esta información se construyó el informe de acciones de evaluación, control y seguimiento a las fuentes de emisión.
Para el primer semestre del año el acumulado es de 0,67 de avance en la ejecución de la meta, esto corresponde al 100% en la ejecución acumulada programada.</t>
  </si>
  <si>
    <t>Para la vigencia del Proyecto de Inversión en el primer trimestre del año 2022 se han realizado ochenta y siete (87) acciones de evaluación, control y seguimiento:
- Seis (06) operativos de control a zonas de Resto del Distrito.
- Cincuenta (50) visitas de evaluación a elementos mayores.
- Tres (03) cargues de información a la plataforma SIIPEV.
- Ciento treinta y ocho (138) evaluaciones a solicitudes de elementos de publicidad exterior visual.
Durante el mes de Abril, se realizaron ciento diez (110) acciones en cumplimiento de la meta:
- Cinco (05) operativos de control a las zonas de Resto del Distrito
- Veintitrés (23) visitas de evaluación a elementos mayores.
- Un (01) cargue de información a la plataforma SIIPEV.
- Ochenta y uno (81) evaluaciones a solicitudes de elementos de publicidad exterior visual.
Lo anterior, dando un avance para el cuatrienio de 6.439 acciones de evaluación, control y seguimiento: 120 operativos de control y seguimiento, 300 visitas de evaluación a elementos mayores, 207 documentos técnicos, 54 visitas a elementos menores, 16 cargues de información a la plataforma SIIPEV, 5.742 evaluaciones a solicitudes de elementos de publicidad exterior visual.</t>
  </si>
  <si>
    <t>MAYO:
Durante el mes de Mayo, se realizaron doscientos sesenta y tres (263) acciones en cumplimiento de la meta:
- Trece (13) operativos de control a las zonas de Resto del Distrito
- Veinticinco (25) visitas de evaluación a elementos mayores.
- Once (11) documentos técnicos firmados para el resto del Distrito.
- Un (01) cargue de información a la plataforma SIIPEV.
- Doscientos trece (213) evaluaciones a solicitudes de elementos de publicidad exterior visual.
Para la vigencia del Proyecto de Inversión del año 2022 se han realizado cuatrocientos sesenta (460) acciones de evaluación, control y seguimiento:
- Diecinueve (19) operativos de control a zonas de Resto del Distrito.
- Setenta y cinco (75) visitas de evaluación a elementos mayores.
- Once (11) documentos técnicos firmados para el resto del Distrito.
- Cuatro (04) cargues de información a la plataforma SIIPEV.
- Trescientos cincuenta y uno (351) evaluaciones a solicitudes de elementos de publicidad exterior visual.
Lo anterior, dando un avance para el cuatrienio de 6.702 acciones de evaluación, control y seguimiento: 133 operativos de control y seguimiento, 325 visitas de evaluación a elementos mayores, 218 documentos técnicos, 54 visitas a elementos menores, 17 cargues de información a la plataforma SIIPEV, 5.955 evaluaciones a solicitudes de elementos de publicidad exterior visual.</t>
  </si>
  <si>
    <t>Vigencia 2022: 558 acciones, avance del 43,87% de lo planeado 2022, cumplimiento del 41,40% del PDD, así en 466 visitas y 92 otras acciones de gestión.
• I trimestre: 28 efectivas con medición, 12 efectivas sin medición (inventarios, sensibilizaciones, actos administrativos) 39 efectivas para cerrar el caso y 117 no efectivas objeto de reprogramación. Otras acciones de gestión 9 informes de acciones populares AP, 4 estudio de ruido, 10 mesas de trabajo, 3 socializaciones y 27 SUGA.
•	Abril: 13 efectivas con medición, 38 efectiva sin medición, 14 efectivas cerrar el caso y 30 no efectivas. Otras acciones de gestión 6 informes de AP, 2 socializaciones, 3 estudios de ruido, 2 mesas de trabajo y 7 SUGA.
•	Mayo: 6 efectivas con medición, 100 técnicas sin medición (86 a inventarios, sensibilizaciones, seguimiento a actos administrativos y 14 para cerrar el caso) y 69 no efectivas. Otras acciones de gestión 5 informes de AP, 2 socializaciones, 2 estudios de ruido, 8 mesas de trabajo y 2 SUGA.</t>
  </si>
  <si>
    <t>La Secretaría Distrital de Ambiente, en el marco de las acciones de operación, mantenimiento y monitoreo de la red de ruido realizadas, presenta el avance de la vigencia que se detalla a continuación:
Vigencia 2020 se realizó el informe correspondiente a la operación Red de Monitoreo de Ruido Ambiental de Bogotá - RMRAB, en el cual, se reporta la realización de las actividades acreditación del procedimiento de monitoreo de ruido ambiental ante el IDEAM, actividades de soporte y mantenimiento realizado a las estaciones de monitoreo.
Vigencia 2021: se realizaron y presentaron los tres (03) informes correspondientes a la vigencia y se mantuvo la operación de la red de ruido.
En la vigencia 2022; para Mayo: Durante el presente periodo se realiza el 100% de las acciones relacionadas con la operación y mantenimiento de la Red de Monitoreo de Ruido Ambiental de Bogotá (RMRAB), presentación avance del informe semestral de operación de la RMRAB, actualización de Valor Central Cartas Control, seguimiento a arriendos, respuestas a solicitudes ciudadanas, estudios previos para la adquisición de baterías. Además, se desinstalan 20 estaciones de monitoreo de ruido ambiental con la finalidad de salvaguardar su integridad física.</t>
  </si>
  <si>
    <t xml:space="preserve">En el marco de la gestión integral de la calidad del aire de Bogotá, para el año 2022 se realizará la entrega de seis (6) documentos técnicos, de los cuales, a la fecha se ha venido trabajando en el desarrollo de tres (3), siendo estos entregados en el primer semestre de la vigencia 2022, los cuales son: 
1. Informe semestral de Seguimiento al Plan Estratégico para la Gestión Integral de la Calidad del Aire – Plan Aire 2030 (I-2022), realizando el debido seguimiento y reporte de los avances de los 41 proyectos en implementación del Plan Aire 2030. 
2. Informe de gestión del Sistema de Alertas Tempranas Ambientales en su componente aire, donde se viene trabajando en el desarrollo de cinco líneas estratégicas, siendo: i) la Gestión del índice Bogotano de calidad del aire y riesgo en salud; IBOCA ii) el avance en la actualización del Plan de contingencia para la atención de alertas y emergencias por contaminación atmosférica; iii) la Gobernanza de calidad del aire, iv) el Monitoreo y análisis de contaminantes y v) la red colaborativa de microsensores de calidad del aire. 
3. Informe de modelación de calidad de aire sobre Bogotá 2022, incluyendo los resultados de los modelos WRF y retro trayectorias creando la información de los datos meteorológicos estimados.
El Avance acumulado para la vigencia 2022 en el desarrollo de los informes es del 38,38 %; esto es correspondiente al 100% de la programación inicial de la meta para el año 2022.  </t>
  </si>
  <si>
    <t>Se realizaron mantenimientos preventivos y correctivos, validación y análisis de datos y publicación de informes periódicos.
Para el mes de mayo el porcentaje de cumplimiento para este indicador es del 97%. Se reportaron los mantenimientos preventivos y correctivos que se realizaron durante el mes, se realizó la validación diaria de los datos de concentraciones de contaminantes criterio y parámetros meteorológicos que monitorea la RMCAB. El reporte de operatividad para el mes de Mayo fue del 94,0% el cual es promedio de los datos validos de todos los parámetros de la red en las estaciones que se genera a través de Envista. 
Para el mes de Mayo se completó el análisis de datos y la redacción del informe mensual de abril de 2022, completando su elaboración y posterior publicación.</t>
  </si>
  <si>
    <t>En el cumplimiento de los dos (02) informes de gestión programados para la vigencia 2022; se ha alcanzado un avance basado en las actividades de recolección de información de las acciones de evaluación, control y seguimiento de los grupos de fuentes fijas y fuentes móviles. También en la intervención mediante actuaciones técnicas, visitas de control y seguimiento, acompañamientos, monitoreos, operativos de medición en vía a vehículos que transitan en el Distrito Capital, visitas técnicas de auditoría a Centros de Diagnóstico Automotor CDA'S, con esta información se construyó el informe de acciones de evaluación, control y seguimiento a las fuentes de emisión.
Para el informe No, 1 correspondiente al primer semestre del año el acumulado es de 0,82 % de avance en la ejecución de la meta.</t>
  </si>
  <si>
    <t>La Secretaría Distrital de Ambiente del 01 de enero al 31 de mayo de 2022 atendió el 100% de los conceptos técnicos generados por afectación al recurso aire, auditiva y visual en el Distrito Capital y que recomiendan actuaciones administrativas sancionatorias, como se relaciona a continuación:
No de Conceptos Técnicos que recomiendan actuaciones administrativas sancionatorias: 741
No de Conceptos Técnicos acogidos jurídicamente mediante acto administrativo: 741
Avance total corte 31 de mayo de 2022 (Vigencia): 100% 
Acorde con la programación establecida, durante el mes de enero y febrero se realizaron las actividades encaminadas a la elaboración de planes de trabajo y organización de los equipos técnicos y jurídicos.
Los avances en la magnitud de la meta están sujetos a la demanda de conceptos técnicos que remita el área técnica para ser acogidos jurídicamente; por lo tanto, el porcentaje de la magnitud mensual programada es de 100% toda vez que la tipología de medición es Constante.</t>
  </si>
  <si>
    <t>Concentración promedio ponderado de ciudad de material particulado PM 2,5.</t>
  </si>
  <si>
    <t>La Secretaría Distrital de Ambiente del 01 de enero al 30 de junio de 2022 atendió el 100% de los conceptos técnicos generados por afectación al recurso aire, auditiva y visual en el Distrito Capital y que recomiendan actuaciones administrativas sancionatorias, como se relaciona a continuación:
No de Conceptos Técnicos que recomiendan actuaciones administrativas sancionatorias: 900
No de Conceptos Técnicos acogidos jurídicamente mediante acto administrativo: 900
Avance total corte 30 de junio de 2022 (Vigencia): 100% 
Acorde con la programación establecida, durante el mes de enero y febrero se realizaron las actividades encaminadas a la elaboración de planes de trabajo y organización de los equipos técnicos y jurídicos.
Los avances en la magnitud de la meta están sujetos a la demanda de conceptos técnicos que remita el área técnica para ser acogidos jurídicamente; por lo tanto, el porcentaje de la magnitud mensual programada es de 100% toda vez que la tipología de medición es "Constante".</t>
  </si>
  <si>
    <t>685 acciones, avance del 53,85% de lo planeado 2022, cumplimiento del 44,1% del PDD, en 579 visitas y 106 otras acciones de gestión.
I trimestre: 28 efectivas con medición, 12 efectivas sin medición (inventarios, sensibilizaciones, actos administrativos) 39 efectivas para cerrar el caso y 117 no efectivas objeto de reprogramación. Otras acciones de gestión 9 informes de acciones populares AP, 4 estudio de ruido, 10 mesas de trabajo, 3 socializaciones y 27 SUGA.
II trimestre: 23 efectivas con medición, 191 efectivas sin medición correspondientes a (141 inventarios, socializaciones o seguimiento a actos administrativos y 50 para cerrar el caso) y 169 no efectivas objeto de reprogramación. Otras acciones de gestión 15 informes de acciones populares, 4 presentaciones o socializaciones, 7 estudios de ruido, 16 reuniones o mesas de trabajo, 11 SUGA.</t>
  </si>
  <si>
    <t>En el marco de la gestión integral de la calidad del aire de Bogotá, para el año 2022 se contempla la entrega de seis (6) documentos técnicos, de los cuales, para el presente periodo se reporta la entrega final de tres (3), los cuales son: 
1. Informe semestral de Seguimiento al Plan Estratégico para la Gestión Integral de la Calidad del Aire – Plan Aire 2030 (I-2022), donde se contempla el debido seguimiento y reporte de los avances de los 41 proyectos en implementación del Plan Aire 2030.
2. Informe semestral (I-2022) de gestión del Sistema de Alertas Tempranas Ambientales en su componente aire, donde se abordaron cinco líneas estratégicas, siendo: i) la Gestión del índice Bogotano de calidad del aire y riesgo en salud; IBOCA ii) el avance en la actualización del Plan de contingencia para la atención de alertas y emergencias por contaminación atmosférica; iii) la Gobernanza de calidad del aire, iv) el Monitoreo y análisis de contaminantes y v) la red colaborativa de microsensores de calidad del aire. 
3. Informe Técnico Anual de Modelación Atmosférica de Bogotá 2021, realizando la modelación del transporte y la transformación de los contaminantes para la ciudad.</t>
  </si>
  <si>
    <t>JUNIO:
Durante el mes de Junio, se realizaron ochenta y siete (87) acciones en cumplimiento de la meta:
- Tres (03) operativos de control a las zonas de Resto del Distrito
- Veinticuatro (24) visitas de evaluación a elementos mayores.
- Quince (15) documentos técnicos firmados para el resto del Distrito.
- Un (01) cargue de información a la plataforma SIIPEV.
- Cuarenta y cuatro (44) evaluaciones a solicitudes de elementos de publicidad exterior visual.
Para la vigencia del Proyecto de Inversión del año 2022 se han realizado un quinientos cuarenta y siete (547) acciones de evaluación, control y seguimiento:
- Veintidós (22) operativos de control a zonas de Resto del Distrito.
- Noventa y nueve (99) visitas de evaluación a elementos mayores.
- Veintiséis (26) documentos técnicos firmados para el resto del Distrito.
- Cinco (05) cargues de información a la plataforma SIIPEV.
- Trescientos noventa y cinco (395) evaluaciones a solicitudes de elementos de publicidad exterior visual.
Lo anterior, dando un avance para el cuatrienio de 6.789 acciones de evaluación, control y seguimiento: 136 operativos de control y seguimiento, 349 visitas de evaluación a elementos mayores, 233 documentos técnicos, 54 visitas a elementos menores, 18 cargues de información a la plataforma SIIPEV, 5.999 evaluaciones a solicitudes de elementos de publicidad exterior visual.</t>
  </si>
  <si>
    <t>La Secretaría Distrital de Ambiente, en el marco de las acciones de operación, mantenimiento y monitoreo de la red de ruido realizadas, presenta el avance de la vigencia que se detalla a continuación:
Vigencia 2020 se realizó el informe correspondiente a la operación Red de Monitoreo de Ruido Ambiental de Bogotá - RMRAB, en el cual, se reporta la realización de las actividades acreditación del procedimiento de monitoreo de ruido ambiental ante el IDEAM, actividades de soporte y mantenimiento realizado a las estaciones de monitoreo.
Vigencia 2021: se realizaron y presentaron los tres (03) informes correspondientes a la vigencia y se mantuvo la operación de la red de ruido.
En la vigencia 2022; Durante el presente periodo se realiza el 100% de las acciones relacionadas con la operación y mantenimiento de la Red de Monitoreo de Ruido Ambiental de Bogotá (RMRAB), presentación del informe semestral de operación de la RMRAB, actualización de Valor Central Cartas Control, seguimiento a arriendos, respuestas a solicitudes ciudadanas, estudios de mercado parala adquisición de estaciones Meteorológicas. Además, se realizó la gestión para reinstalar 20 estaciones de monitoreo de ruido ambiental las cuales se habían desmontado con la finalidad de salvaguardar su integridad física.</t>
  </si>
  <si>
    <t>En el cumplimiento de los dos (02) informes de gestión programados para la vigencia 2022; se ha alcanzado un avance basado en las actividades de recolección de información de las acciones de evaluación, control y seguimiento de los grupos de fuentes fijas y fuentes móviles. También en la intervención mediante actuaciones técnicas, visitas de control y seguimiento, acompañamientos, monitoreos, operativos de medición en vía a vehículos que transitan en el Distrito Capital, visitas técnicas de auditoría a Centros de Diagnóstico Automotor CDA'S, con esta información se construyó el informe de acciones de evaluación, control y seguimiento a las fuentes de emisión.
Para el informe No, 1 correspondiente al primer semestre del año el acumulado es de 100 % de avance en la ejecución de la meta.</t>
  </si>
  <si>
    <t>Se realizaron mantenimientos preventivos y correctivos, validación y análisis de datos y publicación de informes periódicos.
Para el mes de Junio el porcentaje de cumplimiento para este indicador es del 100%. Se reportaron los mantenimientos preventivos y correctivos que se realizaron durante el mes, se realizó la validación diaria de los datos de concentraciones de contaminantes criterio y parámetros meteorológicos que monitorea la RMCAB. El reporte de operatividad para el mes de Junio fue del 100% el cual es promedio de los datos validos de todos los parámetros de la red en las estaciones que se genera a través de Envista. Para el mes de junio se completó el análisis de datos y la redacción del  informe mensual de mayo de 2022 y el informe trimestral enero-marzo 2022 completando su elaboración y posterior publicación. Se completó el  análisis de datos y la redacción del  informe anual de 2021, sin embargo, la publicación se realizará en el mes de julio debido a que durante todo junio se atendió la auditoria de acreditación por parte del IDEAM, lo que impidió que el proceso de revisión y aprobación se realizara dentro de los plazos establecidos en el procedimiento interno.
Para el mes de Junio se completó el análisis de datos y la redacción del informe mensual de Mayo  de 2022, completando su elaboración y posterior publicación.</t>
  </si>
  <si>
    <t xml:space="preserve">Para la vigencia del Proyecto de Inversión del año 2022 se han realizado seiscientos doce (612) acciones de evaluación, control y seguimiento:
- Veintitrés (23) operativos de control a zonas de Resto del Distrito.
- Ciento veintisiete (127) visitas de evaluación a elementos mayores.
- Cuarenta y tres (43) documentos técnicos firmados para el resto del Distrito.
- Seis (06) cargues de información a la plataforma SIIPEV.
- Cuatrocientos trece (413) evaluaciones a solicitudes de elementos de publicidad exterior visual.
Lo anterior, dando un avance para el cuatrienio de 6.854 acciones de evaluación, control y seguimiento: 137 operativos de control y seguimiento, 377 visitas de evaluación a elementos mayores, 250 documentos técnicos, 54 visitas a elementos menores, 19 cargues de información a la plataforma SIIPEV, 6.017 evaluaciones a solicitudes de elementos de publicidad exterior visual. 
JULIO:
Durante el mes de Julio, se realizaron sesenta y cinco (65) acciones en cumplimiento de la meta:
- Un (01) operativo de control a las zonas de Resto del Distrito
- Veintiocho (28) visitas de evaluación a elementos mayores.
- Diecisiete (17) documentos técnicos firmados para el resto del Distrito.
- Un (01) cargue de información a la plataforma SIIPEV.
- Dieciocho (18) evaluaciones a solicitudes de elementos de publicidad exterior visual.
</t>
  </si>
  <si>
    <t>En la vigencia 2022 se han realizado un total de 823 acciones, 64,70% de lo planeado, 47,1% del PDD, en 699 visitas y 124 otras acciones.
I trimestre: 28 efectivas con medición, 12 efectivas sin medición (sensibilizaciones, actos administrativos) 39 efectivas cerrar el caso y 117 no efectivas reprogramaciones. Otras acciones 9 informes acciones populares AP, 4 estudio de ruido, 10 mesas de trabajo, 3 socializaciones y 27 SUGA.
II trimestre: 23 efectivas con medición, 191 efectivas sin medición (141, sensibilizaciones, actos administrativos y 50 para cerrar el caso) y 169 no efectivas reprogramaciones. Otras acciones 15 informes de AP, 4 socializaciones, 7 estudios de ruido, 16 mesas de trabajo, 11 SUGA.
Julio: 120 visitas técnicas correspondientes a: 8 visitas efectivas con medición, 63 efectivas sin medición (40 sensibilizaciones, actos administrativos y 23 para cerrar el caso) y 49 visitas no efectivas reprogramar. Otras acciones 4 informes AP, 3 presentaciones o socializaciones, 1 estudio de ruido, 6 mesas de trabajo y 4 SUGA.</t>
  </si>
  <si>
    <t>La Secretaría Distrital de Ambiente, en el marco de las acciones de operación, mantenimiento y monitoreo de la red de ruido realizadas, presenta el avance de la vigencia que se detalla a continuación:
Vigencia 2020 se realizó el informe correspondiente a la operación Red de Monitoreo de Ruido Ambiental de Bogotá - RMRAB, en el cual, se reporta la realización de las actividades acreditación del procedimiento de monitoreo de ruido ambiental ante el IDEAM, actividades de soporte y mantenimiento realizado a las estaciones de monitoreo.
Vigencia 2021: se realizaron y presentaron los tres (03) informes correspondientes a la vigencia y se mantuvo la operación de la red de ruido.
*Para el segundo semestre del 2022 Se genera avance del informe semestral relacionado con la operación de la Red de Monitoreo de Ruido Ambiental de Bogotá (RMRAB) , en la cual se reportan principalmente la realización de las actividades de soporte y mantenimiento realizado a las estaciones de monitoreo de ruido, se envía informe de Laboratorio Ambiental . Se realiza seguimiento a los contratos del personal de la RMRAB; en lo referente a materia de acreditación ante el IDEAM y la NTC ISO/IEC 17025, se adelantó con la generación y revisión de documentos requeridos en la lista de chequeo, se presenta los nuevos procedimientos de la RMRAB ante el Laboratorio Ambiental de la SDA, se realizó estudio de mercado para la adquisición de baterías secas de 12 voltios, estaciones meteorológicas y calibración de sonómetros. Además, se realizó el desmonte de 20 estaciones de monitoreo de ruido ambiental ubicadas en los CAI de la ciudad con el objetivo de salvaguarda su integridad física por posibles actos bandalicos y se generó el avance para la re instalación de la mismas.</t>
  </si>
  <si>
    <t>Se realizaron mantenimientos preventivos y correctivos, validación y análisis de datos y publicación de informes periódicos.
Para el mes de julio el porcentaje de cumplimiento para este indicador es del 100%. Se reportaron los mantenimientos preventivos y correctivos que se realizaron durante el mes, se realizó la validación diaria de los datos de concentraciones de contaminantes criterio y parámetros meteorológicos que monitorea la RMCAB. El reporte de operatividad para el mes de julio fue del 92,7% el cual es promedio de los datos validos de todos los parámetros de la red en las estaciones que se genera a través de Envista.  Para el mes de julio se completó el análisis de datos y la redacción del informe mensual de junio de 2022 y la revisión pendiente del informe anual de 2021, completando su elaboración y posterior publicación.</t>
  </si>
  <si>
    <t xml:space="preserve">En el marco de la gestión integral de la calidad del aire de Bogotá, para el año 2022 se contempla la entrega de seis (6) documentos técnicos, de los cuales, tres (3) se presentaron en el primer semestre del año, siendo: 
•	Informe semestral de Seguimiento al Plan Estratégico para la Gestión Integral de la Calidad del Aire – Plan Aire 2030 (I-2022).
•	Informe semestral (I-2022) de gestión del Sistema de Alertas Tempranas Ambientales en su componente aire.
•	Informe Técnico Anual de Modelación Atmosférica de Bogotá 2021. 
Para el presente periodo se ha venido trabajando en el desarrollo de los tres (3) documentos restantes, los cuales son: 
1. Informe semestral de Seguimiento al Plan Estratégico para la Gestión Integral de la Calidad del Aire – Plan Aire 2030 (II-2022) donde se contempla el debido seguimiento y reporte de los avances de los 41 proyectos en implementación del Plan Aire 2030. 
2. Informe semestral (I-2022) de gestión del Sistema de Alertas Tempranas Ambientales en su componente aire, donde se abordaron cinco líneas estratégicas, siendo: i) la Gestión del índice Bogotano de calidad del aire y riesgo en salud; IBOCA ii) el avance en la actualización del Plan de contingencia para la atención de alertas y emergencias por contaminación atmosférica; iii) la Gobernanza de calidad del aire, iv) el Monitoreo y análisis de contaminantes y v) la red colaborativa de microsensores de calidad del aire. 
3. Inventario de emisiones correspondiente a la información del año 2021, realizando la estructura y actualización de información para los respectivos cálculos. </t>
  </si>
  <si>
    <t>En el cumplimiento de los dos (02) informes de gestión programados para la vigencia 2022; se ha alcanzado un avance basado en las actividades de recolección de información de las acciones de evaluación, control y seguimiento de los grupos de fuentes fijas y fuentes móviles. También en la intervención mediante actuaciones técnicas, visitas de control y seguimiento, acompañamientos, monitoreos, operativos de medición en vía a vehículos que transitan en el Distrito Capital, visitas técnicas de auditoría a Centros de Diagnóstico Automotor CDA'S, con esta información se construyó el informe de acciones de evaluación, control y seguimiento a las fuentes de emisión.
Para el mes de julio del año en curso, el acumulado es de 1,17 de avance en la ejecución de la meta.</t>
  </si>
  <si>
    <t>La Secretaría Distrital de Ambiente del 01 de enero al 31 de julio de 2022 atendió el 100% de los conceptos técnicos generados por afectación al recurso aire, auditiva y visual en el Distrito Capital y que recomiendan actuaciones administrativas sancionatorias, como se relaciona a continuación:
No de Conceptos Técnicos que recomiendan actuaciones administrativas sancionatorias: 994
No de Conceptos Técnicos acogidos jurídicamente mediante acto administrativo: 994
Avance total corte 31 de julio de 2022 (Vigencia): 100% 
Acorde con la programación establecida, durante el mes de enero y febrero se realizaron las actividades encaminadas a la elaboración de planes de trabajo y organización de los equipos técnicos y jurídicos.
Los avances en la magnitud de la meta están sujetos a la demanda de conceptos técnicos que remita el área técnica para ser acogidos jurídicamente; por lo tanto, el porcentaje de la magnitud mensual programada es de 100% toda vez que la tipología de medición es ""Constante".</t>
  </si>
  <si>
    <t xml:space="preserve">
AGOSTO:
Durante el mes de Agosto, se realizaron noventa y nueve (99) acciones en cumplimiento de la meta:
- Un (01) operativo de control a las zonas de Resto del Distrito
- Veintiún (21) visitas de evaluación a elementos mayores.
- Trece (13) documentos técnicos firmados para el resto del Distrito.
- Un (01) cargue de información a la plataforma SIIPEV.
- Sesenta y tres (63) evaluaciones a solicitudes de elementos de publicidad exterior visual.
Para la vigencia del Proyecto de Inversión del año 2022 se han realizado setecientos once (711) acciones de evaluación, control y seguimiento:
- Veinticuatro (24) operativos de control a zonas de Resto del Distrito.
- Ciento cuarenta y ocho (148) visitas de evaluación a elementos mayores.
- Cincuenta y seis (56) documentos técnicos firmados para el resto del Distrito.
- Siete (07) cargues de información a la plataforma SIIPEV.
- Cuatrocientos setenta y seis (476) evaluaciones a solicitudes de elementos de publicidad exterior visual.</t>
  </si>
  <si>
    <t>Vigencia 2022 Total 940 acciones, 64,70% de lo planeado del año, 49,5% del PDD.
I trim: 28 con medición, 12 sin medición, 39 cerrar el caso y 117 reprogramar. Otras acciones 9 informes acciones populares AP, 4 estudio de ruido, 10 mesas de trabajo, 3 socializaciones y 27 SUGA.
II trim: 23 con medición, 191 sin medición (141, sensibilizaciones, actos administrativos y 50 cerrar el caso) y 169 reprogramar. Otras acciones 15 informes AP, 4 socializaciones, 7 estudios de ruido, 16 mesas de trabajo, 11 SUGA.
Julio 8 con medición, 63 sin medición (40 sensibilizaciones, actos administrativos y 23 cerrar el caso) y 49 reprogramar. Otras acciones 4 informes AP, 3 presentaciones, 1 estudio de ruido, 6 mesas de trabajo y 4 SUGA  
Agosto 100 visitas así: 4 con medición, 41 sin medición (21 sensibilizaciones, seguimiento a actos administrativos y 20 cerrar el caso) y 55 reprogramar. Otras acciones de gestión 17: 6 informes AP, 1 presentaciones, 3 estudios de ruido, 2 mesas de trabajo y 5 SUGA.</t>
  </si>
  <si>
    <t>En el marco de la gestión integral de la calidad del aire de Bogotá, para el año 2022 se contempla la entrega de seis (6) documentos técnicos, de los cuales, tres (3) se presentaron en el primer semestre del año, siendo: Informe semestral de Seguimiento al Plan Estratégico para la Gestión Integral de la Calidad del Aire – Plan Aire 2030 (I-2022), Informe semestral (I-2022) de gestión del Sistema de Alertas Tempranas Ambientales en su componente aire y el Informe Técnico Anual de Modelación Atmosférica de Bogotá 2021. 
Para el presente periodo se ha venido trabajando en el desarrollo de los tres (3) documentos restantes, los cuales son: 1. Informe semestral de Seguimiento al Plan Estratégico para la Gestión Integral de la Calidad del Aire – Plan Aire 2030 (II-2022) donde se contempla el debido seguimiento y reporte de los avances de los 41 proyectos en implementación del Plan Aire 2030. 2. Informe semestral (I-2022) de gestión del Sistema de Alertas Tempranas Ambientales en su componente aire, donde se abordaron cinco líneas estratégicas, siendo: i) la Gestión del índice Bogotano de calidad del aire y riesgo en salud; IBOCA ii) el avance en la actualización del Plan de contingencia para la atención de alertas y emergencias por contaminación atmosférica; iii) la Gobernanza de calidad del aire, iv) el Monitoreo y análisis de contaminantes y v) la red colaborativa de microsensores de calidad del aire. 3. Inventario de emisiones correspondiente a la información del año 2021, realizando la validación de datos y reestructuración del documento.</t>
  </si>
  <si>
    <t>"La Secretaría Distrital de Ambiente, en el marco de las acciones de operación, mantenimiento y monitoreo de la red de ruido realizadas, presenta el avance de la vigencia que se detalla a continuación:
Vigencia 2020 se realizó el informe correspondiente a la operación Red de Monitoreo de Ruido Ambiental de Bogotá - RMRAB, en el cual, se reporta la realización de las actividades acreditación del procedimiento de monitoreo de ruido ambiental ante el IDEAM, actividades de soporte y mantenimiento realizado a las estaciones de monitoreo.
Vigencia 2021: se realizaron y presentaron los tres (03) informes correspondientes a la vigencia y se mantuvo la operación de la red de ruido.
Agosto. Se continua con la operación de la Red al 100 % en su ejecución."</t>
  </si>
  <si>
    <t>La Secretaría Distrital de Ambiente del 01 de enero al 31 de agosto de 2022 atendió el 92,48% de los conceptos técnicos generados por afectación al recurso aire, auditiva y visual en el Distrito Capital y que recomiendan actuaciones administrativas sancionatorias, como se relaciona a continuación:
No de Conceptos Técnicos que recomiendan actuaciones administrativas sancionatorias: 1144
No de Conceptos Técnicos acogidos jurídicamente mediante acto administrativo: 1058
Avance total corte 31 de Agosto de 2022 (Vigencia): 92,48% sin embrago el avance de la magnitud física se deja en un 100% dado que la tipología del reporte es constate. 
Acorde con la programación establecida, durante el mes de enero a agosto se realizaron las actividades encaminadas a la elaboración de planes de trabajo y organización de los equipos técnicos y jurídicos.
Los avances en la magnitud de la meta están sujetos a la demanda de conceptos técnicos que remita el área técnica para ser acogidos jurídicamente; por lo tanto, el porcentaje de la magnitud mensual programada es de 100% toda vez que la tipología de medición es "Constante".</t>
  </si>
  <si>
    <t>En el cumplimiento de los dos (02) informes de gestión programados para la vigencia 2022; se ha alcanzado un avance basado en las actividades de recolección de información de las acciones de evaluación, control y seguimiento de los grupos de fuentes fijas y fuentes móviles. También en la intervención mediante actuaciones técnicas, visitas de control y seguimiento, acompañamientos, monitoreos, operativos de medición en vía a vehículos que transitan en el Distrito Capital, visitas técnicas de auditoría a Centros de Diagnóstico Automotor CDA'S, con esta información se construyó el informe de acciones de evaluación, control y seguimiento a las fuentes de emisión.
Para el mes de agosto del año en curso, el acumulado es de 1,34 de avance en la ejecución de la meta.</t>
  </si>
  <si>
    <t>Se realizaron mantenimientos preventivos y correctivos, validación y análisis de datos y publicación de informes periódicos.
Para el mes de agosto el porcentaje de cumplimiento para este indicador es del 95%. Se reportaron los mantenimientos preventivos y correctivos que se realizaron durante el mes, se realizó la validación diaria de los datos de concentraciones de contaminantes criterio y parámetros meteorológicos que monitorea la RMCAB. El reporte de operatividad para el mes de agosto fue del 89,1% el cual es promedio de los datos validos de todos los parámetros de la red en las estaciones que se genera a través de Envista.  Para el mes de agosto se completó el análisis de datos y la redacción del informe mensual de julio de 2022, completando su elaboración y posterior publicación.</t>
  </si>
  <si>
    <t>La Secretaría Distrital de Ambiente del 01 de enero al 30 de septiembre de 2022 atendió el 90,19% de los conceptos técnicos generados por afectación al recurso aire, auditiva y visual en el Distrito Capital y que recomiendan actuaciones administrativas sancionatorias, como se relaciona a continuación:
No de Conceptos Técnicos que recomiendan actuaciones administrativas sancionatorias: 1326
No de Conceptos Técnicos acogidos jurídicamente mediante acto administrativo: 1196
Avance total corte 30 de septiembre de 2022 (Vigencia): 90,19% sin embrago el avance de la magnitud física se deja en un 100% dado que la tipología del reporte es constate. 
Acorde con la programación establecida, durante el mes de enero a agosto se realizaron las actividades encaminadas a la elaboración de planes de trabajo y organización de los equipos técnicos y jurídicos.
Los avances en la magnitud de la meta están sujetos a la demanda de conceptos técnicos que remita el área técnica para ser acogidos jurídicamente; por lo tanto, el porcentaje de la magnitud mensual programada es de 100% toda vez que la tipología de medición es ""Constante".</t>
  </si>
  <si>
    <t>Durante el mes de Septiembre, se realizaron ciento setenta y uno (171) acciones en cumplimiento de la meta:
- Quince (15) operativos de control a las zonas de Resto del Distrito
- Diecinueve (19) visitas de evaluación a elementos mayores.
- Quince (15) documentos técnicos firmados para el resto del Distrito.
- Un (01) cargue de información a la plataforma SIIPEV.
- Ciento veintiún (121) evaluaciones a solicitudes de elementos de publicidad exterior visual.
Para la vigencia del Proyecto de Inversión del año 2022 se han realizado ochocientos ochenta y dos (882) acciones de evaluación, control y seguimiento:
- Treinta y nueve (39) operativos de control a zonas de Resto del Distrito.
- Ciento sesenta y siete (167) visitas de evaluación a elementos mayores.
- Setenta y uno (71) documentos técnicos firmados para el resto del Distrito.
- Ocho (08) cargues de información a la plataforma SIIPEV.
- Quinientos noventa y siete (597) evaluaciones a solicitudes de elementos de publicidad exterior visual.
Lo anterior, dando un avance para el cuatrienio de 7.124 acciones de evaluación, control y seguimiento: 153 operativos de control y seguimiento, 417 visitas de evaluación a elementos mayores, 278 documentos técnicos, 54 visitas a elementos menores, 21 cargues de información a la plataforma SIIPEV, 6.201 evaluaciones a solicitudes de elementos de publicidad exterior visual.</t>
  </si>
  <si>
    <t>Total vigencia 2022: 1082 acciones, 85,1% de lo planeado y 52,6% del PDD.
I trimestre: 28 con medición, 12 sin medición, 39 cerrar el caso y 117 reprogramar. Otras acciones 9 informes acciones populares AP, 4 estudio de ruido, 10 mesas de trabajo, 3 socializaciones y 27 SUGA.
II trimestre: 23 con medición, 191 sin medición (141, sensibilizaciones, actos administrativos y 50 cerrar el caso) y 169 reprogramar. Otras acciones 15 informes AP, 4 socializaciones, 7 estudios de ruido, 16 mesas de trabajo, 11 SUGA.
III trimestre: 17 con medición, 160 sin medición (93 sensibilizaciones, actos administrativos y 67 cierre de caso) y 165 para reprogramar. Otras acciones 15 informes AP, 5 socializaciones, 8 estudios de ruido, 12 mesas de trabajo, 15 SUGA.</t>
  </si>
  <si>
    <t>En el marco de la gestión integral de la calidad del aire de Bogotá, para el año 2022 se contempla la entrega de seis (6) documentos técnicos, de los cuales, 
Tres (3) se presentaron en el primer y segundo trimestre del año, siendo: Informe semestral de Seguimiento al Plan Estratégico para la Gestión Integral de la Calidad del Aire – Plan Aire 2030 (I-2022), Informe semestral (I-2022) de gestión del Sistema de Alertas Tempranas Ambientales en su componente aire y el Informe Técnico Anual de Modelación Atmosférica de Bogotá 2021. 
Para el tercer trimestre se ha venido trabajando en el desarrollo de los tres (3) documentos restantes, los cuales son: 
1. Informe semestral de Seguimiento al Plan Estratégico para la Gestión Integral de la Calidad del Aire – Plan Aire 2030 (II-2022) donde se contempla el debido seguimiento y reporte de los avances de los 41 proyectos en implementación del Plan Aire 2030. 
2. Informe semestral (I-2022) de gestión del Sistema de Alertas Tempranas Ambientales en su componente aire, donde se abordaron cinco líneas estratégicas, siendo: i) la Gestión del índice Bogotano de calidad del aire y riesgo en salud; IBOCA ii) el avance en la actualización del Plan de contingencia para la atención de alertas y emergencias por contaminación atmosférica; iii) la Gobernanza de calidad del aire, iv) el Monitoreo y análisis de contaminantes y v) la red colaborativa de microsensores de calidad del aire. 
3. Inventario de emisiones correspondiente a la información del año 2021, realizando la desagregación espacio temporal de las emisiones de fuentes por material resuspendido y desgaste de llantas, y la elaboración de  gráficas de los incendios forestales reportado para el año 2021.</t>
  </si>
  <si>
    <t>En el tercer trimestre de la vigencia 2022, se realizaron mantenimientos preventivos y correctivos, validación y análisis de datos y publicación de informes periódicos.
Para el mes de septiembre el porcentaje de cumplimiento para este indicador es del 95%. Se reportaron los mantenimientos preventivos y correctivos que se realizaron durante el mes, se realizó la validación diaria de los datos de concentraciones de contaminantes criterio y parámetros meteorológicos que monitorea la RMCAB. El reporte de operatividad para el mes de agosto fue del 89,1% el cual es promedio de los datos validos de todos los parámetros de la red en las estaciones que se genera a través de Envista.  Para el mes de septiembre se completó el análisis de datos y la redacción del informe mensual de julio de 2022, completando su elaboración y posterior publicación.</t>
  </si>
  <si>
    <t>La Secretaría Distrital de Ambiente, en el marco de las acciones de operación, mantenimiento y monitoreo de la red de ruido realizadas, presenta el avance en el PDD como se detalla a continuación:
Vigencia 2020 se realizó el informe correspondiente a la operación Red de Monitoreo de Ruido Ambiental de Bogotá - RMRAB, en el cual, se reporta la realización de las actividades acreditación del procedimiento de monitoreo de ruido ambiental ante el IDEAM, actividades de soporte y mantenimiento realizado a las estaciones de monitoreo.
Vigencia 2021: se realizaron y presentaron los tres (03) informes correspondientes a la vigencia y se mantuvo la operación de la red de ruido.
Para el segundo semestre del 2022; Se genera avance del informe semestral relacionado con la operación de la Red de Monitoreo de Ruido Ambiental de Bogotá (RMRAB), en la cual se reportan principalmente la realización de las actividades de soporte y mantenimiento realizado a las estaciones de monitoreo de ruido, se envía informe de Laboratorio Ambiental. En lo referente a materia de acreditación ante el IDEAM y la NTC ISO/IEC 17025, se adelantó la generación y revisión de documentos requeridos en la lista de chequeo, se presenta los nuevos procedimientos de la RMRAB ante el Laboratorio Ambiental de la SDA. Además, se realizó el desmonte de 20 estaciones de monitoreo de ruido ambiental ubicadas en los CAI de la ciudad con el objetivo de salvaguarda su integridad física por posibles actos vandálicos y se generó el avance para la reinstalación de estas, se genera informe de los indicadores relacionados con el día sin carro y moto en la ciudad de Bogotá.</t>
  </si>
  <si>
    <t>Durante el mes de Octubre, se realizaron ciento tres (103) acciones en cumplimiento de la meta:
- Diez (10) operativos de control a las zonas de Resto del Distrito
- Once (11) visitas de evaluación a elementos mayores.
- Seis (6) documentos técnicos firmados para el resto del Distrito.
- Un (01) cargue de información a la plataforma SIIPEV.
- Setenta y cinco (75) evaluaciones a solicitudes de elementos de publicidad exterior visual.
Para la vigencia del Proyecto de Inversión del año 2022 se han realizado novecientos ochenta y cinco (985) acciones de evaluación, control y seguimiento:
- Cuarenta y nueve (49) operativos de control a zonas de Resto del Distrito.
- Ciento setenta y ocho (178) visitas de evaluación a elementos mayores.
- Setenta y siete (77) documentos técnicos firmados para el resto del Distrito.
- Nueve (09) cargues de información a la plataforma SIIPEV.
- Seiscientos setenta y dos (672) evaluaciones a solicitudes de elementos de publicidad exterior visual.
Lo anterior, dando un avance para el cuatrienio de 7.227 acciones de evaluación, control y seguimiento: 163 operativos de control y seguimiento, 428 visitas de evaluación a elementos mayores, 284 documentos técnicos, 54 visitas a elementos menores, 22 cargues de información a la plataforma SIIPEV, 6.276 evaluaciones a solicitudes de elementos de publicidad exterior visual.</t>
  </si>
  <si>
    <t>Total, vigencia 2022; 1203 acciones, 86,7% de lo planeado año y 55,1% del PDD.
o	I trimestre: 28 con medición, 12 sin medición, 39 cerrar el caso y 117 reprogramar. Otras acciones 9 informes acciones populares AP, 4 estudio de ruido, 10 mesas de trabajo, 3 socializaciones y 27 SUGA.
o	II trimestre: 23 con medición, 191 sin medición (141, sensibilizaciones, actos administrativos y 50 cerrar el caso) y 169 reprogramar. Otras acciones 15 informes AP, 4 socializaciones, 7 estudios de ruido, 16 mesas de trabajo, 11 SUGA.
o	III trimestre: 17 con medición, 160 sin medición (93 sensibilizaciones, actos administrativos y 67 cierre de caso) y 165 para reprogramar. Otras acciones 15 informes AP, 5 socializaciones, 8 estudios de ruido, 12 mesas de trabajo, 15 SUGA.
o	Octubre: 2 con medición 47 sin medición (33 sensibilizaciones, actos administrativos y 14 cerrar el caso) y 52 no efectivas para reprogramar. Otras acciones 5 informes AP, 1 presentaciones, 3 estudios de ruido, 4 mesas de trabajo y 7 oficios SUGA.</t>
  </si>
  <si>
    <t>La Secretaría Distrital de Ambiente, en el marco de las acciones de operación, mantenimiento y monitoreo de la red de ruido realizadas, presenta el avance de la vigencia que se detalla a continuación:
Vigencia 2020 se realizó el informe correspondiente a la operación Red de Monitoreo de Ruido Ambiental de Bogotá - RMRAB, en el cual, se reporta la realización de las actividades acreditación del procedimiento de monitoreo de ruido ambiental ante el IDEAM, actividades de soporte y mantenimiento realizado a las estaciones de monitoreo.
Vigencia 2021: se realizaron y presentaron los tres (03) informes correspondientes a la vigencia y se mantuvo la operación de la red de ruido.
Para el segundo semestre del 2022 Se genera avance del informe semestral relacionado con la operación de la Red de Monitoreo de Ruido Ambiental de Bogotá (RMRAB) , en la cual se reportan principalmente la realización de las actividades de soporte y mantenimiento realizado a las estaciones de monitoreo de ruido, se envía informe de Laboratorio Ambiental . Se realiza seguimiento a los contratos del personal de la RMRAB. En lo referente a materia de acreditación ante el IDEAM y la NTC ISO/IEC 17025, se adelantó la generación y revisión de documentos requeridos en la lista de chequeo, se presenta los nuevos procedimientos de la RMRAB ante el Laboratorio Ambiental de la SDA, se realizó ajustes al Estudio previo para la adquisición de baterías secas de 12 voltios, estaciones meteorológicas y calibración de sonómetros.</t>
  </si>
  <si>
    <t>Se realizaron mantenimientos preventivos y correctivos, validación y análisis de datos y publicación de informes periódicos.
Para el mes de Octubre el porcentaje de cumplimiento para este indicador es del 100%. Se reportaron los mantenimientos preventivos y correctivos que se realizaron durante el mes, se realizó la validación diaria de los datos de concentraciones de contaminantes criterio y parámetros meteorológicos que monitorea la RMCAB. 
Para el mes de Octubre se completó el análisis de datos y la redacción del  informe mensual, completando su elaboración y posterior publicación.</t>
  </si>
  <si>
    <t>En el marco de la gestión integral de la calidad del aire de Bogotá, para el año 2022 se contempla la entrega de seis (6) documentos técnicos, de los cuales, tres (3) se presentaron en el primer y segundo trimestre del año, siendo: Informe semestral de Seguimiento al Plan Estratégico para la Gestión Integral de la Calidad del Aire – Plan Aire 2030 (I-2022), Informe semestral (I-2022) de gestión del Sistema de Alertas Tempranas Ambientales en su componente aire y el Informe Técnico Anual de Modelación Atmosférica de Bogotá 2021. 
Para el tercer y cuarto trimestre se ha venido trabajando en el desarrollo de los tres (3) documentos restantes, los cuales son: 
1. Informe semestral de Seguimiento al Plan Estratégico para la Gestión Integral de la Calidad del Aire – Plan Aire 2030 (II-2022) donde se contempla el debido seguimiento y reporte de los avances de los 41 proyectos en implementación del Plan Aire 2030. 
2. Informe semestral (I-2022) de gestión del Sistema de Alertas Tempranas Ambientales en su componente aire, donde se abordaron cinco líneas estratégicas, siendo: i) la Gestión del índice Bogotano de calidad del aire y riesgo en salud; IBOCA ii) el avance en la actualización del Plan de contingencia para la atención de alertas y emergencias por contaminación atmosférica; iii) la Gobernanza de calidad del aire, iv) el Monitoreo y análisis de contaminantes y v) la red colaborativa de microsensores de calidad del aire. 
3. Inventario de emisiones correspondiente a la información del año 2021, avanzando en las gráficas de incendios para los contaminantes de SO2, CO y NOx, teniendo el impacto por departamentos de las emisiones provenientes de incendios que inciden en la calidad del aire.</t>
  </si>
  <si>
    <t>La Secretaría Distrital de Ambiente del 01 de enero al 31 de octubre de 2022 atendió el 92,85% de los conceptos técnicos generados por afectación al recurso aire, auditiva y visual en el Distrito Capital y que recomiendan actuaciones administrativas sancionatorias, como se relaciona a continuación:
No de Conceptos Técnicos que recomiendan actuaciones administrativas sancionatorias: 1498
No de Conceptos Técnicos acogidos jurídicamente mediante acto administrativo: 1391
Avance total corte 31 de octubre de 2022 (Vigencia): 92,85%  
Acorde con la programación establecida, durante el mes de enero a agosto se realizaron las actividades encaminadas a la elaboración de planes de trabajo y organización de los equipos técnicos y jurídicos.
Los avances en la magnitud de la meta están sujetos a la demanda de conceptos técnicos que remita el área técnica para ser acogidos jurídicamente; por lo tanto, el porcentaje de la magnitud mensual programada es de 100% toda vez que la tipología de medición es "Constante".</t>
  </si>
  <si>
    <t>Formular 30 documentos técnicos de formulación, seguimiento o evaluación de la gestión integral de la calidad del aire de Bogotá</t>
  </si>
  <si>
    <t>En la vigencia del Año 2022; 1340 acciones 92,3% planeado y 58,0% del PDD.
I trimestre: 28 con medición, 12 sin medición, 39 cerrar caso, 117 reprogramar. Otras acciones 9 informes acciones populares AP, 4 estudio de ruido ER, 10 mesa de trabajo, 3 socializaciones, 27 SUGA
II trimestre: 23 con medición, 191 sin medición (141 sensibilizaciones, sancionatorio, 50 cerrar caso), 169 reprogramar. Otras acciones 15 AP, 4 socializaciones, 7 ER, 16 mesa de trabajo, 11 SUGA
III trimestre: 17 con medición, 160 sin medición (93 sensibilizaciones, sancionatorio, 67 cerrar caso), 165 reprogramar. Otras acciones 15 AP, 5 socializaciones, 8 ER, 12 mesa de trabajo, 15 SUGA
Octubre: 2 con medición 47 sin medición (33 sensibilizaciones, sancionatorio, 14 cerrar caso), 52 reprogramar. Otras acciones 5 AP, 1 presentaciones, 3 ER, 4 mesa de trabajo, 7 SUGA
Noviembre: 5 con medición, 56 sin medición (39 sensibilizaciones, sancionatorio, 17 cerrar caso) y 56 reprogramar. Otras acciones 6 AP, 1 presentación, 5 mesa de trabajo, 8 SUGA.</t>
  </si>
  <si>
    <t>Durante el mes de Noviembre, se realizaron noventa y cuatro (94) acciones en cumplimiento de la meta:
- Cuatro (04) operativos de control a las zonas de Resto del Distrito
- Trece (13) visitas de evaluación a elementos mayores.
- Once (11) documentos técnicos firmados para el resto del Distrito.
- Un (01) cargue de información a la plataforma SIIPEV.
- Sesenta y cinco (65) evaluaciones a solicitudes de elementos de publicidad exterior visual.
Para la vigencia del Proyecto de Inversión del año 2022 se han realizado un mil setenta y nueve (1.079) acciones de evaluación, control y seguimiento:
- Cincuenta y tres (53) operativos de control a zonas de Resto del Distrito.
- Ciento noventa y uno (191) visitas de evaluación a elementos mayores.
- Ochenta y ocho (88) documentos técnicos firmados para el resto del Distrito.
- Diez (10) cargues de información a la plataforma SIIPEV.
- Setecientos treinta y siete (737) evaluaciones a solicitudes de elementos de publicidad exterior visual.
Lo anterior, dando un avance para el cuatrienio de 7.321 acciones de evaluación, control y seguimiento: 167 operativos de control y seguimiento, 441 visitas de evaluación a elementos mayores, 295 documentos técnicos, 54 visitas a elementos menores, 23 cargues de información a la plataforma SIIPEV, 6.341 evaluaciones a solicitudes de elementos de publicidad exterior visual.</t>
  </si>
  <si>
    <t>La Secretaría Distrital de Ambiente, en el marco de las acciones de operación, mantenimiento y monitoreo de la red de ruido realizadas, presenta el avance de la vigencia que se detalla a continuación:
Vigencia 2020 se realizó el informe correspondiente a la operación Red de Monitoreo de Ruido Ambiental de Bogotá - RMRAB, en el cual, se reporta la realización de las actividades acreditación del procedimiento de monitoreo de ruido ambiental ante el IDEAM, actividades de soporte y mantenimiento realizado a las estaciones de monitoreo.
Vigencia 2021: se realizaron y presentaron los tres (03) informes correspondientes a la vigencia y se mantuvo la operación de la red de ruido.
Para el segundo semestre del 2022 Se genera avance del informe semestral relacionado con la operación de la Red de Monitoreo de Ruido Ambiental de Bogotá (RMRAB), en la cual se reportan principalmente la realización de las actividades de soporte y mantenimiento realizado a las estaciones de monitoreo de ruido, se envía informe de Laboratorio Ambiental.
Se realiza seguimiento a los contratos del personal de la RMRAB. En lo referente a materia de acreditación ante el IDEAM y la NTC ISO/IEC 17025, se adelantó la generación y revisión de documentos requeridos en la lista de chequeo, se presenta los nuevos procedimientos de la RMRAB ante el Laboratorio Ambiental de la SDA, se realizó el desmonte de 20 estaciones de monitoreo de ruido ambiental ubicadas en los CAI de la ciudad con el objetivo de salvaguarda su integridad física, se genera informe de los indicadores relacionados con el día sin carro y moto en la ciudad de Bogotá.</t>
  </si>
  <si>
    <t>La Secretaría Distrital de Ambiente del 01 de enero al 30 de noviembre de 2022 atendió el 100% de los conceptos técnicos generados por afectación al recurso aire, auditiva y visual en el Distrito Capital y que recomiendan actuaciones administrativas sancionatorias, como se relaciona a continuación:
No de Conceptos Técnicos que recomiendan actuaciones administrativas sancionatorias: 1.593
No de Conceptos Técnicos acogidos jurídicamente mediante acto administrativo: 1.593
Avance total corte 30 de noviembre de 2022 (Vigencia): 100%  
Acorde con la programación establecida, durante el mes de enero a noviembre se realizaron las actividades encaminadas a la elaboración de planes de trabajo y organización de los equipos técnicos y jurídicos.
Los avances en la magnitud de la meta están sujetos a la demanda de conceptos técnicos que remita el área técnica para ser acogidos jurídicamente; por lo tanto, el porcentaje de la magnitud mensual programada es de 100% toda vez que la tipología de medición es Constante.</t>
  </si>
  <si>
    <t>Se realizaron mantenimientos preventivos y correctivos, validación y análisis de datos y publicación de informes periódicos.
Para el mes de Noviembre el porcentaje de cumplimiento para este indicador es del 100%. Se reportaron los mantenimientos preventivos y correctivos que se realizaron durante el mes, se realizó la validación diaria de los datos de concentraciones de contaminantes criterio y parámetros meteorológicos que monitorea la RMCAB. 
Para el mes de Noviembre se completó el análisis de datos y la redacción del  informe mensual, completando su elaboración y posterior publicación.</t>
  </si>
  <si>
    <t xml:space="preserve">Formular 30 documentos técnicos de formulación, seguimiento o evaluación de la gestión integral de la calidad del aire de Bogotá
</t>
  </si>
  <si>
    <t>En el marco de la gestión integral de la calidad del aire de Bogotá, para el año 2022 se contempla la entrega de siete (7) documentos técnicos, de los cuales, tres (3) se presentaron en el primer y segundo trimestre del año, siendo: Informe semestral de Seguimiento al Plan Estratégico para la Gestión Integral de la Calidad del Aire – Plan Aire 2030 (I-2022), Informe semestral (I-2022) de gestión del Sistema de Alertas Tempranas Ambientales en su componente aire y el Informe Técnico Anual de Modelación Atmosférica de Bogotá 2021. 
Para el tercer y cuarto trimestre se ha venido trabajando en el desarrollo de los cuatro (4) documentos restantes, los cuales son: 
1. Informe semestral de Seguimiento al Plan Estratégico para la Gestión Integral de la Calidad del Aire – Plan Aire 2030 (II-2022) donde se contempla el debido seguimiento y reporte de los avances de los 41 proyectos en implementación del Plan Aire 2030. Un (01) documento del análisis de las acciones resultado del impacto del mantenimiento de la malla vial en la Calidad del Aire.
2. Informe semestral (I-2022) de gestión del Sistema de Alertas Tempranas Ambientales en su componente aire, donde se abordaron cinco líneas estratégicas, siendo: i) la Gestión del índice Bogotano de calidad del aire y riesgo en salud; IBOCA ii) el avance en la actualización del Plan de contingencia para la atención de alertas y emergencias por contaminación atmosférica; iii) la Gobernanza de calidad del aire, iv) el Monitoreo y análisis de contaminantes y v) la red colaborativa de microsensores de calidad del aire. 
3. Inventario de emisiones correspondiente a la información del año 2021, avanzando en las gráficas de incendios para los contaminantes de SO2, CO y NOx, teniendo el impacto por departamentos de las emisiones provenientes de incendios que inciden en la calidad del aire.</t>
  </si>
  <si>
    <t>En el cumplimiento de los dos (02) informes de gestión programados para la vigencia 2022; se ha alcanzado un avance basado en las actividades de recolección de información de las acciones de evaluación, control y seguimiento de los grupos de fuentes fijas y fuentes móviles. También en la intervención mediante actuaciones técnicas, visitas de control y seguimiento, acompañamientos, monitoreos, operativos de medición en vía a vehículos que transitan en el Distrito Capital, visitas técnicas de auditoría a Centros de Diagnóstico Automotor CDA'S, con esta información se construyó el informe de acciones de evaluación, control y seguimiento a las fuentes de emisión.
Para el mes de Noviembre del año en curso, el acumulado es de 1,85 de avance en la ejecución de la meta.</t>
  </si>
  <si>
    <t>En el cumplimiento de los dos (02) informes de gestión programados para la vigencia 2022; se ha alcanzado un avance del 100%  basado en las actividades de recolección de información de las acciones de evaluación, control y seguimiento de los grupos de fuentes fijas y fuentes móviles. También en la intervención mediante actuaciones técnicas, visitas de control y seguimiento, acompañamientos, monitoreos, operativos de medición en vía a vehículos que transitan en el Distrito Capital, visitas técnicas de auditoría a Centros de Diagnóstico Automotor CDA'S, con esta información se construyó el informe de acciones de evaluación, control y seguimiento a las fuentes de emisión.
Para el mes de Diciembre del año en curso, el acumulado es de 2 (100%) de avance en la ejecución de la meta.  con un total de 841 actuaciones técnicas entre conceptos, informes técnicos y oficios producto de 629 vistas técnicas en atención a  1471 solicitudes.</t>
  </si>
  <si>
    <t xml:space="preserve">Año 2022:  1418 acciones, 80 con medicion, 531 sin medicion (327 sensibilizaciones, inventarios, actos administrativos, 204 cerrar el caso), 591 no efectivas discriminadas asi:
I trimestre: 28 con medición, 12 sin medición, 39 cerrar caso, 117 reprogramar. Otras acciones 9 informes acciones populares AP, 4 estudio de ruido ER, 10 mesa de trabajo, 3 socializaciones, 27 SUGA
II trimestre: 23 con medición, 191 sin medición (141 sensibilizaciones, sancionatorio, 50 cerrar caso), 169 reprogramar. Otras acciones 15 AP, 4 socializaciones, 7 ER, 16 mesa de trabajo, 11 SUGA
III trimestre: 17 con medición, 160 sin medición (93 sensibilizaciones, sancionatorio, 67 cerrar caso), 165 reprogramar. Otras acciones 15 AP, 5 socializaciones, 8 ER, 12 mesa de trabajo, 15 SUGA
IV trimestre: 12 con medición, 129 sin medición (80 sensibilizaciones, sancionatorio, 49 cerrar caso), 140 reprogramar. Otras acciones 17 AP, 3 presentaciones, 3 estudios de ruido, 17 mesa de trabajo, 15 SUGA.
</t>
  </si>
  <si>
    <t>Para la vigencia del Proyecto de Inversión del año 2022 se han realizado un mil ciento ochenta y tres (1.183) acciones de evaluación, control y seguimiento:
- Setenta y dos (72) operativos de control a zonas de Resto del Distrito.
- Doscientos once (211) visitas de evaluación a elementos mayores.
- Ciento ocho (108) documentos técnicos firmados para el resto del Distrito.
- Once (11) cargues de información a la plataforma SIIPEV.
- Setecientos ochenta y uno (781) evaluaciones a solicitudes de elementos de publicidad exterior visual. 
Durante el mes de Diciembre, se realizaron ciento cuatro (104) acciones en cumplimiento de la meta:
- Diecinueve (19) operativos de control a las zonas de Resto del Distrito
- Veinte (20) visitas de evaluación a elementos mayores.
- Veinte (20) documentos técnicos firmados para el resto del Distrito.
- Un (01) cargue de información a la plataforma SIIPEV.
- Cuarenta y cuatro (44) evaluaciones a solicitudes de elementos de publicidad exterior visual.
Lo anterior, dando un avance para el cuatrienio de 7.425 acciones de evaluación, control y seguimiento: 186 operativos de control y seguimiento, 461 visitas de evaluación a elementos mayores, 315 documentos técnicos, 54 visitas a elementos menores, 24 cargues de información a la plataforma SIIPEV, 6.385 evaluaciones a solicitudes de elementos de publicidad exterior visual.</t>
  </si>
  <si>
    <t>La Secretaría Distrital de Ambiente, en el marco de las acciones de operación, mantenimiento y monitoreo de la red de ruido realizadas, presenta el avance de la vigencia que se detalla a continuación:
Vigencia 2020 se realizó el informe correspondiente a la operación Red de Monitoreo de Ruido Ambiental de Bogotá - RMRAB, en el cual, se reporta la realización de las actividades acreditación del procedimiento de monitoreo de ruido ambiental ante el IDEAM, actividades de soporte y mantenimiento realizado a las estaciones de monitoreo.
Vigencia 2021: se realizaron y presentaron los tres (03) informes correspondientes a la vigencia y se mantuvo la operación de la red de ruido.
Para la vigencia 2022 Se reporta la realización del 100% de las actividades de soporte y mantenimiento realizado a las estaciones de monitoreo de ruido, se envía informe de Laboratorio Ambiental. Se realiza seguimiento a los contratos del personal de la RMRAB. En lo referente a materia de acreditación ante el IDEAM y la NTC ISO/IEC 17025, se adelantó la generación y revisión de documentos requeridos en la lista de chequeo, se presenta los nuevos procedimientos de la RMRAB ante el Laboratorio Ambiental de la SDA, se realizó ajustes al Estudio previo para la adquisición de baterías secas de 12 voltios, estaciones meteorológicas y calibración de Sonómetros. 
Además, se generó el informe de los indicadores relacionados con el día sin carro y moto en la ciudad de Bogotá, se generó acta de pago relacionada con el deducible de las estaciones vandalizadas.</t>
  </si>
  <si>
    <t>En el marco de la gestión integral de la calidad del aire de Bogotá, para el año 2022 se contempla la entrega de seis (6) documentos técnicos, de los cuales, tres (3) se presentaron en el primer y segundo trimestre del año, siendo: Informe semestral de Seguimiento al Plan Estratégico para la Gestión Integral de la Calidad del Aire – Plan Aire 2030 (I-2022), Informe semestral (I-2022) de gestión del Sistema de Alertas Tempranas Ambientales en su componente aire y el Informe Técnico Anual de Modelación Atmosférica de Bogotá 2021. Para el tercer y cuarto trimestre según lo proyecto se realiza la entrega de los tres (3) documentos restantes, los cuales son: 1. Informe semestral de Seguimiento al Plan Estratégico para la Gestión Integral de la Calidad del Aire – Plan Aire 2030 (II-2022) donde se contempla el debido seguimiento y reporte de los avances de los 41 proyectos en implementación del Plan Aire 2030. 2. Informe semestral (I-2022) de gestión del Sistema de Alertas Tempranas Ambientales en su componente aire, donde se abordaron cinco líneas estratégicas, siendo: i) la Gestión del índice Bogotano de calidad del aire y riesgo en salud; IBOCA ii) el avance en la actualización del Plan de contingencia para la atención de alertas y emergencias por contaminación atmosférica; iii) la Gobernanza de calidad del aire, iv) el Monitoreo y análisis de contaminantes y v) la red colaborativa de microsensores de calidad del aire. 3. Inventario de emisiones correspondiente a la información del año 2021, el cual se encuentra en la etapa de revisión final para su debida publicación.</t>
  </si>
  <si>
    <t>La Secretaría Distrital de Ambiente del 01 de enero al 31 de diciembre de 2022 atendió el 100% de los conceptos técnicos generados por afectación al recurso aire, auditiva y visual en el Distrito Capital y que recomiendan actuaciones administrativas sancionatorias, como se relaciona a continuación:
No de Conceptos Técnicos que recomiendan actuaciones administrativas sancionatorias: 1.766
No de Conceptos Técnicos acogidos jurídicamente mediante acto administrativo: 1.766.
Los avances en la magnitud de la meta están sujetos a la demanda de conceptos técnicos que remita el área técnica para ser acogidos jurídicamente; por lo tanto, el porcentaje de la magnitud mensual programada es de 100% toda vez que la tipología de medición es constante.</t>
  </si>
  <si>
    <t>Se realizaron mantenimientos preventivos y correctivos, validación y análisis de datos y publicación de informes periódicos.
Para el mes de Diciembre el porcentaje de cumplimiento para este indicador es del 100%. Se reportaron los mantenimientos preventivos y correctivos que se realizaron durante el mes, se realizó la validación diaria de los datos de concentraciones de contaminantes criterio y parámetros meteorológicos que monitorea la RMCAB. El reporte de operatividad para el mes fue del 100% el cual es promedio de los datos validos de todos los parámetros de la red en las estaciones que se genera a través de Envista.  Para el mes de Diciembre se completó el análisis de datos y la redacción del informe mensual de Noviembre de 2022, completando su elaboración y posterior publicación.</t>
  </si>
  <si>
    <t xml:space="preserve">Formular 30 documentos técnicos de formulación, seguimiento o evaluación de la gestión integral de la calidad del aire de Bogotá.
</t>
  </si>
  <si>
    <t>1-100-F001  VA-RECURSOS DISTRITO</t>
  </si>
  <si>
    <t>1-100-I034  VA-OTRAS DONACIONES</t>
  </si>
  <si>
    <t xml:space="preserve">1-200-I032  RB-OTRAS DONACIONES </t>
  </si>
  <si>
    <t>Durante el mes de Enero 2023, se realizaron diez (10) acciones en cumplimiento de la meta:
- Nueve (09) visitas de evaluación a elementos mayores.
- Uno (01) cargue de información a la plataforma SIIPEV.
Lo anterior, dando un avance para el cuatrienio de 7.435 acciones de evaluación, control y seguimiento: 186 operativos de control y seguimiento, 470 visitas de evaluación a elementos mayores, 315 documentos técnicos, 25 visitas a elementos menores, 24 cargues de información a la plataforma SIIPEV, 6.385 evaluaciones a solicitudes de elementos de publicidad exterior visual.</t>
  </si>
  <si>
    <t>Vigencia 2023:  62 acciones, 48 visitas y 14 otras acciones de gestión:
Enero: 21 visitas sin medición (18 sensibilizaciones, 3 cerrar caso), 27 no efectivas para reprogramar; 5 informes de AP, 7 mesas de trabajo, 2 oficios SUGA.</t>
  </si>
  <si>
    <t>5, PONDERACIÓN HORIZONTAL AÑO: 2023</t>
  </si>
  <si>
    <t>En la vigencia 2023 se ha cumplido con la realización del 100% de las actividades para gestionar, estructurar y ampliar la red de monitoreo de ruido ambiental se realizaron actividades de mantenimiento, actualización de cartas control y análisis de los datos obtenidos de la red. Además, se realizó el avance del informe semestral e informe de laboratorio.</t>
  </si>
  <si>
    <t>Se realizaron mantenimientos preventivos y correctivos, validación y análisis de datos y publicación de informes periódicos.
Para el mes de Enero el porcentaje de cumplimiento para este indicador es del 100%. Se reportaron los mantenimientos preventivos y correctivos que se realizaron durante el mes, se realizó la validación diaria de los datos de concentraciones de contaminantes criterio y parámetros meteorológicos que monitorea la Red de Monitoreo y Calidad de Aire de Bogotá (RMCAB).</t>
  </si>
  <si>
    <t xml:space="preserve">Durante el periodo comprendido entre el 01 al 31 de enero de 2023 no se realizaron actuaciones administrativas sancionatorias de impulso o de fondo.
Los avances en la magnitud de la meta están sujetos a la demanda de conceptos técnicos que remita el área técnica para ser acogidos jurídicamente. Para el mes de Enero se intervinieron 2 de estos conceptos. Generando un avance acumulado en el cumplimiento del 100%.
</t>
  </si>
  <si>
    <t>1. Realizar mantenimientos preventivos y correctivos en los equipos de la RMCAB</t>
  </si>
  <si>
    <t>2. Realizar la validación y análisis de los datos provenientes de las estaciones de la RMCAB</t>
  </si>
  <si>
    <t>3. Elaborar y publicar en la página de la RMCAB 17 informes periódicos de calidad del aire</t>
  </si>
  <si>
    <t>4. Realizar acciones encaminadas al aseguramiento de calidad y validez de los datos generados por la RMCAB.</t>
  </si>
  <si>
    <t>5. Realizar acciones de tipo administrativo y contractual que permitan garantizar la correcta operación de la RMCAB.</t>
  </si>
  <si>
    <t>10. Atender las solicitudes de quejas, derechos de petición, entes de control y radicados allegadas a la Entidad a través de vistas de inspección, vigilancia y control.</t>
  </si>
  <si>
    <t>11. Realizar las mediciones a los vehículos durante el desarrollo de los diferentes operativos de evaluación, control y seguimiento a las fuentes móviles.</t>
  </si>
  <si>
    <t>12. Programar  y ejecutar las visitas técnicas del programa de auditoria a los Centros de Diagnóstico Automotor (CDA) que operan en el Distrito Capital.</t>
  </si>
  <si>
    <t>13. Realizar documentos técnicos de evaluación y seguimiento de emisión de ruido a establecimientos de comercio, industria y servicio, generados por visitas con medición/sin medición y  no efectivas.</t>
  </si>
  <si>
    <t>14. Realizar documentos técnicos: oficios evaluación de estudios de emisión de ruido conceptos técnicos aclaratorio y demás documentos relacionados que no requieren visita técnica.</t>
  </si>
  <si>
    <t>17. Actualizar los Mapas Estratégicos de Ruido (MER) de todas las localidades urbanas del Distrito y cálculo del %PUAR</t>
  </si>
  <si>
    <t>18. Elaborar un informe técnico semestral de ruido ambiental para monitorear las dinámicas sonoras del Distrito y para la toma de decisiones.</t>
  </si>
  <si>
    <t>19. Instalar, comunicar y poner en servicio 3 estaciones de la Red de Monitoreo de Ruido Ambiental de Bogotá bajo criterios OACI para el monitoreo y seguimiento del ruido aeronáutico</t>
  </si>
  <si>
    <t>23. Realizar el seguimiento y actualización mensual de la información contenida en el Sistema Integrado de Información de Publicidad Exterior Visual - SIIPEV para dar cumplimiento al Acuerdo 610/2015.</t>
  </si>
  <si>
    <t>25. Atender el 100% de los conceptos técnicos que recomiendan una actuación administrativa sancionatoria para el cumplimiento de las regulaciones y control del recurso aire auditiva y visual.</t>
  </si>
  <si>
    <t xml:space="preserve">26. Realizar el proceso de organización y administración del 100% de los documentos de archivos y expedientes sancionatorios. </t>
  </si>
  <si>
    <t>27. Notificar el 100% de los actos administrativos en cumplimiento de la normatividad establecida.</t>
  </si>
  <si>
    <t>28. Realizar acciones de seguimiento y control en el marco del trámite sancionatorio, y/o procesos de evaluación y seguimiento para los proyectos del recurso aire auditiva y visual.</t>
  </si>
  <si>
    <t>9. Realizar la intervención a Fuentes Fijas  ubicadas en el Distrito Capital, a través actuaciones tecnicas resultado de las acciones de evaluación, seguimiento control y monitoreo.</t>
  </si>
  <si>
    <t>6. Realizar la elaboracion de los dos (02) Documentos de seguimiento semestral Plan Aire 2030 (I, II - 2023).</t>
  </si>
  <si>
    <t>7. Construccion de dos (02) documentos técnicos, así; 1. Informe De Modelación De Calidad De Aire Sobre Bogotá Del 2023.
2.Inventario De Emisiones De Bogotá Contaminantes Atmosféricos Del 2023.</t>
  </si>
  <si>
    <t>8. Generar tres (03) documentos técnicos, aí; 
1. Dos (2) Informes semestral de gestión del SATAB (I - II - 2023).
2. Documento de reglamentación de la actualización del IBOCA.</t>
  </si>
  <si>
    <t>15. Asegurar la continua operación y comunicación de las estaciones de la Red de Monitoreo de Ruido Ambiental de Bogotá (RMRAB).</t>
  </si>
  <si>
    <t>16. Gestionar los procesos relacionados con la acreditación ante el IDEAM en la metodología de medición y análisis de ruido ambiental  de acuerdo con la normativa internacional ISO 1996</t>
  </si>
  <si>
    <t>20. Desarrollar las actividades de control y sensibilización de los elementos Publicidad Exteriores Visual - PEV. Por medio de Operativos De Control Y Sensibilización.</t>
  </si>
  <si>
    <t>22. Elaborar los documentos técnicos del proceso interno de los elementos Publicidad Exteriores Visual, ilegales en el Distrito Capital con la generación de Documentos De Operativos De Control.</t>
  </si>
  <si>
    <t>24. Realizar la evaluación técnica a las solicitudes de registro de los elementos de publicidad exterior visual. - PEV, de acuerdo con las Peticiones y Quejas que alleguen a grupo.</t>
  </si>
  <si>
    <t>En el marco de la gestión integral de la calidad del aire de Bogotá, para el año 2023 se realizara la entrega de siete (7) documentos técnicos, de los cuales tres (3), serán entregados en el primer semestre de la vigencia 2023. El avance al mes de enero corresponde a 0,2 y se alcanzó de la siguiente manera:
1. Informe semestral de Seguimiento al Plan Estratégico para la Gestión Integral de la Calidad del Aire – Plan Aire 2030 (I-2022): Se ralizó la actualización de la matriz de consolidación de información para los 45 proyectos.
2. Informe de gestión del Sistema de Alertas Tempranas Ambientales en su componente aire: Se viene trabajando en el desarrollo de cinco líneas estratégicas, siendo: i) la Gestión del índice Bogotano de calidad del aire y riesgo en salud; IBOCA ii) el avance en la actualización del Plan de contingencia para la atención de alertas y emergencias por contaminación atmosférica; iii) la Gobernanza de calidad del aire, iv) el Monitoreo y análisis de contaminantes y v) la red colaborativa de microsensores de calidad del aire.
3. Informe de modelación de calidad de aire sobre Bogotá 2023: se ralizó la consolidación estructural del documento.</t>
  </si>
  <si>
    <t>En el cumplimiento de los dos (02) informes de gestión programados para la vigencia 2023; se ha alcanzado un avance del 100%  en las actividades de recolección de información de las acciones de evaluación, control y seguimiento de los grupos de fuentes fijas y fuentes móviles.
También en la intervención mediante actuaciones técnicas, visitas de control y seguimiento, acompañamientos, monitoreos, operativos de medición en vía a vehículos que transitan en el Distrito Capital, visitas técnicas de auditoría a Centros de Diagnóstico Automotor CDA'S, con esta información se construyó el informe de acciones de evaluación, control y seguimiento a las fuentes de emisión.
En consecuencia, para el mes de enero del año en curso, el acumulado es de 0,17 de avance en la ejecución de la meta para el primer semestre.  
Respecto al cuatrienio, se lleva un acumulado de 5,2 informes.</t>
  </si>
  <si>
    <t>Realizar 7.948 acciones de seguimiento y control sobre los elementos de publicidad exterior visual instalados en las zonas con mayor densidad.</t>
  </si>
  <si>
    <t>Vigencia 2023; 139 acciones: 115 visitas y 24 otras acciones de gestión:
Enero: 21 visitas sin medición (18 sensibilizaciones, 3 cerrar caso), 27 no efectivas para reprogramar; 5 informes de AP, 7 mesas de trabajo, 2 oficios SUGA.
Febrero: 2 visitas con medición, 40 visitas sin medición (15 sensibilizaciones, 25 cerrar caso), 25 no efectivas para reprogramar; 4 informes de AP, 2 mesas de trabajo, 4 oficios SUGA.</t>
  </si>
  <si>
    <t>Se realizaron mantenimientos preventivos y correctivos, validación y análisis de datos y publicación de informes periódicos.
Para el mes de Febrero el porcentaje de cumplimiento para este indicador es del 100%. Se reportaron los mantenimientos preventivos y correctivos que se realizaron durante el mes, se realizó la validación diaria de los datos de concentraciones de contaminantes criterio y parámetros meteorológicos que monitorea la Red de Monitoreo y Calidad de Aire de Bogotá (RMCAB).</t>
  </si>
  <si>
    <t>En el cumplimiento de los dos (02) informes de gestión programados para la vigencia 2023; se ha alcanzado un avance del 100% basado en las actividades de recolección de información de las acciones de evaluación, control y seguimiento de los grupos de fuentes fijas y fuentes móviles. 
También en la intervención mediante actuaciones técnicas, visitas de control y seguimiento, acompañamientos, monitoreos, operativos de medición en vía a vehículos que transitan  en el Distrito Capital, visitas técnicas de auditoría a Centros de Diagnóstico Automotor CDA'S, con esta información se construyó el informe de acciones de evaluación, control y seguimiento a las fuentes de emisión.
En consecuencia, acumulado para el mes de febrero del año en curso, el acumulado es de 0,34 de avance en la ejecución de la meta para el primer semestre.
Respecto al cuatrienio, se lleva un acumulado de 5,2 informes.</t>
  </si>
  <si>
    <t xml:space="preserve">Las metas planteadas, implican la evaluación, control y seguimiento a fuentes de emisión de ruido, para así, identificar aquellas zonas donde las actividades de comercio, industria o servicio están impactando de forma negativa las condiciones acústicas del sector donde se desarrollan, de esta forma, perjudicando la calidad de vida de la comunidad circunvecina, esta identificación debe permitir que la gestión para el mejoramiento del bienestar, la salud y calidad de vida de los ciudadanos en el D.C sea más efectiva por todos los actores involucrados en la problemática ambiental del ruido, esto en el entendido que el compromiso frente al fomento de la calidad acústica del Distrito, depende de todos los generadores de emisiones, por medio del cumplimiento normativo ambiental vigente, que se traduce en una mejor calidad de vida para los ciudadanos.
</t>
  </si>
  <si>
    <t>Durante el mes de Febrero, se realizaron diez (13) acciones en cumplimiento de la meta:
- Doce (12) visitas de evaluación a elementos mayores.
- Uno (01) cargue de información a la plataforma SIIPEV.
Para la vigencia del Proyecto de Inversión del año 2023 se han realizado diez (23) acciones de evaluación, control y seguimiento:
- Veintiún (21) visitas de evaluación a elementos mayores.
- Dos (02) cargues de información a la plataforma SIIPEV.
Lo anterior, dando un avance para el cuatrienio de 7.448 acciones de evaluación, control y seguimiento: 186 operativos de control y seguimiento, 482 visitas de evaluación a elementos mayores, 315 documentos técnicos, 25 visitas a elementos menores, 26 cargues de información a la plataforma SIIPEV, 6.385 evaluaciones a solicitudes de elementos de publicidad exterior visual.</t>
  </si>
  <si>
    <t xml:space="preserve">Para la vigencia del 2023 y con la finalidad de realizar el 100% de las actividades para gestionar, estructurar y ampliar la red de monitoreo de ruido ambiental se realizaron actividades de mantenimiento, actualización de cartas control y análisis de los datos obtenidos de la red, se realizo el avance del informe semestral e informe de laboratorio y se reporta el dia sin carro y sin moto                                                                                                       
</t>
  </si>
  <si>
    <t xml:space="preserve">Durante el periodo comprendido entre el 01 al 28 de febrero de 2023 se realizó y atendió el 100% de actuaciones administrativas sancionatorias de impulso o de fondo, esto corresponde a 36 actuaciones.
Los avances en la magnitud de la meta están sujetos a la demanda de conceptos técnicos que remita el área técnica para ser acogidos jurídicamente.  Generando un avance acumulado en el cumplimiento del 100%.
</t>
  </si>
  <si>
    <t>En el marco de la gestión integral de la calidad del aire de Bogotá, para el año 2023 se realizara la entrega de siete (7) documentos técnicos, de los cuales tres (3), serán entregados en el primer semestre de la vigencia 2023. El avance al mes de enero corresponde a 0,2 y se alcanzó de la siguiente manera:
1. Informe semestral de Seguimiento al Plan Estratégico para la Gestión Integral de la Calidad del Aire – Plan Aire 2030 (I-2022): Se ralizó la actualización de la matriz de consolidación de información para los 45 proyectos.
2. Informe de gestión del Sistema de Alertas Tempranas Ambientales en su componente aire: Se viene trabajando en el desarrollo de cinco líneas estratégicas, siendo: i) la Gestión del índice Bogotano de calidad del aire y riesgo en salud; IBOCA ii) el avance en la actualización del Plan de contingencia para la atención de alertas y emergencias por contaminación atmosférica; iii) la Gobernanza de calidad del aire, iv) el Monitoreo y análisis de contaminantes y v) la red colaborativa de microsensores de calidad del aire.
3. Informe de modelación de calidad de aire sobre Bogotá 2023: se realizó la consolidación estructural del documento.</t>
  </si>
  <si>
    <t>Durante el mes de Marzo, se realizaron treinta y cuatro (34) acciones en cumplimiento de la meta:
- Una (01) visitas de evaluación a elementos mayores.
- Treinta y uno (31) documentos técnicos firmados para el resto del Distrito.
- Uno (01) cargue de información a la plataforma SIIPEV.
- Uno (01) evaluación a solicitudes de elementos de publicidad exterior visual.
Para la vigencia del Proyecto de Inversión del año 2023 se han realizado cincuenta y siete (57) acciones de evaluación, control y seguimiento:
- Veintidós (22) visitas de evaluación a elementos mayores.
- Treinta y un (31) documentos técnicos firmados para el resto del Distrito.
- Tres (03) cargues de información a la plataforma SIIPEV.
- Un (01) evaluaciones a solicitudes de elementos de publicidad exterior visual.
Lo anterior, dando un avance para el cuatrienio de 7.482 acciones de evaluación, control y seguimiento: 186 operativos de control y seguimiento, 483 visitas de evaluación a elementos mayores, 346 documentos técnicos, 54 visitas a elementos menores, 27 cargues de información a la plataforma SIIPEV, 6.386 evaluaciones a solicitudes de elementos de publicidad exterior visual.</t>
  </si>
  <si>
    <t>"Vigencia 241 acciones, 195 visitas y 46 otras acciones de gestión:
I Trimestre 2023: 
97 visitas sin medición (40 sensibilizaciones, 57 cerrar caso), 6 visitas con medición, 92 no efectivas para reprogramar; 9 informes de AP, 16 mesas de trabajo, 21 oficios SUGA.</t>
  </si>
  <si>
    <t xml:space="preserve">Para la vigencia del 2023 y con la finalidad de realizar el 100% de las actividades para gestionar, estructurar y ampliar la red de monitoreo de ruido ambiental se realizaron actividades de mantenimiento, actualización de cartas control y análisis de los datos obtenidos de la red, se realizo el avance del informe semestral e informe de laboratorio, reporte del día sin carro, actualización de los Mapas Estrategicos de Ruido, Elaboración de estudios previos y seguimiento al aruido aeronautico.                                                                                 
</t>
  </si>
  <si>
    <t>Se realizaron mantenimientos preventivos y correctivos, validación y análisis de datos y publicación de informes periódicos.
Para el primer trimestre de la vigencia el porcentaje de cumplimiento para este indicador es del 100%. Se reportaron los mantenimientos preventivos y correctivos que se realizaron durante el mes, se realizó la validación diaria de los datos de concentraciones de contaminantes criterio y parámetros meteorológicos que monitorea la Red de Monitoreo y Calidad de Aire de Bogotá (RMCAB).</t>
  </si>
  <si>
    <t>En el marco de la gestión integral de la calidad del aire de Bogotá, para el año 2023 se realizara la entrega de siete (7) documentos técnicos, de los cuales tres (3), serán entregados en el primer semestre de la vigencia 2023. El avance acumulado al mes de febrero corresponde a 1 y se alcanzó de la siguiente manera:
1.	Informe semestral de Seguimiento al Plan Estratégico para la Gestión Integral de la Calidad del Aire – Plan Aire 2030 (2023-I): Se realizó la actualización de la matriz de consolidación de información para los 45 proyectos. Aporte acumulado a la actividad 0,3
2.	Informe de gestión del Sistema de Alertas Tempranas Ambientales en su componente aire: Se viene trabajando en el desarrollo de cinco líneas estratégicas, siendo: i) la Gestión del índice Bogotano de calidad del aire y riesgo en salud; IBOCA ii) el avance en la actualización del Plan de contingencia para la atención de alertas y emergencias por contaminación atmosférica; iii) la Gobernanza de calidad del aire, iv) el Monitoreo y análisis de contaminantes y v) la red colaborativa de microsensores de calidad del aire. Aporte acumulado a la actividad 0,3
3.	Informe de modelación de calidad de aire sobre Bogotá 2023: se realizó la consolidación estructural del documento. Aporte acumulado a la actividad 0,4</t>
  </si>
  <si>
    <t>En el cumplimiento de los dos (02) informes de gestión programados para la vigencia 2023; se ha alcanzado un avance del 100%  que corresponde al 0,51 programado acumulado a febrero. Lo anterior con base en las actividades de recolección de información de las acciones de evaluación, control y seguimiento de los grupos de fuentes fijas y fuentes móviles. 
También en la intervención mediante actuaciones técnicas, visitas de control y seguimiento, acompañamientos, monitoreos, operativos de medición en vía a vehículos que transitan  en el Distrito Capital, visitas técnicas de auditoría a Centros de Diagnóstico Automotor CDA'S, con esta información se construyó el informe de acciones de evaluación, control y seguimiento a las fuentes de emisión.
El avance acumulado del cuatrienio, son 5,51 informes.</t>
  </si>
  <si>
    <t xml:space="preserve">Durante el periodo comprendido entre el 01 al 30 de Marzo de 2023 se realizó y atendió el 100% de actuaciones administrativas sancionatorias de impulso o de fondo.
Los avances en la magnitud de la meta están sujetos a la demanda de conceptos técnicos que remita el área técnica para ser acogidos jurídicamente.  Generando un avance acumulado en el cumplimiento del 100%.
</t>
  </si>
  <si>
    <t xml:space="preserve">Para la vigencia del 2023 y con la finalidad de realizar el 100% de las actividades para gestionar, estructurar y ampliar la red de monitoreo de ruido ambiental se realizaron actividades de mantenimiento, actualización de cartas control y análisis de los datos obtenidos de la red, se realizo el avance del informe semestral e informe de laboratorio, reporte del día sin carro, actualización de los Mapas Estrategicos de Ruido, Elaboración de estudios previos y seguimiento al ruido aeronautico.                                                                                 
</t>
  </si>
  <si>
    <t>"ABRIL:
Durante el mes de Abril, se realizaron setenta y nueve (79) acciones en cumplimiento de la meta:
- Doce (12) visitas de evaluación a elementos mayores.
- Sesenta y seis (66) documentos técnicos firmados para el resto del Distrito.
- Uno (01) cargue de información a la plataforma SIIPEV.</t>
  </si>
  <si>
    <t>• ABRIL: 7 visitas efectivas con medición, 12 visitas efectivas en atención a actos administrativos, sensibilizaciones, inventarios, 22 visitas efectivas para cerrar el caso y 58 visitas no efectivas objeto de reprogramación. En otras acciones de gestión 6 reuniones o mesas de trabajo, 6 informes acciones populares, 3 presentaciones y 6 SUGAS.</t>
  </si>
  <si>
    <t>Para el mes de Abril de la vigencia 2023 el porcentaje de cumplimiento para este indicador es del 100%. Se reportaron los mantenimientos preventivos y correctivos realizados. De igual manera, se realizó la validación diaria de los datos de concentraciones de contaminantes criterio y parámetros meteorológicos que monitoreo a la Red de Monitoreo y Calidad de Aire de Bogotá (RMCAB) y se realizó la publicación de informes periódicos.</t>
  </si>
  <si>
    <t>En el marco de la gestión integral de la calidad del aire de Bogotá, para el año 2023 se realizara la entrega de siete (7) documentos técnicos, de los cuales, para el primer y segundo trimestre se ha venido trabajando en el desarrollo de tres (3), siendo estos entregados en el primer semestre de la vigencia 2023, los cuales son: 
1. Informe semestral de Seguimiento al Plan Estratégico para la Gestión Integral de la Calidad del Aire – Plan Aire 2030 (I-2023), se realizó el debido seguimiento y reporte de los avances de los 45 proyectos en implementación del Plan Aire 2030.
2. Informe de gestión del Sistema de Alertas Tempranas Ambientales en su componente aire, donde se viene trabajando en el desarrollo de cinco líneas estratégicas, siendo: i) la Gestión del índice Bogotano de calidad del aire y riesgo en salud; IBOCA ii) el avance en la actualización del Plan de contingencia para la atención de alertas y emergencias por contaminación atmosférica; iii) la Gobernanza de calidad del aire, iv) el Monitoreo y análisis de contaminantes y v) la red colaborativa de microsensores de calidad del aire.
3. Informe de modelación de calidad de aire sobre Bogotá 2022, realizando la consolidación de información de emisiones y análisis de temperaturas por estación.</t>
  </si>
  <si>
    <t>En el cumplimiento de los dos (02) informes de gestión programados para la vigencia 2023; se ha alcanzado un avance del 100% que corresponde al 0,68 programado acumulado a marzo. Lo anterior con base en las actividades de recolección de información de las acciones de evaluación, control y seguimiento de los grupos de fuentes fijas y fuentes móviles.
También se tienen en cuenta la intervención mediante actuaciones técnicas, visitas de control y seguimiento, acompañamientos, monitoreos, operativos de medición en vía a vehículos que transitan  en el Distrito Capital, visitas técnicas de auditoría a Centros de Diagnóstico Automotor CDA'S,  con esta información se construyó el informe de acciones de evaluación, control y seguimiento a las fuentes de emisión.</t>
  </si>
  <si>
    <t>"En el periodo comprendido entre el 1 de enero al  30 de Abril de 2023 fueron acogidos 281 conceptos técnicos de los 281 recibidos que recomienden una actuación administrativa sancionatoria.
Durante el periodo comprendido entre el 1 enero al 30 de abril de 2023 se atendieron 57 conceptos técnicos de los 66 conceptos constituidos como reservas, 9 fueron devueltos para corrección.</t>
  </si>
  <si>
    <t>Para el acumulado de la vigencia 2023 el porcentaje de cumplimiento para este indicador es del 100%. Se han reportado los mantenimientos preventivos y correctivos realizados. De igual manera, se realizó la validación diaria de los datos de concentraciones de contaminantes criterio y parámetros meteorológicos que monitoreo a la Red de Monitoreo y Calidad de Aire de Bogotá (RMCAB) y se realizó la publicación de informes periódicos para los meses de Enero a Marzo de 2023.</t>
  </si>
  <si>
    <t xml:space="preserve">TOTAL </t>
  </si>
  <si>
    <t>EJECUTADO ACUMUALDO  SEGPLAN
 AÑO 2021</t>
  </si>
  <si>
    <t xml:space="preserve">"En la vigencia 2021, Se realizaron los mantenimientos preventivos y correctivos, validación y análisis de datos, incluyendo nuevas estaciones en la RMCAB (Bolivia, Usme, Ciudad Bolívar, Bosa, Jazmín, Colina y Móvil Fontibón) programados; se avanzo en la integración SDA-CAR y se mantuvo el plan de prueba de sensores de bajo costo. Igualmente se realizó la validación diaria de los datos de concentraciones de contaminantes criterio y parámetros meteorológicos que monitorea la RMCAB. 
El reporte de operatividad acumulado del 2021 es del 100% el cual corresponde al promedio de los datos validos de todos los parámetros de la red en las estaciones que se genera a través de Envista.
Se completo el análisis de datos y la redacción de los informes programados del 2021, completando su elaboración y posterior publicación. 
Se mantuvo el proceso de validación de los datos generados por las nuevas estaciones y los equipos para la elaboración de los documentos técnicos en el cual se establece cuales son los beneficios de la integración de las Redes SDA-CAR y la articulación requerida.
Para la vigencia 2021 como parte del proceso de colaboración entre la Red de Monitoreo de Calidad del Aire de Bogotá – RMCAB y los diferentes actores en el establecimiento de esta red colaborativa de sensores de bajo costo se mantuvo la operación de los sensores instalados en la estación de Las Ferias por parte del Colectivo CanAir.io, La Universidad Central y La Universidad Nacional. Se mantiene en operación los sensores de bajo costo del Colectivo CanAir.io en las estaciones Kennedy y Tunal. Adicionalmente se instalo un nuevo sensor en la estación de Las Ferias.
Avance acumulado en la vigencia 2021: 100%."
</t>
  </si>
  <si>
    <t xml:space="preserve">"En el marco de la gestión integral de la calidad del aire de Bogotá, para el 2021 se presentaron 8 documentos técnicos, los cuales son:
1. Documento técnico de Plan Aire, con sus respectivos anexos y el Decreto del Plan Aire.
2. Informe semestral de Seguimiento al Plan Estratégico para la Gestión Integral de la Calidad del Aire – Plan Aire 2030, donde se reportó el avance de los 37 proyectos que se encuentran en el plan de acción y el avance de los 8 proyectos que se encuentran en estructuración.
3. Informe de seguimiento semestral del grupo de SATAB 2021-I.
4. Informe de seguimiento semestral del grupo de SATAB 2021-II.
5. Documento de modelación.
6. Plan de Contingencia para la atención de eventos de contaminación atmosférica.
7. Documento de inventario de emisiones 2020.
8. Documento base de la Estrategia Pedagógica y de Comunicación del Índice Bogotano de Calidad del Aire y Riesgo en Salud - IBOCA - (EPCI). 
Cumpliendo con la entrega de los 8 documentos técnicos programados para el 2021."
</t>
  </si>
  <si>
    <t xml:space="preserve">"En el cumplimiento de los dos (02) informes de gestión programados para la vigencia 2021; se ha alcanzado un avance acumulado en la ejecución de la meta de 2 Informes equivalente al 100%, de cumplimiento.
Este avance está basado en la presentación de los dos (02) informes de actividades de recolección de información de las acciones de evaluación, control y seguimiento de los grupos de fuentes fijas y fuentes móviles. Así como en la intervención mediante actuaciones técnicas, visitas de control y seguimiento, acompañamientos, monitoreos, operativos de medición en vía a vehículos que transitan en el Distrito Capital, visitas técnicas de auditoria a Centros de Diagnóstico Automotor CDA'S, con esta información se construyeron los informes de acciones de evaluación, control y seguimiento a las fuentes de emisión.
Para el primer semestre del año el acumulado es de un (01) Informe:  Primer Informe de seguimiento operación del grupo Fuentes de Emisión; y avance en la ejecución de la meta
Para el segundo semestre del año el acumulado es de uno (01) informe: Segundo Informe de seguimiento y operación del grupo Fuentes de Emisión; y avance en la ejecución de la meta.
El avance del Cuatrienio corresponde al 37%."
</t>
  </si>
  <si>
    <t xml:space="preserve">"En la vigencia 2021, se desarrollaron 897 actuaciones técnicas correspondientes al 100% de lo programado en el año, y un avance del 29,53% del cuatrienio.
El avance 2021 es: 756 visitas y 135 actuaciones de otros documentos técnicos
• I trimestre: 13 efectivas de medición, 9 efectivas sin medición, 57 efectivas para cerrar el caso, 30 no efectivas para reprogramar y 47 otros documentos técnicos. Total, trimestre 156 acciones.
• II trimestre: 28 efectivas de medición, 15 efectivas sin medición, 118 efectivas para cerrar el caso, 87 no efectivas para reprogramar y 59 otros documentos técnicos. Total, trimestre 307 acciones.
• III trimestre: 25 efectivas de medición, 29 efectivas sin medición, 113 efectivas para cerrar el caso, 98 no efectivas para reprogramar y 29 otros documentos técnicos. Total, trimestre 294 acciones.
• IV trimestre: 139 Visitas Técnicas y 01 documentos técnicos. Total, trimestre 140 acciones.
Para la vigencia 2020, se realizaron el 100% de las acciones programadas correspondiente a 491 acciones de evaluación, seguimiento y control de ruido.
Total Actuaciones acumuladas en el PDD 1.388"
</t>
  </si>
  <si>
    <t xml:space="preserve">"La Secretaría Distrital de Ambiente, en el marco de las acciones de operación, mantenimiento y monitoreo de la red de ruido realizadas, presenta el avance de la vigencia que se detalla a continuación:
Vigencia 2020 se realizaron el informe correspondiente a la operación Red de Monitoreo de Ruido Ambiental de Bogotá - RMRAB, en el cual, se reporta la realización de las actividades acreditación del procedimiento de monitoreo de ruido ambiental ante el IDEAM, actividades de soporte y mantenimiento realizado a las estaciones de monitoreo.
Vigencia 2021:
Se presento la consolidación del primer informe relacionado con la operación de la Red de Monitoreo de Ruido Ambiental de Bogotá (RMRAB), donde se realizaron las siguientes actividades, de soporte y mantenimiento realizado a las estaciones de monitoreo de ruido, y el avance en el proceso de instalación de las estaciones de la RMRAB afectadas durante protestas. contratación del personal para a la operación de la RMRAB.
Presentación del segundo informe semestral del 2021, informe de gestión y balance social e informe de laboratorio y metrología para la operación de la RMRAB, actualización de Valor Central Cartas Control, seguimiento a arriendos, respuestas a solicitudes ciudadanas, Firma de estudios previos para la renovación de los contratos de arriendo, convenios para la operación de estaciones de monitoreo, reporte de las estaciones vandalizadas.
Tercer Informe de la realización de las actividades de soporte y mantenimiento realizado a las estaciones de monitoreo de ruido, cargue al sistema SIPSE para la compra de los Mapas Estratégicos del Distrito (MER), se envía avance del informe de Laboratorio Ambiental, se solicito concepto técnico sobre la infraestructura tecnológica para la instalación del software de modelación acústica.
Cumplimiento en la vigencia 2021 100%."""
</t>
  </si>
  <si>
    <t xml:space="preserve">"Durante la vigencia 2021 se realizaron un total de cuatro mil novecientas cincuenta (4.950) acciones de evaluación, control y seguimiento:
- Cincuenta y nueve (59) operativos de control y sensibilización
- Ciento cincuenta y tres (153) visitas de evaluación a elementos mayores.
- Doscientos cuatro (204) documentos técnicos firmados.
- Diez (10) cargues de información a la plataforma SIIPEV.
- Cuatro mil quinientas veinticuatro (4.524) evaluaciones a solicitudes de elementos de publicidad exterior visual.
Para la vigencia 2020 se realizaron un total del 1.292 Acciones, que corresponden al 100% de lo programado.
Lo anterior, dando un avance para el cuatrienio de 6.242 acciones de evaluación, control y seguimiento."
</t>
  </si>
  <si>
    <t xml:space="preserve">"La Secretaría Distrital de Ambiente del 01 de enero al 31 de diciembre de 2021 en ejercicio de su función sancionatoria acogió el 100 % de los conceptos técnicos relacionados con el recurso ambiental aire, auditiva y visual y que recomiendan una actuación administrativa sancionatoria, como se relaciona a continuación: 
No de Conceptos Técnicos que recomiendan actuaciones administrativas sancionatorias: 100% de Conceptos Técnicos atendidos.
No de Conceptos Técnicos atendidos jurídicamente: 1.022 Conceptos Técnicos acogidos al 100%
Avance vigencia 2021: 100%."
</t>
  </si>
  <si>
    <t>Formato: Programación, Actualización y Seguimiento del Plan de Acción - Componente de  Territorialización</t>
  </si>
  <si>
    <t>Subdirección de Calidad del aire, auditiva y visual</t>
  </si>
  <si>
    <t>7778 Control a los factores de deterioro de calidad del aire, acústica y visual</t>
  </si>
  <si>
    <t>PERIODO:</t>
  </si>
  <si>
    <t>1, 5. PROGRAMACIÓN INICIAL AÑO 2023</t>
  </si>
  <si>
    <t>Durante el mes de Mayo, se realizaron cuarenta y tres (43) acciones en cumplimiento de la meta:
Cuatro (4) operativos de control a las zonas de Resto del Distrito
- Veintitrés (23) visitas de evaluación a elementos mayores.
- Catorce (14) documentos técnicos firmados para el resto del Distrito.
- Uno (01) cargue de información a la plataforma SIIPEV.
- Uno (01) evaluaciones a solicitudes de elementos de publicidad exterior visual.
Para la vigencia del Proyecto de Inversión del año 2023 se han realizado ciento setenta y nueve (179) acciones de evaluación, control y seguimiento:
Cuatro (04) operativos de control a zonas de Resto del Distrito. 
- Cincuenta y siete (57) visitas de evaluación a elementos mayores.
- Ciento once (111) documentos técnicos firmados para el resto del Distrito.
- Cinco (05) cargues de información a la plataforma SIIPEV.
- Dos (02) evaluaciones a solicitudes de elementos de publicidad exterior visual.
Lo anterior, dando un avance para el cuatrienio de 7.604 acciones de evaluación, control y seguimiento: 190 operativos de control y seguimiento, 518 visitas de evaluación a elementos mayores, 426 documentos técnicos, 54 visitas a elementos menores, 29 cargues de información a la plataforma SIIPEV, 6.387 evaluaciones a solicitudes de elementos de publicidad exterior visual.</t>
  </si>
  <si>
    <t>Vigencia 2023, acumulado 500 acciones, 410 visitas y 90 otras acciones de gestión:
•	MAYO: 3 visitas de medición, 25 visitas efectivas correspondientes a inventarios, sensibilizaciones, seguimiento a actos administrativos, 36 visitas efectivas para cerrar el caso y 52 visitas no efectivas para reprogramar. En otras acciones de gestión 6 reuniones o mesas de trabajo, 6 informes acciones populares, 2 presentaciones, 8 SUGAS y 1 aclaratorio. 
•	ABRIL: 7 visitas efectivas con medición, 12 visitas efectivas en atención a actos administrativos, sensibilizaciones, inventarios, 22 visitas efectivas para cerrar el caso y 58 visitas no efectivas objeto de reprogramación. En otras acciones de gestión 6 reuniones o mesas de trabajo, 6 informes acciones populares, 3 presentaciones y 6 SUGAS
•	I Trimestre 2023: 
•	97 visitas sin medición (40 sensibilizaciones, 57 cerrar caso), 6 visitas con medición, 92 no efectivas para reprogramar; 9 informes de AP, 16 mesas de trabajo, 21 oficios SUGA.
Con lo cual se alcanza un avance acumulado al Plan de Desarrollo de 3.306 (70,34%)  acciones de evaluación, seguimiento y control de emisión de ruido a los establecimientos de comercio, industria y servicio ubicados en el perímetro urbano del D.C.</t>
  </si>
  <si>
    <t>En el cumplimiento de los dos (02) informes de gestión programados para la vigencia 2023; se ha alcanzado un avance del 100% que corresponde al 0,82 programado acumulado a Mayo. 
Lo anterior con base en las actividades de recolección de información de las acciones de evaluación, control y seguimiento de los grupos de fuentes fijas y fuentes móviles.
También se tienen en cuenta la intervención mediante actuaciones técnicas, visitas de control y seguimiento, acompañamientos, monitoreos, operativos de medición en vía a vehículos que transitan  en el Distrito Capital, visitas técnicas de auditoría a Centros de Diagnóstico Automotor CDA'S,  con esta información se construyó el informe de acciones de evaluación, control y seguimiento a las fuentes de emisión.
El avance acumulado del cuatrienio, son 5,82 informes (71%) de los 8 informes programados.</t>
  </si>
  <si>
    <t>En el marco de la gestión integral de la calidad del aire de Bogotá, para el año 2023 se realizará la entrega de siete (7) documentos técnicos, de los cuales tres (3), serán entregados en el primer semestre de la vigencia 2023. 
El avance para al mes de mayo corresponde a:
1.	Informe semestral de Seguimiento al Plan Estratégico para la Gestión Integral de la Calidad del Aire – Plan Aire 2030 (2023-I): seguimiento y reporte de los avances de los 45 proyectos en implementación del Plan Aire 2030 para el mes de mayo.  Aporte acumulado a la actividad 0,75
2.	Informe de gestión del Sistema de Alertas Tempranas Ambientales en su componente aire: Se viene trabajando en el desarrollo de cinco líneas estratégicas, siendo: i) la Gestión del índice Bogotano de calidad del aire y riesgo en salud; IBOCA ii) el avance en la actualización del Plan de contingencia para la atención de alertas y emergencias por contaminación atmosférica; iii) la Gobernanza de calidad del aire, iv) el Monitoreo y análisis de contaminantes y v) la red colaborativa de microsensores de calidad del aire.  Aporte acumulado a la actividad 0,75
3.	Informe de modelación de calidad de aire sobre Bogotá 2023: se realizó la inclusión de resultados de cada uno de los módulos del documento, con el análisis pertinente de cada uno de ellos.  Aporte acumulado a la actividad 0,80.</t>
  </si>
  <si>
    <t>Para la vigencia del 2023 y con la finalidad de realizar el 100% de las actividades para gestionar, estructurar y ampliar la red de monitoreo de ruido ambiental, el acumulado para al mes de Mayo; se realizaron actividades de mantenimiento, actualización de cartas control y análisis de los datos obtenidos de la red, se realizó el avance del informe semestral e informe de laboratorio, reporte del día sin carro, actualización de los Mapas Estratégicos de Ruido, Elaboración de estudios previos y seguimiento al ruido aeronáutico.</t>
  </si>
  <si>
    <t xml:space="preserve">En el periodo comprendido entre el 1 de enero al  31 de Mayo de 2023 fueron acogidos 481 conceptos técnicos de los 485 recibidos que recomienden una actuación administrativa sancionatoria durante la vigencia 2023. 
Durante el periodo comprendido entre el 1 enero al 31 de mayo de 2023 se atendieron 57 conceptos técnicos de los 57 conceptos constituidos como reservas, Lo cual denota en el cumplimiento del 100% de la meta estimada como reserva. </t>
  </si>
  <si>
    <t>Carpeta: Estructura Ruta Evidencias – SCAAV.
1.	Carpeta: Metas Gestión PDD, 2020 – 2024.
1.4.	Carpeta: Meta PDD; Aire.
https://drive.google.com/drive/folders/16b2vtKNhKHKSXfbxdDEe5XLMsGPiZNlI
http://rmcab.ambientebogota.gov.co</t>
  </si>
  <si>
    <r>
      <rPr>
        <sz val="11"/>
        <rFont val="Calibri (Cuerpo)"/>
      </rPr>
      <t xml:space="preserve">Carpeta: Estructura Ruta Evidencias – SCAAV.
1.	Carpeta: Metas Gestión PDD, 2020 – 2024.
1.1.	Carpeta: Meta PDD; PEV
</t>
    </r>
    <r>
      <rPr>
        <u/>
        <sz val="11"/>
        <rFont val="Calibri"/>
        <family val="2"/>
        <scheme val="minor"/>
      </rPr>
      <t xml:space="preserve">
https://drive.google.com/drive/folders/16b2vtKNhKHKSXfbxdDEe5XLMsGPiZNlI</t>
    </r>
  </si>
  <si>
    <r>
      <rPr>
        <sz val="11"/>
        <rFont val="Calibri (Cuerpo)"/>
      </rPr>
      <t xml:space="preserve">Carpeta: Estructura Ruta Evidencias – SCAAV.
1.	Carpeta: Metas Gestión PDD, 2020 – 2024.
1.2.	Carpeta: Meta PDD; Ruido.
</t>
    </r>
    <r>
      <rPr>
        <u/>
        <sz val="11"/>
        <rFont val="Calibri"/>
        <family val="2"/>
        <scheme val="minor"/>
      </rPr>
      <t xml:space="preserve">
https://drive.google.com/drive/folders/16b2vtKNhKHKSXfbxdDEe5XLMsGPiZNlI</t>
    </r>
  </si>
  <si>
    <r>
      <rPr>
        <sz val="11"/>
        <rFont val="Calibri (Cuerpo)"/>
      </rPr>
      <t xml:space="preserve">Carpeta: Estructura Ruta Evidencias – SCAAV.
1.	Carpeta: Metas Gestión PDD, 2020 – 2024.
1.3.	Carpeta: Meta PDD; Red Ruido
</t>
    </r>
    <r>
      <rPr>
        <u/>
        <sz val="11"/>
        <rFont val="Calibri"/>
        <family val="2"/>
        <scheme val="minor"/>
      </rPr>
      <t xml:space="preserve">
https://drive.google.com/drive/folders/16b2vtKNhKHKSXfbxdDEe5XLMsGPiZNlI</t>
    </r>
  </si>
  <si>
    <r>
      <rPr>
        <sz val="11"/>
        <color theme="10"/>
        <rFont val="Calibri (Cuerpo)"/>
      </rPr>
      <t xml:space="preserve">Carpeta: Estructura Ruta Evidencias – SCAAV.
2.	Carpeta: Metas Inversión PI, 2020 – 2024.
2.1.	Carpeta: Meta PI; RMCAB
</t>
    </r>
    <r>
      <rPr>
        <u/>
        <sz val="11"/>
        <color theme="10"/>
        <rFont val="Calibri"/>
        <family val="2"/>
        <scheme val="minor"/>
      </rPr>
      <t xml:space="preserve">
https://drive.google.com/drive/folders/16b2vtKNhKHKSXfbxdDEe5XLMsGPiZNlI</t>
    </r>
  </si>
  <si>
    <r>
      <rPr>
        <sz val="11"/>
        <color theme="10"/>
        <rFont val="Calibri (Cuerpo)"/>
      </rPr>
      <t xml:space="preserve">Carpeta: Estructura Ruta Evidencias – SCAAV.
2.	Carpeta: Metas Inversión PI, 2020 – 2024.
2.2.	Carpeta: Meta PI; Plan Aire.
</t>
    </r>
    <r>
      <rPr>
        <u/>
        <sz val="11"/>
        <color theme="10"/>
        <rFont val="Calibri"/>
        <family val="2"/>
        <scheme val="minor"/>
      </rPr>
      <t xml:space="preserve">
https://drive.google.com/drive/folders/16b2vtKNhKHKSXfbxdDEe5XLMsGPiZNlI</t>
    </r>
  </si>
  <si>
    <r>
      <rPr>
        <sz val="11"/>
        <color theme="10"/>
        <rFont val="Calibri (Cuerpo)"/>
      </rPr>
      <t xml:space="preserve">Carpeta: Estructura Ruta Evidencias – SCAAV.
2.	Carpeta: Metas Inversión PI, 2020 – 2024.
2.3.	Carpeta: Meta PI; Fuentes de Emision.
</t>
    </r>
    <r>
      <rPr>
        <u/>
        <sz val="11"/>
        <color theme="10"/>
        <rFont val="Calibri"/>
        <family val="2"/>
        <scheme val="minor"/>
      </rPr>
      <t xml:space="preserve">
https://drive.google.com/drive/folders/16b2vtKNhKHKSXfbxdDEe5XLMsGPiZNlI</t>
    </r>
  </si>
  <si>
    <r>
      <rPr>
        <sz val="11"/>
        <color theme="10"/>
        <rFont val="Calibri (Cuerpo)"/>
      </rPr>
      <t xml:space="preserve">Carpeta: Estructura Ruta Evidencias – SCAAV.
2.	Carpeta: Metas Inversión PI, 2020 – 2024.
2.4.	Carpeta: Meta PI; Ruido.
</t>
    </r>
    <r>
      <rPr>
        <u/>
        <sz val="11"/>
        <color theme="10"/>
        <rFont val="Calibri"/>
        <family val="2"/>
        <scheme val="minor"/>
      </rPr>
      <t xml:space="preserve">
https://drive.google.com/drive/folders/16b2vtKNhKHKSXfbxdDEe5XLMsGPiZNlI</t>
    </r>
  </si>
  <si>
    <r>
      <rPr>
        <sz val="11"/>
        <color theme="10"/>
        <rFont val="Calibri (Cuerpo)"/>
      </rPr>
      <t xml:space="preserve">Carpeta: Estructura Ruta Evidencias – SCAAV.
2.	Carpeta: Metas Inversión PI, 2020 – 2024.
2.5.	Carpeta: Meta PI; RMRAB
</t>
    </r>
    <r>
      <rPr>
        <u/>
        <sz val="11"/>
        <color theme="10"/>
        <rFont val="Calibri"/>
        <family val="2"/>
        <scheme val="minor"/>
      </rPr>
      <t xml:space="preserve">
https://drive.google.com/drive/folders/16b2vtKNhKHKSXfbxdDEe5XLMsGPiZNlI</t>
    </r>
  </si>
  <si>
    <r>
      <rPr>
        <sz val="11"/>
        <color theme="10"/>
        <rFont val="Calibri (Cuerpo)"/>
      </rPr>
      <t xml:space="preserve">Carpeta: Estructura Ruta Evidencias – SCAAV.
2.	Carpeta: Metas Inversión PI, 2020 – 2024.
2.6.	Carpeta: Meta PI; PEV
</t>
    </r>
    <r>
      <rPr>
        <u/>
        <sz val="11"/>
        <color theme="10"/>
        <rFont val="Calibri"/>
        <family val="2"/>
        <scheme val="minor"/>
      </rPr>
      <t xml:space="preserve">
https://drive.google.com/drive/folders/16b2vtKNhKHKSXfbxdDEe5XLMsGPiZNlI</t>
    </r>
  </si>
  <si>
    <r>
      <rPr>
        <sz val="11"/>
        <color theme="10"/>
        <rFont val="Calibri (Cuerpo)"/>
      </rPr>
      <t xml:space="preserve">Carpeta: Estructura Ruta Evidencias – SCAAV.
2.	Carpeta: Metas Inversión PI, 2020 – 2024.
2.7.	Carpeta: Meta PI; DCA.
</t>
    </r>
    <r>
      <rPr>
        <u/>
        <sz val="11"/>
        <color theme="10"/>
        <rFont val="Calibri"/>
        <family val="2"/>
        <scheme val="minor"/>
      </rPr>
      <t xml:space="preserve">
https://drive.google.com/drive/folders/16b2vtKNhKHKSXfbxdDEe5XLMsGPiZNlI</t>
    </r>
  </si>
  <si>
    <t>6, % CUMPLIMIENTO ACUMULADO (al periodo) cuatrienio</t>
  </si>
  <si>
    <t xml:space="preserve">Junio </t>
  </si>
  <si>
    <t>Junio</t>
  </si>
  <si>
    <t xml:space="preserve"> 21. Realizar la evaluación a Vallas Tubulares , a través de la realización de visitas de control y seguimiento a los elementos mayores dentro del Distrito Capital.</t>
  </si>
  <si>
    <t>SCAAV: Debido a la  Terminacion anticiada del contrato No. 20230911; se realizó liberacion de  Recursoso por un total de $ 24.481.334.</t>
  </si>
  <si>
    <t>Julio</t>
  </si>
  <si>
    <t>Para la vigencia del 2023 y con la finalidad de realizar el 100% de las actividades para gestionar, estructurar y ampliar la red de monitoreo de ruido ambiental se realizaron actividades de mantenimiento, actualización de cartas control y análisis de los datos obtenidos de la red, se realizó el avance del informe semestral e informe de laboratorio, reporte del día sin carro, actualización de los Mapas Estratégicos de Ruido, Elaboración de estudios previos, seguimiento al ruido aeronáutico  Y estructuración de procedimiento para evaluación de ruido ambiental para conciertos en el parque metropolitano Simón Bolívar.</t>
  </si>
  <si>
    <t>Agosto</t>
  </si>
  <si>
    <t>En el cumplimiento de los dos (02) informes de gestión programados para la vigencia 2023; se ha alcanzado un avance del 66,5% que corresponde a (1) informe con corte a junio y el avance del informe con corte a agosto.  Lo anterior con base en las actividades de recolección de información de las acciones de evaluación, control y seguimiento de los grupos de fuentes fijas y fuentes móviles.
También se tienen en cuenta la intervención mediante actuaciones técnicas, visitas de control y seguimiento, acompañamientos, monitoreos, pruebas de emisión a vehículos que transitan  en el Distrito Capital, que se requieren en el CRV, vinculaciones al PAA y concesionarios, así visitas técnicas de auditoría a los equipos de medición en los Centros de Diagnóstico Automotor CDA'S, con esta información se construyó el informe de acciones de evaluación, control y seguimiento a las fuentes de emisión.
El avance acumulado del cuatrienio, son 6,32 informes (79,25%) de los 8 informes programados.</t>
  </si>
  <si>
    <t>El avance acumulado en la vigencia: 941 acciones, 789 visitas y 152 otras acciones de gestión:
AGOSTO: 7 visitas de medición, 55 visitas técnicas sin medición correspondientes a inventarios, sensibilizaciones, seguimiento a actos administrativos y cierre de caso y 85 visitas no efectivas para reprogramar. En otras acciones de gestión se realizaron 8 reuniones o mesas de trabajo, 4 informes acciones populares y 8 SUGAS. 
JULIO: 6 visitas de medición, 36 visitas técnicas sin medición correspondientes a inventarios, sensibilizaciones, seguimiento a actos administrativos y 79 visitas no efectivas para reprogramar. 
En otras acciones de gestión se realizaron 5 reuniones o mesas de trabajo, 6 informes acciones populares, 2 presentaciones y 9 SUGAS.
•	II Trimestre 2023: 
18 visitas con medición, 53 visitas efectivas correspondientes a inventarios, sensibilizaciones, seguimiento a actos administrativos, 79 visitas efectivas para cerrar el caso y 176 visitas no efectivas para reprogramar. En otras acciones de gestión 16 informes acciones populares, 1 aclaratorio, 6 presentaciones, 1 estudio de ruido, 19 reuniones o mesas de trabajo y 21 SUGAS.  
•	I Trimestre 2023: 
97 visitas sin medición (40 sensibilizaciones, 57 cerrar caso), 6 visitas con medición, 92 no efectivas para reprogramar; 9 informes de AP, 16 mesas de trabajo, 21 oficios SUGA.
Con lo anterior se llega a un avance acumulado del cuatrienio de 3.580 acciones de evaluación, seguimiento y control de emisión de ruido.</t>
  </si>
  <si>
    <t>En el periodo comprendido entre el 1 de enero al  31 de Agosto de 2023 fueron acogidos 1017 conceptos técnicos de los 1017 recibidos que recomienden una actuación administrativa sancionatoria durante la vigencia 2023.      
Durante el periodo comprendido entre el 1 enero al 31 de mayo de 2023 se atendieron 57 conceptos técnicos de los 57 conceptos constituidos como reservas, Lo cual denota en el cumplimiento del 100% de la meta estimada como reserva.</t>
  </si>
  <si>
    <t>Durante el mes de Agosto, se realizaron (117) acciones en cumplimiento de la meta:
- (5) Operativos de control a las zonas de Resto del Distrito. 
- (8) visitas de Evaluación a los elementos tipo valla tubular.
- (56) documentos técnicos firmados para el resto del Distrito.
- (1) cargue de información a la plataforma SIIPEV.
- (47) evaluaciones a solicitudes de elementos de publicidad exterior visual.
Acumulado a la vigencia 2023 se han realizado (535) acciones de evaluación, control y seguimiento;
- (25) operativos de control a zonas de Resto del Distrito. 
- (74) visitas de evaluación a elementos mayores.
- (318) documentos técnicos firmados para el resto del Distrito.
- (08) cargues de información a la plataforma SIIPEV.
- (110) evaluaciones a solicitudes de elementos de publicidad exterior visual.</t>
  </si>
  <si>
    <t>Avance acumulado de la vigencia 2023 en el primer semestre el porcentaje de cumplimiento para este indicador es del 100%. Para el mes de Agosto, se han reportado los mantenimientos preventivos y correctivos realizados. De igual manera, se realizó la validación diaria de los datos de concentraciones de contaminantes criterio y parámetros meteorológicos que monitoreo a la Red de Monitoreo y Calidad de Aire de Bogotá (RMCAB).</t>
  </si>
  <si>
    <t>En el marco de la gestión integral de la calidad del aire de Bogotá, para el año 2023 se realizará la entrega de siete (7) documentos técnicos, de los cuales tres (3) se entregaron en el primer semestre. Para el mes de Agosto se presenta el siguiente avance acumulado, de 3,45, así:
1.	Informe semestral de Seguimiento al Plan Estratégico para la Gestión Integral de la Calidad del Aire – Plan Aire 2030 (2023-I): seguimiento y reporte de los avances de los 45 proyectos en implementación del Plan Aire 2030 en el mes de Agosto.  Aporte acumulado a la actividad 1,10
2.	Informe de gestión del Sistema de Alertas Tempranas Ambientales en su componente aire: Se viene trabajando en el desarrollo de cinco líneas estratégicas, siendo: i) la Gestión del índice Bogotano de calidad del aire y riesgo en salud; IBOCA ii) el avance en la actualización del Plan de contingencia para la atención de alertas y emergencias por contaminación atmosférica; iii) la Gobernanza de calidad del aire, iv) el Monitoreo y análisis de contaminantes y v) la red colaborativa de microsensores de calidad del aire.  Aporte acumulado a la actividad 1,10
3.	Informe de modelación de calidad de aire sobre Bogotá 2023: se realizó la inclusión de resultados de cada uno de los módulos del documento, con el análisis pertinente de cada uno de ellos.  Aporte acumulado a la actividad 1,25
Con lo anterior se alcanza un acumulado al PDD de 21,45 documentos técnicos.</t>
  </si>
  <si>
    <t>1-601-F001  PAS-OTROS DISTRITO</t>
  </si>
  <si>
    <t>Realizar 8.480 acciones técnico jurídicas de evaluación, seguimiento y control sobre los elementos de publicidad exterior visual - PEV, instalados en el perímetro urbano del D.C.</t>
  </si>
  <si>
    <t>Septiembre</t>
  </si>
  <si>
    <t>Durante la vigencia 2023, acumulado para el tercer trimestre se han reportado los mantenimientos preventivos y correctivos realizados. De igual manera, se realizó la validación diaria de los datos de concentraciones de contaminantes criterio y parámetros meteorológicos que monitoreo a la Red de Monitoreo y Calidad de Aire de Bogotá (RMCAB). El indicador acumulado corresponde al 100% de cumplimiento.</t>
  </si>
  <si>
    <t>En el marco de la gestión integral de la calidad del aire de Bogotá, para el año 2023 se realizará la entrega de siete (7) documentos técnicos, de los cuales tres (3) se entregaron en el primer semestre. En la ejecución acumulada al tercer trimestre se presenta el siguiente avance, de 4 documentos, así:
1.	Informe semestral de Seguimiento al Plan Estratégico para la Gestión Integral de la Calidad del Aire – Plan Aire 2030 (2023-I): seguimiento y reporte de los avances de los 45 proyectos en implementación del Plan Aire 2030.  Aporte acumulado Tercer Trimestre a la actividad 1,30
2.	Informe de gestión del Sistema de Alertas Tempranas Ambientales en su componente aire: Se viene trabajando en el desarrollo de cinco líneas estratégicas, siendo: i) la Gestión del índice Bogotano de calidad del aire y riesgo en salud; IBOCA ii) el avance en la actualización del Plan de contingencia para la atención de alertas y emergencias por contaminación atmosférica; iii) la Gobernanza de calidad del aire, iv) el Monitoreo y análisis de contaminantes y v) la red colaborativa de microsensores de calidad del aire.  Aporte acumulado Tercer Trimestre a la actividad 1,30
3.	Informe de modelación de calidad de aire sobre Bogotá 2023: se realizó la inclusión de resultados de cada uno de los módulos del documento, con el análisis pertinente de cada uno de ellos.  Aporte acumulado Tercer Trimestre a la actividad 1,4
Con lo anterior se alcanza un acumulado al PDD de 22 documentos técnicos, correspondientes al 73% de avance acumulado.</t>
  </si>
  <si>
    <t>El avance acumulado para el Tercer Trimestre en la vigencia 2023 dando cumplimiento de los dos (02) informes de gestión programados para la vigencia 2023; se ha alcanzado un avance del 75% que corresponde a (1,5).
Lo anterior con base en las actividades de recolección de información de las acciones de evaluación, control y seguimiento de los grupos de fuentes fijas y fuentes móviles.
También se tienen en cuenta la intervención mediante actuaciones técnicas, visitas de control y seguimiento, acompañamientos, monitoreos, pruebas de emisión a vehículos que transitan  en el Distrito Capital, que se requieren en el CRV, vinculaciones al PAA y concesionarios, así visitas técnicas de auditoría a los equipos de medición en los Centros de Diagnóstico Automotor CDA'S, con esta información se construyó el informe de acciones de evaluación, control y seguimiento a las fuentes de emisión.
El avance acumulado del cuatrienio, son 6,5 informes (81%) de los 8 informes programados.</t>
  </si>
  <si>
    <t>El avance acumulado al tercer trimestre de la vigencia: 1.058 acciones (883 visitas y 175 otras acciones de gestión):
•	I Trimestre 2023: 
97 visitas sin medición (40 sensibilizaciones, 57 cerrar caso), 6 visitas con medición, 92 no efectivas para reprogramar; 9 informes de AP, 16 mesas de trabajo, 21 oficios SUGA.
•	II Trimestre 2023: 
18 visitas con medición, 53 visitas efectivas correspondientes a inventarios, sensibilizaciones, seguimiento a actos administrativos, 79 visitas efectivas para cerrar el caso y 176 visitas no efectivas para reprogramar. En otras acciones de gestión 16 informes acciones populares, 1 aclaratorio, 6 presentaciones, 1 estudio de ruido, 19 reuniones o mesas de trabajo y 21 SUGAS.
•	III Trimestre 2023:
362 Visitas realizadas de correspondientes a inventarios, sensibilizaciones, seguimiento a actos administrativos y cierre de caso.  En otras acciones de gestión se realizaron 65 informes acciones populares.
Con lo anterior se llega a un avance acumulado del cuatrienio de 3.864 acciones de evaluación, seguimiento y control de emisión de ruido. Correspondiente al 82,21 %.</t>
  </si>
  <si>
    <t>El reporte acumulado al tercer trimestre de la vigencia; se realizaron el 100% de las actividades para gestionar, estructurar y ampliar la red de monitoreo de ruido ambiental se realizaron actividades de mantenimiento, actualización de cartas control, análisis de los datos obtenidos de la red, se realizó el avance del informe semestral e informe de laboratorio, se instaló una estación de monitoreo de ruido ambiental bajo parámetros Organización de Aviación Civil Internacional - OACI y recepción de estaciones meteorológicas.
Con lo cual continuamos con el reporte del 100% de cumplimiento de la meta para la vigencia.</t>
  </si>
  <si>
    <t>El avance acumulado a la vigencia 2023 al tercer trimestre; se han realizado (647) acciones de evaluación, control y seguimiento;
- (33) operativos de control a zonas de Resto del Distrito. 
- (87) visitas de evaluación a elementos mayores.
- (349) documentos técnicos firmados para el resto del Distrito.
- (09) cargues de información a la plataforma SIIPEV.
- (169) evaluaciones a solicitudes de elementos de publicidad exterior visual.
Con lo anterior, se tiene un avance para el cuatrienio de 8.072 (95,17%) acciones de evaluación, control y seguimiento.</t>
  </si>
  <si>
    <t>En el periodo comprendido entre el 1 de enero al  30 de Septiembre de 2023 fueron acogidos 1.168 conceptos técnicos de los 1.168 recibidos que recomienden una actuación administrativa sancionatoria durante la vigencia 2023.  Lo anterior genera un cumplimiento del 100% de atenciones de conceptos técnicos.       
Durante el periodo comprendido entre el 1 enero al 31 de mayo de 2023 se atendieron 57 conceptos técnicos de los 57 conceptos constituidos como reservas, Lo cual denota en el cumplimiento del 100% de la meta estimada como reserva.</t>
  </si>
  <si>
    <t>Realizar 8.480 acciones técnico-jurídicas de evaluación, seguimiento y control sobre los elementos de publicidad exterior visual - PEV, instalados en el perímetro urbano del D.C.</t>
  </si>
  <si>
    <t>Durante la vigencia 2023, acumulado al mes de Octubre; se han reportado los mantenimientos preventivos y correctivos realizados. De igual manera, se realizó la validación diaria de los datos de concentraciones de contaminantes criterio y parámetros meteorológicos que monitoreo a la Red de Monitoreo y Calidad de Aire de Bogotá (RMCAB). El indicador acumulado corresponde al 100% de cumplimiento.</t>
  </si>
  <si>
    <t>En el marco de la gestión integral de la calidad del aire de Bogotá, para el año 2023 se realizará la entrega de siete (7) documentos técnicos de los cuales, tres (3) fueron entregados en el primer semestre de la vigencia 2023. Es así como en la ejecución acumulada de Julio a Octubre se presenta el siguiente avance; 
1.	Informe semestral de Seguimiento al Plan Estratégico para la Gestión Integral de la Calidad del Aire – Plan Aire 2030 (2023-II): seguimiento y reporte de los avances de los 45 proyectos en implementación del Plan Aire 2030.  
Aporte Total a la Meta 3 Documentos: 
Aporte Primer Semestre: Uno (1) documento.
Avance Aporte Segundo Semestre: (1,5) documentos.
Acumulado Total al Tercer Trimestre a la actividad 2,5.
2.	Informe de gestión del Sistema de Alertas Tempranas Ambientales en su componente aire: Se viene trabajando en el desarrollo de cinco líneas estratégicas, siendo: i) la Gestión del índice Bogotano de calidad del aire y riesgo en salud; IBOCA ii) el avance en la actualización del Plan de contingencia para la atención de alertas y emergencias por contaminación atmosférica; iii) la Gobernanza de calidad del aire, iv) el Monitoreo y análisis de contaminantes y v) la red colaborativa de microsensores de calidad del aire.
Aporte Total a la Meta 3 Documentos: 
Aporte Primer Semestre: Uno (1) documento.
Avance Aporte Segundo Semestre: (0,6) documentos.
Acumulado Total al Tercer Trimestre a la actividad 1,6.
3.	Informe de modelación de calidad de aire sobre Bogotá 2023: se realizó la inclusión de resultados de cada uno de los módulos del documento, con el análisis pertinente de cada uno de ellos.  
Aporte Total a la Meta 2 Documentos: 
Aporte Primer Semestre: Uno (1) documento.
Avance Aporte Segundo Semestre: (0,5) documentos.
Acumulado Total al Tercer Trimestre a la actividad 1,5.
Con lo anterior se alcanza un acumulado al PDD de 23,6 documentos técnicos, correspondientes al 79% de avance acumulado.</t>
  </si>
  <si>
    <t>El avance acumulado al mes de Octubre de 2023  es del  1,67 informes de los dos (02) informes de gestión programados para la vigencia 2023; con lo cual se reporta un avance del 83,5%.
Lo anterior con base en las actividades de recolección de información de las acciones de evaluación, control y seguimiento de los grupos de fuentes fijas y fuentes móviles.
También se tienen en cuenta la intervención mediante actuaciones técnicas, visitas de control y seguimiento, acompañamientos, monitoreos, pruebas de emisión a vehículos que transitan  en el Distrito Capital, que se requieren en el Centro de Revisión Vehicular - CRV, vinculaciones al PAA y concesionarios, así visitas técnicas de auditoría a los equipos de medición en los Centros de Diagnóstico Automotor CDA'S, con esta información se construyó el informe de acciones de evaluación, control y seguimiento a las fuentes de emisión.
El avance acumulado del cuatrienio, son 6,67 informes (83,37%) de los 8 informes programados.</t>
  </si>
  <si>
    <t>El avance acumulado al mes de Octubre de 2023: 1.225 acciones (1.028 visitas y 197 otras acciones de gestión):
•	241  I Trimestre 2023: 97 visitas sin medición (40 sensibilizaciones, 57 cerrar caso), 6 visitas con medición, 92 no efectivas para reprogramar; 9 informes de AP, 16 mesas de trabajo, 21 oficios SUGA.
•	390 II Trimestre 2023: 18 visitas con medición, 53 visitas efectivas correspondientes a inventarios, sensibilizaciones, seguimiento a actos administrativos, 79 visitas efectivas para cerrar el caso y 176 visitas no efectivas para reprogramar. En otras acciones de gestión 16 informes acciones populares, 1 aclaratorio, 6 presentaciones, 1 estudio de ruido, 19 reuniones o mesas de trabajo y 21 SUGAS.
•	427 III Trimestre 2023: 362 Visitas realizadas de correspondientes a inventarios, sensibilizaciones, seguimiento a actos administrativos y cierre de caso.  En otras acciones de gestión se realizaron 65 informes acciones populares.
•	Octubre 2023: 145 Visitas, 22 otras acciones 
Con lo anterior se llega a un avance acumulado del cuatrienio de 4.031 acciones de evaluación, seguimiento y control de emisión de ruido. Correspondiente al 85,77 %.</t>
  </si>
  <si>
    <t>"Con la finalidad de realizar el 100% de las actividades para gestionar, estructurar y ampliar la red de monitoreo de ruido ambiental se realizaron actividades de mantenimiento, actualización de cartas control, análisis de los datos obtenidos de la red, avance del informe semestral e informe de laboratorio, medición del concierto cordillera para la modelación del evento, se instaló una estación de monitoreo de ruido ambiental bajo parámetros de la Organización de Aviación Civil Internacional – OACI, recepción de estaciones meteorológicas e instalación de la primera estación de meteorología de la RMRAB con la finalidad de cumplir con lo estipulado en la ISO 1996.
Con lo cual continuamos con el reporte del 100% de cumplimiento de la meta para la vigencia."</t>
  </si>
  <si>
    <t>El avance acumulado en la vigencia 2023 al mes de Octubre es de (843) acciones de evaluación, control y seguimiento realizadas. 
- (36) operativos de control a zonas de Resto del Distrito. 
- (97) visitas de evaluación a elementos mayores.
- (457) documentos técnicos firmados para el resto del Distrito.
- (10) cargues de información a la plataforma SIIPEV.
- (243) evaluaciones a solicitudes de elementos de publicidad exterior visual.
Con lo anterior, se tiene un avance para el cuatrienio de 8.268 (97,5%) acciones de evaluación, control y seguimiento.</t>
  </si>
  <si>
    <t>En el periodo comprendido entre el 1 de enero al  31 de Octubre de 2023 fueron acogidos 1.444 conceptos técnicos de los 1.444 recibidos que recomienden una actuación administrativa sancionatoria durante la vigencia 2023.  Lo anterior genera un cumplimiento del 100% de atenciones de conceptos técnicos.</t>
  </si>
  <si>
    <r>
      <rPr>
        <b/>
        <u/>
        <sz val="8"/>
        <rFont val="Arial"/>
        <family val="2"/>
      </rPr>
      <t>DISTRITO</t>
    </r>
    <r>
      <rPr>
        <sz val="8"/>
        <rFont val="Arial"/>
        <family val="2"/>
      </rPr>
      <t xml:space="preserve">:
Bogotá D.C. Nota: La ejecución y cumplimiento de la meta del Proyecto de Inversión, se desarrolla sobre el Distrito Capital toda vez que su acción de evaluación, control y seguimiento no se delimitan a una o varias zonas especificas, la medición, impacto y resultados generados se aplican a nivel ciudad. </t>
    </r>
  </si>
  <si>
    <t>Octubre</t>
  </si>
  <si>
    <t>Noviembre</t>
  </si>
  <si>
    <t>Durante la vigencia 2023, acumulado al mes de Noviembre; se han reportado los mantenimientos preventivos y correctivos realizados. De igual manera, se realizó la validación diaria de los datos de concentraciones de contaminantes criterio y parámetros meteorológicos que monitoreo a la Red de Monitoreo y Calidad de Aire de Bogotá - RMCAB. El indicador acumulado corresponde al 100% de cumplimiento.</t>
  </si>
  <si>
    <t>En el marco de la gestión integral de la calidad del aire de Bogotá, para el año 2023 se realizará la entrega de siete (7) documentos técnicos de los cuales, tres (3) fueron entregados en el primer semestre de la vigencia:
1.	Plan Aire
Aporte Vigencia: 3 Documentos
Aporte I Semestre: (1) documento. Informe semestral de Seguimiento al Plan Estratégico para la Gestión Integral de la Calidad del Aire – Plan Aire 2030 (2023-I)
Avance Acumulado II Semestre a Noviembre: 1,75 documentos. (1) Informe de plusvalía con la información de la intervención de 15 segmentos viales ubicados en la localidad de Ciudad Bolívar. (0,75) Informe semestral de Seguimiento al Plan Estratégico para la Gestión Integral de la Calidad del Aire – Plan Aire 2030 (2023-II)
Acumulado Total de la actividad 2,75.
2.	Alertas
Aporte Vigencia: 3 Documentos
Aporte I Semestre: (1) Informe de gestión del Sistema de Alertas Tempranas Ambientales en su componente aire 2023-I
Avance Acumulado II Semestre: 0,8 documentos. Avance Informe de gestión del Sistema de Alertas Tempranas Ambientales en su componente aire 2023-II
Acumulado Total de la actividad 1,8
3.	Modelo
Aporte Vigencia: 2 Documentos
Aporte I Semestre: (1) documento. Inventario de Emisiones Atmosféricas de Bogotá correspondiente al 2022.
Avance Acumulado II Semestre: (0,75) documento. Avance Acumulado INFORME DE MODELACIÓN DE CALIDAD DE AIRE SOBRE BOGOTÁ 2022. Anual 2022.
Acumulado Total de la actividad 1,75
Con lo anterior se alcanza un acumulado al PDD de 24,3 documentos técnicos, correspondientes al 81% de avance acumulado.</t>
  </si>
  <si>
    <t>El avance acumulado al mes de Noviembre de 2023  es del  1,84 informes de los dos (02) informes de gestión programados para la vigencia 2023; con lo cual se reporta un avance del 92%, así;
1.	Primer Informe Semestral de Seguimiento 2023 - I, Terminado a junio 30 de 2023. Cantidad Uno (01)
2.	Segundo Informe Semestral de Seguimiento 2023 - II; Avance Acumulado a Noviembre 0,84. Avance en la elaboración del Informe Semestral II.
Lo anterior con base en las actividades de recolección de información de las acciones de evaluación, control y seguimiento de los grupos de fuentes fijas y fuentes móviles.
También se tienen en cuenta la intervención mediante actuaciones técnicas, visitas de control y seguimiento, acompañamientos, monitoreos, pruebas de emisión a vehículos que transitan  en el Distrito Capital, que se requieren en el Centro de Revisión Vehicular - CRV, vinculaciones al PAA y concesionarios, así visitas técnicas de auditoría a los equipos de medición en los Centros de Diagnóstico Automotor CDA'S, con esta información se construyó el informe de acciones de evaluación, control y seguimiento a las fuentes de emisión.
El avance acumulado del cuatrienio, son 6,84 informes (85%) de los 8 informes programados.</t>
  </si>
  <si>
    <t>El avance acumulado al mes de Noviembre de 2023: 1.368 acciones (1.156 visitas y 212 otras acciones de gestión):
•	241  I Trimestre 2023: 97 visitas sin medición (40 sensibilizaciones, 57 cerrar caso), 6 visitas con medición, 92 no efectivas para reprogramar; 9 informes de AP, 16 mesas de trabajo, 21 oficios SUGA.
•	390 II Trimestre 2023: 18 visitas con medición, 53 visitas efectivas correspondientes a inventarios, sensibilizaciones, seguimiento a actos administrativos, 79 visitas efectivas para cerrar el caso y 176 visitas no efectivas para reprogramar. En otras acciones de gestión 16 informes acciones populares, 1 aclaratorio, 6 presentaciones, 1 estudio de ruido, 19 reuniones o mesas de trabajo y 21 SUGAS.
•	427 III Trimestre 2023: 362 Visitas realizadas de correspondientes a inventarios, sensibilizaciones, seguimiento a actos administrativos y cierre de caso.  En otras acciones de gestión se realizaron 65 informes acciones populares.
•	Acumulado II Semestre 2023, 310: 273 Visitas, 37 otras acciones 
Con lo anterior se llega a un avance acumulado del cuatrienio de 4.174 acciones de evaluación, seguimiento y control de emisión de ruido. Correspondiente al 88,81 %.</t>
  </si>
  <si>
    <t>"Con la finalidad de realizar el 100% de las actividades para gestionar, estructurar y ampliar la red de monitoreo de ruido ambiental se realizaron actividades de mantenimiento, actualización de cartas control, análisis de los datos obtenidos de la red, avance del informe semestral e informe de laboratorio, medición del concierto cordillera para la modelación del evento, se instaló una estación de monitoreo de ruido ambiental bajo parámetros de la Organización de Aviación Civil Internacional – OACI, recepción de estaciones meteorológicas e instalación de la primera estación de meteorología de la RMRAB con la finalidad de cumplir con lo estipulado en la ISO 1996.
Con lo cual continuamos con el reporte del 100% de cumplimiento de la meta para la vigencia. Para el mes de Noviembre se gestionó con la Secretaria Distrital de Seguridad, Convivencia y Justicia la Instalación de 6 estaciones meteorológicas."</t>
  </si>
  <si>
    <t>El avance acumulado en la vigencia 2023 al mes de Noviembre es de (858) acciones de evaluación, control y seguimiento realizadas. 
- (40) operativos de control a zonas de Resto del Distrito. 
- (107) visitas de evaluación a elementos mayores.
- (457) documentos técnicos firmados para el resto del Distrito.
- (11) cargues de información a la plataforma SIIPEV.
- (243) evaluaciones a solicitudes de elementos de publicidad exterior visual.
Con lo anterior, se tiene un avance para el cuatrienio de 8.283 (97,68%) acciones de evaluación, control y seguimiento. así:
Vigencia 2020: 1,292 Acciones.
Vigencia 2021: 4.950 Acciones.
Vigencia 2022: 1.183 Acciones.</t>
  </si>
  <si>
    <t>En el periodo comprendido entre el 1 de enero al  31 de Octubre de 2023 fueron acogidos 1.773 conceptos técnicos de los 1.773 recibidos que recomienden una actuación administrativa sancionatoria durante la vigencia 2023.  Lo anterior genera un cumplimiento del 100% de atenciones de conceptos técnicos.</t>
  </si>
  <si>
    <t>7, LOGROS CORTE A DICIEMBRE AÑO 2023</t>
  </si>
  <si>
    <t>Acumulado de la vigencia se tiene un avance de 1.472 acciones de seguimiento y control, desagregadas de la siguiente manera:
(207) operativos de sensibilización y control.
(296) visitas a elementos mayores de Elementos de Publicidad Exterior Visual -PEV-.
(969) documentos técnicos firmados por el control de la PEV en las Zonas de Mayor Densidad -ZMD-
La Secretaría Distrital de Ambiente, en el marco de las acciones de seguimiento y control sobre los elementos de Publicidad Exterior Visual - PEV en las zonas con mayor densidad, ha avanzado al Plan de Desarrollo en 3.695 acciones, de las cuales (195) corresponden a la vigencia 2020, (794) acciones para la vigencia 2021, (1.234) para la vigencia 2022 y (1.472) para la vigencia 2023. 
A continuación, se detalla el avance total: (1.024) operativos de sensibilización y control, (640) visitas a elementos mayores de PEV y (2.031) documentos técnicos.</t>
  </si>
  <si>
    <t>En el avance de la vigencia 2023, se realizaron (52) operativos sobre todas las localidades del resto del distrito, las cuales son las diferentes a las zonas de mayor saturación. Esta corresponde a una actividad por demanda, por lo tanto se está sujeto al comportamiento de las solicitudes allegadas a la SDA.</t>
  </si>
  <si>
    <t>Se presenta un acumulado anual de (605) documentos técnicos en la vigencia 2023: 
Primer Trimestre: 31 documentos técnicos firmados.
Segundo Trimestre: 230 documentos técnicos firmados.
Tercer Trimestre: 88 documentos técnicos firmados.
Cuarto Trimestre: 256 documentos técnicos firmados.</t>
  </si>
  <si>
    <t>El seguimiento al Sistema Integrado de Información de Publicación Exterior Visual – SIIPEV presenta un acumulado anual de (12) cargues de información en la plataforma.
Acumulado:
Primer Trimestre: 03 cargues en el SIIPEV.
Segundo Trimestre: 03 cargue en el SIIPEV.
Tercer Trimestre: 03 cargue en el SIIPEV.
Cuarto Trimestre: 03 cargue en el SIIPEV.
Total a : 12 documentos; 100%.</t>
  </si>
  <si>
    <t>En el avance acumulado para la vigencia 2023, se realizaron (394) evaluaciones técnicas. Esta corresponde a una actividad por demanda, por lo tanto se está sujeto al comportamiento de las solicitudes allegadas a la SDA. Ahora se presenta un acumulado anual en la vigencia 2023 de (100%)de evaluaciones técnicas.</t>
  </si>
  <si>
    <t>Se presenta un acumulado anual (2023) en esta actividad de (130) acciones de visitas para la evaluación a los elementos mayores de PEV.
El retraso presentado en esta actividad se debe a la disminución en la radicación de solicitudes de seguimiento y evaluación de vallas. 
Acumulado: 100% de la actividad los terceros a legalizar sus productos.</t>
  </si>
  <si>
    <t>En la vigencia 2023, y segundo semestre, se aseguró la continua operación de la RMRAB con una representatividad de datos superior al 85%, realizando y ejecutando el cronograma de mantenimiento de las estaciones, el proceso de pago de los arriendos, entre otros 
Avance Acumulado de la Actividad: 100%.</t>
  </si>
  <si>
    <t>El avance acumulado para el segundo semestre de la vigencia 2023,se llevó a cabo la revisión y verificación de los documentos pertenecientes al procedimiento PA10-PR14 en cumplimiento a lo establecido en la ISO/IEC17025, además de llevar a cabo el proceso de adquisición, instalación y puesta en marcha de diversas estaciones meteorológicas con el fin de cumplir con los requerimientos del método de la normativa internacional ISO 1996 en la cual se pretende acreditar el laboratorio de la SDA ante el IDEAM.
Avance Acumulado de la Actividad: 100%.</t>
  </si>
  <si>
    <t>De acuerdo con la planeación, en el segundo semestre del 2023 se culminó con el proceso de actualización de los MER, generando 1.084 mapas. A partir de estos se calcularon diversos indicadores acústicos como el porcentaje de población urbana afectada por ruido (%PUAR), así como la determinación de las zonas acústicamente saturadas (ZAS) que tienen mayor impacto por ruido ambiental en la ciudad.
Avance acumulado de la vigencia 2023 es del 100%.</t>
  </si>
  <si>
    <t>Se elaboró el informe técnico del primer semestre del año 2023 y fue numerado junto con los informes semestrales anteriores generados desde el segundo semestre del 2020 con la puesta en marcha de la RMRAB. se presenta el segundo informe semestral del 2023 recopilando los datos del semestre y analizando eventos importantes de las festividades como el 7 de velitas, navidad o año nuevo, así como la jornada electoral para la alcaldía de Bogotá
Avance Acumulado de la Actividad: 100%.</t>
  </si>
  <si>
    <t>Se realizaron los contratos correspondientes con tres predios privados para la instalación de las tres estaciones bajo parámetros OACI. Estas estaciones de monitoreó se encuentran operando satisfactoriamente en cada uno de los puntos (lateral, aproximación y sobrevuelo).
El Avance de la actividad es del 100%.</t>
  </si>
  <si>
    <t>La Secretaría Distrital de Ambiente, en el marco del cumplimiento de la meta de la concentración promedio ponderado de ciudad de material particulado PM10 presenta un reporte en la vigenacia 2023 de 34,9 microgramos por metro cúbico.
El reporte de la meta de reducción se calcula con el promedio ponderado (móvil anual), con un 40% representado por las estaciones de la zona suroccidente (Carvajal-Sevillana, Kennedy y Puente Aranda) y el 60% restante, correspondiente al resto de estaciones (antiguas) de la ciudad. En consecuencia, se calcula el valor para cada estación con el promedio de los valores diarios, posteriormente se calcula el promedio mensual para cada estación del periodo de corte. Este promedio busca establecer el cambio en las concentraciones teniendo en cuenta la periodicidad de los ciclos anuales de calidad del aire en la ciudad.
Es importante mencionar que el cumplimiento de este indicador se encuentra influenciado por fenómenos externos, generados por el transporte atmosférico tales como los incendios forestales de la Orinoquía (Meta, Casanare, Venezuela) y Amazonía que influyen en la calidad del aire de la ciudad en determinadas épocas del año. Sumado al incremento del material particulado respecto a los años 2020 y 2021 producto de la reactivación de la movilidad post pandemia y la reactivación económica que incluye obras de infraestructura en ejecución.
Así mismo, la medición de variables físicas como es la concentración de material particulado en el aire, que dependen de factores como la meteorología, las emisiones por las fuentes locales, la actividad económica, la dinámica de la ciudad, los eventos regionales y globales de contaminación de gran magnitud, entre otros. La gran variabilidad en magnitud y tiempo de los anteriores factores demuestran que no es posible asegurar que su tendencia siempre sea decreciente, como se quisiera; pese a que la meta se proyectó como una reducción a lo largo del cuatrienio, considerando que las gestiones encaminadas al mejoramiento de la calidad del aire establecidas en el marco del Plan Aire, tienen un impacto en la reducción de las emisiones locales, no obstante no se tiene injerencia en el aporte de emisiones externas que influyen en la calidad del aire de la ciudad.</t>
  </si>
  <si>
    <t>La Secretaría Distrital de Ambiente, en el marco del cumplimiento de la meta de la concentración promedio ponderado de ciudad de material particulado PM 2.5 presenta un reporte al 2023 de 17,9 microgramos por metro cúbico.
El reporte de la meta de reducción se calcula con el promedio ponderado (móvil anual), con un 40% representado por las estaciones de la zona suroccidente (Carvajal-Sevillana, Kennedy y Puente Aranda) y el 60% restante, correspondiente al resto de estaciones (antiguas) de la ciudad. En consecuencia, se calcula el valor para cada estación con el promedio de los valores diarios, posteriormente se calcula el promedio mensual para cada estación del periodo de corte. Este promedio busca establecer el cambio en las concentraciones teniendo en cuenta la periodicidad de los ciclos anuales de calidad del aire en la ciudad.
Es importante mencionar que el cumplimiento de este indicador se encuentra influenciado por fenómenos externos, generados por el transporte atmosférico tales como los incendios forestales de la Orinoquía (Meta, Casanare, Venezuela) y Amazonía que influyen en la calidad del aire de la ciudad en determinadas épocas del año. Sumado al incremento del material particulado respecto a los años 2020 y 2021 producto de la reactivación de la movilidad post pandemia y la reactivación económica que incluye obras de infraestructura en ejecución.
Así mismo, la medición de variables físicas como es la concentración de material particulado en el aire, que dependen de factores como la meteorología, las emisiones por las fuentes locales, la actividad económica, la dinámica de la ciudad, los eventos regionales y globales de contaminación de gran magnitud, entre otros. La gran variabilidad en magnitud y tiempo de los anteriores factores demuestran que no es posible asegurar que su tendencia siempre sea decreciente, como se quisiera; pese a que la meta se proyectó como una reducción a lo largo del cuatrienio, considerando que las gestiones encaminadas al mejoramiento de la calidad del aire establecidas en el marco del Plan Aire, tienen un impacto en la reducción de las emisiones locales, no obstante no se tiene injerencia en el aporte de emisiones externas que influyen en la calidad del aire de la ciudad.</t>
  </si>
  <si>
    <t>Avance Acumulado de la Actividad: 100%; a 2023 se han realizado la validación total de los datos generados por los equipos de monitoreo de contaminantes y meteorología de la RMCAB. 
Acumulado en la vigencia 2023, se instaló el sensor de temperatura y humedad relativa (Termohigrometro) en la estación Bolivia lo que permite el correcto funcionamiento de los equipos evitando la invalidación de datos.</t>
  </si>
  <si>
    <t>El acumulado  de la vigencia 2023, se han realizado mesas técnicas en donde se trataron temas en común para calidad del aire, además de lo anterior, se está estructurando enfoque para realizar actividades de comparaciones Inter laboratorio entre equipos y estaciones de las redes de la CAR y de la SDA.
Avance Acumulado 100%.</t>
  </si>
  <si>
    <t xml:space="preserve">El avance acumulado en la vigencia 2023: se usó la estación las Ferias para continuar la evaluación de los sensores que se instalaron en 2021 con el objetivo de identificar la deriva de ellos, y su vida útil efectiva. Además, se instalaron temporalmente los microsensores usados para la medición de calidad del aire en la ZUMA de Bosa para ajustar sus datos con base en las mediciones de la red oficial.
Avance Acumulado 100%.
</t>
  </si>
  <si>
    <t>El avance acumulado del 2023  es del  2 informes de los dos (02) informes de gestión programados para la vigencia 2023; con lo cual se reporta un avance del 100%, así;
1.	Primer Informe Semestral de Seguimiento 2023 - I, Terminado a junio 30 de 2023. Cantidad Uno (01)
2.	Segundo Informe Semestral de Seguimiento 2023 - II; Avance Acumulado a 1,0. 
Lo anterior con base en las actividades de recolección de información de las acciones de evaluación, control y seguimiento de los grupos de fuentes fijas y fuentes móviles.
También se tienen en cuenta la intervención mediante actuaciones técnicas, visitas de control y seguimiento, acompañamientos, monitoreos, pruebas de emisión a vehículos que transitan  en el Distrito Capital, que se requieren en el Centro de Revisión Vehicular - CRV, vinculaciones al PAA y concesionarios, así visitas técnicas de auditoría a los equipos de medición en los Centros de Diagnóstico Automotor CDA'S, con esta información se construyó el informe de acciones de evaluación, control y seguimiento a las fuentes de emisión.
El avance acumulado del cuatrienio, son 6,84 informes (85%) de los 8 informes programados.</t>
  </si>
  <si>
    <t>El avance acumulado de la vigencia 2023, Aporte Vigencia: 3 Documentos
Aporte MPDD : (1) documento. Informe semestral de Seguimiento al Plan Estratégico para la Gestión Integral de la Calidad del Aire – Plan Aire 2030 (2023-I). (1) Informe de plusvalía con la información de la intervención de 15 segmentos viales ubicados en la localidad de Ciudad Bolívar. (1) Informe semestral de Seguimiento al Plan Estratégico para la Gestión Integral de la Calidad del Aire – Plan Aire 2030 (2023-II).
Avance Acumulado del: 100%.</t>
  </si>
  <si>
    <t>Aporte Vigencia: 2 Documentos
Aporte MPDD: (1) Inventario de Emisiones Atmosféricas de Bogotá correspondiente al 2022. (1) documento. Avance Acumulado INFORME DE MODELACIÓN DE CALIDAD DE AIRE SOBRE BOGOTÁ 2022. Anual 2022.
Avance Acumulado del: 100%.</t>
  </si>
  <si>
    <t>Aporte Vigencia: 3 Documentos
Aporte MPDD: (1) Informe de gestión del Sistema de Alertas Tempranas Ambientales en su componente aire 2023-I. (2) documento Avance Informe de gestión del Sistema de Alertas Tempranas Ambientales en su componente aire 2023-II.
Avance Acumulado del: 100%.</t>
  </si>
  <si>
    <t>Durante el periodo comprendido entre el 01 de enero al 31 de Diciembre de 2023, se notificaron 1.896 actuaciones administrativas derivadas de las acciones del tramite sancionatorio para los recursos a cargo de la SCAAV.</t>
  </si>
  <si>
    <t>Durante el periodo comprendido entre el 01 de enero al 31 de Diciembre de 2023 se avanzó en la gestión y/o firma de 278  Informes técnicos de criterio por recursos asociados a factores del deterioro ambiental por PEV, Ruido o fuentes fijas</t>
  </si>
  <si>
    <t>En el marco de las acciones de evaluación, control y seguimiento a los factores de deterioro ambiental como los son  las regulaciones y control de los recursos aire, visual y ruido, la Secretaría Distrital de Ambiente durante el periodo comprendido entre el 01 enero al 31 de Diciembre del año 2023, atendió el 100% de los conceptos técnicos que recomiendan una actuación administrativa sancionatoria, distribuida así:
N° de Conceptos Técnicos que recomiendan actuaciones administrativas sancionatorias: 1.827
N° de Conceptos Técnicos acogidos jurídicamente mediante acto administrativo: 1.827</t>
  </si>
  <si>
    <t>Durante el periodo comprendido entre el 01 de enero al 31 de Diciembre de 2023, se realizaron 45.020 acciones archivísticas, derivadas de la atención de los conceptos técnicos que recomiendan actuaciones administrativas en el marco del tramite sancionatorio ambiental asi:
Desglose: 6				
Apertura: 1.767				
Inserción Sancionatorio: 7.376				
Encarpetado De Expedientes: 3.143				
Consulta De Expedientes: 26				
Préstamo De Expedientes: 7.420				
Organización De Expedientes: 2.895				
Fuid: 127				
Hoja De Control: 5.365				
Clasificación Documental: 1.239				
Asociación De Radicados- Forest: 918				
Apoyo Saneamiento Jurídico: 487				
Alistamiento Trasferencias Documentales DCA:79				
Inserción, Revisión, Depuración, Levantamiento Base De Datos Expedientes Permisivos DCA: 2.802
Ubicación Física Expedientes En Estantería: 367				
Foliación: 4.029				
Transferencias:147				
Digitalización Expedientes: 3.018				
Atención Ventanilla: 253				
Acumulaciones: 6				
Auto De Archivo: 9				
Recepción Planillas De Radicados (Sancionatorios): 3.240				
Rotulación: 301													"</t>
  </si>
  <si>
    <t>El avance acumulado en la vigencia 2023,  un total de 5.066 actuaciones técnicas entre conceptos e informes técnicos y oficios de respuesta definitiva a peticiones ciudadanas, visitas de inspección vigilancia y control a las Fuentes fijas de Emisión en el ejercicio misional propio de la entidad. Con mayor intensidad en cuanto controles y operativos en la zona Sur Occidente de la ciudad como una de las zonas con mayor reporte de contaminación según la RMCAB. Se presenta un retraso en la ejecución de actividades correspondiente a 132 acciones (9%) de lo programado esto debido a la pérdida de capacidad operativa en virtud del cumplimiento de la norma de división del grupo y conformación del Laboratorio Ambiental.
Avance Acumulado de la Actividad al Tercer Trimestre: 91%</t>
  </si>
  <si>
    <t>DICIEMRE</t>
  </si>
  <si>
    <t>Diciembre</t>
  </si>
  <si>
    <t>Con la finalidad de realizar el 100% de las actividades para gestionar, estructurar y ampliar la Red de Monitoreo de Ruido Ambiental se realizaron actividades de mantenimiento, actualización de cartas control, análisis de los datos obtenidos de la red, avance del informe técnico semestral e informe de laboratorio, medición del Festival Cordillera para la modelación del evento y determinación del impacto acústico en vecindades, actualización de los Mapas Estratégicos de Ruido (MER) del Distrito, instalación de tres (3) estaciones de monitoreo de ruido ambiental bajo criterios de la Organización de Aviación Civil Internacional – OACI y la instalación y puesta en marcha de las estaciones meteorológicas de la RMRAB para la acreditación de la red en la metodología de medición y análisis de ruido ambiental según la normativa internacional ISO 1996.
Con lo anterior se realiza el reporte del 100% de cumplimiento de la meta para la vigencia 2023.</t>
  </si>
  <si>
    <t>En el marco de la gestión integral de la calidad del aire de Bogotá, para el año 2023 se realizó la entrega de ocho (8) documentos técnicos, así:
1.	Plan Aire
Aporte Vigencia: 3 Documentos
Aporte MPDD : (1) documento. Informe semestral de Seguimiento al Plan Estratégico para la Gestión Integral de la Calidad del Aire – Plan Aire 2030 (2023-I). (1) Informe de plusvalía con la información de la intervención de 15 segmentos viales ubicados en la localidad de Ciudad Bolívar. (1) Informe semestral de Seguimiento al Plan Estratégico para la Gestión Integral de la Calidad del Aire – Plan Aire 2030 (2023-II).
2.	Alertas
Aporte Vigencia: 3 Documentos
Aporte MPDD: (1) Informe de gestión del Sistema de Alertas Tempranas Ambientales en su componente aire 2023-I. (2) documento Avance Informe de gestión del Sistema de Alertas Tempranas Ambientales en su componente aire 2023-II.
3.	Modelo
Aporte Vigencia: 2 Documentos
Aporte MPDD: (1) Inventario de Emisiones Atmosféricas de Bogotá correspondiente al 2022. (1) documento. Avance Acumulado INFORME DE MODELACIÓN DE CALIDAD DE AIRE SOBRE BOGOTÁ 2022. Anual 2022.
Con lo anterior se alcanza un acumulado al PDD de 26 documentos técnicos, correspondientes al 86,97% de avance acumulado.</t>
  </si>
  <si>
    <t>Con la finalidad de realizar el 100% de las actividades para gestionar, estructurar y ampliar la Red de Monitoreo de Ruido Ambiental se realizaron actividades de mantenimiento, actualización de cartas control, análisis de los datos obtenidos de la red, avance del informe técnico semestral e informe de laboratorio, medición del Festival Cordillera para la modelación del evento y determinación del impacto acústico en vecindades, actualización de los Mapas Estratégicos de Ruido (MER) del Distrito, instalación de tres (3) estaciones de monitoreo de ruido ambiental bajo criterios de la Organización de Aviación Civil Internacional – OACI y la instalación y puesta en marcha de las estaciones meteorológicas de la RMRAB para la acreditación de la red en la metodología de medición y análisis de ruido ambiental según la normativa internacional ISO 1996.
Con lo anterior, se realiza el reporte del 100% de cumplimiento de la meta para la vigencia 2023.</t>
  </si>
  <si>
    <t>En el periodo comprendido entre el 1 de enero al 31 de Diciembre de 2023 fueron acogidos 1.827 conceptos técnicos que recomienden una actuación administrativa sancionatoria.  Lo anterior genera un cumplimiento del 100% de atenciones de conceptos técnicos.</t>
  </si>
  <si>
    <t>En cumplimiento de la meta, el acumulado PDD es 4287 acciones así:
• IV Trimestre 2023: 423 acciones, 376 visitas y 47 otras acciones de gestión
• III Trimestre 2023: 427 acciones, 362 visitas y 65 otras acciones de gestión
• II Trimestre 2023: 390 acciones, 326 visitas y 64 otras acciones de gestión
• I Trimestre 2023: 241 acciones, 195 vistas y 46 otras acciones de gestión
• Vigencia 2022: 1418 acciones, entre 1202 visitas y 216 otras acciones de gestión
• Vigencia 2021: 897 acciones, entre 761 visitas y 136 otras acciones de gestión
• Vigencia 2020: 491 acciones, entre 374 visitas y 117 otras acciones de gestión.</t>
  </si>
  <si>
    <t>El retraso en la ejecución de visitas, corresponde a la reducción en la capacidad operativa del área debido a la división del grupo de trabajo, con el fin de mantener la acreditación como laboratorio ambiental en la matriz aire - emisión de ruido ante el IDEAM; la SCAAV tuvo la obligación de realizar la división de los equipos, esto por imparcialidad, confiabilidad y para prevenir conflicto de intereses. Lo cual ha implicado una menor ejecución de visitas en materia de emisión de ruido.</t>
  </si>
  <si>
    <t>Las acciones a realizar para cumplir con el indicador están encaminadas a ejecutar las visitas que permitan cumplir con lo programado, es necesario reprogramar esas acciones para la próxima vigencia.</t>
  </si>
  <si>
    <t>Durante la vigencia 2023, el avance acumulado corresponde al 100%; se han reportado los mantenimientos preventivos y correctivos realizados. De igual manera, se realizó la validación diaria de los datos de concentraciones de contaminantes criterio y parámetros meteorológicos monitoreados por la Red de Monitoreo y Calidad de Aire de Bogotá - RMCAB. El indicador acumulado corresponde al 100% de cumplimiento.</t>
  </si>
  <si>
    <t>"En cumplimiento de la meta, el acumulado PDD es 4287 acciones así:
• IV Trimestre 2023: 423 acciones, 376 visitas y 47 otras acciones de gestión
• III Trimestre 2023: 427 acciones, 362 visitas y 65 otras acciones de gestión
• II Trimestre 2023: 390 acciones, 326 visitas y 64 otras acciones de gestión
• I Trimestre 2023: 241 acciones, 195 vistas y 46 otras acciones de gestión
• Vigencia 2022: 1418 acciones, entre 1202 visitas y 216 otras acciones de gestión
• Vigencia 2021: 897 acciones, entre 761 visitas y 136 otras acciones de gestión
• Vigencia 2020: 491 acciones, entre 374 visitas y 117 otras acciones de gestión."</t>
  </si>
  <si>
    <t>El avance acumulado en la vigencia 2023 es de (1.193) acciones de evaluación, control y seguimiento realizadas. 
- (52) operativos de control a zonas de Resto del Distrito. 
- (130) visitas de evaluación a elementos mayores.
- (605) documentos técnicos firmados para el resto del Distrito.
- (12) cargues de información a la plataforma SIIPEV.
- (394) evaluaciones a solicitudes de elementos de publicidad exterior visual.
Con lo anterior, se tiene un avance para el cuatrienio de 8.618 acciones de evaluación, control y seguimiento. así:
Vigencia 2020: 1,292 Acciones.
Vigencia 2021: 4.950 Acciones.
Vigencia 2022: 1.183 Acciones.
Vigencia 2023: 1.193acciones.</t>
  </si>
  <si>
    <r>
      <t>En la vigencia 2023 acumulado en la vigencia</t>
    </r>
    <r>
      <rPr>
        <sz val="11"/>
        <color rgb="FFFF0000"/>
        <rFont val="Arial"/>
        <family val="2"/>
      </rPr>
      <t>,</t>
    </r>
    <r>
      <rPr>
        <sz val="11"/>
        <rFont val="Arial"/>
        <family val="2"/>
      </rPr>
      <t xml:space="preserve"> se ha cumplido con la entrega de los informes programados para cada periodo.
Acumulado 100%.</t>
    </r>
  </si>
  <si>
    <t>Durante la vigencia 2023, se presenta el siguiente avance:
IV Trimestre 2023: 
visitas, ejecutadas 376 así: 15 visitas con medición, 207 efectivas sin medición entre sensibilizaciones y para cerrar el caso y 154 no efectivas para reprogramar.
III Trimestre 2023: 
visitas, ejecutadas 362 así: 18 visitas con medición, 130 efectivas sin medición entre sensibilizaciones y para cerrar el caso y 216 no efectivas para reprogramar.
II Trimestre 2023: 
visitas, ejecutadas 326 así: 18 visitas con medición, 132 efectivas sin medición entre sensibilizaciones y para cerrar el caso y 176 no efectivas para reprogramar.
I Trimestre 2023: 
visitas, ejecutadas 195 así: 6 efectivas con medición, 97 efectivas sin medición entre sensibilizaciones y para cerrar el caso y 92 no efectivas para reprogramar.
Acumuladas a 2023:
Ejecutadas 1.259. (90,92%). El retraso en la ejecución de visitas, corresponde a la reducción en la capacidad operativa del área debido a la división del grupo de trabajo, con el fin de mantener la acreditación como laboratorio ambiental en la matriz aire - emisión de ruido ante el IDEAM; la SCAAV tuvo la obligación de realizar la división de los equipos, esto por imparcialidad, confiabilidad y para prevenir conflicto de intereses. Lo cual ha implicado una menor ejecución de visitas en materia de emisión de ruido.</t>
  </si>
  <si>
    <t>El avance de 2023 es un total de  (50) visitas de certificación y seguimiento a los equipos de medición en los Centros de Diagnóstico Automotor.
El retraso en la ejecución de las actividades como son las visitas a los CDA y el desarrollo de las pruebas de emisión en vía se debió a la auditoría IDEAM, puesto que  el 100% del equipo técnico estuvo presto a atenderla, así como a los factores climáticos que impidieron el desarrollo de los operativos.
Para este periodo se tiene un avance de ejecución del 71,43%.</t>
  </si>
  <si>
    <t>El avance acumulado de 2023 es un total de 19.470 revisiones producto de los operativos de control en vía, requerimientos ambientales atendidos en el CRV, pruebas a los vehículos de los programas de autorregulación ambiental y concesionarios. El retraso en la ejecución de las actividades y el desarrollo de las pruebas de emisión en vía se debe a la atención de la auditoría del IDEAM, lo cual genera que el 100% del equipo técnico este presto a resolver inquietudes y atención de requerimientos, así como a los factores climáticos (Lluvias) que impiden el desarrollo de los operativos.</t>
  </si>
  <si>
    <r>
      <t xml:space="preserve">Avance acumulado </t>
    </r>
    <r>
      <rPr>
        <sz val="10"/>
        <color theme="1"/>
        <rFont val="Arial"/>
        <family val="2"/>
      </rPr>
      <t>d</t>
    </r>
    <r>
      <rPr>
        <sz val="10"/>
        <rFont val="Arial"/>
        <family val="2"/>
      </rPr>
      <t>e la vigencia 2023, se realizó intervención mediante la generación de actuaciones técnicas, producto de visitas de Inspección, Vigilancia y Control a las fuentes fijas de emisión en el ejercicio misional propio de la Entidad, se intensificaron los operativos y controles en la zona sur occidente  Además se atendieron tramites como DP, PQR, IAS y radicados para un total, generando actuaciones técnicas entre conceptos técnicos e informes.
Avance Acumulado del  100% en esta actividad.</t>
    </r>
  </si>
  <si>
    <t>Avance acumulado de la actividad 100%, al 2023, se llevaron a cabo actividades de mantenimiento preventivo y correctivo de la RMCAB, logrando la operación correcta de los equipos de monitoreo. Se ha cumplido con las Acciones Correctivas (AC) y Acciones Preventivas (AP) asociados a la operación en campo de las estaciones.V9:V56</t>
  </si>
  <si>
    <t>Realizar 8.771 acciones técnico-jurídicas de evaluación, seguimiento y control sobre los elementos de publicidad exterior visual - PEV, instalados en el perímetro urbano del D.C.</t>
  </si>
  <si>
    <t xml:space="preserve">Durante la vigencia 2023, se presenta el siguiente avance:
IV Trimestre 2023: 
47 fueron ejecutadas, de las cuales 14 informes acciones populares, 6 presentaciones, 1 Estudio de ruido, 12 reuniones o mesas de trabajo y 14 SUGAS.  
III Trimestre 2023: 
65 fueron ejecutadas, de las cuales 16 informes acciones populares, 3 presentaciones, 20 reuniones o mesas de trabajo y 26 SUGAS.  
II Trimestre 2023: 
64 fueron ejecutadas, de las cuales 16 informes acciones populares, 1 aclaratorio, 6 presentaciones, 1 estudio de ruido, 19 reuniones o mesas de trabajo y 21 SUGAS
I Trimestre 2023: 
46 fueron ejecutadas, de las cuales 9 son informes de acciones populares, 16 mesas de trabajo y 21 oficios SUGA. Acumulado a 2023: 222 otras acciones de gestión. 
</t>
  </si>
  <si>
    <t xml:space="preserve">Realizar  8.771 acciones técnico-jurídicas de evaluación, seguimiento y control sobre los elementos de publicidad exterior visual - PEV, instalados en el perímetro urbano del D.C.
</t>
  </si>
  <si>
    <t>CORTE A DICIEMBRE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</si>
</sst>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2">
    <numFmt numFmtId="8" formatCode="&quot;$&quot;\ #,##0.00;[Red]\-&quot;$&quot;\ #,##0.00"/>
    <numFmt numFmtId="42" formatCode="_-&quot;$&quot;\ * #,##0_-;\-&quot;$&quot;\ * #,##0_-;_-&quot;$&quot;\ * &quot;-&quot;_-;_-@_-"/>
    <numFmt numFmtId="41" formatCode="_-* #,##0_-;\-* #,##0_-;_-* &quot;-&quot;_-;_-@_-"/>
    <numFmt numFmtId="44" formatCode="_-&quot;$&quot;\ * #,##0.00_-;\-&quot;$&quot;\ * #,##0.00_-;_-&quot;$&quot;\ * &quot;-&quot;??_-;_-@_-"/>
    <numFmt numFmtId="43" formatCode="_-* #,##0.00_-;\-* #,##0.00_-;_-* &quot;-&quot;??_-;_-@_-"/>
    <numFmt numFmtId="164" formatCode="_-&quot;$&quot;* #,##0_-;\-&quot;$&quot;* #,##0_-;_-&quot;$&quot;* &quot;-&quot;_-;_-@_-"/>
    <numFmt numFmtId="165" formatCode="_-&quot;$&quot;* #,##0.00_-;\-&quot;$&quot;* #,##0.00_-;_-&quot;$&quot;* &quot;-&quot;??_-;_-@_-"/>
    <numFmt numFmtId="166" formatCode="_(&quot;$&quot;* #,##0.00_);_(&quot;$&quot;* \(#,##0.00\);_(&quot;$&quot;* &quot;-&quot;??_);_(@_)"/>
    <numFmt numFmtId="167" formatCode="_(* #,##0.00_);_(* \(#,##0.00\);_(* &quot;-&quot;??_);_(@_)"/>
    <numFmt numFmtId="168" formatCode="_(&quot;$&quot;\ * #,##0.00_);_(&quot;$&quot;\ * \(#,##0.00\);_(&quot;$&quot;\ * &quot;-&quot;??_);_(@_)"/>
    <numFmt numFmtId="169" formatCode="_-* #,##0.00\ &quot;€&quot;_-;\-* #,##0.00\ &quot;€&quot;_-;_-* &quot;-&quot;??\ &quot;€&quot;_-;_-@_-"/>
    <numFmt numFmtId="170" formatCode="_-* #,##0.00\ _€_-;\-* #,##0.00\ _€_-;_-* &quot;-&quot;??\ _€_-;_-@_-"/>
    <numFmt numFmtId="171" formatCode="_ &quot;$&quot;\ * #,##0.00_ ;_ &quot;$&quot;\ * \-#,##0.00_ ;_ &quot;$&quot;\ * &quot;-&quot;??_ ;_ @_ "/>
    <numFmt numFmtId="172" formatCode="_ * #,##0.00_ ;_ * \-#,##0.00_ ;_ * &quot;-&quot;??_ ;_ @_ "/>
    <numFmt numFmtId="173" formatCode="0.0%"/>
    <numFmt numFmtId="174" formatCode="_ * #,##0_ ;_ * \-#,##0_ ;_ * &quot;-&quot;??_ ;_ @_ "/>
    <numFmt numFmtId="175" formatCode="_-* #,##0\ _€_-;\-* #,##0\ _€_-;_-* &quot;-&quot;??\ _€_-;_-@_-"/>
    <numFmt numFmtId="176" formatCode="_(&quot;$&quot;\ * #,##0_);_(&quot;$&quot;\ * \(#,##0\);_(&quot;$&quot;\ * &quot;-&quot;_);_(@_)"/>
    <numFmt numFmtId="177" formatCode="#,##0.00\ \€"/>
    <numFmt numFmtId="178" formatCode="#,##0.00_ ;\-#,##0.00\ "/>
    <numFmt numFmtId="179" formatCode="#,##0.000"/>
    <numFmt numFmtId="180" formatCode="&quot;$&quot;\ #,##0"/>
    <numFmt numFmtId="181" formatCode="&quot;$&quot;\ #,##0.00"/>
    <numFmt numFmtId="182" formatCode="#,##0.0"/>
    <numFmt numFmtId="183" formatCode="0.0"/>
    <numFmt numFmtId="184" formatCode="#,##0.0_ ;\-#,##0.0\ "/>
    <numFmt numFmtId="185" formatCode="_-* #,##0_-;\-* #,##0_-;_-* &quot;-&quot;??_-;_-@_-"/>
    <numFmt numFmtId="186" formatCode="_-&quot;$&quot;\ * #,##0.0_-;\-&quot;$&quot;\ * #,##0.0_-;_-&quot;$&quot;\ * &quot;-&quot;_-;_-@_-"/>
    <numFmt numFmtId="187" formatCode="#,##0_ ;[Red]\-#,##0\ "/>
    <numFmt numFmtId="188" formatCode="_-* #,##0.0_-;\-* #,##0.0_-;_-* &quot;-&quot;_-;_-@_-"/>
    <numFmt numFmtId="189" formatCode="_-* #,##0.00_-;\-* #,##0.00_-;_-* &quot;-&quot;_-;_-@_-"/>
    <numFmt numFmtId="190" formatCode="_-&quot;$&quot;\ * #,##0.00_-;\-&quot;$&quot;\ * #,##0.00_-;_-&quot;$&quot;\ * &quot;-&quot;_-;_-@_-"/>
  </numFmts>
  <fonts count="83">
    <font>
      <sz val="11"/>
      <color theme="1"/>
      <name val="Calibri"/>
      <family val="2"/>
      <scheme val="minor"/>
    </font>
    <font>
      <sz val="11"/>
      <color indexed="8"/>
      <name val="Calibri"/>
      <family val="2"/>
    </font>
    <font>
      <b/>
      <sz val="10"/>
      <name val="Arial"/>
      <family val="2"/>
    </font>
    <font>
      <sz val="11"/>
      <name val="Arial"/>
      <family val="2"/>
    </font>
    <font>
      <sz val="10"/>
      <name val="Arial"/>
      <family val="2"/>
    </font>
    <font>
      <sz val="12"/>
      <name val="Arial"/>
      <family val="2"/>
    </font>
    <font>
      <sz val="11"/>
      <color indexed="8"/>
      <name val="Calibri"/>
      <family val="2"/>
    </font>
    <font>
      <sz val="12"/>
      <color indexed="8"/>
      <name val="Arial"/>
      <family val="2"/>
    </font>
    <font>
      <sz val="10"/>
      <name val="Arial"/>
      <family val="2"/>
    </font>
    <font>
      <b/>
      <sz val="14"/>
      <name val="Arial"/>
      <family val="2"/>
    </font>
    <font>
      <b/>
      <sz val="12"/>
      <name val="Arial"/>
      <family val="2"/>
    </font>
    <font>
      <sz val="8"/>
      <name val="Arial"/>
      <family val="2"/>
    </font>
    <font>
      <sz val="10"/>
      <name val="Arial"/>
      <family val="2"/>
    </font>
    <font>
      <b/>
      <sz val="9"/>
      <color indexed="81"/>
      <name val="Tahoma"/>
      <family val="2"/>
    </font>
    <font>
      <b/>
      <sz val="8"/>
      <name val="Arial"/>
      <family val="2"/>
    </font>
    <font>
      <sz val="9"/>
      <name val="Arial"/>
      <family val="2"/>
    </font>
    <font>
      <sz val="9"/>
      <color indexed="8"/>
      <name val="Arial"/>
      <family val="2"/>
    </font>
    <font>
      <b/>
      <sz val="9"/>
      <name val="Arial"/>
      <family val="2"/>
    </font>
    <font>
      <sz val="11"/>
      <color theme="1"/>
      <name val="Calibri"/>
      <family val="2"/>
      <scheme val="minor"/>
    </font>
    <font>
      <sz val="10"/>
      <color theme="1"/>
      <name val="Calibri"/>
      <family val="2"/>
      <scheme val="minor"/>
    </font>
    <font>
      <b/>
      <sz val="11"/>
      <color theme="1"/>
      <name val="Calibri"/>
      <family val="2"/>
      <scheme val="minor"/>
    </font>
    <font>
      <sz val="14"/>
      <name val="Tahoma"/>
      <family val="2"/>
    </font>
    <font>
      <b/>
      <sz val="14"/>
      <name val="Tahoma"/>
      <family val="2"/>
    </font>
    <font>
      <sz val="10"/>
      <color indexed="8"/>
      <name val="Arial"/>
      <family val="2"/>
    </font>
    <font>
      <sz val="11"/>
      <name val="Calibri"/>
      <family val="2"/>
      <scheme val="minor"/>
    </font>
    <font>
      <sz val="20"/>
      <color theme="1"/>
      <name val="Calibri"/>
      <family val="2"/>
      <scheme val="minor"/>
    </font>
    <font>
      <b/>
      <sz val="20"/>
      <name val="Arial"/>
      <family val="2"/>
    </font>
    <font>
      <sz val="24"/>
      <color theme="1"/>
      <name val="Calibri"/>
      <family val="2"/>
      <scheme val="minor"/>
    </font>
    <font>
      <b/>
      <sz val="14"/>
      <color indexed="8"/>
      <name val="Arial"/>
      <family val="2"/>
    </font>
    <font>
      <b/>
      <sz val="20"/>
      <color rgb="FFFF0000"/>
      <name val="Arial"/>
      <family val="2"/>
    </font>
    <font>
      <sz val="9"/>
      <color indexed="81"/>
      <name val="Tahoma"/>
      <family val="2"/>
    </font>
    <font>
      <sz val="10"/>
      <color theme="1"/>
      <name val="Arial"/>
      <family val="2"/>
    </font>
    <font>
      <sz val="10"/>
      <color rgb="FF000000"/>
      <name val="Arial"/>
      <family val="2"/>
    </font>
    <font>
      <sz val="11"/>
      <color theme="0"/>
      <name val="Calibri"/>
      <family val="2"/>
      <scheme val="minor"/>
    </font>
    <font>
      <sz val="10"/>
      <color theme="1"/>
      <name val="Verdana"/>
      <family val="2"/>
    </font>
    <font>
      <b/>
      <sz val="10"/>
      <color theme="1"/>
      <name val="Verdana"/>
      <family val="2"/>
    </font>
    <font>
      <sz val="12"/>
      <color theme="0"/>
      <name val="Calibri"/>
      <family val="2"/>
      <scheme val="minor"/>
    </font>
    <font>
      <sz val="12"/>
      <color theme="1"/>
      <name val="Calibri"/>
      <family val="2"/>
      <scheme val="minor"/>
    </font>
    <font>
      <sz val="12"/>
      <color indexed="8"/>
      <name val="Calibri"/>
      <family val="2"/>
    </font>
    <font>
      <sz val="11"/>
      <color rgb="FF9C6500"/>
      <name val="Calibri"/>
      <family val="2"/>
      <scheme val="minor"/>
    </font>
    <font>
      <sz val="11"/>
      <color rgb="FF000000"/>
      <name val="Calibri"/>
      <family val="2"/>
    </font>
    <font>
      <sz val="11"/>
      <name val="Calibri"/>
      <family val="2"/>
    </font>
    <font>
      <b/>
      <sz val="11"/>
      <name val="Calibri"/>
      <family val="2"/>
    </font>
    <font>
      <sz val="10.5"/>
      <color theme="1"/>
      <name val="Times New Roman"/>
      <family val="1"/>
    </font>
    <font>
      <sz val="11"/>
      <color indexed="8"/>
      <name val="Calibri"/>
      <family val="2"/>
      <scheme val="minor"/>
    </font>
    <font>
      <sz val="11"/>
      <color rgb="FF000000"/>
      <name val="Calibri"/>
      <family val="2"/>
      <scheme val="minor"/>
    </font>
    <font>
      <b/>
      <sz val="10"/>
      <color theme="1"/>
      <name val="Arial"/>
      <family val="2"/>
    </font>
    <font>
      <sz val="12"/>
      <name val="Calibri"/>
      <family val="2"/>
      <scheme val="minor"/>
    </font>
    <font>
      <b/>
      <sz val="12"/>
      <color indexed="8"/>
      <name val="Arial"/>
      <family val="2"/>
    </font>
    <font>
      <b/>
      <sz val="8"/>
      <color rgb="FF000000"/>
      <name val="Times New Roman"/>
      <family val="1"/>
    </font>
    <font>
      <sz val="14"/>
      <name val="Arial"/>
      <family val="2"/>
    </font>
    <font>
      <sz val="14"/>
      <color indexed="8"/>
      <name val="Arial"/>
      <family val="2"/>
    </font>
    <font>
      <b/>
      <sz val="14"/>
      <color theme="1"/>
      <name val="Calibri"/>
      <family val="2"/>
      <scheme val="minor"/>
    </font>
    <font>
      <b/>
      <sz val="16"/>
      <name val="Arial"/>
      <family val="2"/>
    </font>
    <font>
      <sz val="14"/>
      <color theme="1"/>
      <name val="Arial"/>
      <family val="2"/>
    </font>
    <font>
      <b/>
      <sz val="18"/>
      <color theme="1"/>
      <name val="Calibri"/>
      <family val="2"/>
      <scheme val="minor"/>
    </font>
    <font>
      <sz val="18"/>
      <color theme="1"/>
      <name val="Calibri"/>
      <family val="2"/>
      <scheme val="minor"/>
    </font>
    <font>
      <b/>
      <sz val="30"/>
      <name val="Arial"/>
      <family val="2"/>
    </font>
    <font>
      <b/>
      <sz val="30"/>
      <name val="Calibri"/>
      <family val="2"/>
      <scheme val="minor"/>
    </font>
    <font>
      <b/>
      <sz val="10"/>
      <color theme="1"/>
      <name val="Calibri"/>
      <family val="2"/>
      <scheme val="minor"/>
    </font>
    <font>
      <sz val="20"/>
      <name val="Arial"/>
      <family val="2"/>
    </font>
    <font>
      <i/>
      <sz val="10"/>
      <name val="Arial"/>
      <family val="2"/>
    </font>
    <font>
      <sz val="8"/>
      <name val="Calibri"/>
      <family val="2"/>
      <scheme val="minor"/>
    </font>
    <font>
      <u/>
      <sz val="11"/>
      <color theme="10"/>
      <name val="Calibri"/>
      <family val="2"/>
      <scheme val="minor"/>
    </font>
    <font>
      <u/>
      <sz val="10"/>
      <name val="Arial"/>
      <family val="2"/>
    </font>
    <font>
      <b/>
      <sz val="9"/>
      <color rgb="FF000000"/>
      <name val="Tahoma"/>
      <family val="2"/>
    </font>
    <font>
      <sz val="9"/>
      <color rgb="FF000000"/>
      <name val="Tahoma"/>
      <family val="2"/>
    </font>
    <font>
      <sz val="10"/>
      <color rgb="FFFF0000"/>
      <name val="Arial"/>
      <family val="2"/>
    </font>
    <font>
      <sz val="11"/>
      <color indexed="8"/>
      <name val="Arial"/>
      <family val="2"/>
    </font>
    <font>
      <sz val="11"/>
      <color theme="1"/>
      <name val="Arial"/>
      <family val="2"/>
    </font>
    <font>
      <sz val="18"/>
      <name val="Arial"/>
      <family val="2"/>
    </font>
    <font>
      <sz val="16"/>
      <name val="Arial"/>
      <family val="2"/>
    </font>
    <font>
      <b/>
      <sz val="22"/>
      <color indexed="8"/>
      <name val="Calibri"/>
      <family val="2"/>
    </font>
    <font>
      <b/>
      <sz val="22"/>
      <name val="Arial"/>
      <family val="2"/>
    </font>
    <font>
      <sz val="10"/>
      <color theme="1"/>
      <name val="Arial Narrow"/>
      <family val="2"/>
    </font>
    <font>
      <u/>
      <sz val="11"/>
      <name val="Calibri"/>
      <family val="2"/>
      <scheme val="minor"/>
    </font>
    <font>
      <sz val="11"/>
      <name val="Calibri (Cuerpo)"/>
    </font>
    <font>
      <sz val="11"/>
      <color theme="10"/>
      <name val="Calibri (Cuerpo)"/>
    </font>
    <font>
      <sz val="10"/>
      <color theme="0"/>
      <name val="Arial"/>
      <family val="2"/>
    </font>
    <font>
      <sz val="10"/>
      <name val="Calibri"/>
      <family val="2"/>
      <scheme val="minor"/>
    </font>
    <font>
      <b/>
      <sz val="11"/>
      <name val="Arial"/>
      <family val="2"/>
    </font>
    <font>
      <b/>
      <u/>
      <sz val="8"/>
      <name val="Arial"/>
      <family val="2"/>
    </font>
    <font>
      <sz val="11"/>
      <color rgb="FFFF0000"/>
      <name val="Arial"/>
      <family val="2"/>
    </font>
  </fonts>
  <fills count="2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tint="-0.14999847407452621"/>
        <bgColor indexed="64"/>
      </patternFill>
    </fill>
    <fill>
      <patternFill patternType="solid">
        <fgColor theme="4"/>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indexed="43"/>
      </patternFill>
    </fill>
    <fill>
      <patternFill patternType="solid">
        <fgColor indexed="44"/>
      </patternFill>
    </fill>
    <fill>
      <patternFill patternType="solid">
        <fgColor indexed="57"/>
      </patternFill>
    </fill>
    <fill>
      <patternFill patternType="solid">
        <fgColor indexed="43"/>
        <bgColor indexed="64"/>
      </patternFill>
    </fill>
    <fill>
      <patternFill patternType="solid">
        <fgColor indexed="27"/>
        <bgColor indexed="64"/>
      </patternFill>
    </fill>
    <fill>
      <patternFill patternType="solid">
        <fgColor rgb="FF808080"/>
        <bgColor indexed="64"/>
      </patternFill>
    </fill>
    <fill>
      <patternFill patternType="solid">
        <fgColor rgb="FFFFFFFF"/>
        <bgColor indexed="64"/>
      </patternFill>
    </fill>
    <fill>
      <patternFill patternType="solid">
        <fgColor rgb="FF92D050"/>
        <bgColor indexed="64"/>
      </patternFill>
    </fill>
    <fill>
      <patternFill patternType="solid">
        <fgColor rgb="FF00B050"/>
        <bgColor indexed="64"/>
      </patternFill>
    </fill>
    <fill>
      <patternFill patternType="solid">
        <fgColor rgb="FF92D050"/>
        <bgColor rgb="FF3AEE3A"/>
      </patternFill>
    </fill>
    <fill>
      <patternFill patternType="solid">
        <fgColor theme="6" tint="0.59999389629810485"/>
        <bgColor indexed="64"/>
      </patternFill>
    </fill>
    <fill>
      <patternFill patternType="solid">
        <fgColor theme="6" tint="-0.249977111117893"/>
        <bgColor indexed="64"/>
      </patternFill>
    </fill>
    <fill>
      <patternFill patternType="solid">
        <fgColor theme="6" tint="0.79998168889431442"/>
        <bgColor indexed="64"/>
      </patternFill>
    </fill>
    <fill>
      <patternFill patternType="solid">
        <fgColor theme="0" tint="-0.249977111117893"/>
        <bgColor indexed="64"/>
      </patternFill>
    </fill>
    <fill>
      <patternFill patternType="solid">
        <fgColor rgb="FF00FF00"/>
        <bgColor indexed="64"/>
      </patternFill>
    </fill>
    <fill>
      <patternFill patternType="solid">
        <fgColor rgb="FF669900"/>
        <bgColor indexed="64"/>
      </patternFill>
    </fill>
  </fills>
  <borders count="58">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style="medium">
        <color auto="1"/>
      </top>
      <bottom style="thin">
        <color auto="1"/>
      </bottom>
      <diagonal/>
    </border>
    <border>
      <left style="thin">
        <color auto="1"/>
      </left>
      <right style="thin">
        <color auto="1"/>
      </right>
      <top style="thin">
        <color auto="1"/>
      </top>
      <bottom style="medium">
        <color auto="1"/>
      </bottom>
      <diagonal/>
    </border>
    <border>
      <left style="thin">
        <color auto="1"/>
      </left>
      <right style="thin">
        <color auto="1"/>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bottom/>
      <diagonal/>
    </border>
    <border>
      <left style="medium">
        <color auto="1"/>
      </left>
      <right/>
      <top style="medium">
        <color auto="1"/>
      </top>
      <bottom/>
      <diagonal/>
    </border>
    <border>
      <left/>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right style="medium">
        <color auto="1"/>
      </right>
      <top style="medium">
        <color auto="1"/>
      </top>
      <bottom/>
      <diagonal/>
    </border>
    <border>
      <left style="medium">
        <color auto="1"/>
      </left>
      <right/>
      <top style="medium">
        <color auto="1"/>
      </top>
      <bottom style="thin">
        <color auto="1"/>
      </bottom>
      <diagonal/>
    </border>
    <border>
      <left style="medium">
        <color auto="1"/>
      </left>
      <right/>
      <top style="thin">
        <color auto="1"/>
      </top>
      <bottom style="medium">
        <color auto="1"/>
      </bottom>
      <diagonal/>
    </border>
    <border>
      <left/>
      <right style="thin">
        <color auto="1"/>
      </right>
      <top style="thin">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top style="thin">
        <color auto="1"/>
      </top>
      <bottom/>
      <diagonal/>
    </border>
    <border>
      <left/>
      <right style="thin">
        <color auto="1"/>
      </right>
      <top style="medium">
        <color auto="1"/>
      </top>
      <bottom style="medium">
        <color auto="1"/>
      </bottom>
      <diagonal/>
    </border>
    <border>
      <left style="thin">
        <color auto="1"/>
      </left>
      <right/>
      <top/>
      <bottom/>
      <diagonal/>
    </border>
    <border>
      <left style="medium">
        <color indexed="64"/>
      </left>
      <right style="thin">
        <color indexed="64"/>
      </right>
      <top style="thin">
        <color indexed="64"/>
      </top>
      <bottom style="medium">
        <color indexed="64"/>
      </bottom>
      <diagonal/>
    </border>
    <border>
      <left style="thin">
        <color auto="1"/>
      </left>
      <right/>
      <top style="thin">
        <color auto="1"/>
      </top>
      <bottom style="medium">
        <color auto="1"/>
      </bottom>
      <diagonal/>
    </border>
    <border>
      <left/>
      <right style="medium">
        <color auto="1"/>
      </right>
      <top style="thin">
        <color auto="1"/>
      </top>
      <bottom style="thin">
        <color auto="1"/>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right/>
      <top style="thin">
        <color auto="1"/>
      </top>
      <bottom/>
      <diagonal/>
    </border>
    <border>
      <left/>
      <right style="thin">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indexed="64"/>
      </left>
      <right style="thin">
        <color auto="1"/>
      </right>
      <top style="medium">
        <color indexed="64"/>
      </top>
      <bottom style="medium">
        <color indexed="64"/>
      </bottom>
      <diagonal/>
    </border>
    <border>
      <left style="medium">
        <color indexed="64"/>
      </left>
      <right style="thin">
        <color auto="1"/>
      </right>
      <top style="thin">
        <color auto="1"/>
      </top>
      <bottom/>
      <diagonal/>
    </border>
    <border>
      <left style="thin">
        <color auto="1"/>
      </left>
      <right style="medium">
        <color indexed="64"/>
      </right>
      <top style="thin">
        <color auto="1"/>
      </top>
      <bottom/>
      <diagonal/>
    </border>
    <border>
      <left style="thin">
        <color auto="1"/>
      </left>
      <right/>
      <top/>
      <bottom style="thin">
        <color auto="1"/>
      </bottom>
      <diagonal/>
    </border>
    <border>
      <left style="thin">
        <color auto="1"/>
      </left>
      <right/>
      <top style="medium">
        <color indexed="64"/>
      </top>
      <bottom style="medium">
        <color indexed="64"/>
      </bottom>
      <diagonal/>
    </border>
    <border>
      <left style="thin">
        <color auto="1"/>
      </left>
      <right style="thin">
        <color auto="1"/>
      </right>
      <top style="medium">
        <color auto="1"/>
      </top>
      <bottom/>
      <diagonal/>
    </border>
    <border>
      <left style="medium">
        <color indexed="64"/>
      </left>
      <right style="thin">
        <color auto="1"/>
      </right>
      <top style="medium">
        <color indexed="64"/>
      </top>
      <bottom/>
      <diagonal/>
    </border>
    <border>
      <left style="thin">
        <color auto="1"/>
      </left>
      <right style="medium">
        <color auto="1"/>
      </right>
      <top style="medium">
        <color auto="1"/>
      </top>
      <bottom/>
      <diagonal/>
    </border>
    <border>
      <left/>
      <right style="thin">
        <color auto="1"/>
      </right>
      <top style="medium">
        <color auto="1"/>
      </top>
      <bottom/>
      <diagonal/>
    </border>
    <border>
      <left style="thin">
        <color auto="1"/>
      </left>
      <right/>
      <top style="medium">
        <color indexed="64"/>
      </top>
      <bottom/>
      <diagonal/>
    </border>
  </borders>
  <cellStyleXfs count="3020">
    <xf numFmtId="0" fontId="0" fillId="0" borderId="0"/>
    <xf numFmtId="172" fontId="8" fillId="0" borderId="0" applyFont="0" applyFill="0" applyBorder="0" applyAlignment="0" applyProtection="0"/>
    <xf numFmtId="172" fontId="4" fillId="0" borderId="0" applyFont="0" applyFill="0" applyBorder="0" applyAlignment="0" applyProtection="0"/>
    <xf numFmtId="170" fontId="6" fillId="0" borderId="0" applyFont="0" applyFill="0" applyBorder="0" applyAlignment="0" applyProtection="0"/>
    <xf numFmtId="167" fontId="18" fillId="0" borderId="0" applyFont="0" applyFill="0" applyBorder="0" applyAlignment="0" applyProtection="0"/>
    <xf numFmtId="170" fontId="1" fillId="0" borderId="0" applyFont="0" applyFill="0" applyBorder="0" applyAlignment="0" applyProtection="0"/>
    <xf numFmtId="167" fontId="1" fillId="0" borderId="0" applyFont="0" applyFill="0" applyBorder="0" applyAlignment="0" applyProtection="0"/>
    <xf numFmtId="169" fontId="4" fillId="0" borderId="0" applyFont="0" applyFill="0" applyBorder="0" applyAlignment="0" applyProtection="0"/>
    <xf numFmtId="170" fontId="1" fillId="0" borderId="0" applyFont="0" applyFill="0" applyBorder="0" applyAlignment="0" applyProtection="0"/>
    <xf numFmtId="169" fontId="6" fillId="0" borderId="0" applyFont="0" applyFill="0" applyBorder="0" applyAlignment="0" applyProtection="0"/>
    <xf numFmtId="169" fontId="1" fillId="0" borderId="0" applyFont="0" applyFill="0" applyBorder="0" applyAlignment="0" applyProtection="0"/>
    <xf numFmtId="171" fontId="4" fillId="0" borderId="0" applyFont="0" applyFill="0" applyBorder="0" applyAlignment="0" applyProtection="0"/>
    <xf numFmtId="174" fontId="4" fillId="0" borderId="0" applyFont="0" applyFill="0" applyBorder="0" applyAlignment="0" applyProtection="0"/>
    <xf numFmtId="168" fontId="18" fillId="0" borderId="0" applyFont="0" applyFill="0" applyBorder="0" applyAlignment="0" applyProtection="0"/>
    <xf numFmtId="166" fontId="12" fillId="0" borderId="0" applyFont="0" applyFill="0" applyBorder="0" applyAlignment="0" applyProtection="0"/>
    <xf numFmtId="169" fontId="1" fillId="0" borderId="0" applyFont="0" applyFill="0" applyBorder="0" applyAlignment="0" applyProtection="0"/>
    <xf numFmtId="0" fontId="4" fillId="0" borderId="0"/>
    <xf numFmtId="0" fontId="4" fillId="0" borderId="0"/>
    <xf numFmtId="0" fontId="12" fillId="0" borderId="0"/>
    <xf numFmtId="0" fontId="4" fillId="0" borderId="0"/>
    <xf numFmtId="0" fontId="4" fillId="0" borderId="0"/>
    <xf numFmtId="9" fontId="6"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18" fillId="0" borderId="0" applyFont="0" applyFill="0" applyBorder="0" applyAlignment="0" applyProtection="0"/>
    <xf numFmtId="0" fontId="4" fillId="0" borderId="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11" borderId="0" applyNumberFormat="0" applyBorder="0" applyAlignment="0" applyProtection="0"/>
    <xf numFmtId="49" fontId="34" fillId="0" borderId="0" applyFill="0" applyBorder="0" applyProtection="0">
      <alignment horizontal="left" vertical="center"/>
    </xf>
    <xf numFmtId="0" fontId="35" fillId="0" borderId="0" applyNumberFormat="0" applyFill="0" applyBorder="0" applyProtection="0">
      <alignment horizontal="left" vertical="center"/>
    </xf>
    <xf numFmtId="0" fontId="35" fillId="0" borderId="0" applyNumberFormat="0" applyFill="0" applyBorder="0" applyProtection="0">
      <alignment horizontal="right" vertical="center"/>
    </xf>
    <xf numFmtId="0" fontId="34" fillId="0" borderId="1" applyNumberFormat="0" applyFill="0" applyProtection="0">
      <alignment horizontal="left" vertical="center"/>
    </xf>
    <xf numFmtId="0" fontId="34" fillId="0" borderId="1" applyNumberFormat="0" applyFill="0" applyProtection="0">
      <alignment horizontal="left" vertical="center"/>
    </xf>
    <xf numFmtId="0" fontId="34" fillId="0" borderId="1" applyNumberFormat="0" applyFill="0" applyProtection="0">
      <alignment horizontal="left" vertical="center"/>
    </xf>
    <xf numFmtId="0" fontId="34" fillId="0" borderId="1" applyNumberFormat="0" applyFill="0" applyProtection="0">
      <alignment horizontal="left" vertical="center"/>
    </xf>
    <xf numFmtId="0" fontId="34" fillId="0" borderId="1" applyNumberFormat="0" applyFill="0" applyProtection="0">
      <alignment horizontal="left" vertical="center"/>
    </xf>
    <xf numFmtId="0" fontId="34" fillId="0" borderId="1" applyNumberFormat="0" applyFill="0" applyProtection="0">
      <alignment horizontal="left" vertical="center"/>
    </xf>
    <xf numFmtId="0" fontId="34" fillId="0" borderId="1" applyNumberFormat="0" applyFill="0" applyProtection="0">
      <alignment horizontal="left" vertical="center"/>
    </xf>
    <xf numFmtId="0" fontId="34" fillId="0" borderId="1" applyNumberFormat="0" applyFill="0" applyProtection="0">
      <alignment horizontal="left" vertical="center"/>
    </xf>
    <xf numFmtId="0" fontId="23" fillId="0" borderId="1" applyNumberFormat="0" applyFont="0" applyFill="0" applyAlignment="0" applyProtection="0"/>
    <xf numFmtId="0" fontId="23" fillId="0" borderId="1" applyNumberFormat="0" applyFont="0" applyFill="0" applyAlignment="0" applyProtection="0"/>
    <xf numFmtId="0" fontId="23" fillId="0" borderId="1" applyNumberFormat="0" applyFont="0" applyFill="0" applyAlignment="0" applyProtection="0"/>
    <xf numFmtId="0" fontId="23" fillId="0" borderId="1" applyNumberFormat="0" applyFont="0" applyFill="0" applyAlignment="0" applyProtection="0"/>
    <xf numFmtId="0" fontId="23" fillId="0" borderId="1" applyNumberFormat="0" applyFont="0" applyFill="0" applyAlignment="0" applyProtection="0"/>
    <xf numFmtId="0" fontId="23" fillId="0" borderId="1" applyNumberFormat="0" applyFont="0" applyFill="0" applyAlignment="0" applyProtection="0"/>
    <xf numFmtId="0" fontId="23" fillId="0" borderId="1" applyNumberFormat="0" applyFont="0" applyFill="0" applyAlignment="0" applyProtection="0"/>
    <xf numFmtId="0" fontId="23" fillId="0" borderId="1" applyNumberFormat="0" applyFont="0" applyFill="0" applyAlignment="0" applyProtection="0"/>
    <xf numFmtId="0" fontId="23" fillId="0" borderId="1" applyNumberFormat="0" applyFont="0" applyFill="0" applyAlignment="0" applyProtection="0"/>
    <xf numFmtId="0" fontId="23" fillId="0" borderId="1" applyNumberFormat="0" applyFont="0" applyFill="0" applyAlignment="0" applyProtection="0"/>
    <xf numFmtId="0" fontId="23" fillId="0" borderId="1" applyNumberFormat="0" applyFont="0" applyFill="0" applyAlignment="0" applyProtection="0"/>
    <xf numFmtId="0" fontId="23" fillId="0" borderId="1" applyNumberFormat="0" applyFont="0" applyFill="0" applyAlignment="0" applyProtection="0"/>
    <xf numFmtId="0" fontId="23" fillId="0" borderId="1" applyNumberFormat="0" applyFont="0" applyFill="0" applyAlignment="0" applyProtection="0"/>
    <xf numFmtId="0" fontId="23" fillId="0" borderId="1" applyNumberFormat="0" applyFont="0" applyFill="0" applyAlignment="0" applyProtection="0"/>
    <xf numFmtId="0" fontId="23" fillId="0" borderId="1" applyNumberFormat="0" applyFont="0" applyFill="0" applyAlignment="0" applyProtection="0"/>
    <xf numFmtId="0" fontId="23" fillId="0" borderId="1" applyNumberFormat="0" applyFont="0" applyFill="0" applyAlignment="0" applyProtection="0"/>
    <xf numFmtId="0" fontId="23" fillId="0" borderId="1" applyNumberFormat="0" applyFont="0" applyFill="0" applyAlignment="0" applyProtection="0"/>
    <xf numFmtId="0" fontId="23" fillId="0" borderId="1" applyNumberFormat="0" applyFont="0" applyFill="0" applyAlignment="0" applyProtection="0"/>
    <xf numFmtId="0" fontId="23" fillId="0" borderId="1" applyNumberFormat="0" applyFont="0" applyFill="0" applyAlignment="0" applyProtection="0"/>
    <xf numFmtId="0" fontId="23" fillId="0" borderId="1" applyNumberFormat="0" applyFont="0" applyFill="0" applyAlignment="0" applyProtection="0"/>
    <xf numFmtId="0" fontId="23" fillId="0" borderId="1" applyNumberFormat="0" applyFont="0" applyFill="0" applyAlignment="0" applyProtection="0"/>
    <xf numFmtId="0" fontId="23" fillId="0" borderId="1" applyNumberFormat="0" applyFont="0" applyFill="0" applyAlignment="0" applyProtection="0"/>
    <xf numFmtId="0" fontId="23" fillId="0" borderId="1" applyNumberFormat="0" applyFont="0" applyFill="0" applyAlignment="0" applyProtection="0"/>
    <xf numFmtId="0" fontId="23" fillId="0" borderId="1" applyNumberFormat="0" applyFont="0" applyFill="0" applyAlignment="0" applyProtection="0"/>
    <xf numFmtId="43"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168" fontId="23" fillId="0" borderId="0" applyFont="0" applyFill="0" applyBorder="0" applyAlignment="0" applyProtection="0"/>
    <xf numFmtId="176" fontId="23" fillId="0" borderId="0" applyFont="0" applyFill="0" applyBorder="0" applyAlignment="0" applyProtection="0"/>
    <xf numFmtId="176" fontId="23" fillId="0" borderId="0" applyFont="0" applyFill="0" applyBorder="0" applyAlignment="0" applyProtection="0"/>
    <xf numFmtId="176" fontId="23" fillId="0" borderId="0" applyFont="0" applyFill="0" applyBorder="0" applyAlignment="0" applyProtection="0"/>
    <xf numFmtId="176" fontId="23" fillId="0" borderId="0" applyFont="0" applyFill="0" applyBorder="0" applyAlignment="0" applyProtection="0"/>
    <xf numFmtId="176" fontId="23" fillId="0" borderId="0" applyFont="0" applyFill="0" applyBorder="0" applyAlignment="0" applyProtection="0"/>
    <xf numFmtId="176" fontId="23" fillId="0" borderId="0" applyFont="0" applyFill="0" applyBorder="0" applyAlignment="0" applyProtection="0"/>
    <xf numFmtId="176" fontId="23" fillId="0" borderId="0" applyFont="0" applyFill="0" applyBorder="0" applyAlignment="0" applyProtection="0"/>
    <xf numFmtId="176" fontId="23" fillId="0" borderId="0" applyFont="0" applyFill="0" applyBorder="0" applyAlignment="0" applyProtection="0"/>
    <xf numFmtId="176" fontId="23" fillId="0" borderId="0" applyFont="0" applyFill="0" applyBorder="0" applyAlignment="0" applyProtection="0"/>
    <xf numFmtId="176" fontId="23" fillId="0" borderId="0" applyFont="0" applyFill="0" applyBorder="0" applyAlignment="0" applyProtection="0"/>
    <xf numFmtId="176" fontId="23" fillId="0" borderId="0" applyFont="0" applyFill="0" applyBorder="0" applyAlignment="0" applyProtection="0"/>
    <xf numFmtId="176" fontId="23" fillId="0" borderId="0" applyFont="0" applyFill="0" applyBorder="0" applyAlignment="0" applyProtection="0"/>
    <xf numFmtId="176" fontId="23" fillId="0" borderId="0" applyFont="0" applyFill="0" applyBorder="0" applyAlignment="0" applyProtection="0"/>
    <xf numFmtId="176" fontId="23" fillId="0" borderId="0" applyFont="0" applyFill="0" applyBorder="0" applyAlignment="0" applyProtection="0"/>
    <xf numFmtId="176" fontId="23" fillId="0" borderId="0" applyFont="0" applyFill="0" applyBorder="0" applyAlignment="0" applyProtection="0"/>
    <xf numFmtId="176" fontId="23" fillId="0" borderId="0" applyFont="0" applyFill="0" applyBorder="0" applyAlignment="0" applyProtection="0"/>
    <xf numFmtId="176" fontId="23" fillId="0" borderId="0" applyFont="0" applyFill="0" applyBorder="0" applyAlignment="0" applyProtection="0"/>
    <xf numFmtId="176" fontId="23" fillId="0" borderId="0" applyFont="0" applyFill="0" applyBorder="0" applyAlignment="0" applyProtection="0"/>
    <xf numFmtId="176" fontId="23" fillId="0" borderId="0" applyFont="0" applyFill="0" applyBorder="0" applyAlignment="0" applyProtection="0"/>
    <xf numFmtId="176" fontId="23" fillId="0" borderId="0" applyFont="0" applyFill="0" applyBorder="0" applyAlignment="0" applyProtection="0"/>
    <xf numFmtId="176" fontId="23" fillId="0" borderId="0" applyFont="0" applyFill="0" applyBorder="0" applyAlignment="0" applyProtection="0"/>
    <xf numFmtId="176" fontId="23" fillId="0" borderId="0" applyFont="0" applyFill="0" applyBorder="0" applyAlignment="0" applyProtection="0"/>
    <xf numFmtId="176" fontId="23" fillId="0" borderId="0" applyFont="0" applyFill="0" applyBorder="0" applyAlignment="0" applyProtection="0"/>
    <xf numFmtId="176" fontId="23" fillId="0" borderId="0" applyFont="0" applyFill="0" applyBorder="0" applyAlignment="0" applyProtection="0"/>
    <xf numFmtId="176" fontId="23" fillId="0" borderId="0" applyFont="0" applyFill="0" applyBorder="0" applyAlignment="0" applyProtection="0"/>
    <xf numFmtId="176" fontId="23" fillId="0" borderId="0" applyFont="0" applyFill="0" applyBorder="0" applyAlignment="0" applyProtection="0"/>
    <xf numFmtId="176" fontId="23" fillId="0" borderId="0" applyFont="0" applyFill="0" applyBorder="0" applyAlignment="0" applyProtection="0"/>
    <xf numFmtId="176" fontId="23" fillId="0" borderId="0" applyFont="0" applyFill="0" applyBorder="0" applyAlignment="0" applyProtection="0"/>
    <xf numFmtId="176" fontId="23" fillId="0" borderId="0" applyFont="0" applyFill="0" applyBorder="0" applyAlignment="0" applyProtection="0"/>
    <xf numFmtId="176" fontId="23" fillId="0" borderId="0" applyFont="0" applyFill="0" applyBorder="0" applyAlignment="0" applyProtection="0"/>
    <xf numFmtId="176" fontId="23" fillId="0" borderId="0" applyFont="0" applyFill="0" applyBorder="0" applyAlignment="0" applyProtection="0"/>
    <xf numFmtId="176" fontId="23" fillId="0" borderId="0" applyFont="0" applyFill="0" applyBorder="0" applyAlignment="0" applyProtection="0"/>
    <xf numFmtId="168" fontId="23" fillId="0" borderId="0" applyFont="0" applyFill="0" applyBorder="0" applyAlignment="0" applyProtection="0"/>
    <xf numFmtId="168" fontId="23" fillId="0" borderId="0" applyFont="0" applyFill="0" applyBorder="0" applyAlignment="0" applyProtection="0"/>
    <xf numFmtId="168" fontId="23" fillId="0" borderId="0" applyFont="0" applyFill="0" applyBorder="0" applyAlignment="0" applyProtection="0"/>
    <xf numFmtId="168" fontId="23" fillId="0" borderId="0" applyFont="0" applyFill="0" applyBorder="0" applyAlignment="0" applyProtection="0"/>
    <xf numFmtId="168" fontId="23" fillId="0" borderId="0" applyFont="0" applyFill="0" applyBorder="0" applyAlignment="0" applyProtection="0"/>
    <xf numFmtId="168" fontId="23" fillId="0" borderId="0" applyFont="0" applyFill="0" applyBorder="0" applyAlignment="0" applyProtection="0"/>
    <xf numFmtId="168" fontId="23" fillId="0" borderId="0" applyFont="0" applyFill="0" applyBorder="0" applyAlignment="0" applyProtection="0"/>
    <xf numFmtId="168" fontId="23" fillId="0" borderId="0" applyFont="0" applyFill="0" applyBorder="0" applyAlignment="0" applyProtection="0"/>
    <xf numFmtId="168" fontId="23" fillId="0" borderId="0" applyFont="0" applyFill="0" applyBorder="0" applyAlignment="0" applyProtection="0"/>
    <xf numFmtId="168" fontId="23" fillId="0" borderId="0" applyFont="0" applyFill="0" applyBorder="0" applyAlignment="0" applyProtection="0"/>
    <xf numFmtId="168" fontId="23" fillId="0" borderId="0" applyFont="0" applyFill="0" applyBorder="0" applyAlignment="0" applyProtection="0"/>
    <xf numFmtId="168" fontId="23" fillId="0" borderId="0" applyFont="0" applyFill="0" applyBorder="0" applyAlignment="0" applyProtection="0"/>
    <xf numFmtId="168" fontId="23" fillId="0" borderId="0" applyFont="0" applyFill="0" applyBorder="0" applyAlignment="0" applyProtection="0"/>
    <xf numFmtId="168" fontId="23" fillId="0" borderId="0" applyFont="0" applyFill="0" applyBorder="0" applyAlignment="0" applyProtection="0"/>
    <xf numFmtId="168" fontId="23" fillId="0" borderId="0" applyFont="0" applyFill="0" applyBorder="0" applyAlignment="0" applyProtection="0"/>
    <xf numFmtId="168" fontId="23" fillId="0" borderId="0" applyFont="0" applyFill="0" applyBorder="0" applyAlignment="0" applyProtection="0"/>
    <xf numFmtId="168" fontId="23" fillId="0" borderId="0" applyFont="0" applyFill="0" applyBorder="0" applyAlignment="0" applyProtection="0"/>
    <xf numFmtId="168" fontId="23" fillId="0" borderId="0" applyFont="0" applyFill="0" applyBorder="0" applyAlignment="0" applyProtection="0"/>
    <xf numFmtId="168" fontId="23" fillId="0" borderId="0" applyFont="0" applyFill="0" applyBorder="0" applyAlignment="0" applyProtection="0"/>
    <xf numFmtId="168" fontId="23" fillId="0" borderId="0" applyFont="0" applyFill="0" applyBorder="0" applyAlignment="0" applyProtection="0"/>
    <xf numFmtId="168" fontId="23" fillId="0" borderId="0" applyFont="0" applyFill="0" applyBorder="0" applyAlignment="0" applyProtection="0"/>
    <xf numFmtId="168" fontId="23" fillId="0" borderId="0" applyFont="0" applyFill="0" applyBorder="0" applyAlignment="0" applyProtection="0"/>
    <xf numFmtId="168" fontId="23" fillId="0" borderId="0" applyFont="0" applyFill="0" applyBorder="0" applyAlignment="0" applyProtection="0"/>
    <xf numFmtId="168" fontId="23" fillId="0" borderId="0" applyFont="0" applyFill="0" applyBorder="0" applyAlignment="0" applyProtection="0"/>
    <xf numFmtId="168" fontId="23" fillId="0" borderId="0" applyFont="0" applyFill="0" applyBorder="0" applyAlignment="0" applyProtection="0"/>
    <xf numFmtId="168" fontId="23" fillId="0" borderId="0" applyFont="0" applyFill="0" applyBorder="0" applyAlignment="0" applyProtection="0"/>
    <xf numFmtId="168" fontId="23" fillId="0" borderId="0" applyFont="0" applyFill="0" applyBorder="0" applyAlignment="0" applyProtection="0"/>
    <xf numFmtId="168" fontId="23" fillId="0" borderId="0" applyFont="0" applyFill="0" applyBorder="0" applyAlignment="0" applyProtection="0"/>
    <xf numFmtId="168" fontId="23" fillId="0" borderId="0" applyFont="0" applyFill="0" applyBorder="0" applyAlignment="0" applyProtection="0"/>
    <xf numFmtId="168" fontId="23" fillId="0" borderId="0" applyFont="0" applyFill="0" applyBorder="0" applyAlignment="0" applyProtection="0"/>
    <xf numFmtId="168" fontId="23" fillId="0" borderId="0" applyFont="0" applyFill="0" applyBorder="0" applyAlignment="0" applyProtection="0"/>
    <xf numFmtId="168" fontId="23" fillId="0" borderId="0" applyFont="0" applyFill="0" applyBorder="0" applyAlignment="0" applyProtection="0"/>
    <xf numFmtId="168" fontId="23" fillId="0" borderId="0" applyFont="0" applyFill="0" applyBorder="0" applyAlignment="0" applyProtection="0"/>
    <xf numFmtId="168" fontId="23" fillId="0" borderId="0" applyFont="0" applyFill="0" applyBorder="0" applyAlignment="0" applyProtection="0"/>
    <xf numFmtId="168" fontId="23" fillId="0" borderId="0" applyFont="0" applyFill="0" applyBorder="0" applyAlignment="0" applyProtection="0"/>
    <xf numFmtId="168" fontId="23" fillId="0" borderId="0" applyFont="0" applyFill="0" applyBorder="0" applyAlignment="0" applyProtection="0"/>
    <xf numFmtId="168" fontId="23" fillId="0" borderId="0" applyFont="0" applyFill="0" applyBorder="0" applyAlignment="0" applyProtection="0"/>
    <xf numFmtId="168" fontId="23" fillId="0" borderId="0" applyFont="0" applyFill="0" applyBorder="0" applyAlignment="0" applyProtection="0"/>
    <xf numFmtId="168" fontId="23" fillId="0" borderId="0" applyFont="0" applyFill="0" applyBorder="0" applyAlignment="0" applyProtection="0"/>
    <xf numFmtId="168" fontId="23" fillId="0" borderId="0" applyFont="0" applyFill="0" applyBorder="0" applyAlignment="0" applyProtection="0"/>
    <xf numFmtId="168" fontId="23" fillId="0" borderId="0" applyFont="0" applyFill="0" applyBorder="0" applyAlignment="0" applyProtection="0"/>
    <xf numFmtId="168" fontId="23" fillId="0" borderId="0" applyFont="0" applyFill="0" applyBorder="0" applyAlignment="0" applyProtection="0"/>
    <xf numFmtId="168" fontId="23" fillId="0" borderId="0" applyFont="0" applyFill="0" applyBorder="0" applyAlignment="0" applyProtection="0"/>
    <xf numFmtId="168" fontId="23" fillId="0" borderId="0" applyFont="0" applyFill="0" applyBorder="0" applyAlignment="0" applyProtection="0"/>
    <xf numFmtId="168" fontId="23" fillId="0" borderId="0" applyFont="0" applyFill="0" applyBorder="0" applyAlignment="0" applyProtection="0"/>
    <xf numFmtId="168" fontId="23" fillId="0" borderId="0" applyFont="0" applyFill="0" applyBorder="0" applyAlignment="0" applyProtection="0"/>
    <xf numFmtId="168" fontId="23" fillId="0" borderId="0" applyFont="0" applyFill="0" applyBorder="0" applyAlignment="0" applyProtection="0"/>
    <xf numFmtId="168" fontId="23" fillId="0" borderId="0" applyFont="0" applyFill="0" applyBorder="0" applyAlignment="0" applyProtection="0"/>
    <xf numFmtId="168" fontId="23" fillId="0" borderId="0" applyFont="0" applyFill="0" applyBorder="0" applyAlignment="0" applyProtection="0"/>
    <xf numFmtId="168" fontId="23" fillId="0" borderId="0" applyFont="0" applyFill="0" applyBorder="0" applyAlignment="0" applyProtection="0"/>
    <xf numFmtId="168" fontId="23" fillId="0" borderId="0" applyFont="0" applyFill="0" applyBorder="0" applyAlignment="0" applyProtection="0"/>
    <xf numFmtId="168" fontId="23" fillId="0" borderId="0" applyFont="0" applyFill="0" applyBorder="0" applyAlignment="0" applyProtection="0"/>
    <xf numFmtId="168" fontId="23" fillId="0" borderId="0" applyFont="0" applyFill="0" applyBorder="0" applyAlignment="0" applyProtection="0"/>
    <xf numFmtId="168" fontId="23" fillId="0" borderId="0" applyFont="0" applyFill="0" applyBorder="0" applyAlignment="0" applyProtection="0"/>
    <xf numFmtId="168" fontId="23" fillId="0" borderId="0" applyFont="0" applyFill="0" applyBorder="0" applyAlignment="0" applyProtection="0"/>
    <xf numFmtId="168" fontId="23" fillId="0" borderId="0" applyFont="0" applyFill="0" applyBorder="0" applyAlignment="0" applyProtection="0"/>
    <xf numFmtId="168" fontId="23" fillId="0" borderId="0" applyFont="0" applyFill="0" applyBorder="0" applyAlignment="0" applyProtection="0"/>
    <xf numFmtId="168" fontId="23" fillId="0" borderId="0" applyFont="0" applyFill="0" applyBorder="0" applyAlignment="0" applyProtection="0"/>
    <xf numFmtId="14" fontId="34" fillId="0" borderId="0" applyFill="0" applyBorder="0" applyProtection="0">
      <alignment horizontal="right" vertical="center"/>
    </xf>
    <xf numFmtId="22" fontId="34" fillId="0" borderId="0" applyFill="0" applyBorder="0" applyProtection="0">
      <alignment horizontal="right" vertical="center"/>
    </xf>
    <xf numFmtId="4" fontId="34" fillId="0" borderId="0" applyFill="0" applyBorder="0" applyProtection="0">
      <alignment horizontal="right" vertical="center"/>
    </xf>
    <xf numFmtId="4" fontId="34" fillId="0" borderId="1" applyFill="0" applyProtection="0">
      <alignment horizontal="right" vertical="center"/>
    </xf>
    <xf numFmtId="4" fontId="34" fillId="0" borderId="1" applyFill="0" applyProtection="0">
      <alignment horizontal="right" vertical="center"/>
    </xf>
    <xf numFmtId="4" fontId="34" fillId="0" borderId="1" applyFill="0" applyProtection="0">
      <alignment horizontal="right" vertical="center"/>
    </xf>
    <xf numFmtId="4" fontId="34" fillId="0" borderId="1" applyFill="0" applyProtection="0">
      <alignment horizontal="right" vertical="center"/>
    </xf>
    <xf numFmtId="4" fontId="34" fillId="0" borderId="1" applyFill="0" applyProtection="0">
      <alignment horizontal="right" vertical="center"/>
    </xf>
    <xf numFmtId="4" fontId="34" fillId="0" borderId="1" applyFill="0" applyProtection="0">
      <alignment horizontal="right" vertical="center"/>
    </xf>
    <xf numFmtId="4" fontId="34" fillId="0" borderId="1" applyFill="0" applyProtection="0">
      <alignment horizontal="right" vertical="center"/>
    </xf>
    <xf numFmtId="4" fontId="34" fillId="0" borderId="1" applyFill="0" applyProtection="0">
      <alignment horizontal="right" vertical="center"/>
    </xf>
    <xf numFmtId="0" fontId="33" fillId="5" borderId="0" applyNumberFormat="0" applyBorder="0" applyAlignment="0" applyProtection="0"/>
    <xf numFmtId="0" fontId="36" fillId="5" borderId="0" applyNumberFormat="0" applyBorder="0" applyAlignment="0" applyProtection="0"/>
    <xf numFmtId="177" fontId="34" fillId="0" borderId="0" applyFill="0" applyBorder="0" applyProtection="0">
      <alignment horizontal="right" vertical="center"/>
    </xf>
    <xf numFmtId="177" fontId="34" fillId="0" borderId="1" applyFill="0" applyProtection="0">
      <alignment horizontal="right" vertical="center"/>
    </xf>
    <xf numFmtId="177" fontId="34" fillId="0" borderId="1" applyFill="0" applyProtection="0">
      <alignment horizontal="right" vertical="center"/>
    </xf>
    <xf numFmtId="177" fontId="34" fillId="0" borderId="1" applyFill="0" applyProtection="0">
      <alignment horizontal="right" vertical="center"/>
    </xf>
    <xf numFmtId="177" fontId="34" fillId="0" borderId="1" applyFill="0" applyProtection="0">
      <alignment horizontal="right" vertical="center"/>
    </xf>
    <xf numFmtId="177" fontId="34" fillId="0" borderId="1" applyFill="0" applyProtection="0">
      <alignment horizontal="right" vertical="center"/>
    </xf>
    <xf numFmtId="177" fontId="34" fillId="0" borderId="1" applyFill="0" applyProtection="0">
      <alignment horizontal="right" vertical="center"/>
    </xf>
    <xf numFmtId="177" fontId="34" fillId="0" borderId="1" applyFill="0" applyProtection="0">
      <alignment horizontal="right" vertical="center"/>
    </xf>
    <xf numFmtId="177" fontId="34" fillId="0" borderId="1" applyFill="0" applyProtection="0">
      <alignment horizontal="right" vertical="center"/>
    </xf>
    <xf numFmtId="0" fontId="35" fillId="2" borderId="0" applyNumberFormat="0" applyBorder="0" applyProtection="0">
      <alignment horizontal="center" vertical="center"/>
    </xf>
    <xf numFmtId="0" fontId="35" fillId="12" borderId="0" applyNumberFormat="0" applyBorder="0" applyProtection="0">
      <alignment horizontal="center" vertical="center" wrapText="1"/>
    </xf>
    <xf numFmtId="0" fontId="34" fillId="12" borderId="0" applyNumberFormat="0" applyBorder="0" applyProtection="0">
      <alignment horizontal="right" vertical="center" wrapText="1"/>
    </xf>
    <xf numFmtId="0" fontId="35" fillId="13" borderId="0" applyNumberFormat="0" applyBorder="0" applyProtection="0">
      <alignment horizontal="center" vertical="center"/>
    </xf>
    <xf numFmtId="0" fontId="35" fillId="14" borderId="0" applyNumberFormat="0" applyBorder="0" applyProtection="0">
      <alignment horizontal="center" vertical="center" wrapText="1"/>
    </xf>
    <xf numFmtId="0" fontId="35" fillId="14" borderId="0" applyNumberFormat="0" applyBorder="0" applyProtection="0">
      <alignment horizontal="right" vertical="center" wrapText="1"/>
    </xf>
    <xf numFmtId="0" fontId="35" fillId="14" borderId="1" applyNumberFormat="0" applyProtection="0">
      <alignment horizontal="left" vertical="center" wrapText="1"/>
    </xf>
    <xf numFmtId="0" fontId="35" fillId="14" borderId="1" applyNumberFormat="0" applyProtection="0">
      <alignment horizontal="left" vertical="center" wrapText="1"/>
    </xf>
    <xf numFmtId="0" fontId="35" fillId="14" borderId="1" applyNumberFormat="0" applyProtection="0">
      <alignment horizontal="left" vertical="center" wrapText="1"/>
    </xf>
    <xf numFmtId="0" fontId="35" fillId="14" borderId="1" applyNumberFormat="0" applyProtection="0">
      <alignment horizontal="left" vertical="center" wrapText="1"/>
    </xf>
    <xf numFmtId="0" fontId="35" fillId="14" borderId="1" applyNumberFormat="0" applyProtection="0">
      <alignment horizontal="left" vertical="center" wrapText="1"/>
    </xf>
    <xf numFmtId="0" fontId="35" fillId="14" borderId="1" applyNumberFormat="0" applyProtection="0">
      <alignment horizontal="left" vertical="center" wrapText="1"/>
    </xf>
    <xf numFmtId="0" fontId="35" fillId="14" borderId="1" applyNumberFormat="0" applyProtection="0">
      <alignment horizontal="left" vertical="center" wrapText="1"/>
    </xf>
    <xf numFmtId="0" fontId="35" fillId="14" borderId="1" applyNumberFormat="0" applyProtection="0">
      <alignment horizontal="left" vertical="center" wrapText="1"/>
    </xf>
    <xf numFmtId="43" fontId="1" fillId="0" borderId="0" applyFont="0" applyFill="0" applyBorder="0" applyAlignment="0" applyProtection="0"/>
    <xf numFmtId="43" fontId="1" fillId="0" borderId="0" applyFont="0" applyFill="0" applyBorder="0" applyAlignment="0" applyProtection="0"/>
    <xf numFmtId="170" fontId="1"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2" fontId="18"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8" fontId="18"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8"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8"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8"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8" fillId="0" borderId="0" applyFont="0" applyFill="0" applyBorder="0" applyAlignment="0" applyProtection="0"/>
    <xf numFmtId="168" fontId="1" fillId="0" borderId="0" applyFont="0" applyFill="0" applyBorder="0" applyAlignment="0" applyProtection="0"/>
    <xf numFmtId="168" fontId="18"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8"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8"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8"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 fillId="0" borderId="0" applyFont="0" applyFill="0" applyBorder="0" applyAlignment="0" applyProtection="0"/>
    <xf numFmtId="168" fontId="18" fillId="0" borderId="0" applyFont="0" applyFill="0" applyBorder="0" applyAlignment="0" applyProtection="0"/>
    <xf numFmtId="168" fontId="1"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8"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 fillId="0" borderId="0" applyFont="0" applyFill="0" applyBorder="0" applyAlignment="0" applyProtection="0"/>
    <xf numFmtId="168" fontId="18" fillId="0" borderId="0" applyFont="0" applyFill="0" applyBorder="0" applyAlignment="0" applyProtection="0"/>
    <xf numFmtId="168" fontId="1"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8"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8"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8"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8"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8"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8"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8"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8"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8"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8"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8"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 fillId="0" borderId="0" applyFont="0" applyFill="0" applyBorder="0" applyAlignment="0" applyProtection="0"/>
    <xf numFmtId="168" fontId="18" fillId="0" borderId="0" applyFont="0" applyFill="0" applyBorder="0" applyAlignment="0" applyProtection="0"/>
    <xf numFmtId="168" fontId="1"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8"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 fillId="0" borderId="0" applyFont="0" applyFill="0" applyBorder="0" applyAlignment="0" applyProtection="0"/>
    <xf numFmtId="168" fontId="18" fillId="0" borderId="0" applyFont="0" applyFill="0" applyBorder="0" applyAlignment="0" applyProtection="0"/>
    <xf numFmtId="168" fontId="1"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8"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8"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8"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 fillId="0" borderId="0" applyFont="0" applyFill="0" applyBorder="0" applyAlignment="0" applyProtection="0"/>
    <xf numFmtId="168" fontId="18" fillId="0" borderId="0" applyFont="0" applyFill="0" applyBorder="0" applyAlignment="0" applyProtection="0"/>
    <xf numFmtId="168" fontId="1"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8"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 fillId="0" borderId="0" applyFont="0" applyFill="0" applyBorder="0" applyAlignment="0" applyProtection="0"/>
    <xf numFmtId="168" fontId="18" fillId="0" borderId="0" applyFont="0" applyFill="0" applyBorder="0" applyAlignment="0" applyProtection="0"/>
    <xf numFmtId="168" fontId="1"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8"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8"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8"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8"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8"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 fillId="0" borderId="0" applyFont="0" applyFill="0" applyBorder="0" applyAlignment="0" applyProtection="0"/>
    <xf numFmtId="168" fontId="18" fillId="0" borderId="0" applyFont="0" applyFill="0" applyBorder="0" applyAlignment="0" applyProtection="0"/>
    <xf numFmtId="168" fontId="1"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8"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 fillId="0" borderId="0" applyFont="0" applyFill="0" applyBorder="0" applyAlignment="0" applyProtection="0"/>
    <xf numFmtId="168" fontId="18" fillId="0" borderId="0" applyFont="0" applyFill="0" applyBorder="0" applyAlignment="0" applyProtection="0"/>
    <xf numFmtId="168" fontId="1"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5" fontId="37" fillId="0" borderId="0" applyFont="0" applyFill="0" applyBorder="0" applyAlignment="0" applyProtection="0"/>
    <xf numFmtId="169" fontId="1"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9" fontId="1"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9"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9"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9"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44" fontId="4" fillId="0" borderId="0" applyFont="0" applyFill="0" applyBorder="0" applyAlignment="0" applyProtection="0"/>
    <xf numFmtId="168"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5" fontId="18" fillId="0" borderId="0" applyFont="0" applyFill="0" applyBorder="0" applyAlignment="0" applyProtection="0"/>
    <xf numFmtId="168" fontId="4" fillId="0" borderId="0" applyFont="0" applyFill="0" applyBorder="0" applyAlignment="0" applyProtection="0"/>
    <xf numFmtId="165" fontId="18"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5" fontId="37"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44"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9" fontId="1" fillId="0" borderId="0" applyFont="0" applyFill="0" applyBorder="0" applyAlignment="0" applyProtection="0"/>
    <xf numFmtId="169" fontId="18" fillId="0" borderId="0" applyFont="0" applyFill="0" applyBorder="0" applyAlignment="0" applyProtection="0"/>
    <xf numFmtId="169"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8"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8" fontId="32" fillId="0" borderId="0" applyFont="0" applyFill="0" applyBorder="0" applyAlignment="0" applyProtection="0"/>
    <xf numFmtId="168" fontId="32"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8"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8"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8"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8"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8"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8"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0" fontId="39" fillId="9" borderId="0" applyNumberFormat="0" applyBorder="0" applyAlignment="0" applyProtection="0"/>
    <xf numFmtId="0" fontId="18" fillId="0" borderId="0"/>
    <xf numFmtId="0" fontId="4" fillId="0" borderId="0"/>
    <xf numFmtId="0" fontId="37" fillId="0" borderId="0"/>
    <xf numFmtId="0" fontId="31" fillId="0" borderId="0"/>
    <xf numFmtId="0" fontId="31" fillId="0" borderId="0"/>
    <xf numFmtId="0" fontId="37" fillId="0" borderId="0"/>
    <xf numFmtId="0" fontId="4" fillId="0" borderId="0"/>
    <xf numFmtId="0" fontId="18" fillId="0" borderId="0"/>
    <xf numFmtId="0" fontId="4" fillId="0" borderId="0"/>
    <xf numFmtId="0" fontId="37" fillId="0" borderId="0"/>
    <xf numFmtId="0" fontId="37" fillId="0" borderId="0"/>
    <xf numFmtId="0" fontId="32" fillId="0" borderId="0"/>
    <xf numFmtId="0" fontId="40" fillId="0" borderId="0"/>
    <xf numFmtId="0" fontId="4" fillId="0" borderId="0"/>
    <xf numFmtId="3" fontId="34" fillId="0" borderId="0" applyFill="0" applyBorder="0" applyProtection="0">
      <alignment horizontal="right" vertical="center"/>
    </xf>
    <xf numFmtId="3" fontId="34" fillId="0" borderId="1" applyFill="0" applyProtection="0">
      <alignment horizontal="right" vertical="center"/>
    </xf>
    <xf numFmtId="3" fontId="34" fillId="0" borderId="1" applyFill="0" applyProtection="0">
      <alignment horizontal="right" vertical="center"/>
    </xf>
    <xf numFmtId="3" fontId="34" fillId="0" borderId="1" applyFill="0" applyProtection="0">
      <alignment horizontal="right" vertical="center"/>
    </xf>
    <xf numFmtId="3" fontId="34" fillId="0" borderId="1" applyFill="0" applyProtection="0">
      <alignment horizontal="right" vertical="center"/>
    </xf>
    <xf numFmtId="3" fontId="34" fillId="0" borderId="1" applyFill="0" applyProtection="0">
      <alignment horizontal="right" vertical="center"/>
    </xf>
    <xf numFmtId="3" fontId="34" fillId="0" borderId="1" applyFill="0" applyProtection="0">
      <alignment horizontal="right" vertical="center"/>
    </xf>
    <xf numFmtId="3" fontId="34" fillId="0" borderId="1" applyFill="0" applyProtection="0">
      <alignment horizontal="right" vertical="center"/>
    </xf>
    <xf numFmtId="3" fontId="34" fillId="0" borderId="1" applyFill="0" applyProtection="0">
      <alignment horizontal="right" vertical="center"/>
    </xf>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2" fontId="18" fillId="0" borderId="0" applyFont="0" applyFill="0" applyBorder="0" applyAlignment="0" applyProtection="0"/>
    <xf numFmtId="0" fontId="32" fillId="0" borderId="0"/>
    <xf numFmtId="0" fontId="63" fillId="0" borderId="0" applyNumberFormat="0" applyFill="0" applyBorder="0" applyAlignment="0" applyProtection="0"/>
    <xf numFmtId="164" fontId="18" fillId="0" borderId="0" applyFont="0" applyFill="0" applyBorder="0" applyAlignment="0" applyProtection="0"/>
    <xf numFmtId="41" fontId="18" fillId="0" borderId="0" applyFont="0" applyFill="0" applyBorder="0" applyAlignment="0" applyProtection="0"/>
    <xf numFmtId="169" fontId="1" fillId="0" borderId="0" applyFont="0" applyFill="0" applyBorder="0" applyAlignment="0" applyProtection="0"/>
    <xf numFmtId="43"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8"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2" fontId="18" fillId="0" borderId="0" applyFont="0" applyFill="0" applyBorder="0" applyAlignment="0" applyProtection="0"/>
    <xf numFmtId="41" fontId="18" fillId="0" borderId="0" applyFont="0" applyFill="0" applyBorder="0" applyAlignment="0" applyProtection="0"/>
    <xf numFmtId="170" fontId="1" fillId="0" borderId="0" applyFont="0" applyFill="0" applyBorder="0" applyAlignment="0" applyProtection="0"/>
    <xf numFmtId="169" fontId="1" fillId="0" borderId="0" applyFont="0" applyFill="0" applyBorder="0" applyAlignment="0" applyProtection="0"/>
    <xf numFmtId="43"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8"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2" fontId="18" fillId="0" borderId="0" applyFont="0" applyFill="0" applyBorder="0" applyAlignment="0" applyProtection="0"/>
    <xf numFmtId="41" fontId="18" fillId="0" borderId="0" applyFont="0" applyFill="0" applyBorder="0" applyAlignment="0" applyProtection="0"/>
    <xf numFmtId="43"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8"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2" fontId="18" fillId="0" borderId="0" applyFont="0" applyFill="0" applyBorder="0" applyAlignment="0" applyProtection="0"/>
    <xf numFmtId="41" fontId="18" fillId="0" borderId="0" applyFont="0" applyFill="0" applyBorder="0" applyAlignment="0" applyProtection="0"/>
  </cellStyleXfs>
  <cellXfs count="876">
    <xf numFmtId="0" fontId="0" fillId="0" borderId="0" xfId="0"/>
    <xf numFmtId="0" fontId="7" fillId="0" borderId="0" xfId="0" applyFont="1"/>
    <xf numFmtId="0" fontId="0" fillId="3" borderId="0" xfId="0" applyFill="1"/>
    <xf numFmtId="0" fontId="0" fillId="0" borderId="0" xfId="0" applyAlignment="1">
      <alignment horizontal="center" vertical="center"/>
    </xf>
    <xf numFmtId="0" fontId="4" fillId="0" borderId="0" xfId="0" applyFont="1"/>
    <xf numFmtId="0" fontId="5" fillId="0" borderId="0" xfId="0" applyFont="1" applyAlignment="1">
      <alignment horizontal="center"/>
    </xf>
    <xf numFmtId="0" fontId="4" fillId="0" borderId="0" xfId="16" applyAlignment="1">
      <alignment vertical="center"/>
    </xf>
    <xf numFmtId="10" fontId="4" fillId="0" borderId="0" xfId="16" applyNumberFormat="1" applyAlignment="1">
      <alignment vertical="center"/>
    </xf>
    <xf numFmtId="0" fontId="4" fillId="2" borderId="0" xfId="16" applyFill="1" applyAlignment="1">
      <alignment vertical="center"/>
    </xf>
    <xf numFmtId="10" fontId="4" fillId="2" borderId="0" xfId="16" applyNumberFormat="1" applyFill="1" applyAlignment="1">
      <alignment vertical="center"/>
    </xf>
    <xf numFmtId="0" fontId="0" fillId="0" borderId="0" xfId="0" applyAlignment="1">
      <alignment horizontal="center"/>
    </xf>
    <xf numFmtId="0" fontId="4" fillId="2" borderId="0" xfId="16" applyFill="1" applyAlignment="1">
      <alignment horizontal="left" vertical="center"/>
    </xf>
    <xf numFmtId="0" fontId="4" fillId="0" borderId="0" xfId="16" applyAlignment="1">
      <alignment horizontal="left" vertical="center"/>
    </xf>
    <xf numFmtId="0" fontId="11" fillId="0" borderId="0" xfId="0" applyFont="1"/>
    <xf numFmtId="0" fontId="25" fillId="0" borderId="0" xfId="0" applyFont="1"/>
    <xf numFmtId="0" fontId="27" fillId="0" borderId="0" xfId="0" applyFont="1"/>
    <xf numFmtId="0" fontId="4" fillId="3" borderId="0" xfId="0" applyFont="1" applyFill="1"/>
    <xf numFmtId="0" fontId="11" fillId="3" borderId="0" xfId="0" applyFont="1" applyFill="1"/>
    <xf numFmtId="0" fontId="5" fillId="3" borderId="0" xfId="0" applyFont="1" applyFill="1" applyAlignment="1">
      <alignment horizontal="center"/>
    </xf>
    <xf numFmtId="175" fontId="0" fillId="3" borderId="0" xfId="0" applyNumberFormat="1" applyFill="1" applyAlignment="1">
      <alignment horizontal="center"/>
    </xf>
    <xf numFmtId="0" fontId="41" fillId="15" borderId="0" xfId="0" applyFont="1" applyFill="1"/>
    <xf numFmtId="4" fontId="41" fillId="15" borderId="0" xfId="0" applyNumberFormat="1" applyFont="1" applyFill="1"/>
    <xf numFmtId="0" fontId="42" fillId="15" borderId="0" xfId="0" applyFont="1" applyFill="1"/>
    <xf numFmtId="10" fontId="3" fillId="2" borderId="0" xfId="16" applyNumberFormat="1" applyFont="1" applyFill="1" applyAlignment="1">
      <alignment vertical="center"/>
    </xf>
    <xf numFmtId="180" fontId="20" fillId="0" borderId="0" xfId="0" applyNumberFormat="1" applyFont="1" applyAlignment="1">
      <alignment horizontal="center" vertical="center"/>
    </xf>
    <xf numFmtId="180" fontId="0" fillId="0" borderId="0" xfId="0" applyNumberFormat="1"/>
    <xf numFmtId="0" fontId="7" fillId="0" borderId="0" xfId="0" applyFont="1" applyAlignment="1">
      <alignment vertical="center"/>
    </xf>
    <xf numFmtId="0" fontId="9" fillId="0" borderId="0" xfId="0" applyFont="1" applyAlignment="1">
      <alignment horizontal="left" vertical="center" wrapText="1"/>
    </xf>
    <xf numFmtId="0" fontId="9" fillId="0" borderId="18" xfId="0" applyFont="1" applyBorder="1" applyAlignment="1">
      <alignment horizontal="left" vertical="center" wrapText="1"/>
    </xf>
    <xf numFmtId="10" fontId="4" fillId="16" borderId="4" xfId="16" applyNumberFormat="1" applyFill="1" applyBorder="1" applyAlignment="1">
      <alignment horizontal="center" vertical="center" wrapText="1"/>
    </xf>
    <xf numFmtId="0" fontId="46" fillId="18" borderId="1" xfId="2866" applyFont="1" applyFill="1" applyBorder="1" applyAlignment="1">
      <alignment horizontal="center" vertical="center" wrapText="1"/>
    </xf>
    <xf numFmtId="42" fontId="5" fillId="0" borderId="0" xfId="2865" applyFont="1" applyFill="1" applyAlignment="1">
      <alignment horizontal="center"/>
    </xf>
    <xf numFmtId="180" fontId="5" fillId="0" borderId="0" xfId="0" applyNumberFormat="1" applyFont="1" applyAlignment="1">
      <alignment horizontal="center"/>
    </xf>
    <xf numFmtId="0" fontId="26" fillId="3" borderId="12" xfId="0" applyFont="1" applyFill="1" applyBorder="1" applyAlignment="1">
      <alignment horizontal="center" vertical="top" wrapText="1"/>
    </xf>
    <xf numFmtId="0" fontId="4" fillId="2" borderId="0" xfId="16" applyFill="1" applyAlignment="1">
      <alignment vertical="top"/>
    </xf>
    <xf numFmtId="0" fontId="4" fillId="0" borderId="1" xfId="0" applyFont="1" applyBorder="1" applyAlignment="1">
      <alignment horizontal="center" vertical="center"/>
    </xf>
    <xf numFmtId="181" fontId="16" fillId="0" borderId="1" xfId="9" applyNumberFormat="1" applyFont="1" applyFill="1" applyBorder="1" applyAlignment="1">
      <alignment horizontal="center" vertical="center"/>
    </xf>
    <xf numFmtId="181" fontId="0" fillId="0" borderId="0" xfId="0" applyNumberFormat="1" applyAlignment="1">
      <alignment horizontal="center" vertical="center"/>
    </xf>
    <xf numFmtId="181" fontId="20" fillId="0" borderId="0" xfId="0" applyNumberFormat="1" applyFont="1" applyAlignment="1">
      <alignment horizontal="center" vertical="center"/>
    </xf>
    <xf numFmtId="4" fontId="41" fillId="15" borderId="0" xfId="0" applyNumberFormat="1" applyFont="1" applyFill="1" applyAlignment="1">
      <alignment horizontal="center"/>
    </xf>
    <xf numFmtId="180" fontId="0" fillId="0" borderId="0" xfId="0" applyNumberFormat="1" applyAlignment="1">
      <alignment horizontal="center" vertical="center"/>
    </xf>
    <xf numFmtId="3" fontId="49" fillId="0" borderId="0" xfId="0" applyNumberFormat="1" applyFont="1"/>
    <xf numFmtId="181" fontId="5" fillId="0" borderId="0" xfId="0" applyNumberFormat="1" applyFont="1" applyAlignment="1">
      <alignment horizontal="center"/>
    </xf>
    <xf numFmtId="43" fontId="5" fillId="0" borderId="0" xfId="0" applyNumberFormat="1" applyFont="1" applyAlignment="1">
      <alignment horizontal="center"/>
    </xf>
    <xf numFmtId="181" fontId="16" fillId="0" borderId="0" xfId="9" applyNumberFormat="1" applyFont="1" applyFill="1" applyBorder="1" applyAlignment="1">
      <alignment horizontal="center" vertical="center"/>
    </xf>
    <xf numFmtId="170" fontId="5" fillId="0" borderId="0" xfId="3" applyFont="1" applyFill="1" applyBorder="1" applyAlignment="1">
      <alignment horizontal="center"/>
    </xf>
    <xf numFmtId="181" fontId="16" fillId="0" borderId="0" xfId="0" applyNumberFormat="1" applyFont="1" applyAlignment="1">
      <alignment horizontal="center" vertical="center"/>
    </xf>
    <xf numFmtId="8" fontId="5" fillId="0" borderId="0" xfId="0" applyNumberFormat="1" applyFont="1" applyAlignment="1">
      <alignment horizontal="center"/>
    </xf>
    <xf numFmtId="43" fontId="0" fillId="0" borderId="0" xfId="0" applyNumberFormat="1" applyAlignment="1">
      <alignment horizontal="center"/>
    </xf>
    <xf numFmtId="181" fontId="51" fillId="0" borderId="1" xfId="9" applyNumberFormat="1" applyFont="1" applyFill="1" applyBorder="1" applyAlignment="1">
      <alignment horizontal="center" vertical="center"/>
    </xf>
    <xf numFmtId="180" fontId="51" fillId="0" borderId="1" xfId="9" applyNumberFormat="1" applyFont="1" applyFill="1" applyBorder="1" applyAlignment="1">
      <alignment horizontal="center" vertical="center"/>
    </xf>
    <xf numFmtId="0" fontId="7" fillId="0" borderId="0" xfId="0" applyFont="1" applyAlignment="1">
      <alignment horizontal="center" vertical="center" wrapText="1"/>
    </xf>
    <xf numFmtId="0" fontId="7" fillId="0" borderId="0" xfId="0" applyFont="1" applyAlignment="1">
      <alignment horizontal="center" vertical="center"/>
    </xf>
    <xf numFmtId="0" fontId="54" fillId="0" borderId="0" xfId="0" applyFont="1" applyAlignment="1">
      <alignment horizontal="center" vertical="top" wrapText="1"/>
    </xf>
    <xf numFmtId="0" fontId="7" fillId="0" borderId="0" xfId="0" applyFont="1" applyAlignment="1">
      <alignment horizontal="left" vertical="top" wrapText="1"/>
    </xf>
    <xf numFmtId="0" fontId="43" fillId="0" borderId="0" xfId="0" applyFont="1" applyAlignment="1">
      <alignment horizontal="center" vertical="center"/>
    </xf>
    <xf numFmtId="2" fontId="7" fillId="0" borderId="0" xfId="0" applyNumberFormat="1" applyFont="1" applyAlignment="1">
      <alignment horizontal="center" vertical="center"/>
    </xf>
    <xf numFmtId="0" fontId="51" fillId="0" borderId="0" xfId="0" applyFont="1" applyAlignment="1">
      <alignment horizontal="center" vertical="center"/>
    </xf>
    <xf numFmtId="0" fontId="47" fillId="0" borderId="0" xfId="0" applyFont="1" applyAlignment="1">
      <alignment vertical="top" wrapText="1"/>
    </xf>
    <xf numFmtId="0" fontId="24" fillId="0" borderId="0" xfId="0" applyFont="1" applyAlignment="1">
      <alignment horizontal="center" vertical="center" wrapText="1"/>
    </xf>
    <xf numFmtId="0" fontId="44" fillId="0" borderId="0" xfId="0" applyFont="1" applyAlignment="1">
      <alignment horizontal="left" vertical="top" wrapText="1"/>
    </xf>
    <xf numFmtId="0" fontId="44" fillId="0" borderId="0" xfId="0" applyFont="1" applyAlignment="1">
      <alignment horizontal="center" vertical="center" wrapText="1"/>
    </xf>
    <xf numFmtId="182" fontId="50" fillId="0" borderId="0" xfId="0" applyNumberFormat="1" applyFont="1" applyAlignment="1">
      <alignment horizontal="center" vertical="center" wrapText="1"/>
    </xf>
    <xf numFmtId="2" fontId="48" fillId="0" borderId="0" xfId="0" applyNumberFormat="1" applyFont="1" applyAlignment="1">
      <alignment horizontal="center" vertical="center"/>
    </xf>
    <xf numFmtId="42" fontId="50" fillId="0" borderId="1" xfId="2865" applyFont="1" applyFill="1" applyBorder="1" applyAlignment="1">
      <alignment horizontal="center" vertical="center" wrapText="1"/>
    </xf>
    <xf numFmtId="182" fontId="50" fillId="0" borderId="1" xfId="10" applyNumberFormat="1" applyFont="1" applyFill="1" applyBorder="1" applyAlignment="1">
      <alignment horizontal="center" vertical="center" wrapText="1"/>
    </xf>
    <xf numFmtId="180" fontId="50" fillId="0" borderId="1" xfId="9" applyNumberFormat="1" applyFont="1" applyFill="1" applyBorder="1" applyAlignment="1">
      <alignment horizontal="center" vertical="center"/>
    </xf>
    <xf numFmtId="180" fontId="50" fillId="0" borderId="1" xfId="2865" applyNumberFormat="1" applyFont="1" applyFill="1" applyBorder="1" applyAlignment="1">
      <alignment horizontal="center" vertical="center" wrapText="1"/>
    </xf>
    <xf numFmtId="170" fontId="50" fillId="0" borderId="1" xfId="3" applyFont="1" applyFill="1" applyBorder="1" applyAlignment="1">
      <alignment horizontal="center" vertical="center"/>
    </xf>
    <xf numFmtId="1" fontId="50" fillId="0" borderId="1" xfId="2865" applyNumberFormat="1" applyFont="1" applyFill="1" applyBorder="1" applyAlignment="1">
      <alignment horizontal="center" vertical="center" wrapText="1"/>
    </xf>
    <xf numFmtId="1" fontId="4" fillId="0" borderId="1" xfId="2865" applyNumberFormat="1" applyFont="1" applyFill="1" applyBorder="1" applyAlignment="1">
      <alignment horizontal="center" vertical="center" wrapText="1"/>
    </xf>
    <xf numFmtId="0" fontId="23" fillId="0" borderId="0" xfId="0" applyFont="1" applyAlignment="1">
      <alignment horizontal="center" vertical="center"/>
    </xf>
    <xf numFmtId="9" fontId="4" fillId="0" borderId="1" xfId="21" applyFont="1" applyFill="1" applyBorder="1" applyAlignment="1">
      <alignment horizontal="center" vertical="center" wrapText="1"/>
    </xf>
    <xf numFmtId="0" fontId="9" fillId="0" borderId="0" xfId="0" applyFont="1" applyAlignment="1">
      <alignment vertical="center" wrapText="1"/>
    </xf>
    <xf numFmtId="0" fontId="56" fillId="0" borderId="0" xfId="0" applyFont="1"/>
    <xf numFmtId="9" fontId="4" fillId="0" borderId="1" xfId="24" applyFont="1" applyFill="1" applyBorder="1" applyAlignment="1">
      <alignment horizontal="center" vertical="center" wrapText="1"/>
    </xf>
    <xf numFmtId="42" fontId="4" fillId="0" borderId="1" xfId="2865" applyFont="1" applyFill="1" applyBorder="1" applyAlignment="1">
      <alignment horizontal="center" vertical="center" wrapText="1"/>
    </xf>
    <xf numFmtId="42" fontId="23" fillId="0" borderId="1" xfId="2865" applyFont="1" applyFill="1" applyBorder="1" applyAlignment="1">
      <alignment horizontal="center" vertical="center"/>
    </xf>
    <xf numFmtId="0" fontId="19" fillId="0" borderId="0" xfId="0" applyFont="1" applyAlignment="1">
      <alignment horizontal="center" vertical="center"/>
    </xf>
    <xf numFmtId="180" fontId="23" fillId="0" borderId="1" xfId="9" applyNumberFormat="1" applyFont="1" applyFill="1" applyBorder="1" applyAlignment="1">
      <alignment horizontal="center" vertical="center"/>
    </xf>
    <xf numFmtId="180" fontId="4" fillId="0" borderId="1" xfId="9" applyNumberFormat="1" applyFont="1" applyFill="1" applyBorder="1" applyAlignment="1">
      <alignment horizontal="center" vertical="center"/>
    </xf>
    <xf numFmtId="180" fontId="4" fillId="0" borderId="1" xfId="2865" applyNumberFormat="1" applyFont="1" applyFill="1" applyBorder="1" applyAlignment="1">
      <alignment horizontal="center" vertical="center" wrapText="1"/>
    </xf>
    <xf numFmtId="180" fontId="19" fillId="0" borderId="0" xfId="0" applyNumberFormat="1" applyFont="1" applyAlignment="1">
      <alignment horizontal="center" vertical="center"/>
    </xf>
    <xf numFmtId="170" fontId="4" fillId="0" borderId="1" xfId="3" applyFont="1" applyFill="1" applyBorder="1" applyAlignment="1">
      <alignment horizontal="center" vertical="center"/>
    </xf>
    <xf numFmtId="181" fontId="23" fillId="0" borderId="1" xfId="9" applyNumberFormat="1" applyFont="1" applyFill="1" applyBorder="1" applyAlignment="1">
      <alignment horizontal="center" vertical="center"/>
    </xf>
    <xf numFmtId="180" fontId="59" fillId="0" borderId="0" xfId="0" applyNumberFormat="1" applyFont="1" applyAlignment="1">
      <alignment horizontal="center" vertical="center"/>
    </xf>
    <xf numFmtId="42" fontId="4" fillId="0" borderId="1" xfId="2865" applyFont="1" applyFill="1" applyBorder="1" applyAlignment="1">
      <alignment horizontal="center" vertical="center"/>
    </xf>
    <xf numFmtId="42" fontId="31" fillId="0" borderId="1" xfId="2865" applyFont="1" applyFill="1" applyBorder="1" applyAlignment="1">
      <alignment horizontal="center" vertical="center" wrapText="1"/>
    </xf>
    <xf numFmtId="4" fontId="4" fillId="0" borderId="1" xfId="21" applyNumberFormat="1" applyFont="1" applyFill="1" applyBorder="1" applyAlignment="1">
      <alignment horizontal="center" vertical="center" wrapText="1"/>
    </xf>
    <xf numFmtId="0" fontId="60" fillId="0" borderId="0" xfId="16" applyFont="1" applyAlignment="1">
      <alignment vertical="center"/>
    </xf>
    <xf numFmtId="9" fontId="4" fillId="16" borderId="1" xfId="0" applyNumberFormat="1" applyFont="1" applyFill="1" applyBorder="1" applyAlignment="1">
      <alignment horizontal="center" vertical="center"/>
    </xf>
    <xf numFmtId="173" fontId="11" fillId="17" borderId="1" xfId="0" applyNumberFormat="1" applyFont="1" applyFill="1" applyBorder="1" applyAlignment="1">
      <alignment vertical="center"/>
    </xf>
    <xf numFmtId="173" fontId="62" fillId="16" borderId="1" xfId="0" applyNumberFormat="1" applyFont="1" applyFill="1" applyBorder="1" applyAlignment="1">
      <alignment vertical="center"/>
    </xf>
    <xf numFmtId="173" fontId="62" fillId="17" borderId="1" xfId="0" applyNumberFormat="1" applyFont="1" applyFill="1" applyBorder="1" applyAlignment="1">
      <alignment vertical="center"/>
    </xf>
    <xf numFmtId="10" fontId="4" fillId="16" borderId="1" xfId="0" applyNumberFormat="1" applyFont="1" applyFill="1" applyBorder="1" applyAlignment="1">
      <alignment horizontal="center" vertical="center"/>
    </xf>
    <xf numFmtId="173" fontId="4" fillId="16" borderId="1" xfId="0" applyNumberFormat="1" applyFont="1" applyFill="1" applyBorder="1" applyAlignment="1">
      <alignment horizontal="center" vertical="center"/>
    </xf>
    <xf numFmtId="10" fontId="2" fillId="16" borderId="1" xfId="16" applyNumberFormat="1" applyFont="1" applyFill="1" applyBorder="1" applyAlignment="1">
      <alignment horizontal="center" vertical="center" wrapText="1"/>
    </xf>
    <xf numFmtId="0" fontId="2" fillId="16" borderId="1" xfId="16" applyFont="1" applyFill="1" applyBorder="1" applyAlignment="1">
      <alignment horizontal="center" vertical="center" wrapText="1"/>
    </xf>
    <xf numFmtId="180" fontId="0" fillId="0" borderId="0" xfId="0" applyNumberFormat="1" applyAlignment="1">
      <alignment horizontal="center"/>
    </xf>
    <xf numFmtId="9" fontId="51" fillId="0" borderId="1" xfId="21" applyFont="1" applyFill="1" applyBorder="1" applyAlignment="1">
      <alignment horizontal="center" vertical="center"/>
    </xf>
    <xf numFmtId="9" fontId="50" fillId="0" borderId="1" xfId="21" applyFont="1" applyFill="1" applyBorder="1" applyAlignment="1">
      <alignment horizontal="center" vertical="center" wrapText="1"/>
    </xf>
    <xf numFmtId="9" fontId="50" fillId="0" borderId="1" xfId="21" applyFont="1" applyFill="1" applyBorder="1" applyAlignment="1">
      <alignment horizontal="center" vertical="center"/>
    </xf>
    <xf numFmtId="42" fontId="5" fillId="3" borderId="0" xfId="0" applyNumberFormat="1" applyFont="1" applyFill="1" applyAlignment="1">
      <alignment horizontal="center"/>
    </xf>
    <xf numFmtId="0" fontId="46" fillId="17" borderId="1" xfId="0" applyFont="1" applyFill="1" applyBorder="1" applyAlignment="1">
      <alignment horizontal="center" vertical="center"/>
    </xf>
    <xf numFmtId="185" fontId="46" fillId="18" borderId="1" xfId="5" applyNumberFormat="1" applyFont="1" applyFill="1" applyBorder="1" applyAlignment="1">
      <alignment horizontal="center" vertical="center" wrapText="1"/>
    </xf>
    <xf numFmtId="164" fontId="31" fillId="0" borderId="1" xfId="2868" applyFont="1" applyBorder="1" applyAlignment="1">
      <alignment horizontal="center" vertical="center"/>
    </xf>
    <xf numFmtId="0" fontId="31" fillId="0" borderId="0" xfId="0" applyFont="1" applyAlignment="1">
      <alignment horizontal="center" vertical="center"/>
    </xf>
    <xf numFmtId="9" fontId="31" fillId="0" borderId="1" xfId="24" applyFont="1" applyBorder="1" applyAlignment="1">
      <alignment horizontal="center" vertical="center"/>
    </xf>
    <xf numFmtId="0" fontId="31" fillId="0" borderId="0" xfId="0" applyFont="1" applyAlignment="1">
      <alignment horizontal="center" vertical="center" wrapText="1"/>
    </xf>
    <xf numFmtId="4" fontId="31" fillId="0" borderId="1" xfId="0" applyNumberFormat="1" applyFont="1" applyBorder="1" applyAlignment="1">
      <alignment horizontal="center" vertical="center" wrapText="1"/>
    </xf>
    <xf numFmtId="3" fontId="31" fillId="0" borderId="1" xfId="0" applyNumberFormat="1" applyFont="1" applyBorder="1" applyAlignment="1">
      <alignment horizontal="center" vertical="center" wrapText="1"/>
    </xf>
    <xf numFmtId="0" fontId="31" fillId="0" borderId="1" xfId="0" applyFont="1" applyBorder="1" applyAlignment="1">
      <alignment wrapText="1"/>
    </xf>
    <xf numFmtId="0" fontId="31" fillId="0" borderId="0" xfId="0" applyFont="1"/>
    <xf numFmtId="1" fontId="31" fillId="0" borderId="1" xfId="0" applyNumberFormat="1" applyFont="1" applyBorder="1" applyAlignment="1">
      <alignment horizontal="center" vertical="center" wrapText="1"/>
    </xf>
    <xf numFmtId="0" fontId="31" fillId="0" borderId="1" xfId="0" applyFont="1" applyBorder="1" applyAlignment="1">
      <alignment horizontal="left" wrapText="1"/>
    </xf>
    <xf numFmtId="0" fontId="31" fillId="0" borderId="37" xfId="0" applyFont="1" applyBorder="1" applyAlignment="1">
      <alignment horizontal="left" wrapText="1"/>
    </xf>
    <xf numFmtId="0" fontId="31" fillId="0" borderId="1" xfId="0" applyFont="1" applyBorder="1" applyAlignment="1">
      <alignment horizontal="left" vertical="top" wrapText="1"/>
    </xf>
    <xf numFmtId="9" fontId="31" fillId="0" borderId="7" xfId="24" applyFont="1" applyBorder="1" applyAlignment="1">
      <alignment horizontal="center" vertical="center"/>
    </xf>
    <xf numFmtId="4" fontId="31" fillId="0" borderId="1" xfId="0" applyNumberFormat="1" applyFont="1" applyBorder="1" applyAlignment="1">
      <alignment horizontal="center" vertical="center"/>
    </xf>
    <xf numFmtId="3" fontId="31" fillId="0" borderId="1" xfId="0" applyNumberFormat="1" applyFont="1" applyBorder="1" applyAlignment="1">
      <alignment horizontal="center" vertical="center"/>
    </xf>
    <xf numFmtId="9" fontId="31" fillId="0" borderId="1" xfId="0" applyNumberFormat="1" applyFont="1" applyBorder="1" applyAlignment="1">
      <alignment horizontal="center" vertical="center"/>
    </xf>
    <xf numFmtId="0" fontId="9" fillId="0" borderId="0" xfId="0" applyFont="1" applyAlignment="1">
      <alignment horizontal="center" vertical="center" wrapText="1"/>
    </xf>
    <xf numFmtId="3" fontId="9" fillId="0" borderId="0" xfId="0" applyNumberFormat="1" applyFont="1" applyAlignment="1">
      <alignment horizontal="left" vertical="center" wrapText="1"/>
    </xf>
    <xf numFmtId="42" fontId="31" fillId="0" borderId="0" xfId="2865" applyFont="1" applyAlignment="1">
      <alignment horizontal="center" vertical="center"/>
    </xf>
    <xf numFmtId="42" fontId="46" fillId="18" borderId="1" xfId="2865" applyFont="1" applyFill="1" applyBorder="1" applyAlignment="1">
      <alignment horizontal="center" vertical="center" wrapText="1"/>
    </xf>
    <xf numFmtId="42" fontId="31" fillId="0" borderId="1" xfId="2865" applyFont="1" applyBorder="1" applyAlignment="1">
      <alignment horizontal="center" vertical="center" wrapText="1"/>
    </xf>
    <xf numFmtId="42" fontId="31" fillId="0" borderId="1" xfId="2865" applyFont="1" applyBorder="1" applyAlignment="1">
      <alignment horizontal="center" vertical="center"/>
    </xf>
    <xf numFmtId="42" fontId="31" fillId="0" borderId="0" xfId="2865" applyFont="1" applyBorder="1" applyAlignment="1">
      <alignment horizontal="center" vertical="center"/>
    </xf>
    <xf numFmtId="180" fontId="5" fillId="0" borderId="0" xfId="2865" applyNumberFormat="1" applyFont="1" applyFill="1" applyAlignment="1">
      <alignment horizontal="center"/>
    </xf>
    <xf numFmtId="0" fontId="31" fillId="0" borderId="1" xfId="0" applyFont="1" applyBorder="1" applyAlignment="1">
      <alignment vertical="center" wrapText="1"/>
    </xf>
    <xf numFmtId="0" fontId="0" fillId="3" borderId="0" xfId="0" applyFill="1" applyAlignment="1">
      <alignment vertical="top"/>
    </xf>
    <xf numFmtId="0" fontId="0" fillId="0" borderId="0" xfId="0" applyAlignment="1">
      <alignment vertical="top"/>
    </xf>
    <xf numFmtId="10" fontId="5" fillId="0" borderId="0" xfId="21" applyNumberFormat="1" applyFont="1" applyFill="1" applyAlignment="1">
      <alignment horizontal="center"/>
    </xf>
    <xf numFmtId="10" fontId="31" fillId="17" borderId="1" xfId="16" applyNumberFormat="1" applyFont="1" applyFill="1" applyBorder="1" applyAlignment="1">
      <alignment horizontal="center" vertical="center" wrapText="1"/>
    </xf>
    <xf numFmtId="0" fontId="20" fillId="4" borderId="1" xfId="0" applyFont="1" applyFill="1" applyBorder="1" applyAlignment="1">
      <alignment horizontal="center" vertical="center"/>
    </xf>
    <xf numFmtId="0" fontId="0" fillId="0" borderId="1" xfId="0" applyBorder="1" applyAlignment="1">
      <alignment horizontal="center" vertical="center"/>
    </xf>
    <xf numFmtId="10" fontId="4" fillId="17" borderId="1" xfId="0" applyNumberFormat="1" applyFont="1" applyFill="1" applyBorder="1" applyAlignment="1">
      <alignment horizontal="center" vertical="center"/>
    </xf>
    <xf numFmtId="173" fontId="4" fillId="17" borderId="1" xfId="0" applyNumberFormat="1" applyFont="1" applyFill="1" applyBorder="1" applyAlignment="1">
      <alignment horizontal="center" vertical="center"/>
    </xf>
    <xf numFmtId="180" fontId="23" fillId="22" borderId="1" xfId="9" applyNumberFormat="1" applyFont="1" applyFill="1" applyBorder="1" applyAlignment="1">
      <alignment horizontal="center" vertical="center"/>
    </xf>
    <xf numFmtId="0" fontId="19" fillId="3" borderId="0" xfId="0" applyFont="1" applyFill="1"/>
    <xf numFmtId="0" fontId="19" fillId="0" borderId="0" xfId="0" applyFont="1"/>
    <xf numFmtId="9" fontId="61" fillId="0" borderId="1" xfId="21" applyFont="1" applyFill="1" applyBorder="1" applyAlignment="1">
      <alignment horizontal="center" vertical="center" wrapText="1"/>
    </xf>
    <xf numFmtId="164" fontId="31" fillId="0" borderId="1" xfId="2868" applyFont="1" applyFill="1" applyBorder="1" applyAlignment="1">
      <alignment horizontal="center" vertical="center"/>
    </xf>
    <xf numFmtId="9" fontId="31" fillId="0" borderId="1" xfId="24" applyFont="1" applyFill="1" applyBorder="1" applyAlignment="1">
      <alignment horizontal="center" vertical="center"/>
    </xf>
    <xf numFmtId="182" fontId="4" fillId="0" borderId="1" xfId="2865" applyNumberFormat="1" applyFont="1" applyFill="1" applyBorder="1" applyAlignment="1">
      <alignment horizontal="center" vertical="center" wrapText="1"/>
    </xf>
    <xf numFmtId="2" fontId="4" fillId="0" borderId="1" xfId="2865" applyNumberFormat="1" applyFont="1" applyFill="1" applyBorder="1" applyAlignment="1">
      <alignment horizontal="center" vertical="center" wrapText="1"/>
    </xf>
    <xf numFmtId="9" fontId="5" fillId="0" borderId="0" xfId="21" applyFont="1" applyFill="1" applyAlignment="1">
      <alignment horizontal="center"/>
    </xf>
    <xf numFmtId="3" fontId="0" fillId="0" borderId="0" xfId="0" applyNumberFormat="1" applyAlignment="1">
      <alignment horizontal="center"/>
    </xf>
    <xf numFmtId="1" fontId="4" fillId="0" borderId="1" xfId="2869" applyNumberFormat="1" applyFont="1" applyFill="1" applyBorder="1" applyAlignment="1">
      <alignment horizontal="center" vertical="center" wrapText="1"/>
    </xf>
    <xf numFmtId="9" fontId="5" fillId="0" borderId="0" xfId="21" applyFont="1" applyAlignment="1">
      <alignment horizontal="center"/>
    </xf>
    <xf numFmtId="1" fontId="0" fillId="0" borderId="0" xfId="0" applyNumberFormat="1" applyAlignment="1">
      <alignment horizontal="center"/>
    </xf>
    <xf numFmtId="0" fontId="4" fillId="0" borderId="0" xfId="0" applyFont="1" applyAlignment="1">
      <alignment horizontal="center" vertical="center"/>
    </xf>
    <xf numFmtId="0" fontId="4" fillId="0" borderId="0" xfId="0" applyFont="1" applyAlignment="1">
      <alignment horizontal="center" vertical="center" wrapText="1"/>
    </xf>
    <xf numFmtId="4" fontId="4" fillId="0" borderId="0" xfId="24" applyNumberFormat="1" applyFont="1" applyFill="1" applyBorder="1" applyAlignment="1">
      <alignment horizontal="center" vertical="center"/>
    </xf>
    <xf numFmtId="9" fontId="4" fillId="0" borderId="0" xfId="24" applyFont="1" applyFill="1" applyBorder="1" applyAlignment="1">
      <alignment horizontal="center" vertical="center"/>
    </xf>
    <xf numFmtId="2" fontId="4" fillId="0" borderId="0" xfId="24" applyNumberFormat="1" applyFont="1" applyFill="1" applyBorder="1" applyAlignment="1">
      <alignment horizontal="center" vertical="center"/>
    </xf>
    <xf numFmtId="2" fontId="4" fillId="0" borderId="0" xfId="5" applyNumberFormat="1" applyFont="1" applyFill="1" applyBorder="1" applyAlignment="1">
      <alignment horizontal="center" vertical="center"/>
    </xf>
    <xf numFmtId="184" fontId="23" fillId="0" borderId="0" xfId="0" applyNumberFormat="1" applyFont="1" applyAlignment="1">
      <alignment horizontal="center" vertical="center"/>
    </xf>
    <xf numFmtId="0" fontId="4" fillId="0" borderId="0" xfId="0" applyFont="1" applyAlignment="1">
      <alignment horizontal="left" vertical="top" wrapText="1"/>
    </xf>
    <xf numFmtId="0" fontId="64" fillId="0" borderId="0" xfId="2867" applyFont="1" applyFill="1" applyBorder="1" applyAlignment="1">
      <alignment horizontal="center" vertical="center" wrapText="1"/>
    </xf>
    <xf numFmtId="0" fontId="2" fillId="16" borderId="4" xfId="16" applyFont="1" applyFill="1" applyBorder="1" applyAlignment="1">
      <alignment horizontal="center" vertical="center" wrapText="1"/>
    </xf>
    <xf numFmtId="3" fontId="3" fillId="0" borderId="1" xfId="24" applyNumberFormat="1" applyFont="1" applyFill="1" applyBorder="1" applyAlignment="1">
      <alignment horizontal="center" vertical="center"/>
    </xf>
    <xf numFmtId="1" fontId="3" fillId="0" borderId="1" xfId="5" applyNumberFormat="1" applyFont="1" applyFill="1" applyBorder="1" applyAlignment="1">
      <alignment horizontal="center" vertical="center"/>
    </xf>
    <xf numFmtId="9" fontId="3" fillId="0" borderId="1" xfId="24" applyFont="1" applyFill="1" applyBorder="1" applyAlignment="1">
      <alignment horizontal="center" vertical="center"/>
    </xf>
    <xf numFmtId="4" fontId="3" fillId="0" borderId="1" xfId="24" applyNumberFormat="1" applyFont="1" applyFill="1" applyBorder="1" applyAlignment="1">
      <alignment horizontal="center" vertical="center"/>
    </xf>
    <xf numFmtId="2" fontId="3" fillId="0" borderId="1" xfId="24" applyNumberFormat="1" applyFont="1" applyFill="1" applyBorder="1" applyAlignment="1">
      <alignment horizontal="center" vertical="center"/>
    </xf>
    <xf numFmtId="2" fontId="3" fillId="0" borderId="1" xfId="5" applyNumberFormat="1" applyFont="1" applyFill="1" applyBorder="1" applyAlignment="1">
      <alignment horizontal="center" vertical="center"/>
    </xf>
    <xf numFmtId="183" fontId="4" fillId="0" borderId="1" xfId="24" applyNumberFormat="1" applyFont="1" applyFill="1" applyBorder="1" applyAlignment="1">
      <alignment horizontal="center" vertical="center" wrapText="1"/>
    </xf>
    <xf numFmtId="9" fontId="4" fillId="0" borderId="5" xfId="24" applyFont="1" applyFill="1" applyBorder="1" applyAlignment="1">
      <alignment horizontal="center" vertical="center" wrapText="1"/>
    </xf>
    <xf numFmtId="41" fontId="4" fillId="0" borderId="1" xfId="2869" applyFont="1" applyFill="1" applyBorder="1" applyAlignment="1">
      <alignment horizontal="center" vertical="center" wrapText="1"/>
    </xf>
    <xf numFmtId="9" fontId="4" fillId="0" borderId="2" xfId="24" applyFont="1" applyFill="1" applyBorder="1" applyAlignment="1">
      <alignment horizontal="center" vertical="center" wrapText="1"/>
    </xf>
    <xf numFmtId="4" fontId="4" fillId="0" borderId="2" xfId="24" applyNumberFormat="1" applyFont="1" applyFill="1" applyBorder="1" applyAlignment="1">
      <alignment horizontal="center" vertical="center" wrapText="1"/>
    </xf>
    <xf numFmtId="9" fontId="4" fillId="0" borderId="2" xfId="21" applyFont="1" applyFill="1" applyBorder="1" applyAlignment="1">
      <alignment horizontal="center" vertical="center" wrapText="1"/>
    </xf>
    <xf numFmtId="4" fontId="4" fillId="0" borderId="2" xfId="10" applyNumberFormat="1" applyFont="1" applyFill="1" applyBorder="1" applyAlignment="1">
      <alignment horizontal="center" vertical="center" wrapText="1"/>
    </xf>
    <xf numFmtId="170" fontId="4" fillId="0" borderId="2" xfId="3" applyFont="1" applyFill="1" applyBorder="1" applyAlignment="1">
      <alignment horizontal="center" vertical="center"/>
    </xf>
    <xf numFmtId="1" fontId="4" fillId="0" borderId="2" xfId="2865" applyNumberFormat="1" applyFont="1" applyFill="1" applyBorder="1" applyAlignment="1">
      <alignment horizontal="center" vertical="center" wrapText="1"/>
    </xf>
    <xf numFmtId="2" fontId="4" fillId="0" borderId="5" xfId="2865" applyNumberFormat="1" applyFont="1" applyFill="1" applyBorder="1" applyAlignment="1">
      <alignment horizontal="center" vertical="center" wrapText="1"/>
    </xf>
    <xf numFmtId="1" fontId="4" fillId="0" borderId="5" xfId="2865" applyNumberFormat="1" applyFont="1" applyFill="1" applyBorder="1" applyAlignment="1">
      <alignment horizontal="center" vertical="center" wrapText="1"/>
    </xf>
    <xf numFmtId="9" fontId="31" fillId="0" borderId="5" xfId="21" applyFont="1" applyFill="1" applyBorder="1" applyAlignment="1">
      <alignment horizontal="center" vertical="center"/>
    </xf>
    <xf numFmtId="42" fontId="23" fillId="4" borderId="48" xfId="2865" applyFont="1" applyFill="1" applyBorder="1" applyAlignment="1">
      <alignment horizontal="center" vertical="center"/>
    </xf>
    <xf numFmtId="42" fontId="23" fillId="4" borderId="33" xfId="2865" applyFont="1" applyFill="1" applyBorder="1" applyAlignment="1">
      <alignment horizontal="center" vertical="center"/>
    </xf>
    <xf numFmtId="42" fontId="4" fillId="4" borderId="33" xfId="2865" applyFont="1" applyFill="1" applyBorder="1" applyAlignment="1">
      <alignment horizontal="center" vertical="center" wrapText="1"/>
    </xf>
    <xf numFmtId="181" fontId="23" fillId="4" borderId="33" xfId="9" applyNumberFormat="1" applyFont="1" applyFill="1" applyBorder="1" applyAlignment="1">
      <alignment horizontal="center" vertical="center"/>
    </xf>
    <xf numFmtId="3" fontId="4" fillId="4" borderId="33" xfId="0" applyNumberFormat="1" applyFont="1" applyFill="1" applyBorder="1" applyAlignment="1">
      <alignment horizontal="center" vertical="center" wrapText="1"/>
    </xf>
    <xf numFmtId="180" fontId="23" fillId="4" borderId="33" xfId="9" applyNumberFormat="1" applyFont="1" applyFill="1" applyBorder="1" applyAlignment="1">
      <alignment horizontal="center" vertical="center"/>
    </xf>
    <xf numFmtId="180" fontId="4" fillId="4" borderId="33" xfId="9" applyNumberFormat="1" applyFont="1" applyFill="1" applyBorder="1" applyAlignment="1">
      <alignment horizontal="center" vertical="center"/>
    </xf>
    <xf numFmtId="183" fontId="4" fillId="0" borderId="2" xfId="21" applyNumberFormat="1" applyFont="1" applyFill="1" applyBorder="1" applyAlignment="1">
      <alignment horizontal="center" vertical="center" wrapText="1"/>
    </xf>
    <xf numFmtId="183" fontId="4" fillId="0" borderId="2" xfId="24" applyNumberFormat="1" applyFont="1" applyFill="1" applyBorder="1" applyAlignment="1">
      <alignment horizontal="center" vertical="center" wrapText="1"/>
    </xf>
    <xf numFmtId="2" fontId="4" fillId="0" borderId="2" xfId="24" applyNumberFormat="1" applyFont="1" applyFill="1" applyBorder="1" applyAlignment="1">
      <alignment horizontal="center" vertical="center" wrapText="1"/>
    </xf>
    <xf numFmtId="2" fontId="4" fillId="0" borderId="5" xfId="21" applyNumberFormat="1" applyFont="1" applyFill="1" applyBorder="1" applyAlignment="1">
      <alignment horizontal="center" vertical="center" wrapText="1"/>
    </xf>
    <xf numFmtId="1" fontId="50" fillId="0" borderId="5" xfId="2865" applyNumberFormat="1" applyFont="1" applyFill="1" applyBorder="1" applyAlignment="1">
      <alignment horizontal="center" vertical="center" wrapText="1"/>
    </xf>
    <xf numFmtId="42" fontId="31" fillId="4" borderId="33" xfId="2865" applyFont="1" applyFill="1" applyBorder="1" applyAlignment="1">
      <alignment horizontal="center" vertical="center" wrapText="1"/>
    </xf>
    <xf numFmtId="42" fontId="4" fillId="4" borderId="33" xfId="2865" applyFont="1" applyFill="1" applyBorder="1" applyAlignment="1">
      <alignment horizontal="center" vertical="center"/>
    </xf>
    <xf numFmtId="4" fontId="4" fillId="0" borderId="2" xfId="21" applyNumberFormat="1" applyFont="1" applyFill="1" applyBorder="1" applyAlignment="1">
      <alignment horizontal="center" vertical="center" wrapText="1"/>
    </xf>
    <xf numFmtId="4" fontId="50" fillId="0" borderId="2" xfId="10" applyNumberFormat="1" applyFont="1" applyFill="1" applyBorder="1" applyAlignment="1">
      <alignment horizontal="center" vertical="center" wrapText="1"/>
    </xf>
    <xf numFmtId="170" fontId="50" fillId="0" borderId="2" xfId="3" applyFont="1" applyFill="1" applyBorder="1" applyAlignment="1">
      <alignment horizontal="center" vertical="center"/>
    </xf>
    <xf numFmtId="1" fontId="50" fillId="0" borderId="2" xfId="2865" applyNumberFormat="1" applyFont="1" applyFill="1" applyBorder="1" applyAlignment="1">
      <alignment horizontal="center" vertical="center" wrapText="1"/>
    </xf>
    <xf numFmtId="3" fontId="4" fillId="0" borderId="5" xfId="21" applyNumberFormat="1" applyFont="1" applyFill="1" applyBorder="1" applyAlignment="1">
      <alignment horizontal="center" vertical="center" wrapText="1"/>
    </xf>
    <xf numFmtId="3" fontId="4" fillId="0" borderId="5" xfId="2865" applyNumberFormat="1" applyFont="1" applyFill="1" applyBorder="1" applyAlignment="1">
      <alignment horizontal="center" vertical="center" wrapText="1"/>
    </xf>
    <xf numFmtId="181" fontId="51" fillId="4" borderId="33" xfId="9" applyNumberFormat="1" applyFont="1" applyFill="1" applyBorder="1" applyAlignment="1">
      <alignment horizontal="center" vertical="center"/>
    </xf>
    <xf numFmtId="3" fontId="50" fillId="4" borderId="33" xfId="0" applyNumberFormat="1" applyFont="1" applyFill="1" applyBorder="1" applyAlignment="1">
      <alignment horizontal="center" vertical="center" wrapText="1"/>
    </xf>
    <xf numFmtId="180" fontId="51" fillId="4" borderId="33" xfId="9" applyNumberFormat="1" applyFont="1" applyFill="1" applyBorder="1" applyAlignment="1">
      <alignment horizontal="center" vertical="center"/>
    </xf>
    <xf numFmtId="180" fontId="50" fillId="4" borderId="33" xfId="9" applyNumberFormat="1" applyFont="1" applyFill="1" applyBorder="1" applyAlignment="1">
      <alignment horizontal="center" vertical="center"/>
    </xf>
    <xf numFmtId="9" fontId="4" fillId="0" borderId="5" xfId="21" applyFont="1" applyFill="1" applyBorder="1" applyAlignment="1">
      <alignment horizontal="center" vertical="center" wrapText="1"/>
    </xf>
    <xf numFmtId="9" fontId="15" fillId="0" borderId="5" xfId="21" applyFont="1" applyFill="1" applyBorder="1" applyAlignment="1">
      <alignment horizontal="center" vertical="center" wrapText="1"/>
    </xf>
    <xf numFmtId="9" fontId="50" fillId="0" borderId="5" xfId="21" applyFont="1" applyFill="1" applyBorder="1" applyAlignment="1">
      <alignment horizontal="center" vertical="center" wrapText="1"/>
    </xf>
    <xf numFmtId="9" fontId="71" fillId="0" borderId="5" xfId="21" applyFont="1" applyFill="1" applyBorder="1" applyAlignment="1">
      <alignment horizontal="center" vertical="center" wrapText="1"/>
    </xf>
    <xf numFmtId="3" fontId="15" fillId="0" borderId="2" xfId="10" applyNumberFormat="1" applyFont="1" applyFill="1" applyBorder="1" applyAlignment="1">
      <alignment horizontal="center" vertical="center" wrapText="1"/>
    </xf>
    <xf numFmtId="182" fontId="50" fillId="0" borderId="2" xfId="10" applyNumberFormat="1" applyFont="1" applyFill="1" applyBorder="1" applyAlignment="1">
      <alignment horizontal="center" vertical="center" wrapText="1"/>
    </xf>
    <xf numFmtId="3" fontId="50" fillId="0" borderId="2" xfId="10" applyNumberFormat="1" applyFont="1" applyFill="1" applyBorder="1" applyAlignment="1">
      <alignment horizontal="center" vertical="center" wrapText="1"/>
    </xf>
    <xf numFmtId="181" fontId="16" fillId="4" borderId="33" xfId="9" applyNumberFormat="1" applyFont="1" applyFill="1" applyBorder="1" applyAlignment="1">
      <alignment horizontal="center" vertical="center"/>
    </xf>
    <xf numFmtId="173" fontId="4" fillId="0" borderId="5" xfId="21" applyNumberFormat="1" applyFont="1" applyFill="1" applyBorder="1" applyAlignment="1">
      <alignment horizontal="center" vertical="center" wrapText="1"/>
    </xf>
    <xf numFmtId="9" fontId="51" fillId="0" borderId="5" xfId="21" applyFont="1" applyFill="1" applyBorder="1" applyAlignment="1">
      <alignment horizontal="center" vertical="center"/>
    </xf>
    <xf numFmtId="9" fontId="51" fillId="0" borderId="2" xfId="21" applyFont="1" applyFill="1" applyBorder="1" applyAlignment="1">
      <alignment horizontal="center" vertical="center"/>
    </xf>
    <xf numFmtId="9" fontId="50" fillId="0" borderId="2" xfId="21" applyFont="1" applyFill="1" applyBorder="1" applyAlignment="1">
      <alignment horizontal="center" vertical="center" wrapText="1"/>
    </xf>
    <xf numFmtId="9" fontId="50" fillId="0" borderId="2" xfId="21" applyFont="1" applyFill="1" applyBorder="1" applyAlignment="1">
      <alignment horizontal="center" vertical="center"/>
    </xf>
    <xf numFmtId="180" fontId="4" fillId="0" borderId="5" xfId="10" applyNumberFormat="1" applyFont="1" applyFill="1" applyBorder="1" applyAlignment="1">
      <alignment horizontal="center" vertical="center" wrapText="1"/>
    </xf>
    <xf numFmtId="180" fontId="4" fillId="0" borderId="43" xfId="10" applyNumberFormat="1" applyFont="1" applyFill="1" applyBorder="1" applyAlignment="1">
      <alignment horizontal="center" vertical="center" wrapText="1"/>
    </xf>
    <xf numFmtId="180" fontId="23" fillId="0" borderId="7" xfId="9" applyNumberFormat="1" applyFont="1" applyFill="1" applyBorder="1" applyAlignment="1">
      <alignment horizontal="center" vertical="center"/>
    </xf>
    <xf numFmtId="180" fontId="2" fillId="23" borderId="5" xfId="10" applyNumberFormat="1" applyFont="1" applyFill="1" applyBorder="1" applyAlignment="1">
      <alignment horizontal="center" vertical="center" wrapText="1"/>
    </xf>
    <xf numFmtId="180" fontId="4" fillId="22" borderId="13" xfId="10" applyNumberFormat="1" applyFont="1" applyFill="1" applyBorder="1" applyAlignment="1">
      <alignment horizontal="center" vertical="center" wrapText="1"/>
    </xf>
    <xf numFmtId="180" fontId="4" fillId="22" borderId="3" xfId="10" applyNumberFormat="1" applyFont="1" applyFill="1" applyBorder="1" applyAlignment="1">
      <alignment horizontal="center" vertical="center" wrapText="1"/>
    </xf>
    <xf numFmtId="42" fontId="23" fillId="22" borderId="3" xfId="2865" applyFont="1" applyFill="1" applyBorder="1" applyAlignment="1">
      <alignment horizontal="center" vertical="center"/>
    </xf>
    <xf numFmtId="180" fontId="23" fillId="22" borderId="3" xfId="9" applyNumberFormat="1" applyFont="1" applyFill="1" applyBorder="1" applyAlignment="1">
      <alignment horizontal="center" vertical="center"/>
    </xf>
    <xf numFmtId="180" fontId="4" fillId="22" borderId="10" xfId="10" applyNumberFormat="1" applyFont="1" applyFill="1" applyBorder="1" applyAlignment="1">
      <alignment horizontal="center" vertical="center" wrapText="1"/>
    </xf>
    <xf numFmtId="180" fontId="23" fillId="22" borderId="14" xfId="10" applyNumberFormat="1" applyFont="1" applyFill="1" applyBorder="1" applyAlignment="1">
      <alignment horizontal="center" vertical="center"/>
    </xf>
    <xf numFmtId="42" fontId="23" fillId="22" borderId="1" xfId="2865" applyFont="1" applyFill="1" applyBorder="1" applyAlignment="1">
      <alignment horizontal="center" vertical="center"/>
    </xf>
    <xf numFmtId="180" fontId="23" fillId="22" borderId="11" xfId="9" applyNumberFormat="1" applyFont="1" applyFill="1" applyBorder="1" applyAlignment="1">
      <alignment horizontal="center" vertical="center"/>
    </xf>
    <xf numFmtId="180" fontId="4" fillId="22" borderId="38" xfId="0" applyNumberFormat="1" applyFont="1" applyFill="1" applyBorder="1" applyAlignment="1">
      <alignment horizontal="center" vertical="center" wrapText="1"/>
    </xf>
    <xf numFmtId="180" fontId="4" fillId="22" borderId="4" xfId="0" applyNumberFormat="1" applyFont="1" applyFill="1" applyBorder="1" applyAlignment="1">
      <alignment horizontal="center" vertical="center" wrapText="1"/>
    </xf>
    <xf numFmtId="180" fontId="4" fillId="22" borderId="12" xfId="0" applyNumberFormat="1" applyFont="1" applyFill="1" applyBorder="1" applyAlignment="1">
      <alignment horizontal="center" vertical="center" wrapText="1"/>
    </xf>
    <xf numFmtId="3" fontId="4" fillId="0" borderId="2" xfId="24" applyNumberFormat="1" applyFont="1" applyFill="1" applyBorder="1" applyAlignment="1">
      <alignment horizontal="center" vertical="center" wrapText="1"/>
    </xf>
    <xf numFmtId="3" fontId="4" fillId="0" borderId="5" xfId="24" applyNumberFormat="1" applyFont="1" applyFill="1" applyBorder="1" applyAlignment="1">
      <alignment horizontal="center" vertical="center" wrapText="1"/>
    </xf>
    <xf numFmtId="0" fontId="74" fillId="0" borderId="0" xfId="0" applyFont="1" applyAlignment="1">
      <alignment horizontal="center" vertical="center"/>
    </xf>
    <xf numFmtId="180" fontId="23" fillId="22" borderId="3" xfId="9" applyNumberFormat="1" applyFont="1" applyFill="1" applyBorder="1" applyAlignment="1" applyProtection="1">
      <alignment horizontal="center" vertical="center"/>
    </xf>
    <xf numFmtId="41" fontId="5" fillId="0" borderId="0" xfId="2869" applyFont="1" applyAlignment="1">
      <alignment horizontal="center"/>
    </xf>
    <xf numFmtId="189" fontId="5" fillId="0" borderId="0" xfId="2869" applyNumberFormat="1" applyFont="1" applyAlignment="1">
      <alignment horizontal="center"/>
    </xf>
    <xf numFmtId="9" fontId="4" fillId="0" borderId="1" xfId="2869" applyNumberFormat="1" applyFont="1" applyFill="1" applyBorder="1" applyAlignment="1">
      <alignment horizontal="center" vertical="center" wrapText="1"/>
    </xf>
    <xf numFmtId="42" fontId="23" fillId="0" borderId="1" xfId="2865" applyFont="1" applyFill="1" applyBorder="1" applyAlignment="1" applyProtection="1">
      <alignment horizontal="center" vertical="center"/>
      <protection locked="0"/>
    </xf>
    <xf numFmtId="42" fontId="4" fillId="0" borderId="1" xfId="2865" applyFont="1" applyFill="1" applyBorder="1" applyAlignment="1" applyProtection="1">
      <alignment horizontal="center" vertical="center" wrapText="1"/>
      <protection locked="0"/>
    </xf>
    <xf numFmtId="42" fontId="4" fillId="0" borderId="1" xfId="2865" applyFont="1" applyFill="1" applyBorder="1" applyAlignment="1" applyProtection="1">
      <alignment horizontal="center" vertical="center"/>
      <protection locked="0"/>
    </xf>
    <xf numFmtId="9" fontId="4" fillId="0" borderId="1" xfId="24" applyFont="1" applyFill="1" applyBorder="1" applyAlignment="1" applyProtection="1">
      <alignment horizontal="center" vertical="center" wrapText="1"/>
      <protection locked="0"/>
    </xf>
    <xf numFmtId="0" fontId="11" fillId="16" borderId="8" xfId="0" applyFont="1" applyFill="1" applyBorder="1" applyAlignment="1" applyProtection="1">
      <alignment horizontal="left" vertical="center" wrapText="1"/>
      <protection locked="0"/>
    </xf>
    <xf numFmtId="181" fontId="11" fillId="17" borderId="8" xfId="0" applyNumberFormat="1" applyFont="1" applyFill="1" applyBorder="1" applyAlignment="1" applyProtection="1">
      <alignment horizontal="left" vertical="center" wrapText="1"/>
      <protection locked="0"/>
    </xf>
    <xf numFmtId="181" fontId="11" fillId="20" borderId="8" xfId="0" applyNumberFormat="1" applyFont="1" applyFill="1" applyBorder="1" applyAlignment="1" applyProtection="1">
      <alignment horizontal="left" vertical="center" wrapText="1"/>
      <protection locked="0"/>
    </xf>
    <xf numFmtId="180" fontId="11" fillId="16" borderId="8" xfId="0" applyNumberFormat="1" applyFont="1" applyFill="1" applyBorder="1" applyAlignment="1" applyProtection="1">
      <alignment horizontal="left" vertical="top" wrapText="1"/>
      <protection locked="0"/>
    </xf>
    <xf numFmtId="180" fontId="11" fillId="17" borderId="8" xfId="0" applyNumberFormat="1" applyFont="1" applyFill="1" applyBorder="1" applyAlignment="1" applyProtection="1">
      <alignment horizontal="left" vertical="top" wrapText="1"/>
      <protection locked="0"/>
    </xf>
    <xf numFmtId="42" fontId="45" fillId="0" borderId="1" xfId="2865" applyFont="1" applyFill="1" applyBorder="1"/>
    <xf numFmtId="42" fontId="32" fillId="0" borderId="1" xfId="2865" applyFont="1" applyFill="1" applyBorder="1"/>
    <xf numFmtId="180" fontId="23" fillId="22" borderId="1" xfId="9" applyNumberFormat="1" applyFont="1" applyFill="1" applyBorder="1" applyAlignment="1" applyProtection="1">
      <alignment horizontal="center" vertical="center"/>
    </xf>
    <xf numFmtId="0" fontId="4" fillId="0" borderId="1" xfId="0" applyFont="1" applyBorder="1" applyAlignment="1">
      <alignment horizontal="center" vertical="center" wrapText="1"/>
    </xf>
    <xf numFmtId="0" fontId="31" fillId="0" borderId="1" xfId="0" applyFont="1" applyBorder="1" applyAlignment="1">
      <alignment horizontal="center" vertical="center"/>
    </xf>
    <xf numFmtId="0" fontId="31" fillId="0" borderId="1" xfId="0" applyFont="1" applyBorder="1" applyAlignment="1">
      <alignment horizontal="center" vertical="center" wrapText="1"/>
    </xf>
    <xf numFmtId="0" fontId="31" fillId="0" borderId="1" xfId="0" applyFont="1" applyBorder="1" applyAlignment="1" applyProtection="1">
      <alignment horizontal="center" vertical="center" wrapText="1"/>
      <protection locked="0"/>
    </xf>
    <xf numFmtId="0" fontId="31" fillId="0" borderId="5" xfId="0" applyFont="1" applyBorder="1" applyAlignment="1">
      <alignment horizontal="center" vertical="center" wrapText="1"/>
    </xf>
    <xf numFmtId="9" fontId="31" fillId="0" borderId="1" xfId="0" applyNumberFormat="1" applyFont="1" applyBorder="1" applyAlignment="1">
      <alignment horizontal="center" vertical="center" wrapText="1"/>
    </xf>
    <xf numFmtId="9" fontId="31" fillId="0" borderId="1" xfId="0" applyNumberFormat="1" applyFont="1" applyBorder="1" applyAlignment="1" applyProtection="1">
      <alignment horizontal="center" vertical="center" wrapText="1"/>
      <protection locked="0"/>
    </xf>
    <xf numFmtId="0" fontId="21" fillId="15" borderId="0" xfId="0" applyFont="1" applyFill="1" applyProtection="1">
      <protection locked="0"/>
    </xf>
    <xf numFmtId="0" fontId="41" fillId="15" borderId="0" xfId="0" applyFont="1" applyFill="1" applyAlignment="1">
      <alignment horizontal="center"/>
    </xf>
    <xf numFmtId="0" fontId="21" fillId="15" borderId="0" xfId="0" applyFont="1" applyFill="1" applyAlignment="1" applyProtection="1">
      <alignment horizontal="center"/>
      <protection locked="0"/>
    </xf>
    <xf numFmtId="42" fontId="23" fillId="0" borderId="1" xfId="2865" applyFont="1" applyFill="1" applyBorder="1" applyAlignment="1" applyProtection="1">
      <alignment horizontal="center" vertical="center"/>
    </xf>
    <xf numFmtId="9" fontId="4" fillId="0" borderId="1" xfId="21" applyFont="1" applyFill="1" applyBorder="1" applyAlignment="1" applyProtection="1">
      <alignment horizontal="center" vertical="center" wrapText="1"/>
    </xf>
    <xf numFmtId="9" fontId="4" fillId="0" borderId="2" xfId="24" applyFont="1" applyFill="1" applyBorder="1" applyAlignment="1" applyProtection="1">
      <alignment horizontal="center" vertical="center" wrapText="1"/>
    </xf>
    <xf numFmtId="42" fontId="23" fillId="4" borderId="33" xfId="2865" applyFont="1" applyFill="1" applyBorder="1" applyAlignment="1" applyProtection="1">
      <alignment horizontal="center" vertical="center"/>
    </xf>
    <xf numFmtId="2" fontId="4" fillId="0" borderId="2" xfId="24" applyNumberFormat="1" applyFont="1" applyFill="1" applyBorder="1" applyAlignment="1" applyProtection="1">
      <alignment horizontal="center" vertical="center" wrapText="1"/>
    </xf>
    <xf numFmtId="183" fontId="4" fillId="0" borderId="2" xfId="24" applyNumberFormat="1" applyFont="1" applyFill="1" applyBorder="1" applyAlignment="1" applyProtection="1">
      <alignment horizontal="center" vertical="center" wrapText="1"/>
    </xf>
    <xf numFmtId="42" fontId="4" fillId="0" borderId="1" xfId="2865" applyFont="1" applyFill="1" applyBorder="1" applyAlignment="1" applyProtection="1">
      <alignment horizontal="center" vertical="center"/>
    </xf>
    <xf numFmtId="9" fontId="4" fillId="0" borderId="1" xfId="24" applyFont="1" applyFill="1" applyBorder="1" applyAlignment="1" applyProtection="1">
      <alignment horizontal="center" vertical="center" wrapText="1"/>
    </xf>
    <xf numFmtId="180" fontId="4" fillId="22" borderId="3" xfId="10" applyNumberFormat="1" applyFont="1" applyFill="1" applyBorder="1" applyAlignment="1" applyProtection="1">
      <alignment horizontal="center" vertical="center" wrapText="1"/>
    </xf>
    <xf numFmtId="9" fontId="31" fillId="0" borderId="1" xfId="24" applyFont="1" applyBorder="1" applyAlignment="1" applyProtection="1">
      <alignment horizontal="center" vertical="center"/>
    </xf>
    <xf numFmtId="9" fontId="31" fillId="0" borderId="1" xfId="24" applyFont="1" applyFill="1" applyBorder="1" applyAlignment="1" applyProtection="1">
      <alignment horizontal="center" vertical="center"/>
    </xf>
    <xf numFmtId="42" fontId="31" fillId="0" borderId="1" xfId="2865" applyFont="1" applyFill="1" applyBorder="1" applyAlignment="1" applyProtection="1">
      <alignment horizontal="center" vertical="center" wrapText="1"/>
      <protection locked="0"/>
    </xf>
    <xf numFmtId="180" fontId="4" fillId="22" borderId="3" xfId="10" applyNumberFormat="1" applyFont="1" applyFill="1" applyBorder="1" applyAlignment="1" applyProtection="1">
      <alignment horizontal="center" vertical="center" wrapText="1"/>
      <protection locked="0"/>
    </xf>
    <xf numFmtId="180" fontId="23" fillId="22" borderId="1" xfId="9" applyNumberFormat="1" applyFont="1" applyFill="1" applyBorder="1" applyAlignment="1" applyProtection="1">
      <alignment horizontal="center" vertical="center"/>
      <protection locked="0"/>
    </xf>
    <xf numFmtId="180" fontId="4" fillId="22" borderId="4" xfId="0" applyNumberFormat="1" applyFont="1" applyFill="1" applyBorder="1" applyAlignment="1" applyProtection="1">
      <alignment horizontal="center" vertical="center" wrapText="1"/>
      <protection locked="0"/>
    </xf>
    <xf numFmtId="9" fontId="0" fillId="0" borderId="0" xfId="21" applyFont="1"/>
    <xf numFmtId="2" fontId="23" fillId="0" borderId="1" xfId="2865" applyNumberFormat="1" applyFont="1" applyFill="1" applyBorder="1" applyAlignment="1">
      <alignment horizontal="center" vertical="center"/>
    </xf>
    <xf numFmtId="1" fontId="23" fillId="0" borderId="1" xfId="2865" applyNumberFormat="1" applyFont="1" applyFill="1" applyBorder="1" applyAlignment="1">
      <alignment horizontal="center" vertical="center"/>
    </xf>
    <xf numFmtId="0" fontId="4" fillId="0" borderId="1" xfId="0" applyFont="1" applyBorder="1" applyAlignment="1" applyProtection="1">
      <alignment horizontal="center" vertical="center" wrapText="1"/>
      <protection locked="0"/>
    </xf>
    <xf numFmtId="0" fontId="4" fillId="0" borderId="1" xfId="0" applyFont="1" applyBorder="1" applyAlignment="1" applyProtection="1">
      <alignment horizontal="center" vertical="center"/>
      <protection locked="0"/>
    </xf>
    <xf numFmtId="9" fontId="31" fillId="0" borderId="1" xfId="24" applyFont="1" applyFill="1" applyBorder="1" applyAlignment="1" applyProtection="1">
      <alignment horizontal="center" vertical="center"/>
      <protection locked="0"/>
    </xf>
    <xf numFmtId="0" fontId="31" fillId="0" borderId="1" xfId="0" applyFont="1" applyBorder="1" applyAlignment="1" applyProtection="1">
      <alignment horizontal="center" vertical="center"/>
      <protection locked="0"/>
    </xf>
    <xf numFmtId="4" fontId="31" fillId="0" borderId="1" xfId="0" applyNumberFormat="1" applyFont="1" applyBorder="1" applyAlignment="1" applyProtection="1">
      <alignment horizontal="center" vertical="center"/>
      <protection locked="0"/>
    </xf>
    <xf numFmtId="3" fontId="31" fillId="0" borderId="1" xfId="0" applyNumberFormat="1" applyFont="1" applyBorder="1" applyAlignment="1" applyProtection="1">
      <alignment horizontal="center" vertical="center"/>
      <protection locked="0"/>
    </xf>
    <xf numFmtId="9" fontId="4" fillId="0" borderId="1" xfId="21" applyFont="1" applyFill="1" applyBorder="1" applyAlignment="1" applyProtection="1">
      <alignment horizontal="center" vertical="center" wrapText="1"/>
      <protection locked="0"/>
    </xf>
    <xf numFmtId="183" fontId="4" fillId="0" borderId="1" xfId="2865" applyNumberFormat="1" applyFont="1" applyFill="1" applyBorder="1" applyAlignment="1">
      <alignment horizontal="center" vertical="center" wrapText="1"/>
    </xf>
    <xf numFmtId="2" fontId="23" fillId="0" borderId="5" xfId="2865" applyNumberFormat="1" applyFont="1" applyFill="1" applyBorder="1" applyAlignment="1">
      <alignment horizontal="center" vertical="center"/>
    </xf>
    <xf numFmtId="1" fontId="23" fillId="0" borderId="5" xfId="2865" applyNumberFormat="1" applyFont="1" applyFill="1" applyBorder="1" applyAlignment="1">
      <alignment horizontal="center" vertical="center"/>
    </xf>
    <xf numFmtId="0" fontId="22" fillId="15" borderId="0" xfId="0" applyFont="1" applyFill="1" applyAlignment="1" applyProtection="1">
      <alignment horizontal="center"/>
      <protection locked="0"/>
    </xf>
    <xf numFmtId="0" fontId="41" fillId="0" borderId="0" xfId="0" applyFont="1"/>
    <xf numFmtId="4" fontId="41" fillId="0" borderId="0" xfId="0" applyNumberFormat="1" applyFont="1"/>
    <xf numFmtId="178" fontId="5" fillId="0" borderId="0" xfId="0" applyNumberFormat="1" applyFont="1" applyAlignment="1">
      <alignment horizontal="center"/>
    </xf>
    <xf numFmtId="0" fontId="41" fillId="15" borderId="0" xfId="0" applyFont="1" applyFill="1" applyAlignment="1">
      <alignment horizontal="center" vertical="center"/>
    </xf>
    <xf numFmtId="0" fontId="41" fillId="0" borderId="0" xfId="0" applyFont="1" applyAlignment="1">
      <alignment horizontal="center"/>
    </xf>
    <xf numFmtId="4" fontId="41" fillId="0" borderId="0" xfId="0" applyNumberFormat="1" applyFont="1" applyAlignment="1">
      <alignment horizontal="center"/>
    </xf>
    <xf numFmtId="0" fontId="41" fillId="0" borderId="0" xfId="0" applyFont="1" applyAlignment="1">
      <alignment horizontal="center" vertical="center"/>
    </xf>
    <xf numFmtId="0" fontId="17" fillId="0" borderId="0" xfId="0" applyFont="1" applyAlignment="1">
      <alignment horizontal="center" vertical="center" wrapText="1"/>
    </xf>
    <xf numFmtId="0" fontId="2" fillId="16" borderId="1" xfId="19" applyFont="1" applyFill="1" applyBorder="1" applyAlignment="1">
      <alignment horizontal="center" vertical="center" wrapText="1"/>
    </xf>
    <xf numFmtId="10" fontId="4" fillId="16" borderId="1" xfId="16" applyNumberFormat="1" applyFill="1" applyBorder="1" applyAlignment="1">
      <alignment horizontal="center" vertical="center" wrapText="1"/>
    </xf>
    <xf numFmtId="0" fontId="4" fillId="16" borderId="1" xfId="16" applyFill="1" applyBorder="1" applyAlignment="1">
      <alignment horizontal="center" vertical="center" wrapText="1"/>
    </xf>
    <xf numFmtId="0" fontId="14" fillId="16" borderId="1" xfId="0" applyFont="1" applyFill="1" applyBorder="1" applyAlignment="1">
      <alignment horizontal="left" vertical="center" wrapText="1"/>
    </xf>
    <xf numFmtId="42" fontId="2" fillId="16" borderId="1" xfId="0" applyNumberFormat="1" applyFont="1" applyFill="1" applyBorder="1" applyAlignment="1">
      <alignment horizontal="center" vertical="center" wrapText="1"/>
    </xf>
    <xf numFmtId="189" fontId="4" fillId="16" borderId="5" xfId="3019" applyNumberFormat="1" applyFont="1" applyFill="1" applyBorder="1" applyAlignment="1">
      <alignment horizontal="center" vertical="center"/>
    </xf>
    <xf numFmtId="0" fontId="31" fillId="0" borderId="15" xfId="0" applyFont="1" applyBorder="1" applyAlignment="1">
      <alignment horizontal="center" vertical="center"/>
    </xf>
    <xf numFmtId="164" fontId="4" fillId="0" borderId="1" xfId="2868" applyFont="1" applyFill="1" applyBorder="1" applyAlignment="1">
      <alignment horizontal="center" vertical="center"/>
    </xf>
    <xf numFmtId="42" fontId="31" fillId="0" borderId="1" xfId="2865" applyFont="1" applyFill="1" applyBorder="1" applyAlignment="1">
      <alignment horizontal="center" vertical="center"/>
    </xf>
    <xf numFmtId="9" fontId="31" fillId="0" borderId="37" xfId="24" applyFont="1" applyFill="1" applyBorder="1" applyAlignment="1">
      <alignment horizontal="center" vertical="center"/>
    </xf>
    <xf numFmtId="9" fontId="31" fillId="0" borderId="0" xfId="24" applyFont="1" applyFill="1" applyBorder="1" applyAlignment="1">
      <alignment horizontal="center" vertical="center"/>
    </xf>
    <xf numFmtId="9" fontId="78" fillId="0" borderId="0" xfId="24" applyFont="1" applyFill="1" applyBorder="1" applyAlignment="1">
      <alignment horizontal="center" vertical="center"/>
    </xf>
    <xf numFmtId="42" fontId="4" fillId="0" borderId="44" xfId="2865" applyFont="1" applyFill="1" applyBorder="1" applyAlignment="1">
      <alignment horizontal="center" vertical="center"/>
    </xf>
    <xf numFmtId="0" fontId="46" fillId="16" borderId="1" xfId="0" applyFont="1" applyFill="1" applyBorder="1" applyAlignment="1">
      <alignment horizontal="center" vertical="center" wrapText="1"/>
    </xf>
    <xf numFmtId="42" fontId="31" fillId="0" borderId="0" xfId="2865" applyFont="1"/>
    <xf numFmtId="42" fontId="31" fillId="0" borderId="1" xfId="2865" applyFont="1" applyBorder="1"/>
    <xf numFmtId="42" fontId="78" fillId="0" borderId="0" xfId="2865" applyFont="1"/>
    <xf numFmtId="0" fontId="78" fillId="0" borderId="0" xfId="0" applyFont="1"/>
    <xf numFmtId="42" fontId="31" fillId="0" borderId="2" xfId="2865" applyFont="1" applyBorder="1" applyAlignment="1">
      <alignment horizontal="center" vertical="center"/>
    </xf>
    <xf numFmtId="0" fontId="31" fillId="0" borderId="1" xfId="0" applyFont="1" applyBorder="1" applyProtection="1">
      <protection locked="0"/>
    </xf>
    <xf numFmtId="0" fontId="31" fillId="0" borderId="1" xfId="0" applyFont="1" applyBorder="1"/>
    <xf numFmtId="0" fontId="31" fillId="0" borderId="1" xfId="0" applyFont="1" applyBorder="1" applyAlignment="1">
      <alignment horizontal="left" vertical="center" wrapText="1"/>
    </xf>
    <xf numFmtId="0" fontId="31" fillId="0" borderId="0" xfId="0" applyFont="1" applyAlignment="1">
      <alignment horizontal="left" vertical="center" wrapText="1"/>
    </xf>
    <xf numFmtId="0" fontId="31" fillId="0" borderId="0" xfId="0" applyFont="1" applyAlignment="1">
      <alignment vertical="center" wrapText="1"/>
    </xf>
    <xf numFmtId="0" fontId="31" fillId="0" borderId="1" xfId="0" applyFont="1" applyBorder="1" applyAlignment="1" applyProtection="1">
      <alignment wrapText="1"/>
      <protection locked="0"/>
    </xf>
    <xf numFmtId="0" fontId="31" fillId="0" borderId="42" xfId="0" applyFont="1" applyBorder="1"/>
    <xf numFmtId="42" fontId="31" fillId="0" borderId="0" xfId="2865" applyFont="1" applyBorder="1"/>
    <xf numFmtId="0" fontId="31" fillId="0" borderId="18" xfId="0" applyFont="1" applyBorder="1"/>
    <xf numFmtId="0" fontId="31" fillId="0" borderId="19" xfId="0" applyFont="1" applyBorder="1"/>
    <xf numFmtId="0" fontId="2" fillId="15" borderId="0" xfId="0" applyFont="1" applyFill="1"/>
    <xf numFmtId="0" fontId="4" fillId="15" borderId="0" xfId="0" applyFont="1" applyFill="1"/>
    <xf numFmtId="4" fontId="4" fillId="15" borderId="0" xfId="0" applyNumberFormat="1" applyFont="1" applyFill="1"/>
    <xf numFmtId="4" fontId="4" fillId="15" borderId="0" xfId="0" applyNumberFormat="1" applyFont="1" applyFill="1" applyAlignment="1">
      <alignment horizontal="center"/>
    </xf>
    <xf numFmtId="0" fontId="4" fillId="15" borderId="0" xfId="0" applyFont="1" applyFill="1" applyProtection="1">
      <protection locked="0"/>
    </xf>
    <xf numFmtId="0" fontId="4" fillId="15" borderId="0" xfId="0" applyFont="1" applyFill="1" applyAlignment="1" applyProtection="1">
      <alignment horizontal="center"/>
      <protection locked="0"/>
    </xf>
    <xf numFmtId="0" fontId="46" fillId="4" borderId="1" xfId="0" applyFont="1" applyFill="1" applyBorder="1" applyAlignment="1">
      <alignment horizontal="center" vertical="center"/>
    </xf>
    <xf numFmtId="0" fontId="4" fillId="15" borderId="0" xfId="0" applyFont="1" applyFill="1" applyAlignment="1">
      <alignment horizontal="center"/>
    </xf>
    <xf numFmtId="0" fontId="11" fillId="16" borderId="51" xfId="0" applyFont="1" applyFill="1" applyBorder="1" applyAlignment="1" applyProtection="1">
      <alignment horizontal="left" vertical="center" wrapText="1"/>
      <protection locked="0"/>
    </xf>
    <xf numFmtId="183" fontId="4" fillId="0" borderId="2" xfId="24" applyNumberFormat="1" applyFont="1" applyFill="1" applyBorder="1" applyAlignment="1" applyProtection="1">
      <alignment horizontal="center" vertical="center" wrapText="1"/>
      <protection locked="0"/>
    </xf>
    <xf numFmtId="42" fontId="79" fillId="0" borderId="1" xfId="2865" applyFont="1" applyFill="1" applyBorder="1" applyAlignment="1">
      <alignment horizontal="center" vertical="center" wrapText="1"/>
    </xf>
    <xf numFmtId="42" fontId="79" fillId="0" borderId="1" xfId="2865" applyFont="1" applyFill="1" applyBorder="1" applyAlignment="1">
      <alignment horizontal="center" vertical="center"/>
    </xf>
    <xf numFmtId="9" fontId="19" fillId="0" borderId="1" xfId="21" applyFont="1" applyFill="1" applyBorder="1" applyAlignment="1">
      <alignment horizontal="center" vertical="center"/>
    </xf>
    <xf numFmtId="0" fontId="31" fillId="0" borderId="51" xfId="0" applyFont="1" applyBorder="1" applyAlignment="1" applyProtection="1">
      <alignment horizontal="center" vertical="center"/>
      <protection locked="0"/>
    </xf>
    <xf numFmtId="42" fontId="79" fillId="0" borderId="6" xfId="2865" applyFont="1" applyFill="1" applyBorder="1" applyAlignment="1">
      <alignment horizontal="center" vertical="center" wrapText="1"/>
    </xf>
    <xf numFmtId="9" fontId="19" fillId="0" borderId="6" xfId="21" applyFont="1" applyFill="1" applyBorder="1" applyAlignment="1">
      <alignment horizontal="center" vertical="center"/>
    </xf>
    <xf numFmtId="0" fontId="31" fillId="0" borderId="1" xfId="0" applyFont="1" applyBorder="1" applyAlignment="1" applyProtection="1">
      <alignment horizontal="left" vertical="top" wrapText="1"/>
      <protection locked="0"/>
    </xf>
    <xf numFmtId="0" fontId="31" fillId="0" borderId="1" xfId="0" applyFont="1" applyBorder="1" applyAlignment="1" applyProtection="1">
      <alignment vertical="top" wrapText="1"/>
      <protection locked="0"/>
    </xf>
    <xf numFmtId="10" fontId="31" fillId="0" borderId="1" xfId="24" applyNumberFormat="1" applyFont="1" applyFill="1" applyBorder="1" applyAlignment="1">
      <alignment horizontal="center" vertical="center" wrapText="1"/>
    </xf>
    <xf numFmtId="9" fontId="31" fillId="0" borderId="2" xfId="24" applyFont="1" applyFill="1" applyBorder="1" applyAlignment="1">
      <alignment horizontal="center" vertical="center"/>
    </xf>
    <xf numFmtId="10" fontId="31" fillId="0" borderId="2" xfId="24" applyNumberFormat="1" applyFont="1" applyFill="1" applyBorder="1" applyAlignment="1">
      <alignment horizontal="center" vertical="center" wrapText="1"/>
    </xf>
    <xf numFmtId="9" fontId="31" fillId="4" borderId="33" xfId="24" applyFont="1" applyFill="1" applyBorder="1" applyAlignment="1">
      <alignment horizontal="center" vertical="center"/>
    </xf>
    <xf numFmtId="10" fontId="31" fillId="4" borderId="33" xfId="24" applyNumberFormat="1" applyFont="1" applyFill="1" applyBorder="1" applyAlignment="1">
      <alignment horizontal="center" vertical="center" wrapText="1"/>
    </xf>
    <xf numFmtId="10" fontId="31" fillId="4" borderId="34" xfId="24" applyNumberFormat="1" applyFont="1" applyFill="1" applyBorder="1" applyAlignment="1">
      <alignment horizontal="center" vertical="center" wrapText="1"/>
    </xf>
    <xf numFmtId="9" fontId="31" fillId="0" borderId="5" xfId="24" applyFont="1" applyFill="1" applyBorder="1" applyAlignment="1">
      <alignment horizontal="center" vertical="center"/>
    </xf>
    <xf numFmtId="10" fontId="31" fillId="0" borderId="5" xfId="24" applyNumberFormat="1" applyFont="1" applyFill="1" applyBorder="1" applyAlignment="1">
      <alignment horizontal="center" vertical="center" wrapText="1"/>
    </xf>
    <xf numFmtId="9" fontId="4" fillId="0" borderId="2" xfId="24" applyFont="1" applyFill="1" applyBorder="1" applyAlignment="1" applyProtection="1">
      <alignment horizontal="center" vertical="center" wrapText="1"/>
      <protection locked="0"/>
    </xf>
    <xf numFmtId="2" fontId="4" fillId="0" borderId="2" xfId="24" applyNumberFormat="1" applyFont="1" applyFill="1" applyBorder="1" applyAlignment="1" applyProtection="1">
      <alignment horizontal="center" vertical="center" wrapText="1"/>
      <protection locked="0"/>
    </xf>
    <xf numFmtId="42" fontId="23" fillId="4" borderId="33" xfId="2865" applyFont="1" applyFill="1" applyBorder="1" applyAlignment="1" applyProtection="1">
      <alignment horizontal="center" vertical="center"/>
      <protection locked="0"/>
    </xf>
    <xf numFmtId="42" fontId="4" fillId="4" borderId="33" xfId="2865" applyFont="1" applyFill="1" applyBorder="1" applyAlignment="1" applyProtection="1">
      <alignment horizontal="center" vertical="center" wrapText="1"/>
      <protection locked="0"/>
    </xf>
    <xf numFmtId="189" fontId="0" fillId="0" borderId="0" xfId="2869" applyNumberFormat="1" applyFont="1" applyAlignment="1">
      <alignment vertical="top"/>
    </xf>
    <xf numFmtId="10" fontId="0" fillId="0" borderId="0" xfId="21" applyNumberFormat="1" applyFont="1"/>
    <xf numFmtId="0" fontId="2" fillId="16" borderId="38" xfId="0" applyFont="1" applyFill="1" applyBorder="1" applyAlignment="1">
      <alignment horizontal="center" vertical="center" wrapText="1"/>
    </xf>
    <xf numFmtId="0" fontId="2" fillId="16" borderId="4" xfId="0" applyFont="1" applyFill="1" applyBorder="1" applyAlignment="1">
      <alignment horizontal="center" vertical="center" wrapText="1"/>
    </xf>
    <xf numFmtId="0" fontId="2" fillId="20" borderId="4" xfId="0" applyFont="1" applyFill="1" applyBorder="1" applyAlignment="1">
      <alignment horizontal="center" vertical="center" wrapText="1"/>
    </xf>
    <xf numFmtId="0" fontId="2" fillId="17" borderId="4" xfId="0" applyFont="1" applyFill="1" applyBorder="1" applyAlignment="1">
      <alignment horizontal="center" vertical="center" wrapText="1"/>
    </xf>
    <xf numFmtId="0" fontId="2" fillId="21" borderId="4" xfId="0" applyFont="1" applyFill="1" applyBorder="1" applyAlignment="1">
      <alignment horizontal="center" vertical="center" wrapText="1"/>
    </xf>
    <xf numFmtId="0" fontId="2" fillId="19" borderId="4" xfId="0" applyFont="1" applyFill="1" applyBorder="1" applyAlignment="1">
      <alignment horizontal="center" vertical="center" wrapText="1"/>
    </xf>
    <xf numFmtId="9" fontId="4" fillId="0" borderId="2" xfId="2865" applyNumberFormat="1" applyFont="1" applyFill="1" applyBorder="1" applyAlignment="1">
      <alignment horizontal="center" vertical="center" wrapText="1"/>
    </xf>
    <xf numFmtId="10" fontId="3" fillId="0" borderId="1" xfId="24" applyNumberFormat="1" applyFont="1" applyFill="1" applyBorder="1" applyAlignment="1">
      <alignment horizontal="center" vertical="center"/>
    </xf>
    <xf numFmtId="10" fontId="3" fillId="0" borderId="1" xfId="24" applyNumberFormat="1" applyFont="1" applyFill="1" applyBorder="1" applyAlignment="1">
      <alignment horizontal="center" vertical="center" wrapText="1"/>
    </xf>
    <xf numFmtId="10" fontId="69" fillId="0" borderId="1" xfId="24" applyNumberFormat="1" applyFont="1" applyFill="1" applyBorder="1" applyAlignment="1">
      <alignment horizontal="center" vertical="center" wrapText="1"/>
    </xf>
    <xf numFmtId="9" fontId="3" fillId="0" borderId="1" xfId="24" applyFont="1" applyFill="1" applyBorder="1" applyAlignment="1" applyProtection="1">
      <alignment horizontal="center" vertical="center"/>
      <protection locked="0"/>
    </xf>
    <xf numFmtId="42" fontId="2" fillId="16" borderId="1" xfId="3018" applyFont="1" applyFill="1" applyBorder="1" applyAlignment="1" applyProtection="1">
      <alignment horizontal="center" vertical="center"/>
      <protection locked="0"/>
    </xf>
    <xf numFmtId="1" fontId="68" fillId="0" borderId="1" xfId="2920" applyNumberFormat="1" applyFont="1" applyFill="1" applyBorder="1" applyAlignment="1">
      <alignment horizontal="center" vertical="center"/>
    </xf>
    <xf numFmtId="9" fontId="68" fillId="0" borderId="1" xfId="24" applyFont="1" applyFill="1" applyBorder="1" applyAlignment="1">
      <alignment horizontal="center" vertical="center"/>
    </xf>
    <xf numFmtId="9" fontId="3" fillId="0" borderId="1" xfId="24" applyFont="1" applyFill="1" applyBorder="1" applyAlignment="1">
      <alignment horizontal="center" vertical="center" wrapText="1"/>
    </xf>
    <xf numFmtId="9" fontId="3" fillId="0" borderId="5" xfId="24" applyFont="1" applyFill="1" applyBorder="1" applyAlignment="1">
      <alignment horizontal="center" vertical="center"/>
    </xf>
    <xf numFmtId="184" fontId="3" fillId="0" borderId="1" xfId="2920" applyNumberFormat="1" applyFont="1" applyFill="1" applyBorder="1" applyAlignment="1">
      <alignment horizontal="center" vertical="center"/>
    </xf>
    <xf numFmtId="184" fontId="68" fillId="0" borderId="1" xfId="2920" applyNumberFormat="1" applyFont="1" applyFill="1" applyBorder="1" applyAlignment="1">
      <alignment horizontal="center" vertical="center"/>
    </xf>
    <xf numFmtId="183" fontId="3" fillId="0" borderId="1" xfId="24" applyNumberFormat="1" applyFont="1" applyFill="1" applyBorder="1" applyAlignment="1">
      <alignment horizontal="center" vertical="center" wrapText="1"/>
    </xf>
    <xf numFmtId="37" fontId="68" fillId="0" borderId="1" xfId="10" applyNumberFormat="1" applyFont="1" applyFill="1" applyBorder="1" applyAlignment="1">
      <alignment horizontal="center" vertical="center"/>
    </xf>
    <xf numFmtId="2" fontId="31" fillId="0" borderId="1" xfId="0" applyNumberFormat="1" applyFont="1" applyBorder="1" applyAlignment="1" applyProtection="1">
      <alignment horizontal="center" vertical="center" wrapText="1"/>
      <protection locked="0"/>
    </xf>
    <xf numFmtId="180" fontId="51" fillId="4" borderId="52" xfId="9" applyNumberFormat="1" applyFont="1" applyFill="1" applyBorder="1" applyAlignment="1">
      <alignment horizontal="center" vertical="center"/>
    </xf>
    <xf numFmtId="9" fontId="3" fillId="0" borderId="5" xfId="24" applyFont="1" applyFill="1" applyBorder="1" applyAlignment="1" applyProtection="1">
      <alignment horizontal="center" vertical="center"/>
    </xf>
    <xf numFmtId="9" fontId="3" fillId="0" borderId="5" xfId="24" applyFont="1" applyFill="1" applyBorder="1" applyAlignment="1" applyProtection="1">
      <alignment horizontal="center" vertical="center"/>
      <protection locked="0"/>
    </xf>
    <xf numFmtId="9" fontId="80" fillId="0" borderId="5" xfId="24" applyFont="1" applyFill="1" applyBorder="1" applyAlignment="1" applyProtection="1">
      <alignment horizontal="center" vertical="center" wrapText="1"/>
      <protection locked="0"/>
    </xf>
    <xf numFmtId="42" fontId="3" fillId="0" borderId="1" xfId="3018" applyFont="1" applyFill="1" applyBorder="1" applyAlignment="1">
      <alignment horizontal="center" vertical="center"/>
    </xf>
    <xf numFmtId="42" fontId="3" fillId="0" borderId="5" xfId="3018" applyFont="1" applyFill="1" applyBorder="1" applyAlignment="1" applyProtection="1">
      <alignment horizontal="center" vertical="center"/>
    </xf>
    <xf numFmtId="42" fontId="3" fillId="0" borderId="5" xfId="3018" applyFont="1" applyFill="1" applyBorder="1" applyAlignment="1" applyProtection="1">
      <alignment horizontal="center" vertical="center"/>
      <protection locked="0"/>
    </xf>
    <xf numFmtId="42" fontId="3" fillId="0" borderId="1" xfId="3018" applyFont="1" applyFill="1" applyBorder="1" applyAlignment="1" applyProtection="1">
      <alignment horizontal="center" vertical="center"/>
      <protection locked="0"/>
    </xf>
    <xf numFmtId="41" fontId="3" fillId="0" borderId="5" xfId="3019" applyFont="1" applyFill="1" applyBorder="1" applyAlignment="1">
      <alignment horizontal="center" vertical="center"/>
    </xf>
    <xf numFmtId="9" fontId="80" fillId="0" borderId="1" xfId="24" applyFont="1" applyFill="1" applyBorder="1" applyAlignment="1">
      <alignment horizontal="center" vertical="center"/>
    </xf>
    <xf numFmtId="9" fontId="80" fillId="0" borderId="1" xfId="24" applyFont="1" applyFill="1" applyBorder="1" applyAlignment="1" applyProtection="1">
      <alignment horizontal="center" vertical="center"/>
    </xf>
    <xf numFmtId="9" fontId="80" fillId="0" borderId="1" xfId="24" applyFont="1" applyFill="1" applyBorder="1" applyAlignment="1" applyProtection="1">
      <alignment horizontal="center" vertical="center"/>
      <protection locked="0"/>
    </xf>
    <xf numFmtId="42" fontId="80" fillId="0" borderId="1" xfId="3018" applyFont="1" applyFill="1" applyBorder="1" applyAlignment="1">
      <alignment horizontal="center" vertical="center"/>
    </xf>
    <xf numFmtId="42" fontId="80" fillId="0" borderId="1" xfId="3018" applyFont="1" applyFill="1" applyBorder="1" applyAlignment="1" applyProtection="1">
      <alignment horizontal="center" vertical="center"/>
    </xf>
    <xf numFmtId="42" fontId="80" fillId="0" borderId="1" xfId="3018" applyFont="1" applyFill="1" applyBorder="1" applyAlignment="1" applyProtection="1">
      <alignment horizontal="center" vertical="center"/>
      <protection locked="0"/>
    </xf>
    <xf numFmtId="188" fontId="3" fillId="0" borderId="5" xfId="3019" applyNumberFormat="1" applyFont="1" applyFill="1" applyBorder="1" applyAlignment="1">
      <alignment horizontal="center" vertical="center"/>
    </xf>
    <xf numFmtId="2" fontId="3" fillId="0" borderId="5" xfId="24" applyNumberFormat="1" applyFont="1" applyFill="1" applyBorder="1" applyAlignment="1" applyProtection="1">
      <alignment horizontal="center" vertical="center"/>
    </xf>
    <xf numFmtId="42" fontId="3" fillId="0" borderId="1" xfId="3018" applyFont="1" applyFill="1" applyBorder="1" applyAlignment="1">
      <alignment horizontal="center" vertical="center" wrapText="1"/>
    </xf>
    <xf numFmtId="42" fontId="3" fillId="0" borderId="1" xfId="3018" applyFont="1" applyFill="1" applyBorder="1" applyAlignment="1" applyProtection="1">
      <alignment horizontal="center" vertical="center" wrapText="1"/>
    </xf>
    <xf numFmtId="42" fontId="3" fillId="0" borderId="1" xfId="3018" applyFont="1" applyFill="1" applyBorder="1" applyAlignment="1" applyProtection="1">
      <alignment horizontal="center" vertical="center" wrapText="1"/>
      <protection locked="0"/>
    </xf>
    <xf numFmtId="4" fontId="80" fillId="0" borderId="1" xfId="24" applyNumberFormat="1" applyFont="1" applyFill="1" applyBorder="1" applyAlignment="1">
      <alignment horizontal="center" vertical="center"/>
    </xf>
    <xf numFmtId="4" fontId="80" fillId="0" borderId="1" xfId="24" applyNumberFormat="1" applyFont="1" applyFill="1" applyBorder="1" applyAlignment="1" applyProtection="1">
      <alignment horizontal="center" vertical="center"/>
    </xf>
    <xf numFmtId="4" fontId="80" fillId="0" borderId="1" xfId="24" applyNumberFormat="1" applyFont="1" applyFill="1" applyBorder="1" applyAlignment="1" applyProtection="1">
      <alignment horizontal="center" vertical="center"/>
      <protection locked="0"/>
    </xf>
    <xf numFmtId="189" fontId="3" fillId="0" borderId="5" xfId="3019" applyNumberFormat="1" applyFont="1" applyFill="1" applyBorder="1" applyAlignment="1">
      <alignment horizontal="center" vertical="center"/>
    </xf>
    <xf numFmtId="186" fontId="3" fillId="0" borderId="1" xfId="3018" applyNumberFormat="1" applyFont="1" applyFill="1" applyBorder="1" applyAlignment="1" applyProtection="1">
      <alignment horizontal="center" vertical="center"/>
      <protection locked="0"/>
    </xf>
    <xf numFmtId="1" fontId="3" fillId="0" borderId="5" xfId="24" applyNumberFormat="1" applyFont="1" applyFill="1" applyBorder="1" applyAlignment="1" applyProtection="1">
      <alignment horizontal="center" vertical="center"/>
    </xf>
    <xf numFmtId="187" fontId="80" fillId="0" borderId="1" xfId="24" applyNumberFormat="1" applyFont="1" applyFill="1" applyBorder="1" applyAlignment="1">
      <alignment horizontal="center" vertical="center"/>
    </xf>
    <xf numFmtId="187" fontId="80" fillId="0" borderId="1" xfId="24" applyNumberFormat="1" applyFont="1" applyFill="1" applyBorder="1" applyAlignment="1" applyProtection="1">
      <alignment horizontal="center" vertical="center"/>
    </xf>
    <xf numFmtId="187" fontId="80" fillId="0" borderId="1" xfId="24" applyNumberFormat="1" applyFont="1" applyFill="1" applyBorder="1" applyAlignment="1" applyProtection="1">
      <alignment horizontal="center" vertical="center"/>
      <protection locked="0"/>
    </xf>
    <xf numFmtId="9" fontId="3" fillId="0" borderId="1" xfId="24" applyFont="1" applyFill="1" applyBorder="1" applyAlignment="1" applyProtection="1">
      <alignment horizontal="center" vertical="center"/>
    </xf>
    <xf numFmtId="9" fontId="3" fillId="0" borderId="1" xfId="24" applyFont="1" applyFill="1" applyBorder="1" applyAlignment="1" applyProtection="1">
      <alignment horizontal="center" vertical="center" wrapText="1"/>
      <protection locked="0"/>
    </xf>
    <xf numFmtId="42" fontId="3" fillId="0" borderId="1" xfId="3018" applyFont="1" applyFill="1" applyBorder="1" applyAlignment="1" applyProtection="1">
      <alignment horizontal="center" vertical="center"/>
    </xf>
    <xf numFmtId="42" fontId="80" fillId="0" borderId="1" xfId="3018" applyFont="1" applyFill="1" applyBorder="1" applyAlignment="1" applyProtection="1">
      <alignment horizontal="center" vertical="center" wrapText="1"/>
      <protection locked="0"/>
    </xf>
    <xf numFmtId="3" fontId="31" fillId="0" borderId="1" xfId="0" applyNumberFormat="1" applyFont="1" applyBorder="1" applyAlignment="1" applyProtection="1">
      <alignment horizontal="center" vertical="center" wrapText="1"/>
      <protection locked="0"/>
    </xf>
    <xf numFmtId="1" fontId="31" fillId="0" borderId="1" xfId="0" applyNumberFormat="1" applyFont="1" applyBorder="1" applyAlignment="1" applyProtection="1">
      <alignment horizontal="center" vertical="center" wrapText="1"/>
      <protection locked="0"/>
    </xf>
    <xf numFmtId="183" fontId="4" fillId="0" borderId="0" xfId="24" applyNumberFormat="1" applyFont="1" applyFill="1" applyBorder="1" applyAlignment="1">
      <alignment horizontal="center" vertical="center" wrapText="1"/>
    </xf>
    <xf numFmtId="10" fontId="4" fillId="0" borderId="0" xfId="24" applyNumberFormat="1" applyFont="1" applyFill="1" applyBorder="1" applyAlignment="1">
      <alignment horizontal="center" vertical="center"/>
    </xf>
    <xf numFmtId="10" fontId="4" fillId="0" borderId="0" xfId="24" applyNumberFormat="1" applyFont="1" applyFill="1" applyBorder="1" applyAlignment="1">
      <alignment horizontal="center" vertical="center" wrapText="1"/>
    </xf>
    <xf numFmtId="10" fontId="31" fillId="0" borderId="0" xfId="24" applyNumberFormat="1" applyFont="1" applyFill="1" applyBorder="1" applyAlignment="1">
      <alignment horizontal="center" vertical="center" wrapText="1"/>
    </xf>
    <xf numFmtId="175" fontId="7" fillId="0" borderId="0" xfId="2920" applyNumberFormat="1" applyFont="1" applyFill="1" applyBorder="1" applyAlignment="1">
      <alignment horizontal="center" vertical="center"/>
    </xf>
    <xf numFmtId="9" fontId="52" fillId="0" borderId="0" xfId="24" applyFont="1" applyFill="1" applyBorder="1" applyAlignment="1">
      <alignment horizontal="center" vertical="center"/>
    </xf>
    <xf numFmtId="10" fontId="52" fillId="0" borderId="0" xfId="24" applyNumberFormat="1" applyFont="1" applyFill="1" applyBorder="1" applyAlignment="1">
      <alignment horizontal="center" vertical="center" wrapText="1"/>
    </xf>
    <xf numFmtId="10" fontId="55" fillId="0" borderId="0" xfId="24" applyNumberFormat="1" applyFont="1" applyFill="1" applyBorder="1" applyAlignment="1">
      <alignment horizontal="center" vertical="center" wrapText="1"/>
    </xf>
    <xf numFmtId="10" fontId="4" fillId="0" borderId="0" xfId="24" applyNumberFormat="1" applyFont="1" applyAlignment="1">
      <alignment vertical="center"/>
    </xf>
    <xf numFmtId="173" fontId="11" fillId="16" borderId="5" xfId="0" applyNumberFormat="1" applyFont="1" applyFill="1" applyBorder="1" applyAlignment="1">
      <alignment vertical="center"/>
    </xf>
    <xf numFmtId="9" fontId="4" fillId="16" borderId="5" xfId="0" applyNumberFormat="1" applyFont="1" applyFill="1" applyBorder="1" applyAlignment="1">
      <alignment horizontal="center" vertical="center"/>
    </xf>
    <xf numFmtId="0" fontId="11" fillId="16" borderId="4" xfId="16" applyFont="1" applyFill="1" applyBorder="1" applyAlignment="1">
      <alignment horizontal="center" vertical="center" wrapText="1"/>
    </xf>
    <xf numFmtId="9" fontId="11" fillId="16" borderId="5" xfId="24" applyFont="1" applyFill="1" applyBorder="1" applyAlignment="1" applyProtection="1">
      <alignment horizontal="left" vertical="center" wrapText="1"/>
      <protection locked="0"/>
    </xf>
    <xf numFmtId="42" fontId="11" fillId="17" borderId="1" xfId="3018" applyFont="1" applyFill="1" applyBorder="1" applyAlignment="1" applyProtection="1">
      <alignment horizontal="left" vertical="center" wrapText="1"/>
      <protection locked="0"/>
    </xf>
    <xf numFmtId="9" fontId="11" fillId="16" borderId="1" xfId="24" applyFont="1" applyFill="1" applyBorder="1" applyAlignment="1" applyProtection="1">
      <alignment horizontal="left" vertical="center" wrapText="1"/>
      <protection locked="0"/>
    </xf>
    <xf numFmtId="4" fontId="11" fillId="16" borderId="1" xfId="0" applyNumberFormat="1" applyFont="1" applyFill="1" applyBorder="1" applyAlignment="1" applyProtection="1">
      <alignment horizontal="left" vertical="center" wrapText="1"/>
      <protection locked="0"/>
    </xf>
    <xf numFmtId="187" fontId="11" fillId="16" borderId="1" xfId="0" applyNumberFormat="1" applyFont="1" applyFill="1" applyBorder="1" applyAlignment="1" applyProtection="1">
      <alignment horizontal="left" vertical="center" wrapText="1"/>
      <protection locked="0"/>
    </xf>
    <xf numFmtId="9" fontId="14" fillId="16" borderId="1" xfId="24" applyFont="1" applyFill="1" applyBorder="1" applyAlignment="1" applyProtection="1">
      <alignment horizontal="left" vertical="center" wrapText="1"/>
      <protection locked="0"/>
    </xf>
    <xf numFmtId="42" fontId="14" fillId="17" borderId="1" xfId="3018" applyFont="1" applyFill="1" applyBorder="1" applyAlignment="1" applyProtection="1">
      <alignment horizontal="left" vertical="center" wrapText="1"/>
      <protection locked="0"/>
    </xf>
    <xf numFmtId="9" fontId="0" fillId="0" borderId="0" xfId="21" applyFont="1" applyAlignment="1">
      <alignment vertical="top"/>
    </xf>
    <xf numFmtId="9" fontId="2" fillId="0" borderId="2" xfId="24" applyFont="1" applyFill="1" applyBorder="1" applyAlignment="1" applyProtection="1">
      <alignment horizontal="center" vertical="center" wrapText="1"/>
      <protection locked="0"/>
    </xf>
    <xf numFmtId="0" fontId="5" fillId="16" borderId="54" xfId="0" applyFont="1" applyFill="1" applyBorder="1" applyAlignment="1">
      <alignment vertical="center" wrapText="1"/>
    </xf>
    <xf numFmtId="0" fontId="5" fillId="16" borderId="53" xfId="0" applyFont="1" applyFill="1" applyBorder="1" applyAlignment="1">
      <alignment vertical="center" wrapText="1"/>
    </xf>
    <xf numFmtId="0" fontId="5" fillId="17" borderId="55" xfId="0" applyFont="1" applyFill="1" applyBorder="1" applyAlignment="1">
      <alignment horizontal="center" vertical="center" wrapText="1"/>
    </xf>
    <xf numFmtId="0" fontId="5" fillId="17" borderId="56" xfId="0" applyFont="1" applyFill="1" applyBorder="1" applyAlignment="1">
      <alignment horizontal="center" vertical="center" wrapText="1"/>
    </xf>
    <xf numFmtId="0" fontId="5" fillId="21" borderId="53" xfId="0" applyFont="1" applyFill="1" applyBorder="1" applyAlignment="1">
      <alignment horizontal="center" vertical="center" wrapText="1"/>
    </xf>
    <xf numFmtId="0" fontId="5" fillId="16" borderId="53" xfId="0" applyFont="1" applyFill="1" applyBorder="1" applyAlignment="1">
      <alignment horizontal="center" vertical="center" wrapText="1"/>
    </xf>
    <xf numFmtId="0" fontId="5" fillId="16" borderId="57" xfId="0" applyFont="1" applyFill="1" applyBorder="1" applyAlignment="1">
      <alignment horizontal="center" vertical="center" wrapText="1"/>
    </xf>
    <xf numFmtId="0" fontId="10" fillId="20" borderId="46" xfId="0" applyFont="1" applyFill="1" applyBorder="1" applyAlignment="1">
      <alignment horizontal="center" vertical="center" wrapText="1"/>
    </xf>
    <xf numFmtId="0" fontId="10" fillId="19" borderId="26" xfId="0" applyFont="1" applyFill="1" applyBorder="1" applyAlignment="1">
      <alignment horizontal="center" vertical="center" wrapText="1"/>
    </xf>
    <xf numFmtId="0" fontId="10" fillId="16" borderId="46" xfId="0" applyFont="1" applyFill="1" applyBorder="1" applyAlignment="1">
      <alignment horizontal="center" vertical="center" wrapText="1"/>
    </xf>
    <xf numFmtId="0" fontId="10" fillId="21" borderId="46" xfId="0" applyFont="1" applyFill="1" applyBorder="1" applyAlignment="1">
      <alignment horizontal="center" vertical="center" wrapText="1"/>
    </xf>
    <xf numFmtId="0" fontId="10" fillId="19" borderId="46" xfId="0" applyFont="1" applyFill="1" applyBorder="1" applyAlignment="1">
      <alignment horizontal="center" vertical="center" wrapText="1"/>
    </xf>
    <xf numFmtId="0" fontId="5" fillId="17" borderId="54" xfId="0" applyFont="1" applyFill="1" applyBorder="1" applyAlignment="1">
      <alignment horizontal="center" vertical="center" wrapText="1"/>
    </xf>
    <xf numFmtId="0" fontId="10" fillId="19" borderId="16" xfId="0" applyFont="1" applyFill="1" applyBorder="1" applyAlignment="1">
      <alignment horizontal="center" vertical="center" wrapText="1"/>
    </xf>
    <xf numFmtId="0" fontId="10" fillId="16" borderId="55" xfId="0" applyFont="1" applyFill="1" applyBorder="1" applyAlignment="1">
      <alignment horizontal="center" vertical="center" wrapText="1"/>
    </xf>
    <xf numFmtId="0" fontId="10" fillId="19" borderId="57" xfId="0" applyFont="1" applyFill="1" applyBorder="1" applyAlignment="1">
      <alignment horizontal="center" vertical="center" wrapText="1"/>
    </xf>
    <xf numFmtId="0" fontId="10" fillId="16" borderId="57" xfId="0" applyFont="1" applyFill="1" applyBorder="1" applyAlignment="1">
      <alignment horizontal="center" vertical="center" wrapText="1"/>
    </xf>
    <xf numFmtId="42" fontId="79" fillId="0" borderId="6" xfId="2865" applyFont="1" applyFill="1" applyBorder="1" applyAlignment="1">
      <alignment horizontal="center" vertical="center"/>
    </xf>
    <xf numFmtId="4" fontId="3" fillId="0" borderId="1" xfId="0" applyNumberFormat="1" applyFont="1" applyBorder="1" applyAlignment="1">
      <alignment horizontal="center" vertical="center" wrapText="1"/>
    </xf>
    <xf numFmtId="9" fontId="31" fillId="0" borderId="15" xfId="21" applyFont="1" applyFill="1" applyBorder="1" applyAlignment="1">
      <alignment horizontal="center" vertical="center"/>
    </xf>
    <xf numFmtId="9" fontId="31" fillId="4" borderId="33" xfId="21" applyFont="1" applyFill="1" applyBorder="1" applyAlignment="1">
      <alignment horizontal="center" vertical="center"/>
    </xf>
    <xf numFmtId="10" fontId="31" fillId="4" borderId="32" xfId="24" applyNumberFormat="1" applyFont="1" applyFill="1" applyBorder="1" applyAlignment="1">
      <alignment horizontal="center" vertical="center" wrapText="1"/>
    </xf>
    <xf numFmtId="4" fontId="3" fillId="0" borderId="1" xfId="0" applyNumberFormat="1" applyFont="1" applyBorder="1" applyAlignment="1" applyProtection="1">
      <alignment horizontal="center" vertical="center" wrapText="1"/>
      <protection locked="0"/>
    </xf>
    <xf numFmtId="4" fontId="80" fillId="0" borderId="1" xfId="0" applyNumberFormat="1" applyFont="1" applyBorder="1" applyAlignment="1" applyProtection="1">
      <alignment horizontal="center" vertical="center"/>
      <protection locked="0"/>
    </xf>
    <xf numFmtId="4" fontId="3" fillId="0" borderId="1" xfId="0" applyNumberFormat="1" applyFont="1" applyBorder="1" applyAlignment="1" applyProtection="1">
      <alignment horizontal="center" vertical="center"/>
      <protection locked="0"/>
    </xf>
    <xf numFmtId="187" fontId="3" fillId="0" borderId="1" xfId="0" applyNumberFormat="1" applyFont="1" applyBorder="1" applyAlignment="1">
      <alignment horizontal="center" vertical="center" wrapText="1"/>
    </xf>
    <xf numFmtId="187" fontId="3" fillId="0" borderId="1" xfId="0" applyNumberFormat="1" applyFont="1" applyBorder="1" applyAlignment="1" applyProtection="1">
      <alignment horizontal="center" vertical="center" wrapText="1"/>
      <protection locked="0"/>
    </xf>
    <xf numFmtId="187" fontId="80" fillId="0" borderId="1" xfId="0" applyNumberFormat="1" applyFont="1" applyBorder="1" applyAlignment="1" applyProtection="1">
      <alignment horizontal="center" vertical="center"/>
      <protection locked="0"/>
    </xf>
    <xf numFmtId="187" fontId="3" fillId="0" borderId="1" xfId="0" applyNumberFormat="1" applyFont="1" applyBorder="1" applyAlignment="1" applyProtection="1">
      <alignment horizontal="center" vertical="center"/>
      <protection locked="0"/>
    </xf>
    <xf numFmtId="41" fontId="4" fillId="0" borderId="2" xfId="2869" applyFont="1" applyFill="1" applyBorder="1" applyAlignment="1">
      <alignment horizontal="center" vertical="center" wrapText="1"/>
    </xf>
    <xf numFmtId="3" fontId="7" fillId="0" borderId="0" xfId="0" applyNumberFormat="1" applyFont="1" applyAlignment="1">
      <alignment horizontal="center" vertical="center"/>
    </xf>
    <xf numFmtId="42" fontId="4" fillId="0" borderId="1" xfId="2865" applyFont="1" applyFill="1" applyBorder="1" applyAlignment="1" applyProtection="1">
      <alignment horizontal="center" vertical="center" wrapText="1"/>
    </xf>
    <xf numFmtId="0" fontId="2" fillId="16" borderId="1" xfId="0" applyFont="1" applyFill="1" applyBorder="1" applyAlignment="1">
      <alignment horizontal="center" vertical="center" wrapText="1"/>
    </xf>
    <xf numFmtId="0" fontId="20" fillId="4" borderId="1" xfId="0" applyFont="1" applyFill="1" applyBorder="1" applyAlignment="1">
      <alignment horizontal="center" vertical="center"/>
    </xf>
    <xf numFmtId="42" fontId="2" fillId="16" borderId="1" xfId="0" applyNumberFormat="1" applyFont="1" applyFill="1" applyBorder="1" applyAlignment="1" applyProtection="1">
      <alignment horizontal="center" vertical="center" wrapText="1"/>
      <protection locked="0"/>
    </xf>
    <xf numFmtId="0" fontId="31" fillId="0" borderId="1" xfId="0" applyFont="1" applyFill="1" applyBorder="1" applyAlignment="1" applyProtection="1">
      <alignment horizontal="center" vertical="center" wrapText="1"/>
      <protection locked="0"/>
    </xf>
    <xf numFmtId="9" fontId="31" fillId="0" borderId="1" xfId="0" applyNumberFormat="1" applyFont="1" applyFill="1" applyBorder="1" applyAlignment="1" applyProtection="1">
      <alignment horizontal="center" vertical="center" wrapText="1"/>
      <protection locked="0"/>
    </xf>
    <xf numFmtId="0" fontId="31" fillId="0" borderId="1" xfId="0" applyFont="1" applyFill="1" applyBorder="1" applyAlignment="1" applyProtection="1">
      <alignment horizontal="center" vertical="center"/>
      <protection locked="0"/>
    </xf>
    <xf numFmtId="0" fontId="31" fillId="0" borderId="1" xfId="0" applyFont="1" applyFill="1" applyBorder="1" applyAlignment="1" applyProtection="1">
      <alignment horizontal="left" vertical="top" wrapText="1"/>
      <protection locked="0"/>
    </xf>
    <xf numFmtId="2" fontId="31" fillId="0" borderId="1" xfId="0" applyNumberFormat="1" applyFont="1" applyFill="1" applyBorder="1" applyAlignment="1" applyProtection="1">
      <alignment horizontal="center" vertical="center" wrapText="1"/>
      <protection locked="0"/>
    </xf>
    <xf numFmtId="0" fontId="31" fillId="0" borderId="1" xfId="0" applyFont="1" applyFill="1" applyBorder="1" applyAlignment="1">
      <alignment horizontal="center" vertical="center" wrapText="1"/>
    </xf>
    <xf numFmtId="0" fontId="4" fillId="0" borderId="1" xfId="0" applyFont="1" applyFill="1" applyBorder="1" applyAlignment="1" applyProtection="1">
      <alignment horizontal="center" vertical="center" wrapText="1"/>
      <protection locked="0"/>
    </xf>
    <xf numFmtId="0" fontId="4" fillId="0" borderId="1" xfId="0" applyFont="1" applyFill="1" applyBorder="1" applyAlignment="1" applyProtection="1">
      <alignment horizontal="center" vertical="center"/>
      <protection locked="0"/>
    </xf>
    <xf numFmtId="0" fontId="31" fillId="0" borderId="1" xfId="0" applyFont="1" applyFill="1" applyBorder="1" applyAlignment="1" applyProtection="1">
      <alignment vertical="top" wrapText="1"/>
      <protection locked="0"/>
    </xf>
    <xf numFmtId="4" fontId="31" fillId="0" borderId="1" xfId="0" applyNumberFormat="1" applyFont="1" applyFill="1" applyBorder="1" applyAlignment="1" applyProtection="1">
      <alignment horizontal="center" vertical="center"/>
      <protection locked="0"/>
    </xf>
    <xf numFmtId="3" fontId="31" fillId="0" borderId="1" xfId="0" applyNumberFormat="1" applyFont="1" applyFill="1" applyBorder="1" applyAlignment="1" applyProtection="1">
      <alignment horizontal="center" vertical="center"/>
      <protection locked="0"/>
    </xf>
    <xf numFmtId="10" fontId="4" fillId="0" borderId="5" xfId="16" applyNumberFormat="1" applyFill="1" applyBorder="1" applyAlignment="1">
      <alignment horizontal="center" vertical="center" wrapText="1"/>
    </xf>
    <xf numFmtId="10" fontId="31" fillId="0" borderId="1" xfId="16" applyNumberFormat="1" applyFont="1" applyFill="1" applyBorder="1" applyAlignment="1">
      <alignment horizontal="center" vertical="center" wrapText="1"/>
    </xf>
    <xf numFmtId="10" fontId="4" fillId="0" borderId="1" xfId="16" applyNumberFormat="1" applyFill="1" applyBorder="1" applyAlignment="1">
      <alignment horizontal="center" vertical="center" wrapText="1"/>
    </xf>
    <xf numFmtId="10" fontId="4" fillId="0" borderId="1" xfId="16" applyNumberFormat="1" applyFill="1" applyBorder="1" applyAlignment="1" applyProtection="1">
      <alignment horizontal="center" vertical="center" wrapText="1"/>
      <protection locked="0"/>
    </xf>
    <xf numFmtId="10" fontId="31" fillId="0" borderId="1" xfId="16" applyNumberFormat="1" applyFont="1" applyFill="1" applyBorder="1" applyAlignment="1" applyProtection="1">
      <alignment horizontal="center" vertical="center" wrapText="1"/>
      <protection locked="0"/>
    </xf>
    <xf numFmtId="10" fontId="32" fillId="0" borderId="1" xfId="0" applyNumberFormat="1" applyFont="1" applyFill="1" applyBorder="1" applyAlignment="1">
      <alignment horizontal="center" vertical="center" wrapText="1"/>
    </xf>
    <xf numFmtId="10" fontId="4" fillId="0" borderId="1" xfId="0" applyNumberFormat="1" applyFont="1" applyFill="1" applyBorder="1" applyAlignment="1" applyProtection="1">
      <alignment horizontal="center" vertical="center" wrapText="1"/>
      <protection locked="0"/>
    </xf>
    <xf numFmtId="10" fontId="4" fillId="0" borderId="7" xfId="0" applyNumberFormat="1" applyFont="1" applyFill="1" applyBorder="1" applyAlignment="1">
      <alignment horizontal="center" vertical="center" wrapText="1"/>
    </xf>
    <xf numFmtId="0" fontId="3" fillId="0" borderId="1" xfId="0" applyFont="1" applyFill="1" applyBorder="1" applyAlignment="1">
      <alignment horizontal="center" vertical="center"/>
    </xf>
    <xf numFmtId="1" fontId="68" fillId="0" borderId="1" xfId="0" applyNumberFormat="1" applyFont="1" applyFill="1" applyBorder="1" applyAlignment="1">
      <alignment horizontal="center" vertical="center"/>
    </xf>
    <xf numFmtId="0" fontId="68" fillId="0" borderId="1" xfId="0" applyFont="1" applyFill="1" applyBorder="1" applyAlignment="1">
      <alignment horizontal="center" vertical="center"/>
    </xf>
    <xf numFmtId="1" fontId="3" fillId="0" borderId="1" xfId="0" applyNumberFormat="1" applyFont="1" applyFill="1" applyBorder="1" applyAlignment="1">
      <alignment horizontal="center" vertical="center" wrapText="1"/>
    </xf>
    <xf numFmtId="3" fontId="3" fillId="0" borderId="1" xfId="24" applyNumberFormat="1" applyFont="1" applyFill="1" applyBorder="1" applyAlignment="1" applyProtection="1">
      <alignment horizontal="center" vertical="center"/>
      <protection locked="0"/>
    </xf>
    <xf numFmtId="3" fontId="3" fillId="0" borderId="1" xfId="0" applyNumberFormat="1" applyFont="1" applyFill="1" applyBorder="1" applyAlignment="1">
      <alignment horizontal="center" vertical="center" wrapText="1"/>
    </xf>
    <xf numFmtId="0" fontId="3" fillId="0" borderId="1" xfId="0" applyFont="1" applyFill="1" applyBorder="1" applyAlignment="1" applyProtection="1">
      <alignment horizontal="left" vertical="top" wrapText="1"/>
      <protection locked="0"/>
    </xf>
    <xf numFmtId="0" fontId="3" fillId="0" borderId="1" xfId="0" applyFont="1" applyFill="1" applyBorder="1" applyAlignment="1" applyProtection="1">
      <alignment horizontal="center" vertical="center" wrapText="1"/>
      <protection locked="0"/>
    </xf>
    <xf numFmtId="0" fontId="3" fillId="0" borderId="1" xfId="0" applyFont="1" applyFill="1" applyBorder="1" applyAlignment="1">
      <alignment horizontal="center" vertical="top" wrapText="1"/>
    </xf>
    <xf numFmtId="0" fontId="75" fillId="0" borderId="1" xfId="2867" applyFont="1" applyFill="1" applyBorder="1" applyAlignment="1" applyProtection="1">
      <alignment horizontal="center" vertical="center" wrapText="1"/>
      <protection locked="0"/>
    </xf>
    <xf numFmtId="0" fontId="68" fillId="0" borderId="1" xfId="0" applyFont="1" applyFill="1" applyBorder="1" applyAlignment="1" applyProtection="1">
      <alignment horizontal="center" vertical="center"/>
      <protection locked="0"/>
    </xf>
    <xf numFmtId="1" fontId="3" fillId="0" borderId="1" xfId="0" applyNumberFormat="1" applyFont="1" applyFill="1" applyBorder="1" applyAlignment="1" applyProtection="1">
      <alignment horizontal="center" vertical="center" wrapText="1"/>
      <protection locked="0"/>
    </xf>
    <xf numFmtId="9" fontId="68" fillId="0" borderId="1" xfId="0" applyNumberFormat="1" applyFont="1" applyFill="1" applyBorder="1" applyAlignment="1">
      <alignment horizontal="center" vertical="center"/>
    </xf>
    <xf numFmtId="4" fontId="3" fillId="0" borderId="1" xfId="0" applyNumberFormat="1" applyFont="1" applyFill="1" applyBorder="1" applyAlignment="1">
      <alignment horizontal="center" vertical="center" wrapText="1"/>
    </xf>
    <xf numFmtId="2" fontId="3" fillId="0" borderId="1" xfId="24" applyNumberFormat="1" applyFont="1" applyFill="1" applyBorder="1" applyAlignment="1" applyProtection="1">
      <alignment horizontal="center" vertical="center"/>
      <protection locked="0"/>
    </xf>
    <xf numFmtId="0" fontId="63" fillId="0" borderId="1" xfId="2867" applyFill="1" applyBorder="1" applyAlignment="1" applyProtection="1">
      <alignment horizontal="center" vertical="center" wrapText="1"/>
      <protection locked="0"/>
    </xf>
    <xf numFmtId="184" fontId="68" fillId="0" borderId="1" xfId="0" applyNumberFormat="1" applyFont="1" applyFill="1" applyBorder="1" applyAlignment="1">
      <alignment horizontal="center" vertical="center"/>
    </xf>
    <xf numFmtId="0" fontId="3" fillId="0" borderId="1" xfId="0" applyFont="1" applyFill="1" applyBorder="1" applyAlignment="1">
      <alignment horizontal="center" wrapText="1"/>
    </xf>
    <xf numFmtId="3" fontId="4" fillId="0" borderId="5" xfId="0" applyNumberFormat="1" applyFont="1" applyFill="1" applyBorder="1" applyAlignment="1">
      <alignment horizontal="center" vertical="center" wrapText="1"/>
    </xf>
    <xf numFmtId="4" fontId="4" fillId="0" borderId="5" xfId="0" applyNumberFormat="1" applyFont="1" applyFill="1" applyBorder="1" applyAlignment="1">
      <alignment horizontal="center" vertical="center" wrapText="1"/>
    </xf>
    <xf numFmtId="179" fontId="4" fillId="0" borderId="5" xfId="0" applyNumberFormat="1" applyFont="1" applyFill="1" applyBorder="1" applyAlignment="1">
      <alignment horizontal="center" vertical="center" wrapText="1"/>
    </xf>
    <xf numFmtId="9" fontId="4" fillId="0" borderId="5" xfId="0" applyNumberFormat="1" applyFont="1" applyFill="1" applyBorder="1" applyAlignment="1">
      <alignment horizontal="center" vertical="center" wrapText="1"/>
    </xf>
    <xf numFmtId="9" fontId="4" fillId="0" borderId="5" xfId="21" applyFont="1" applyFill="1" applyBorder="1" applyAlignment="1" applyProtection="1">
      <alignment horizontal="center" vertical="center" wrapText="1"/>
      <protection locked="0"/>
    </xf>
    <xf numFmtId="9" fontId="4" fillId="0" borderId="5" xfId="24" applyFont="1" applyFill="1" applyBorder="1" applyAlignment="1" applyProtection="1">
      <alignment horizontal="center" vertical="center" wrapText="1"/>
      <protection locked="0"/>
    </xf>
    <xf numFmtId="42" fontId="32" fillId="0" borderId="1" xfId="0" applyNumberFormat="1" applyFont="1" applyFill="1" applyBorder="1" applyAlignment="1" applyProtection="1">
      <alignment horizontal="center" vertical="center"/>
      <protection locked="0"/>
    </xf>
    <xf numFmtId="3" fontId="4" fillId="0" borderId="1" xfId="0" applyNumberFormat="1" applyFont="1" applyFill="1" applyBorder="1" applyAlignment="1">
      <alignment horizontal="center" vertical="center" wrapText="1"/>
    </xf>
    <xf numFmtId="4" fontId="4" fillId="0" borderId="1" xfId="0" applyNumberFormat="1" applyFont="1" applyFill="1" applyBorder="1" applyAlignment="1">
      <alignment horizontal="center" vertical="center" wrapText="1"/>
    </xf>
    <xf numFmtId="179" fontId="4" fillId="0" borderId="1" xfId="0" applyNumberFormat="1" applyFont="1" applyFill="1" applyBorder="1" applyAlignment="1">
      <alignment horizontal="center" vertical="center" wrapText="1"/>
    </xf>
    <xf numFmtId="3" fontId="4" fillId="0" borderId="1" xfId="0" applyNumberFormat="1" applyFont="1" applyFill="1" applyBorder="1" applyAlignment="1" applyProtection="1">
      <alignment horizontal="center" vertical="center" wrapText="1"/>
      <protection locked="0"/>
    </xf>
    <xf numFmtId="0" fontId="23" fillId="0" borderId="1" xfId="0" applyFont="1" applyFill="1" applyBorder="1" applyAlignment="1">
      <alignment horizontal="center" vertical="center"/>
    </xf>
    <xf numFmtId="3" fontId="4" fillId="0" borderId="2" xfId="0" applyNumberFormat="1" applyFont="1" applyFill="1" applyBorder="1" applyAlignment="1">
      <alignment horizontal="center" vertical="center" wrapText="1"/>
    </xf>
    <xf numFmtId="4" fontId="4" fillId="0" borderId="2" xfId="0" applyNumberFormat="1" applyFont="1" applyFill="1" applyBorder="1" applyAlignment="1">
      <alignment horizontal="center" vertical="center" wrapText="1"/>
    </xf>
    <xf numFmtId="179" fontId="4" fillId="0" borderId="2" xfId="0" applyNumberFormat="1" applyFont="1" applyFill="1" applyBorder="1" applyAlignment="1">
      <alignment horizontal="center" vertical="center" wrapText="1"/>
    </xf>
    <xf numFmtId="183" fontId="4" fillId="0" borderId="5" xfId="0" applyNumberFormat="1" applyFont="1" applyFill="1" applyBorder="1" applyAlignment="1">
      <alignment horizontal="center" vertical="center" wrapText="1"/>
    </xf>
    <xf numFmtId="2" fontId="4" fillId="0" borderId="5" xfId="0" applyNumberFormat="1" applyFont="1" applyFill="1" applyBorder="1" applyAlignment="1">
      <alignment horizontal="center" vertical="center" wrapText="1"/>
    </xf>
    <xf numFmtId="2" fontId="4" fillId="0" borderId="5" xfId="0" applyNumberFormat="1" applyFont="1" applyFill="1" applyBorder="1" applyAlignment="1" applyProtection="1">
      <alignment horizontal="center" vertical="center" wrapText="1"/>
      <protection locked="0"/>
    </xf>
    <xf numFmtId="182" fontId="4" fillId="0" borderId="1" xfId="0" applyNumberFormat="1" applyFont="1" applyFill="1" applyBorder="1" applyAlignment="1">
      <alignment horizontal="center" vertical="center" wrapText="1"/>
    </xf>
    <xf numFmtId="2" fontId="4" fillId="0" borderId="1" xfId="0" applyNumberFormat="1" applyFont="1" applyFill="1" applyBorder="1" applyAlignment="1">
      <alignment horizontal="center" vertical="center" wrapText="1"/>
    </xf>
    <xf numFmtId="182" fontId="4" fillId="0" borderId="1" xfId="0" applyNumberFormat="1" applyFont="1" applyFill="1" applyBorder="1" applyAlignment="1" applyProtection="1">
      <alignment horizontal="center" vertical="center" wrapText="1"/>
      <protection locked="0"/>
    </xf>
    <xf numFmtId="183" fontId="4" fillId="0" borderId="1" xfId="0" applyNumberFormat="1" applyFont="1" applyFill="1" applyBorder="1" applyAlignment="1">
      <alignment horizontal="center" vertical="center" wrapText="1"/>
    </xf>
    <xf numFmtId="190" fontId="4" fillId="0" borderId="1" xfId="2865" applyNumberFormat="1" applyFont="1" applyFill="1" applyBorder="1" applyAlignment="1">
      <alignment horizontal="center" vertical="center" wrapText="1"/>
    </xf>
    <xf numFmtId="4" fontId="4" fillId="0" borderId="2" xfId="0" applyNumberFormat="1" applyFont="1" applyFill="1" applyBorder="1" applyAlignment="1" applyProtection="1">
      <alignment horizontal="center" vertical="center" wrapText="1"/>
      <protection locked="0"/>
    </xf>
    <xf numFmtId="4" fontId="50" fillId="0" borderId="5" xfId="0" applyNumberFormat="1" applyFont="1" applyFill="1" applyBorder="1" applyAlignment="1">
      <alignment horizontal="center" vertical="center" wrapText="1"/>
    </xf>
    <xf numFmtId="3" fontId="50" fillId="0" borderId="5" xfId="0" applyNumberFormat="1" applyFont="1" applyFill="1" applyBorder="1" applyAlignment="1">
      <alignment horizontal="center" vertical="center" wrapText="1"/>
    </xf>
    <xf numFmtId="3" fontId="70" fillId="0" borderId="5" xfId="0" applyNumberFormat="1" applyFont="1" applyFill="1" applyBorder="1" applyAlignment="1">
      <alignment horizontal="center" vertical="center" wrapText="1"/>
    </xf>
    <xf numFmtId="3" fontId="50" fillId="0" borderId="1" xfId="0" applyNumberFormat="1" applyFont="1" applyFill="1" applyBorder="1" applyAlignment="1">
      <alignment horizontal="center" vertical="center" wrapText="1"/>
    </xf>
    <xf numFmtId="180" fontId="0" fillId="0" borderId="1" xfId="0" applyNumberFormat="1" applyFill="1" applyBorder="1" applyAlignment="1">
      <alignment horizontal="center" vertical="center"/>
    </xf>
    <xf numFmtId="4" fontId="4" fillId="0" borderId="1" xfId="0" applyNumberFormat="1" applyFont="1" applyFill="1" applyBorder="1" applyAlignment="1" applyProtection="1">
      <alignment horizontal="center" vertical="center" wrapText="1"/>
      <protection locked="0"/>
    </xf>
    <xf numFmtId="0" fontId="51" fillId="0" borderId="1" xfId="0" applyFont="1" applyFill="1" applyBorder="1" applyAlignment="1">
      <alignment horizontal="center" vertical="center"/>
    </xf>
    <xf numFmtId="4" fontId="50" fillId="0" borderId="1" xfId="0" applyNumberFormat="1" applyFont="1" applyFill="1" applyBorder="1" applyAlignment="1">
      <alignment horizontal="center" vertical="center" wrapText="1"/>
    </xf>
    <xf numFmtId="2" fontId="4" fillId="0" borderId="2" xfId="0" applyNumberFormat="1" applyFont="1" applyFill="1" applyBorder="1" applyAlignment="1">
      <alignment horizontal="center" vertical="center" wrapText="1"/>
    </xf>
    <xf numFmtId="4" fontId="50" fillId="0" borderId="2" xfId="0" applyNumberFormat="1" applyFont="1" applyFill="1" applyBorder="1" applyAlignment="1">
      <alignment horizontal="center" vertical="center" wrapText="1"/>
    </xf>
    <xf numFmtId="3" fontId="67" fillId="0" borderId="5" xfId="0" applyNumberFormat="1" applyFont="1" applyFill="1" applyBorder="1" applyAlignment="1">
      <alignment horizontal="center" vertical="center" wrapText="1"/>
    </xf>
    <xf numFmtId="1" fontId="4" fillId="0" borderId="5" xfId="0" applyNumberFormat="1" applyFont="1" applyFill="1" applyBorder="1" applyAlignment="1">
      <alignment horizontal="center" vertical="center" wrapText="1"/>
    </xf>
    <xf numFmtId="0" fontId="23" fillId="0" borderId="5" xfId="0" applyFont="1" applyFill="1" applyBorder="1" applyAlignment="1">
      <alignment horizontal="center" vertical="center"/>
    </xf>
    <xf numFmtId="0" fontId="23" fillId="0" borderId="5" xfId="0" applyFont="1" applyFill="1" applyBorder="1" applyAlignment="1" applyProtection="1">
      <alignment horizontal="center" vertical="center"/>
      <protection locked="0"/>
    </xf>
    <xf numFmtId="1" fontId="4" fillId="0" borderId="5" xfId="0" applyNumberFormat="1" applyFont="1" applyFill="1" applyBorder="1" applyAlignment="1" applyProtection="1">
      <alignment horizontal="center" vertical="center" wrapText="1"/>
      <protection locked="0"/>
    </xf>
    <xf numFmtId="9" fontId="4" fillId="0" borderId="5" xfId="24" applyFont="1" applyFill="1" applyBorder="1" applyAlignment="1" applyProtection="1">
      <alignment horizontal="center" vertical="center" wrapText="1"/>
    </xf>
    <xf numFmtId="3" fontId="71" fillId="0" borderId="1" xfId="0" applyNumberFormat="1" applyFont="1" applyFill="1" applyBorder="1" applyAlignment="1">
      <alignment horizontal="center" vertical="center" wrapText="1"/>
    </xf>
    <xf numFmtId="1" fontId="16" fillId="0" borderId="1" xfId="0" applyNumberFormat="1" applyFont="1" applyFill="1" applyBorder="1" applyAlignment="1">
      <alignment horizontal="center" vertical="center"/>
    </xf>
    <xf numFmtId="0" fontId="16" fillId="0" borderId="1" xfId="0" applyFont="1" applyFill="1" applyBorder="1" applyAlignment="1">
      <alignment horizontal="center" vertical="center"/>
    </xf>
    <xf numFmtId="1" fontId="51" fillId="0" borderId="1" xfId="0" applyNumberFormat="1" applyFont="1" applyFill="1" applyBorder="1" applyAlignment="1">
      <alignment horizontal="center" vertical="center"/>
    </xf>
    <xf numFmtId="1" fontId="50" fillId="0" borderId="1" xfId="0" applyNumberFormat="1" applyFont="1" applyFill="1" applyBorder="1" applyAlignment="1">
      <alignment horizontal="center" vertical="center"/>
    </xf>
    <xf numFmtId="181" fontId="0" fillId="0" borderId="1" xfId="0" applyNumberFormat="1" applyFill="1" applyBorder="1" applyAlignment="1">
      <alignment horizontal="center" vertical="center"/>
    </xf>
    <xf numFmtId="181" fontId="0" fillId="0" borderId="1" xfId="0" applyNumberFormat="1" applyFill="1" applyBorder="1" applyAlignment="1" applyProtection="1">
      <alignment horizontal="center" vertical="center"/>
      <protection locked="0"/>
    </xf>
    <xf numFmtId="181" fontId="16" fillId="0" borderId="1" xfId="0" applyNumberFormat="1" applyFont="1" applyFill="1" applyBorder="1" applyAlignment="1">
      <alignment horizontal="center" vertical="center"/>
    </xf>
    <xf numFmtId="180" fontId="50" fillId="0" borderId="1" xfId="0" applyNumberFormat="1" applyFont="1" applyFill="1" applyBorder="1" applyAlignment="1">
      <alignment horizontal="center" vertical="center"/>
    </xf>
    <xf numFmtId="182" fontId="50" fillId="0" borderId="2" xfId="0" applyNumberFormat="1" applyFont="1" applyFill="1" applyBorder="1" applyAlignment="1">
      <alignment horizontal="center" vertical="center" wrapText="1"/>
    </xf>
    <xf numFmtId="3" fontId="31" fillId="0" borderId="5" xfId="0" applyNumberFormat="1" applyFont="1" applyFill="1" applyBorder="1" applyAlignment="1">
      <alignment horizontal="center" vertical="center"/>
    </xf>
    <xf numFmtId="3" fontId="0" fillId="0" borderId="5" xfId="0" applyNumberFormat="1" applyFill="1" applyBorder="1" applyAlignment="1">
      <alignment horizontal="center" vertical="center"/>
    </xf>
    <xf numFmtId="3" fontId="0" fillId="0" borderId="5" xfId="0" applyNumberFormat="1" applyFill="1" applyBorder="1" applyAlignment="1" applyProtection="1">
      <alignment horizontal="center" vertical="center"/>
      <protection locked="0"/>
    </xf>
    <xf numFmtId="3" fontId="4" fillId="0" borderId="5" xfId="0" applyNumberFormat="1" applyFont="1" applyFill="1" applyBorder="1" applyAlignment="1" applyProtection="1">
      <alignment horizontal="center" vertical="center" wrapText="1"/>
      <protection locked="0"/>
    </xf>
    <xf numFmtId="3" fontId="69" fillId="0" borderId="5" xfId="0" applyNumberFormat="1" applyFont="1" applyFill="1" applyBorder="1" applyAlignment="1" applyProtection="1">
      <alignment horizontal="center" vertical="center"/>
      <protection locked="0"/>
    </xf>
    <xf numFmtId="180" fontId="23" fillId="0" borderId="1" xfId="0" applyNumberFormat="1" applyFont="1" applyFill="1" applyBorder="1" applyAlignment="1">
      <alignment horizontal="center" vertical="center"/>
    </xf>
    <xf numFmtId="180" fontId="4" fillId="0" borderId="7" xfId="0" applyNumberFormat="1" applyFont="1" applyFill="1" applyBorder="1" applyAlignment="1">
      <alignment horizontal="center" vertical="center" wrapText="1"/>
    </xf>
    <xf numFmtId="180" fontId="4" fillId="0" borderId="1" xfId="0" applyNumberFormat="1" applyFont="1" applyFill="1" applyBorder="1" applyAlignment="1">
      <alignment horizontal="center" vertical="center" wrapText="1"/>
    </xf>
    <xf numFmtId="0" fontId="0" fillId="0" borderId="1" xfId="0" applyBorder="1" applyAlignment="1">
      <alignment horizontal="left" vertical="center" wrapText="1"/>
    </xf>
    <xf numFmtId="0" fontId="0" fillId="0" borderId="1" xfId="0" applyBorder="1" applyAlignment="1">
      <alignment horizontal="left" vertical="center"/>
    </xf>
    <xf numFmtId="0" fontId="53" fillId="20" borderId="31" xfId="0" applyFont="1" applyFill="1" applyBorder="1" applyAlignment="1">
      <alignment horizontal="center" vertical="center"/>
    </xf>
    <xf numFmtId="0" fontId="53" fillId="20" borderId="30" xfId="0" applyFont="1" applyFill="1" applyBorder="1" applyAlignment="1">
      <alignment horizontal="center" vertical="center"/>
    </xf>
    <xf numFmtId="0" fontId="20" fillId="4" borderId="8" xfId="0" applyFont="1" applyFill="1" applyBorder="1" applyAlignment="1">
      <alignment horizontal="center" vertical="center"/>
    </xf>
    <xf numFmtId="0" fontId="20" fillId="4" borderId="6" xfId="0" applyFont="1" applyFill="1" applyBorder="1" applyAlignment="1">
      <alignment horizontal="center" vertical="center"/>
    </xf>
    <xf numFmtId="0" fontId="20" fillId="4" borderId="7" xfId="0" applyFont="1" applyFill="1" applyBorder="1" applyAlignment="1">
      <alignment horizontal="center" vertical="center"/>
    </xf>
    <xf numFmtId="0" fontId="20" fillId="4" borderId="8" xfId="0" applyFont="1" applyFill="1" applyBorder="1" applyAlignment="1">
      <alignment horizontal="center" vertical="center" wrapText="1"/>
    </xf>
    <xf numFmtId="0" fontId="20" fillId="4" borderId="6" xfId="0" applyFont="1" applyFill="1" applyBorder="1" applyAlignment="1">
      <alignment horizontal="center" vertical="center" wrapText="1"/>
    </xf>
    <xf numFmtId="0" fontId="20" fillId="4" borderId="7" xfId="0" applyFont="1" applyFill="1" applyBorder="1" applyAlignment="1">
      <alignment horizontal="center" vertical="center" wrapText="1"/>
    </xf>
    <xf numFmtId="0" fontId="10" fillId="16" borderId="10" xfId="0" applyFont="1" applyFill="1" applyBorder="1" applyAlignment="1">
      <alignment horizontal="center" vertical="center" wrapText="1"/>
    </xf>
    <xf numFmtId="0" fontId="10" fillId="16" borderId="11" xfId="0" applyFont="1" applyFill="1" applyBorder="1" applyAlignment="1">
      <alignment horizontal="center" vertical="center" wrapText="1"/>
    </xf>
    <xf numFmtId="0" fontId="10" fillId="16" borderId="50" xfId="0" applyFont="1" applyFill="1" applyBorder="1" applyAlignment="1">
      <alignment horizontal="center" vertical="center" wrapText="1"/>
    </xf>
    <xf numFmtId="0" fontId="53" fillId="16" borderId="30" xfId="0" applyFont="1" applyFill="1" applyBorder="1" applyAlignment="1">
      <alignment horizontal="center" vertical="center" wrapText="1"/>
    </xf>
    <xf numFmtId="0" fontId="53" fillId="16" borderId="31" xfId="0" applyFont="1" applyFill="1" applyBorder="1" applyAlignment="1">
      <alignment horizontal="center" vertical="center" wrapText="1"/>
    </xf>
    <xf numFmtId="0" fontId="53" fillId="16" borderId="32" xfId="0" applyFont="1" applyFill="1" applyBorder="1" applyAlignment="1">
      <alignment horizontal="center" vertical="center" wrapText="1"/>
    </xf>
    <xf numFmtId="0" fontId="9" fillId="17" borderId="46" xfId="0" applyFont="1" applyFill="1" applyBorder="1" applyAlignment="1">
      <alignment horizontal="center" vertical="center" wrapText="1"/>
    </xf>
    <xf numFmtId="0" fontId="9" fillId="17" borderId="47" xfId="0" applyFont="1" applyFill="1" applyBorder="1" applyAlignment="1">
      <alignment horizontal="center" vertical="center" wrapText="1"/>
    </xf>
    <xf numFmtId="0" fontId="9" fillId="20" borderId="46" xfId="0" applyFont="1" applyFill="1" applyBorder="1" applyAlignment="1">
      <alignment horizontal="center" vertical="center" wrapText="1"/>
    </xf>
    <xf numFmtId="0" fontId="9" fillId="20" borderId="47" xfId="0" applyFont="1" applyFill="1" applyBorder="1" applyAlignment="1">
      <alignment horizontal="center" vertical="center" wrapText="1"/>
    </xf>
    <xf numFmtId="0" fontId="9" fillId="24" borderId="46" xfId="0" applyFont="1" applyFill="1" applyBorder="1" applyAlignment="1">
      <alignment horizontal="center" vertical="center" wrapText="1"/>
    </xf>
    <xf numFmtId="0" fontId="9" fillId="24" borderId="47" xfId="0" applyFont="1" applyFill="1" applyBorder="1" applyAlignment="1">
      <alignment horizontal="center" vertical="center" wrapText="1"/>
    </xf>
    <xf numFmtId="0" fontId="53" fillId="20" borderId="32" xfId="0" applyFont="1" applyFill="1" applyBorder="1" applyAlignment="1">
      <alignment horizontal="center" vertical="center"/>
    </xf>
    <xf numFmtId="0" fontId="10" fillId="16" borderId="45" xfId="0" applyFont="1" applyFill="1" applyBorder="1" applyAlignment="1">
      <alignment horizontal="center" vertical="center" wrapText="1"/>
    </xf>
    <xf numFmtId="0" fontId="10" fillId="16" borderId="7" xfId="0" applyFont="1" applyFill="1" applyBorder="1" applyAlignment="1">
      <alignment horizontal="center" vertical="center" wrapText="1"/>
    </xf>
    <xf numFmtId="0" fontId="10" fillId="16" borderId="41" xfId="0" applyFont="1" applyFill="1" applyBorder="1" applyAlignment="1">
      <alignment horizontal="center" vertical="center" wrapText="1"/>
    </xf>
    <xf numFmtId="0" fontId="10" fillId="16" borderId="3" xfId="0" applyFont="1" applyFill="1" applyBorder="1" applyAlignment="1">
      <alignment horizontal="center" vertical="center" wrapText="1"/>
    </xf>
    <xf numFmtId="0" fontId="10" fillId="16" borderId="1" xfId="0" applyFont="1" applyFill="1" applyBorder="1" applyAlignment="1">
      <alignment horizontal="center" vertical="center" wrapText="1"/>
    </xf>
    <xf numFmtId="0" fontId="10" fillId="16" borderId="2" xfId="0" applyFont="1" applyFill="1" applyBorder="1" applyAlignment="1">
      <alignment horizontal="center" vertical="center" wrapText="1"/>
    </xf>
    <xf numFmtId="0" fontId="9" fillId="16" borderId="14" xfId="0" applyFont="1" applyFill="1" applyBorder="1" applyAlignment="1">
      <alignment horizontal="left" vertical="center" wrapText="1"/>
    </xf>
    <xf numFmtId="0" fontId="9" fillId="16" borderId="1" xfId="0" applyFont="1" applyFill="1" applyBorder="1" applyAlignment="1">
      <alignment horizontal="left" vertical="center" wrapText="1"/>
    </xf>
    <xf numFmtId="0" fontId="9" fillId="0" borderId="1" xfId="0" applyFont="1" applyBorder="1" applyAlignment="1">
      <alignment horizontal="left" vertical="center" wrapText="1"/>
    </xf>
    <xf numFmtId="0" fontId="9" fillId="0" borderId="11" xfId="0" applyFont="1" applyBorder="1" applyAlignment="1">
      <alignment horizontal="left" vertical="center" wrapText="1"/>
    </xf>
    <xf numFmtId="0" fontId="9" fillId="16" borderId="38" xfId="0" applyFont="1" applyFill="1" applyBorder="1" applyAlignment="1">
      <alignment horizontal="left" vertical="center" wrapText="1"/>
    </xf>
    <xf numFmtId="0" fontId="9" fillId="16" borderId="4" xfId="0" applyFont="1" applyFill="1" applyBorder="1" applyAlignment="1">
      <alignment horizontal="left" vertical="center" wrapText="1"/>
    </xf>
    <xf numFmtId="0" fontId="9" fillId="0" borderId="4" xfId="0" applyFont="1" applyBorder="1" applyAlignment="1">
      <alignment horizontal="left" vertical="center" wrapText="1"/>
    </xf>
    <xf numFmtId="0" fontId="9" fillId="0" borderId="12" xfId="0" applyFont="1" applyBorder="1" applyAlignment="1">
      <alignment horizontal="left" vertical="center" wrapText="1"/>
    </xf>
    <xf numFmtId="0" fontId="27" fillId="0" borderId="13" xfId="0" applyFont="1" applyBorder="1" applyAlignment="1">
      <alignment horizontal="center"/>
    </xf>
    <xf numFmtId="0" fontId="27" fillId="0" borderId="3" xfId="0" applyFont="1" applyBorder="1" applyAlignment="1">
      <alignment horizontal="center"/>
    </xf>
    <xf numFmtId="0" fontId="27" fillId="0" borderId="14" xfId="0" applyFont="1" applyBorder="1" applyAlignment="1">
      <alignment horizontal="center"/>
    </xf>
    <xf numFmtId="0" fontId="27" fillId="0" borderId="1" xfId="0" applyFont="1" applyBorder="1" applyAlignment="1">
      <alignment horizontal="center"/>
    </xf>
    <xf numFmtId="0" fontId="57" fillId="16" borderId="3" xfId="0" applyFont="1" applyFill="1" applyBorder="1" applyAlignment="1">
      <alignment horizontal="center" vertical="center" wrapText="1"/>
    </xf>
    <xf numFmtId="0" fontId="57" fillId="16" borderId="10" xfId="0" applyFont="1" applyFill="1" applyBorder="1" applyAlignment="1">
      <alignment horizontal="center" vertical="center" wrapText="1"/>
    </xf>
    <xf numFmtId="0" fontId="58" fillId="16" borderId="1" xfId="0" applyFont="1" applyFill="1" applyBorder="1" applyAlignment="1">
      <alignment horizontal="center"/>
    </xf>
    <xf numFmtId="0" fontId="58" fillId="16" borderId="11" xfId="0" applyFont="1" applyFill="1" applyBorder="1" applyAlignment="1">
      <alignment horizontal="center"/>
    </xf>
    <xf numFmtId="0" fontId="26" fillId="3" borderId="1" xfId="0" applyFont="1" applyFill="1" applyBorder="1" applyAlignment="1">
      <alignment vertical="center" wrapText="1"/>
    </xf>
    <xf numFmtId="0" fontId="26" fillId="3" borderId="1" xfId="0" applyFont="1" applyFill="1" applyBorder="1" applyAlignment="1">
      <alignment horizontal="left" vertical="center" wrapText="1"/>
    </xf>
    <xf numFmtId="0" fontId="26" fillId="3" borderId="11" xfId="0" applyFont="1" applyFill="1" applyBorder="1" applyAlignment="1">
      <alignment horizontal="left" vertical="center" wrapText="1"/>
    </xf>
    <xf numFmtId="0" fontId="2" fillId="20" borderId="3" xfId="0" applyFont="1" applyFill="1" applyBorder="1" applyAlignment="1">
      <alignment horizontal="center" vertical="center" wrapText="1"/>
    </xf>
    <xf numFmtId="0" fontId="2" fillId="20" borderId="1" xfId="0" applyFont="1" applyFill="1" applyBorder="1" applyAlignment="1">
      <alignment horizontal="center" vertical="center" wrapText="1"/>
    </xf>
    <xf numFmtId="0" fontId="2" fillId="20" borderId="4" xfId="0" applyFont="1" applyFill="1" applyBorder="1" applyAlignment="1">
      <alignment horizontal="center" vertical="center" wrapText="1"/>
    </xf>
    <xf numFmtId="0" fontId="2" fillId="17" borderId="3" xfId="0" applyFont="1" applyFill="1" applyBorder="1" applyAlignment="1">
      <alignment horizontal="center" vertical="center" wrapText="1"/>
    </xf>
    <xf numFmtId="0" fontId="2" fillId="17" borderId="1" xfId="0" applyFont="1" applyFill="1" applyBorder="1" applyAlignment="1">
      <alignment horizontal="center" vertical="center" wrapText="1"/>
    </xf>
    <xf numFmtId="0" fontId="2" fillId="17" borderId="4" xfId="0" applyFont="1" applyFill="1" applyBorder="1" applyAlignment="1">
      <alignment horizontal="center" vertical="center" wrapText="1"/>
    </xf>
    <xf numFmtId="0" fontId="63" fillId="0" borderId="1" xfId="2867" applyFill="1" applyBorder="1" applyAlignment="1" applyProtection="1">
      <alignment horizontal="center" vertical="center" wrapText="1"/>
      <protection locked="0"/>
    </xf>
    <xf numFmtId="0" fontId="32" fillId="0" borderId="1" xfId="0" applyFont="1" applyFill="1" applyBorder="1" applyAlignment="1" applyProtection="1">
      <alignment horizontal="center" vertical="center" wrapText="1"/>
      <protection locked="0"/>
    </xf>
    <xf numFmtId="0" fontId="32" fillId="0" borderId="1" xfId="0" applyFont="1" applyFill="1" applyBorder="1" applyAlignment="1">
      <alignment horizontal="center" vertical="center" wrapText="1"/>
    </xf>
    <xf numFmtId="0" fontId="4" fillId="0" borderId="1" xfId="0" applyFont="1" applyFill="1" applyBorder="1" applyAlignment="1" applyProtection="1">
      <alignment horizontal="left" vertical="top" wrapText="1"/>
      <protection locked="0"/>
    </xf>
    <xf numFmtId="0" fontId="4" fillId="0" borderId="7" xfId="0" applyFont="1" applyFill="1" applyBorder="1" applyAlignment="1" applyProtection="1">
      <alignment horizontal="left" vertical="top" wrapText="1"/>
      <protection locked="0"/>
    </xf>
    <xf numFmtId="0" fontId="4" fillId="0" borderId="1" xfId="0" applyFont="1" applyFill="1" applyBorder="1" applyAlignment="1" applyProtection="1">
      <alignment horizontal="center" vertical="center" wrapText="1"/>
      <protection locked="0"/>
    </xf>
    <xf numFmtId="0" fontId="0" fillId="0" borderId="0" xfId="0" applyAlignment="1">
      <alignment horizontal="center" vertical="center"/>
    </xf>
    <xf numFmtId="0" fontId="4" fillId="0" borderId="1" xfId="0" applyFont="1" applyFill="1" applyBorder="1" applyAlignment="1">
      <alignment horizontal="center" vertical="center" wrapText="1"/>
    </xf>
    <xf numFmtId="0" fontId="4" fillId="0" borderId="5" xfId="0" applyFont="1" applyFill="1" applyBorder="1" applyAlignment="1" applyProtection="1">
      <alignment horizontal="center" vertical="center" wrapText="1"/>
      <protection locked="0"/>
    </xf>
    <xf numFmtId="0" fontId="32" fillId="0" borderId="5" xfId="0" applyFont="1" applyFill="1" applyBorder="1" applyAlignment="1">
      <alignment horizontal="center" vertical="center" wrapText="1"/>
    </xf>
    <xf numFmtId="0" fontId="63" fillId="0" borderId="5" xfId="2867" applyFill="1" applyBorder="1" applyAlignment="1" applyProtection="1">
      <alignment horizontal="center" vertical="center" wrapText="1"/>
      <protection locked="0"/>
    </xf>
    <xf numFmtId="0" fontId="19" fillId="0" borderId="13" xfId="0" applyFont="1" applyBorder="1" applyAlignment="1">
      <alignment horizontal="center"/>
    </xf>
    <xf numFmtId="0" fontId="19" fillId="0" borderId="3" xfId="0" applyFont="1" applyBorder="1" applyAlignment="1">
      <alignment horizontal="center"/>
    </xf>
    <xf numFmtId="0" fontId="19" fillId="0" borderId="14" xfId="0" applyFont="1" applyBorder="1" applyAlignment="1">
      <alignment horizontal="center"/>
    </xf>
    <xf numFmtId="0" fontId="19" fillId="0" borderId="1" xfId="0" applyFont="1" applyBorder="1" applyAlignment="1">
      <alignment horizontal="center"/>
    </xf>
    <xf numFmtId="0" fontId="2" fillId="16" borderId="14" xfId="0" applyFont="1" applyFill="1" applyBorder="1" applyAlignment="1">
      <alignment horizontal="center" vertical="center" wrapText="1"/>
    </xf>
    <xf numFmtId="0" fontId="2" fillId="16" borderId="1" xfId="0" applyFont="1" applyFill="1" applyBorder="1" applyAlignment="1">
      <alignment horizontal="center" vertical="center" wrapText="1"/>
    </xf>
    <xf numFmtId="0" fontId="2" fillId="16" borderId="38" xfId="0" applyFont="1" applyFill="1" applyBorder="1" applyAlignment="1">
      <alignment horizontal="center" vertical="center" wrapText="1"/>
    </xf>
    <xf numFmtId="0" fontId="2" fillId="16" borderId="4" xfId="0" applyFont="1" applyFill="1" applyBorder="1" applyAlignment="1">
      <alignment horizontal="center" vertical="center" wrapText="1"/>
    </xf>
    <xf numFmtId="0" fontId="2" fillId="16" borderId="13" xfId="0" applyFont="1" applyFill="1" applyBorder="1" applyAlignment="1">
      <alignment horizontal="center" vertical="center" wrapText="1"/>
    </xf>
    <xf numFmtId="0" fontId="2" fillId="16" borderId="3" xfId="0" applyFont="1" applyFill="1" applyBorder="1" applyAlignment="1">
      <alignment horizontal="center" vertical="center" wrapText="1"/>
    </xf>
    <xf numFmtId="0" fontId="26" fillId="16" borderId="3" xfId="0" applyFont="1" applyFill="1" applyBorder="1" applyAlignment="1">
      <alignment horizontal="center" vertical="center" wrapText="1"/>
    </xf>
    <xf numFmtId="0" fontId="26" fillId="16" borderId="10" xfId="0" applyFont="1" applyFill="1" applyBorder="1" applyAlignment="1">
      <alignment horizontal="center" vertical="center" wrapText="1"/>
    </xf>
    <xf numFmtId="0" fontId="60" fillId="16" borderId="1" xfId="0" applyFont="1" applyFill="1" applyBorder="1" applyAlignment="1">
      <alignment horizontal="center" vertical="center" wrapText="1"/>
    </xf>
    <xf numFmtId="0" fontId="60" fillId="16" borderId="11" xfId="0" applyFont="1" applyFill="1" applyBorder="1" applyAlignment="1">
      <alignment horizontal="center" vertical="center" wrapText="1"/>
    </xf>
    <xf numFmtId="0" fontId="26" fillId="0" borderId="1" xfId="0" applyFont="1" applyBorder="1" applyAlignment="1">
      <alignment horizontal="left" vertical="center"/>
    </xf>
    <xf numFmtId="0" fontId="2" fillId="16" borderId="3" xfId="0" applyFont="1" applyFill="1" applyBorder="1" applyAlignment="1">
      <alignment horizontal="center" vertical="center"/>
    </xf>
    <xf numFmtId="0" fontId="2" fillId="20" borderId="1" xfId="0" applyFont="1" applyFill="1" applyBorder="1" applyAlignment="1">
      <alignment horizontal="center" vertical="center"/>
    </xf>
    <xf numFmtId="0" fontId="26" fillId="0" borderId="11" xfId="0" applyFont="1" applyBorder="1" applyAlignment="1">
      <alignment horizontal="left" vertical="center"/>
    </xf>
    <xf numFmtId="0" fontId="9" fillId="0" borderId="39" xfId="0" applyFont="1" applyBorder="1" applyAlignment="1">
      <alignment horizontal="left" vertical="center" wrapText="1"/>
    </xf>
    <xf numFmtId="0" fontId="9" fillId="0" borderId="22" xfId="0" applyFont="1" applyBorder="1" applyAlignment="1">
      <alignment horizontal="left" vertical="center" wrapText="1"/>
    </xf>
    <xf numFmtId="0" fontId="9" fillId="0" borderId="23" xfId="0" applyFont="1" applyBorder="1" applyAlignment="1">
      <alignment horizontal="left" vertical="center" wrapText="1"/>
    </xf>
    <xf numFmtId="0" fontId="9" fillId="0" borderId="8" xfId="0" applyFont="1" applyBorder="1" applyAlignment="1">
      <alignment horizontal="left" vertical="center" wrapText="1"/>
    </xf>
    <xf numFmtId="0" fontId="9" fillId="0" borderId="6" xfId="0" applyFont="1" applyBorder="1" applyAlignment="1">
      <alignment horizontal="left" vertical="center" wrapText="1"/>
    </xf>
    <xf numFmtId="0" fontId="9" fillId="0" borderId="40" xfId="0" applyFont="1" applyBorder="1" applyAlignment="1">
      <alignment horizontal="left" vertical="center" wrapText="1"/>
    </xf>
    <xf numFmtId="0" fontId="2" fillId="16" borderId="10" xfId="0" applyFont="1" applyFill="1" applyBorder="1" applyAlignment="1">
      <alignment horizontal="center" vertical="center" wrapText="1"/>
    </xf>
    <xf numFmtId="0" fontId="2" fillId="16" borderId="11" xfId="0" applyFont="1" applyFill="1" applyBorder="1" applyAlignment="1">
      <alignment horizontal="center" vertical="center" wrapText="1"/>
    </xf>
    <xf numFmtId="0" fontId="2" fillId="16" borderId="12" xfId="0" applyFont="1" applyFill="1" applyBorder="1" applyAlignment="1">
      <alignment horizontal="center" vertical="center" wrapText="1"/>
    </xf>
    <xf numFmtId="0" fontId="2" fillId="24" borderId="3" xfId="0" applyFont="1" applyFill="1" applyBorder="1" applyAlignment="1">
      <alignment horizontal="center" vertical="center" wrapText="1"/>
    </xf>
    <xf numFmtId="0" fontId="2" fillId="24" borderId="1" xfId="0" applyFont="1" applyFill="1" applyBorder="1" applyAlignment="1">
      <alignment horizontal="center" vertical="center" wrapText="1"/>
    </xf>
    <xf numFmtId="0" fontId="2" fillId="24" borderId="4" xfId="0" applyFont="1" applyFill="1" applyBorder="1" applyAlignment="1">
      <alignment horizontal="center" vertical="center" wrapText="1"/>
    </xf>
    <xf numFmtId="0" fontId="4" fillId="0" borderId="1" xfId="0" applyFont="1" applyBorder="1" applyAlignment="1">
      <alignment horizontal="center" vertical="center" wrapText="1"/>
    </xf>
    <xf numFmtId="0" fontId="4" fillId="0" borderId="5" xfId="0" applyFont="1" applyBorder="1" applyAlignment="1">
      <alignment horizontal="center" vertical="center" wrapText="1"/>
    </xf>
    <xf numFmtId="0" fontId="4" fillId="0" borderId="5" xfId="0" applyFont="1" applyFill="1" applyBorder="1" applyAlignment="1" applyProtection="1">
      <alignment horizontal="left" vertical="top" wrapText="1"/>
      <protection locked="0"/>
    </xf>
    <xf numFmtId="0" fontId="20" fillId="4" borderId="1" xfId="0" applyFont="1" applyFill="1" applyBorder="1" applyAlignment="1">
      <alignment horizontal="center" vertical="center"/>
    </xf>
    <xf numFmtId="0" fontId="20" fillId="0" borderId="0" xfId="0" applyFont="1" applyAlignment="1">
      <alignment horizontal="center" vertical="center" wrapText="1"/>
    </xf>
    <xf numFmtId="181" fontId="0" fillId="0" borderId="0" xfId="0" applyNumberFormat="1" applyAlignment="1">
      <alignment horizontal="left" vertical="center"/>
    </xf>
    <xf numFmtId="0" fontId="0" fillId="0" borderId="0" xfId="0" applyAlignment="1">
      <alignment horizontal="left" vertical="center"/>
    </xf>
    <xf numFmtId="180" fontId="4" fillId="16" borderId="1" xfId="0" applyNumberFormat="1" applyFont="1" applyFill="1" applyBorder="1" applyAlignment="1" applyProtection="1">
      <alignment horizontal="center" vertical="center" wrapText="1"/>
      <protection locked="0"/>
    </xf>
    <xf numFmtId="0" fontId="19" fillId="0" borderId="0" xfId="0" applyFont="1" applyAlignment="1">
      <alignment horizontal="center" vertical="center"/>
    </xf>
    <xf numFmtId="0" fontId="32" fillId="0" borderId="1" xfId="0" applyFont="1" applyFill="1" applyBorder="1" applyAlignment="1" applyProtection="1">
      <alignment horizontal="left" vertical="top" wrapText="1"/>
      <protection locked="0"/>
    </xf>
    <xf numFmtId="0" fontId="32" fillId="0" borderId="7" xfId="0" applyFont="1" applyFill="1" applyBorder="1" applyAlignment="1" applyProtection="1">
      <alignment horizontal="left" vertical="top" wrapText="1"/>
      <protection locked="0"/>
    </xf>
    <xf numFmtId="0" fontId="32" fillId="0" borderId="41" xfId="0" applyFont="1" applyFill="1" applyBorder="1" applyAlignment="1" applyProtection="1">
      <alignment horizontal="left" vertical="top" wrapText="1"/>
      <protection locked="0"/>
    </xf>
    <xf numFmtId="0" fontId="32" fillId="0" borderId="9" xfId="0" applyFont="1" applyFill="1" applyBorder="1" applyAlignment="1" applyProtection="1">
      <alignment horizontal="left" vertical="top" wrapText="1"/>
      <protection locked="0"/>
    </xf>
    <xf numFmtId="0" fontId="32" fillId="0" borderId="43" xfId="0" applyFont="1" applyFill="1" applyBorder="1" applyAlignment="1" applyProtection="1">
      <alignment horizontal="left" vertical="top" wrapText="1"/>
      <protection locked="0"/>
    </xf>
    <xf numFmtId="0" fontId="4" fillId="0" borderId="2" xfId="0" applyFont="1" applyFill="1" applyBorder="1" applyAlignment="1" applyProtection="1">
      <alignment horizontal="center" vertical="center" wrapText="1"/>
      <protection locked="0"/>
    </xf>
    <xf numFmtId="0" fontId="4" fillId="0" borderId="15" xfId="0" applyFont="1" applyFill="1" applyBorder="1" applyAlignment="1" applyProtection="1">
      <alignment horizontal="center" vertical="center" wrapText="1"/>
      <protection locked="0"/>
    </xf>
    <xf numFmtId="0" fontId="3" fillId="0" borderId="1" xfId="0" applyFont="1" applyFill="1" applyBorder="1" applyAlignment="1">
      <alignment horizontal="center" vertical="top" wrapText="1"/>
    </xf>
    <xf numFmtId="0" fontId="3" fillId="0" borderId="1" xfId="0" applyFont="1" applyFill="1" applyBorder="1" applyAlignment="1" applyProtection="1">
      <alignment horizontal="center" vertical="top" wrapText="1"/>
      <protection locked="0"/>
    </xf>
    <xf numFmtId="0" fontId="4" fillId="0" borderId="1" xfId="16" applyFill="1" applyBorder="1" applyAlignment="1">
      <alignment horizontal="center" vertical="center" wrapText="1"/>
    </xf>
    <xf numFmtId="10" fontId="4" fillId="0" borderId="1" xfId="0" applyNumberFormat="1" applyFont="1" applyFill="1" applyBorder="1" applyAlignment="1" applyProtection="1">
      <alignment horizontal="center" vertical="center" wrapText="1"/>
      <protection locked="0"/>
    </xf>
    <xf numFmtId="0" fontId="4" fillId="0" borderId="2" xfId="16" applyFill="1" applyBorder="1" applyAlignment="1">
      <alignment horizontal="center" vertical="center" wrapText="1"/>
    </xf>
    <xf numFmtId="0" fontId="4" fillId="0" borderId="15" xfId="16" applyFill="1" applyBorder="1" applyAlignment="1">
      <alignment horizontal="center" vertical="center" wrapText="1"/>
    </xf>
    <xf numFmtId="0" fontId="4" fillId="0" borderId="5" xfId="16" applyFill="1" applyBorder="1" applyAlignment="1">
      <alignment horizontal="center" vertical="center" wrapText="1"/>
    </xf>
    <xf numFmtId="10" fontId="4" fillId="0" borderId="2" xfId="0" applyNumberFormat="1" applyFont="1" applyFill="1" applyBorder="1" applyAlignment="1" applyProtection="1">
      <alignment horizontal="center" vertical="center" wrapText="1"/>
      <protection locked="0"/>
    </xf>
    <xf numFmtId="10" fontId="4" fillId="0" borderId="15" xfId="0" applyNumberFormat="1" applyFont="1" applyFill="1" applyBorder="1" applyAlignment="1" applyProtection="1">
      <alignment horizontal="center" vertical="center" wrapText="1"/>
      <protection locked="0"/>
    </xf>
    <xf numFmtId="10" fontId="4" fillId="0" borderId="5" xfId="0" applyNumberFormat="1" applyFont="1" applyFill="1" applyBorder="1" applyAlignment="1" applyProtection="1">
      <alignment horizontal="center" vertical="center" wrapText="1"/>
      <protection locked="0"/>
    </xf>
    <xf numFmtId="0" fontId="4" fillId="0" borderId="1" xfId="16" applyFill="1" applyBorder="1" applyAlignment="1" applyProtection="1">
      <alignment horizontal="left" vertical="top" wrapText="1"/>
      <protection locked="0"/>
    </xf>
    <xf numFmtId="0" fontId="2" fillId="16" borderId="1" xfId="16" applyFont="1" applyFill="1" applyBorder="1" applyAlignment="1">
      <alignment horizontal="center" vertical="center" wrapText="1"/>
    </xf>
    <xf numFmtId="0" fontId="2" fillId="0" borderId="1" xfId="0" applyFont="1" applyFill="1" applyBorder="1" applyAlignment="1" applyProtection="1">
      <alignment horizontal="center" vertical="center" wrapText="1"/>
      <protection locked="0"/>
    </xf>
    <xf numFmtId="0" fontId="4" fillId="0" borderId="1" xfId="16" applyFill="1" applyBorder="1" applyAlignment="1">
      <alignment horizontal="justify" vertical="top" wrapText="1"/>
    </xf>
    <xf numFmtId="0" fontId="4" fillId="0" borderId="2" xfId="16" applyFill="1" applyBorder="1" applyAlignment="1" applyProtection="1">
      <alignment horizontal="justify" vertical="top" wrapText="1"/>
      <protection locked="0"/>
    </xf>
    <xf numFmtId="0" fontId="4" fillId="0" borderId="5" xfId="16" applyFill="1" applyBorder="1" applyAlignment="1" applyProtection="1">
      <alignment horizontal="justify" vertical="top" wrapText="1"/>
      <protection locked="0"/>
    </xf>
    <xf numFmtId="0" fontId="4" fillId="0" borderId="1" xfId="16" applyFill="1" applyBorder="1" applyAlignment="1" applyProtection="1">
      <alignment horizontal="left" vertical="top"/>
      <protection locked="0"/>
    </xf>
    <xf numFmtId="0" fontId="3" fillId="0" borderId="1" xfId="16" applyFont="1" applyFill="1" applyBorder="1" applyAlignment="1" applyProtection="1">
      <alignment horizontal="left" vertical="top" wrapText="1"/>
      <protection locked="0"/>
    </xf>
    <xf numFmtId="0" fontId="31" fillId="0" borderId="1" xfId="16" applyFont="1" applyFill="1" applyBorder="1" applyAlignment="1" applyProtection="1">
      <alignment horizontal="justify" vertical="top" wrapText="1"/>
      <protection locked="0"/>
    </xf>
    <xf numFmtId="0" fontId="31" fillId="0" borderId="1" xfId="16" applyFont="1" applyFill="1" applyBorder="1" applyAlignment="1" applyProtection="1">
      <alignment horizontal="justify" vertical="top"/>
      <protection locked="0"/>
    </xf>
    <xf numFmtId="0" fontId="31" fillId="0" borderId="1" xfId="16" applyFont="1" applyFill="1" applyBorder="1" applyAlignment="1" applyProtection="1">
      <alignment horizontal="left" vertical="top" wrapText="1"/>
      <protection locked="0"/>
    </xf>
    <xf numFmtId="0" fontId="31" fillId="0" borderId="1" xfId="16" applyFont="1" applyFill="1" applyBorder="1" applyAlignment="1" applyProtection="1">
      <alignment horizontal="left" vertical="top"/>
      <protection locked="0"/>
    </xf>
    <xf numFmtId="0" fontId="3" fillId="0" borderId="5" xfId="16" applyFont="1" applyFill="1" applyBorder="1" applyAlignment="1" applyProtection="1">
      <alignment horizontal="left" vertical="top" wrapText="1"/>
      <protection locked="0"/>
    </xf>
    <xf numFmtId="0" fontId="3" fillId="0" borderId="2" xfId="16" applyFont="1" applyFill="1" applyBorder="1" applyAlignment="1" applyProtection="1">
      <alignment horizontal="left" vertical="top" wrapText="1"/>
      <protection locked="0"/>
    </xf>
    <xf numFmtId="0" fontId="4" fillId="0" borderId="1" xfId="16" applyFill="1" applyBorder="1" applyAlignment="1">
      <alignment horizontal="left" vertical="top" wrapText="1"/>
    </xf>
    <xf numFmtId="0" fontId="2" fillId="0" borderId="5" xfId="0" applyFont="1" applyFill="1" applyBorder="1" applyAlignment="1" applyProtection="1">
      <alignment horizontal="center" vertical="center" wrapText="1"/>
      <protection locked="0"/>
    </xf>
    <xf numFmtId="0" fontId="4" fillId="0" borderId="5" xfId="16" applyFill="1" applyBorder="1" applyAlignment="1">
      <alignment horizontal="justify" vertical="center" wrapText="1"/>
    </xf>
    <xf numFmtId="0" fontId="4" fillId="0" borderId="1" xfId="16" applyFill="1" applyBorder="1" applyAlignment="1">
      <alignment horizontal="justify" vertical="center" wrapText="1"/>
    </xf>
    <xf numFmtId="0" fontId="4" fillId="0" borderId="5" xfId="16" applyFill="1" applyBorder="1" applyAlignment="1">
      <alignment horizontal="left" vertical="top" wrapText="1"/>
    </xf>
    <xf numFmtId="0" fontId="25" fillId="0" borderId="16" xfId="0" applyFont="1" applyBorder="1" applyAlignment="1">
      <alignment horizontal="center"/>
    </xf>
    <xf numFmtId="0" fontId="25" fillId="0" borderId="17" xfId="0" applyFont="1" applyBorder="1" applyAlignment="1">
      <alignment horizontal="center"/>
    </xf>
    <xf numFmtId="0" fontId="25" fillId="0" borderId="18" xfId="0" applyFont="1" applyBorder="1" applyAlignment="1">
      <alignment horizontal="center"/>
    </xf>
    <xf numFmtId="0" fontId="25" fillId="0" borderId="0" xfId="0" applyFont="1" applyAlignment="1">
      <alignment horizontal="center"/>
    </xf>
    <xf numFmtId="0" fontId="25" fillId="0" borderId="20" xfId="0" applyFont="1" applyBorder="1" applyAlignment="1">
      <alignment horizontal="center"/>
    </xf>
    <xf numFmtId="0" fontId="25" fillId="0" borderId="21" xfId="0" applyFont="1" applyBorder="1" applyAlignment="1">
      <alignment horizontal="center"/>
    </xf>
    <xf numFmtId="0" fontId="26" fillId="16" borderId="13" xfId="0" applyFont="1" applyFill="1" applyBorder="1" applyAlignment="1">
      <alignment horizontal="center" vertical="center" wrapText="1"/>
    </xf>
    <xf numFmtId="0" fontId="60" fillId="16" borderId="14" xfId="0" applyFont="1" applyFill="1" applyBorder="1" applyAlignment="1">
      <alignment horizontal="center" vertical="center" wrapText="1"/>
    </xf>
    <xf numFmtId="0" fontId="4" fillId="16" borderId="3" xfId="16" applyFill="1" applyBorder="1" applyAlignment="1">
      <alignment horizontal="center" vertical="center" wrapText="1"/>
    </xf>
    <xf numFmtId="0" fontId="4" fillId="16" borderId="4" xfId="16" applyFill="1" applyBorder="1" applyAlignment="1">
      <alignment horizontal="center" vertical="center" wrapText="1"/>
    </xf>
    <xf numFmtId="0" fontId="11" fillId="16" borderId="3" xfId="16" applyFont="1" applyFill="1" applyBorder="1" applyAlignment="1">
      <alignment horizontal="center" vertical="center" wrapText="1"/>
    </xf>
    <xf numFmtId="0" fontId="2" fillId="20" borderId="3" xfId="16" applyFont="1" applyFill="1" applyBorder="1" applyAlignment="1">
      <alignment horizontal="center" vertical="center" wrapText="1"/>
    </xf>
    <xf numFmtId="0" fontId="10" fillId="16" borderId="28" xfId="0" applyFont="1" applyFill="1" applyBorder="1" applyAlignment="1">
      <alignment horizontal="left" vertical="center" wrapText="1"/>
    </xf>
    <xf numFmtId="0" fontId="10" fillId="16" borderId="22" xfId="0" applyFont="1" applyFill="1" applyBorder="1" applyAlignment="1">
      <alignment horizontal="left" vertical="center" wrapText="1"/>
    </xf>
    <xf numFmtId="0" fontId="10" fillId="16" borderId="23" xfId="0" applyFont="1" applyFill="1" applyBorder="1" applyAlignment="1">
      <alignment horizontal="left" vertical="center" wrapText="1"/>
    </xf>
    <xf numFmtId="0" fontId="9" fillId="3" borderId="16" xfId="0" applyFont="1" applyFill="1" applyBorder="1" applyAlignment="1">
      <alignment horizontal="left" vertical="center" wrapText="1"/>
    </xf>
    <xf numFmtId="0" fontId="9" fillId="3" borderId="17" xfId="0" applyFont="1" applyFill="1" applyBorder="1" applyAlignment="1">
      <alignment horizontal="left" vertical="center" wrapText="1"/>
    </xf>
    <xf numFmtId="0" fontId="9" fillId="3" borderId="26" xfId="0" applyFont="1" applyFill="1" applyBorder="1" applyAlignment="1">
      <alignment horizontal="left" vertical="center" wrapText="1"/>
    </xf>
    <xf numFmtId="0" fontId="9" fillId="3" borderId="30" xfId="0" applyFont="1" applyFill="1" applyBorder="1" applyAlignment="1">
      <alignment horizontal="left" vertical="center" wrapText="1"/>
    </xf>
    <xf numFmtId="0" fontId="9" fillId="3" borderId="31" xfId="0" applyFont="1" applyFill="1" applyBorder="1" applyAlignment="1">
      <alignment horizontal="left" vertical="center" wrapText="1"/>
    </xf>
    <xf numFmtId="0" fontId="9" fillId="3" borderId="32" xfId="0" applyFont="1" applyFill="1" applyBorder="1" applyAlignment="1">
      <alignment horizontal="left" vertical="center" wrapText="1"/>
    </xf>
    <xf numFmtId="0" fontId="10" fillId="16" borderId="27" xfId="0" applyFont="1" applyFill="1" applyBorder="1" applyAlignment="1">
      <alignment horizontal="left" vertical="center" wrapText="1"/>
    </xf>
    <xf numFmtId="0" fontId="10" fillId="16" borderId="24" xfId="0" applyFont="1" applyFill="1" applyBorder="1" applyAlignment="1">
      <alignment horizontal="left" vertical="center" wrapText="1"/>
    </xf>
    <xf numFmtId="0" fontId="10" fillId="16" borderId="25" xfId="0" applyFont="1" applyFill="1" applyBorder="1" applyAlignment="1">
      <alignment horizontal="left" vertical="center" wrapText="1"/>
    </xf>
    <xf numFmtId="0" fontId="4" fillId="16" borderId="13" xfId="16" applyFill="1" applyBorder="1" applyAlignment="1">
      <alignment horizontal="center" vertical="center" wrapText="1"/>
    </xf>
    <xf numFmtId="0" fontId="4" fillId="16" borderId="38" xfId="16" applyFill="1" applyBorder="1" applyAlignment="1">
      <alignment horizontal="center" vertical="center" wrapText="1"/>
    </xf>
    <xf numFmtId="0" fontId="26" fillId="3" borderId="28" xfId="0" applyFont="1" applyFill="1" applyBorder="1" applyAlignment="1">
      <alignment horizontal="left" vertical="center" wrapText="1"/>
    </xf>
    <xf numFmtId="0" fontId="26" fillId="3" borderId="22" xfId="0" applyFont="1" applyFill="1" applyBorder="1" applyAlignment="1">
      <alignment horizontal="left" vertical="center" wrapText="1"/>
    </xf>
    <xf numFmtId="0" fontId="26" fillId="3" borderId="29" xfId="0" applyFont="1" applyFill="1" applyBorder="1" applyAlignment="1">
      <alignment horizontal="left" vertical="center" wrapText="1"/>
    </xf>
    <xf numFmtId="0" fontId="9" fillId="0" borderId="30" xfId="0" applyFont="1" applyBorder="1" applyAlignment="1">
      <alignment horizontal="center" vertical="center" wrapText="1"/>
    </xf>
    <xf numFmtId="0" fontId="9" fillId="0" borderId="31" xfId="0" applyFont="1" applyBorder="1" applyAlignment="1">
      <alignment horizontal="center" vertical="center" wrapText="1"/>
    </xf>
    <xf numFmtId="0" fontId="9" fillId="0" borderId="32" xfId="0" applyFont="1" applyBorder="1" applyAlignment="1">
      <alignment horizontal="center" vertical="center" wrapText="1"/>
    </xf>
    <xf numFmtId="0" fontId="2" fillId="16" borderId="3" xfId="16" applyFont="1" applyFill="1" applyBorder="1" applyAlignment="1">
      <alignment horizontal="center" vertical="center" wrapText="1"/>
    </xf>
    <xf numFmtId="0" fontId="2" fillId="16" borderId="10" xfId="16" applyFont="1" applyFill="1" applyBorder="1" applyAlignment="1">
      <alignment horizontal="center" vertical="center" wrapText="1"/>
    </xf>
    <xf numFmtId="0" fontId="2" fillId="16" borderId="12" xfId="16" applyFont="1" applyFill="1" applyBorder="1" applyAlignment="1">
      <alignment horizontal="center" vertical="center" wrapText="1"/>
    </xf>
    <xf numFmtId="10" fontId="31" fillId="0" borderId="1" xfId="16" applyNumberFormat="1" applyFont="1" applyFill="1" applyBorder="1" applyAlignment="1" applyProtection="1">
      <alignment horizontal="left" vertical="top" wrapText="1"/>
      <protection locked="0"/>
    </xf>
    <xf numFmtId="0" fontId="31" fillId="0" borderId="1" xfId="16" applyFont="1" applyFill="1" applyBorder="1" applyAlignment="1" applyProtection="1">
      <alignment vertical="top" wrapText="1"/>
      <protection locked="0"/>
    </xf>
    <xf numFmtId="0" fontId="4" fillId="0" borderId="2" xfId="16" applyFill="1" applyBorder="1" applyAlignment="1" applyProtection="1">
      <alignment horizontal="left" vertical="top" wrapText="1"/>
      <protection locked="0"/>
    </xf>
    <xf numFmtId="0" fontId="4" fillId="0" borderId="5" xfId="16" applyFill="1" applyBorder="1" applyAlignment="1" applyProtection="1">
      <alignment horizontal="left" vertical="top" wrapText="1"/>
      <protection locked="0"/>
    </xf>
    <xf numFmtId="0" fontId="4" fillId="0" borderId="2" xfId="16" applyFill="1" applyBorder="1" applyAlignment="1" applyProtection="1">
      <alignment vertical="top" wrapText="1"/>
      <protection locked="0"/>
    </xf>
    <xf numFmtId="0" fontId="4" fillId="0" borderId="5" xfId="16" applyFill="1" applyBorder="1" applyAlignment="1" applyProtection="1">
      <alignment vertical="top" wrapText="1"/>
      <protection locked="0"/>
    </xf>
    <xf numFmtId="0" fontId="4" fillId="0" borderId="1" xfId="16" applyFill="1" applyBorder="1" applyAlignment="1" applyProtection="1">
      <alignment horizontal="justify" vertical="top" wrapText="1"/>
      <protection locked="0"/>
    </xf>
    <xf numFmtId="0" fontId="4" fillId="0" borderId="1" xfId="16" applyFill="1" applyBorder="1" applyAlignment="1" applyProtection="1">
      <alignment horizontal="justify" vertical="top"/>
      <protection locked="0"/>
    </xf>
    <xf numFmtId="0" fontId="31" fillId="0" borderId="2" xfId="0" applyFont="1" applyBorder="1" applyAlignment="1">
      <alignment horizontal="center" vertical="center"/>
    </xf>
    <xf numFmtId="0" fontId="31" fillId="0" borderId="15" xfId="0" applyFont="1" applyBorder="1" applyAlignment="1">
      <alignment horizontal="center" vertical="center"/>
    </xf>
    <xf numFmtId="0" fontId="31" fillId="0" borderId="5" xfId="0" applyFont="1" applyBorder="1" applyAlignment="1">
      <alignment horizontal="center" vertical="center"/>
    </xf>
    <xf numFmtId="0" fontId="31" fillId="0" borderId="1" xfId="0" applyFont="1" applyBorder="1" applyAlignment="1">
      <alignment horizontal="center" vertical="center" wrapText="1"/>
    </xf>
    <xf numFmtId="0" fontId="31" fillId="0" borderId="2" xfId="0" applyFont="1" applyBorder="1" applyAlignment="1" applyProtection="1">
      <alignment horizontal="center" vertical="center"/>
      <protection locked="0"/>
    </xf>
    <xf numFmtId="0" fontId="31" fillId="0" borderId="15" xfId="0" applyFont="1" applyBorder="1" applyAlignment="1" applyProtection="1">
      <alignment horizontal="center" vertical="center"/>
      <protection locked="0"/>
    </xf>
    <xf numFmtId="0" fontId="31" fillId="0" borderId="5" xfId="0" applyFont="1" applyBorder="1" applyAlignment="1" applyProtection="1">
      <alignment horizontal="center" vertical="center"/>
      <protection locked="0"/>
    </xf>
    <xf numFmtId="0" fontId="31" fillId="0" borderId="1" xfId="0" applyFont="1" applyBorder="1" applyAlignment="1" applyProtection="1">
      <alignment horizontal="center" vertical="center" wrapText="1"/>
      <protection locked="0"/>
    </xf>
    <xf numFmtId="0" fontId="31" fillId="0" borderId="1" xfId="0" applyFont="1" applyBorder="1" applyAlignment="1">
      <alignment horizontal="center" vertical="center"/>
    </xf>
    <xf numFmtId="0" fontId="46" fillId="17" borderId="8" xfId="0" applyFont="1" applyFill="1" applyBorder="1" applyAlignment="1">
      <alignment horizontal="center" vertical="center"/>
    </xf>
    <xf numFmtId="0" fontId="46" fillId="17" borderId="6" xfId="0" applyFont="1" applyFill="1" applyBorder="1" applyAlignment="1">
      <alignment horizontal="center" vertical="center"/>
    </xf>
    <xf numFmtId="0" fontId="46" fillId="17" borderId="7" xfId="0" applyFont="1" applyFill="1" applyBorder="1" applyAlignment="1">
      <alignment horizontal="center" vertical="center"/>
    </xf>
    <xf numFmtId="9" fontId="31" fillId="0" borderId="1" xfId="0" applyNumberFormat="1" applyFont="1" applyBorder="1" applyAlignment="1">
      <alignment horizontal="center" vertical="center" wrapText="1"/>
    </xf>
    <xf numFmtId="9" fontId="31" fillId="0" borderId="1" xfId="0" applyNumberFormat="1" applyFont="1" applyBorder="1" applyAlignment="1" applyProtection="1">
      <alignment horizontal="center" vertical="center" wrapText="1"/>
      <protection locked="0"/>
    </xf>
    <xf numFmtId="0" fontId="31" fillId="0" borderId="2" xfId="0" applyFont="1" applyBorder="1" applyAlignment="1">
      <alignment horizontal="center" vertical="center" wrapText="1"/>
    </xf>
    <xf numFmtId="0" fontId="31" fillId="0" borderId="15" xfId="0" applyFont="1" applyBorder="1" applyAlignment="1">
      <alignment horizontal="center" vertical="center" wrapText="1"/>
    </xf>
    <xf numFmtId="0" fontId="31" fillId="0" borderId="5" xfId="0" applyFont="1" applyBorder="1" applyAlignment="1">
      <alignment horizontal="center" vertical="center" wrapText="1"/>
    </xf>
    <xf numFmtId="9" fontId="31" fillId="0" borderId="2" xfId="0" applyNumberFormat="1" applyFont="1" applyBorder="1" applyAlignment="1">
      <alignment horizontal="center" vertical="center" wrapText="1"/>
    </xf>
    <xf numFmtId="9" fontId="31" fillId="0" borderId="15" xfId="0" applyNumberFormat="1" applyFont="1" applyBorder="1" applyAlignment="1">
      <alignment horizontal="center" vertical="center" wrapText="1"/>
    </xf>
    <xf numFmtId="9" fontId="31" fillId="0" borderId="5" xfId="0" applyNumberFormat="1" applyFont="1" applyBorder="1" applyAlignment="1">
      <alignment horizontal="center" vertical="center" wrapText="1"/>
    </xf>
    <xf numFmtId="0" fontId="46" fillId="16" borderId="1" xfId="0" applyFont="1" applyFill="1" applyBorder="1" applyAlignment="1">
      <alignment horizontal="left" vertical="center"/>
    </xf>
    <xf numFmtId="0" fontId="46" fillId="0" borderId="1" xfId="0" applyFont="1" applyBorder="1" applyAlignment="1">
      <alignment horizontal="left" vertical="top"/>
    </xf>
    <xf numFmtId="0" fontId="46" fillId="17" borderId="1" xfId="0" applyFont="1" applyFill="1" applyBorder="1" applyAlignment="1">
      <alignment horizontal="center" vertical="center"/>
    </xf>
    <xf numFmtId="0" fontId="31" fillId="0" borderId="1" xfId="0" applyFont="1" applyBorder="1" applyAlignment="1">
      <alignment horizontal="center"/>
    </xf>
    <xf numFmtId="0" fontId="46" fillId="16" borderId="1" xfId="0" applyFont="1" applyFill="1" applyBorder="1" applyAlignment="1">
      <alignment horizontal="center" vertical="center"/>
    </xf>
    <xf numFmtId="0" fontId="46" fillId="16" borderId="1" xfId="0" applyFont="1" applyFill="1" applyBorder="1" applyAlignment="1">
      <alignment horizontal="center" vertical="center" wrapText="1"/>
    </xf>
    <xf numFmtId="0" fontId="46" fillId="0" borderId="1" xfId="0" applyFont="1" applyBorder="1" applyAlignment="1">
      <alignment horizontal="left"/>
    </xf>
    <xf numFmtId="0" fontId="46" fillId="0" borderId="1" xfId="0" applyFont="1" applyBorder="1" applyAlignment="1">
      <alignment horizontal="center"/>
    </xf>
    <xf numFmtId="42" fontId="4" fillId="0" borderId="2" xfId="2865" applyFont="1" applyFill="1" applyBorder="1" applyAlignment="1">
      <alignment horizontal="center" vertical="center" wrapText="1"/>
    </xf>
    <xf numFmtId="42" fontId="4" fillId="0" borderId="15" xfId="2865" applyFont="1" applyFill="1" applyBorder="1" applyAlignment="1">
      <alignment horizontal="center" vertical="center" wrapText="1"/>
    </xf>
    <xf numFmtId="42" fontId="4" fillId="0" borderId="5" xfId="2865" applyFont="1" applyFill="1" applyBorder="1" applyAlignment="1">
      <alignment horizontal="center" vertical="center" wrapText="1"/>
    </xf>
    <xf numFmtId="0" fontId="46" fillId="17" borderId="8" xfId="0" applyFont="1" applyFill="1" applyBorder="1" applyAlignment="1">
      <alignment horizontal="center"/>
    </xf>
    <xf numFmtId="0" fontId="46" fillId="17" borderId="6" xfId="0" applyFont="1" applyFill="1" applyBorder="1" applyAlignment="1">
      <alignment horizontal="center"/>
    </xf>
    <xf numFmtId="0" fontId="46" fillId="17" borderId="7" xfId="0" applyFont="1" applyFill="1" applyBorder="1" applyAlignment="1">
      <alignment horizontal="center"/>
    </xf>
    <xf numFmtId="0" fontId="31" fillId="0" borderId="1" xfId="0" applyFont="1" applyBorder="1" applyAlignment="1">
      <alignment horizontal="left" vertical="center" wrapText="1"/>
    </xf>
    <xf numFmtId="0" fontId="31" fillId="0" borderId="8" xfId="0" applyFont="1" applyBorder="1" applyAlignment="1">
      <alignment horizontal="left" vertical="center"/>
    </xf>
    <xf numFmtId="0" fontId="31" fillId="0" borderId="6" xfId="0" applyFont="1" applyBorder="1" applyAlignment="1">
      <alignment horizontal="left" vertical="center"/>
    </xf>
    <xf numFmtId="0" fontId="31" fillId="0" borderId="7" xfId="0" applyFont="1" applyBorder="1" applyAlignment="1">
      <alignment horizontal="left" vertical="center"/>
    </xf>
    <xf numFmtId="0" fontId="46" fillId="4" borderId="8" xfId="0" applyFont="1" applyFill="1" applyBorder="1" applyAlignment="1">
      <alignment horizontal="center" vertical="center"/>
    </xf>
    <xf numFmtId="0" fontId="46" fillId="4" borderId="6" xfId="0" applyFont="1" applyFill="1" applyBorder="1" applyAlignment="1">
      <alignment horizontal="center" vertical="center"/>
    </xf>
    <xf numFmtId="0" fontId="46" fillId="4" borderId="7" xfId="0" applyFont="1" applyFill="1" applyBorder="1" applyAlignment="1">
      <alignment horizontal="center" vertical="center"/>
    </xf>
    <xf numFmtId="0" fontId="46" fillId="4" borderId="8" xfId="0" applyFont="1" applyFill="1" applyBorder="1" applyAlignment="1">
      <alignment horizontal="center" vertical="center" wrapText="1"/>
    </xf>
    <xf numFmtId="0" fontId="46" fillId="4" borderId="6" xfId="0" applyFont="1" applyFill="1" applyBorder="1" applyAlignment="1">
      <alignment horizontal="center" vertical="center" wrapText="1"/>
    </xf>
    <xf numFmtId="0" fontId="46" fillId="4" borderId="7" xfId="0" applyFont="1" applyFill="1" applyBorder="1" applyAlignment="1">
      <alignment horizontal="center" vertical="center" wrapText="1"/>
    </xf>
    <xf numFmtId="0" fontId="31" fillId="0" borderId="8" xfId="0" applyFont="1" applyBorder="1" applyAlignment="1">
      <alignment horizontal="left" vertical="center" wrapText="1"/>
    </xf>
    <xf numFmtId="0" fontId="31" fillId="0" borderId="6" xfId="0" applyFont="1" applyBorder="1" applyAlignment="1">
      <alignment horizontal="left" vertical="center" wrapText="1"/>
    </xf>
    <xf numFmtId="0" fontId="31" fillId="0" borderId="7" xfId="0" applyFont="1" applyBorder="1" applyAlignment="1">
      <alignment horizontal="left" vertical="center" wrapText="1"/>
    </xf>
    <xf numFmtId="0" fontId="31" fillId="0" borderId="35" xfId="0" applyFont="1" applyBorder="1" applyAlignment="1">
      <alignment horizontal="center" vertical="center"/>
    </xf>
    <xf numFmtId="0" fontId="31" fillId="0" borderId="37" xfId="0" applyFont="1" applyBorder="1" applyAlignment="1">
      <alignment horizontal="center" vertical="center"/>
    </xf>
    <xf numFmtId="0" fontId="31" fillId="0" borderId="41" xfId="0" applyFont="1" applyBorder="1" applyAlignment="1">
      <alignment horizontal="center" vertical="center"/>
    </xf>
    <xf numFmtId="0" fontId="31" fillId="0" borderId="9" xfId="0" applyFont="1" applyBorder="1" applyAlignment="1">
      <alignment horizontal="center" vertical="center"/>
    </xf>
    <xf numFmtId="0" fontId="31" fillId="0" borderId="43" xfId="0" applyFont="1" applyBorder="1" applyAlignment="1">
      <alignment horizontal="center" vertical="center"/>
    </xf>
    <xf numFmtId="0" fontId="31" fillId="0" borderId="2" xfId="0" applyFont="1" applyBorder="1" applyAlignment="1">
      <alignment vertical="center"/>
    </xf>
    <xf numFmtId="0" fontId="31" fillId="0" borderId="15" xfId="0" applyFont="1" applyBorder="1" applyAlignment="1">
      <alignment vertical="center"/>
    </xf>
    <xf numFmtId="0" fontId="31" fillId="0" borderId="5" xfId="0" applyFont="1" applyBorder="1" applyAlignment="1">
      <alignment vertical="center"/>
    </xf>
    <xf numFmtId="0" fontId="31" fillId="0" borderId="1" xfId="0" applyFont="1" applyFill="1" applyBorder="1" applyAlignment="1" applyProtection="1">
      <alignment horizontal="center" vertical="center" wrapText="1"/>
      <protection locked="0"/>
    </xf>
    <xf numFmtId="9" fontId="31" fillId="0" borderId="1" xfId="0" applyNumberFormat="1" applyFont="1" applyFill="1" applyBorder="1" applyAlignment="1" applyProtection="1">
      <alignment horizontal="center" vertical="center" wrapText="1"/>
      <protection locked="0"/>
    </xf>
    <xf numFmtId="0" fontId="31" fillId="0" borderId="2" xfId="0" applyFont="1" applyFill="1" applyBorder="1" applyAlignment="1">
      <alignment horizontal="center" vertical="center"/>
    </xf>
    <xf numFmtId="0" fontId="31" fillId="0" borderId="15" xfId="0" applyFont="1" applyFill="1" applyBorder="1" applyAlignment="1">
      <alignment horizontal="center" vertical="center"/>
    </xf>
    <xf numFmtId="0" fontId="31" fillId="0" borderId="5" xfId="0" applyFont="1" applyFill="1" applyBorder="1" applyAlignment="1">
      <alignment horizontal="center" vertical="center"/>
    </xf>
    <xf numFmtId="0" fontId="31" fillId="0" borderId="1" xfId="0" applyFont="1" applyFill="1" applyBorder="1" applyAlignment="1">
      <alignment horizontal="center" vertical="center" wrapText="1"/>
    </xf>
    <xf numFmtId="0" fontId="31" fillId="0" borderId="2" xfId="0" applyFont="1" applyFill="1" applyBorder="1" applyAlignment="1" applyProtection="1">
      <alignment horizontal="center" vertical="center"/>
      <protection locked="0"/>
    </xf>
    <xf numFmtId="0" fontId="31" fillId="0" borderId="15" xfId="0" applyFont="1" applyFill="1" applyBorder="1" applyAlignment="1" applyProtection="1">
      <alignment horizontal="center" vertical="center"/>
      <protection locked="0"/>
    </xf>
    <xf numFmtId="0" fontId="31" fillId="0" borderId="5" xfId="0" applyFont="1" applyFill="1" applyBorder="1" applyAlignment="1" applyProtection="1">
      <alignment horizontal="center" vertical="center"/>
      <protection locked="0"/>
    </xf>
    <xf numFmtId="3" fontId="2" fillId="0" borderId="1" xfId="0" applyNumberFormat="1" applyFont="1" applyBorder="1" applyAlignment="1">
      <alignment horizontal="center" vertical="center" wrapText="1"/>
    </xf>
    <xf numFmtId="42" fontId="2" fillId="16" borderId="1" xfId="0" applyNumberFormat="1" applyFont="1" applyFill="1" applyBorder="1" applyAlignment="1" applyProtection="1">
      <alignment horizontal="center" vertical="center" wrapText="1"/>
      <protection locked="0"/>
    </xf>
    <xf numFmtId="3" fontId="15" fillId="0" borderId="2" xfId="0" applyNumberFormat="1" applyFont="1" applyBorder="1" applyAlignment="1">
      <alignment horizontal="center" vertical="center" wrapText="1"/>
    </xf>
    <xf numFmtId="3" fontId="15" fillId="0" borderId="15" xfId="0" applyNumberFormat="1" applyFont="1" applyBorder="1" applyAlignment="1">
      <alignment horizontal="center" vertical="center" wrapText="1"/>
    </xf>
    <xf numFmtId="3" fontId="15" fillId="0" borderId="5" xfId="0" applyNumberFormat="1" applyFont="1" applyBorder="1" applyAlignment="1">
      <alignment horizontal="center" vertical="center" wrapText="1"/>
    </xf>
    <xf numFmtId="3" fontId="15" fillId="0" borderId="2" xfId="0" applyNumberFormat="1" applyFont="1" applyBorder="1" applyAlignment="1">
      <alignment vertical="center" wrapText="1"/>
    </xf>
    <xf numFmtId="3" fontId="15" fillId="0" borderId="15" xfId="0" applyNumberFormat="1" applyFont="1" applyBorder="1" applyAlignment="1">
      <alignment vertical="center" wrapText="1"/>
    </xf>
    <xf numFmtId="3" fontId="15" fillId="0" borderId="5" xfId="0" applyNumberFormat="1" applyFont="1" applyBorder="1" applyAlignment="1">
      <alignment vertical="center" wrapText="1"/>
    </xf>
    <xf numFmtId="3" fontId="5" fillId="0" borderId="1" xfId="0" applyNumberFormat="1" applyFont="1" applyBorder="1" applyAlignment="1">
      <alignment horizontal="center" vertical="center"/>
    </xf>
    <xf numFmtId="0" fontId="11" fillId="0" borderId="1" xfId="0" applyFont="1" applyBorder="1" applyAlignment="1">
      <alignment vertical="center" wrapText="1"/>
    </xf>
    <xf numFmtId="3" fontId="15" fillId="0" borderId="1" xfId="0" applyNumberFormat="1" applyFont="1" applyBorder="1" applyAlignment="1">
      <alignment horizontal="center" vertical="center" wrapText="1"/>
    </xf>
    <xf numFmtId="3" fontId="15" fillId="0" borderId="1" xfId="0" applyNumberFormat="1" applyFont="1" applyBorder="1" applyAlignment="1">
      <alignment vertical="center" wrapText="1"/>
    </xf>
    <xf numFmtId="3" fontId="5" fillId="0" borderId="2" xfId="0" applyNumberFormat="1" applyFont="1" applyBorder="1" applyAlignment="1">
      <alignment horizontal="center" vertical="center"/>
    </xf>
    <xf numFmtId="3" fontId="5" fillId="0" borderId="15" xfId="0" applyNumberFormat="1" applyFont="1" applyBorder="1" applyAlignment="1">
      <alignment horizontal="center" vertical="center"/>
    </xf>
    <xf numFmtId="3" fontId="5" fillId="0" borderId="5" xfId="0" applyNumberFormat="1" applyFont="1" applyBorder="1" applyAlignment="1">
      <alignment horizontal="center" vertical="center"/>
    </xf>
    <xf numFmtId="0" fontId="4" fillId="0" borderId="2" xfId="0" applyFont="1" applyBorder="1" applyAlignment="1">
      <alignment horizontal="center" vertical="center" wrapText="1"/>
    </xf>
    <xf numFmtId="0" fontId="4" fillId="0" borderId="15" xfId="0" applyFont="1" applyBorder="1" applyAlignment="1">
      <alignment horizontal="center" vertical="center" wrapText="1"/>
    </xf>
    <xf numFmtId="0" fontId="11" fillId="0" borderId="2" xfId="0" applyFont="1" applyBorder="1" applyAlignment="1">
      <alignment horizontal="center" vertical="top" wrapText="1"/>
    </xf>
    <xf numFmtId="0" fontId="11" fillId="0" borderId="15" xfId="0" applyFont="1" applyBorder="1" applyAlignment="1">
      <alignment horizontal="center" vertical="top" wrapText="1"/>
    </xf>
    <xf numFmtId="3" fontId="2" fillId="0" borderId="5" xfId="0" applyNumberFormat="1" applyFont="1" applyBorder="1" applyAlignment="1">
      <alignment horizontal="center" vertical="center" wrapText="1"/>
    </xf>
    <xf numFmtId="0" fontId="11" fillId="0" borderId="1" xfId="0" applyFont="1" applyBorder="1" applyAlignment="1">
      <alignment vertical="top" wrapText="1"/>
    </xf>
    <xf numFmtId="0" fontId="11" fillId="0" borderId="5" xfId="0" applyFont="1" applyBorder="1" applyAlignment="1">
      <alignment vertical="center" wrapText="1"/>
    </xf>
    <xf numFmtId="0" fontId="9" fillId="16" borderId="30" xfId="0" applyFont="1" applyFill="1" applyBorder="1" applyAlignment="1">
      <alignment horizontal="left" vertical="center" wrapText="1"/>
    </xf>
    <xf numFmtId="0" fontId="9" fillId="16" borderId="31" xfId="0" applyFont="1" applyFill="1" applyBorder="1" applyAlignment="1">
      <alignment horizontal="left" vertical="center" wrapText="1"/>
    </xf>
    <xf numFmtId="0" fontId="9" fillId="2" borderId="48" xfId="0" applyFont="1" applyFill="1" applyBorder="1" applyAlignment="1">
      <alignment horizontal="left" vertical="center" wrapText="1"/>
    </xf>
    <xf numFmtId="0" fontId="9" fillId="2" borderId="36" xfId="0" applyFont="1" applyFill="1" applyBorder="1" applyAlignment="1">
      <alignment horizontal="left" vertical="center" wrapText="1"/>
    </xf>
    <xf numFmtId="0" fontId="9" fillId="2" borderId="33" xfId="0" applyFont="1" applyFill="1" applyBorder="1" applyAlignment="1">
      <alignment horizontal="left" vertical="center" wrapText="1"/>
    </xf>
    <xf numFmtId="0" fontId="9" fillId="2" borderId="34" xfId="0" applyFont="1" applyFill="1" applyBorder="1" applyAlignment="1">
      <alignment horizontal="left" vertical="center" wrapText="1"/>
    </xf>
    <xf numFmtId="0" fontId="28" fillId="16" borderId="20" xfId="19" applyFont="1" applyFill="1" applyBorder="1" applyAlignment="1">
      <alignment horizontal="left" vertical="center" wrapText="1"/>
    </xf>
    <xf numFmtId="0" fontId="28" fillId="16" borderId="21" xfId="19" applyFont="1" applyFill="1" applyBorder="1" applyAlignment="1">
      <alignment horizontal="left" vertical="center" wrapText="1"/>
    </xf>
    <xf numFmtId="0" fontId="10" fillId="2" borderId="48" xfId="0" applyFont="1" applyFill="1" applyBorder="1" applyAlignment="1">
      <alignment horizontal="left" vertical="center" wrapText="1"/>
    </xf>
    <xf numFmtId="0" fontId="10" fillId="2" borderId="36" xfId="0" applyFont="1" applyFill="1" applyBorder="1" applyAlignment="1">
      <alignment horizontal="left" vertical="center" wrapText="1"/>
    </xf>
    <xf numFmtId="0" fontId="10" fillId="2" borderId="33" xfId="0" applyFont="1" applyFill="1" applyBorder="1" applyAlignment="1">
      <alignment horizontal="left" vertical="center" wrapText="1"/>
    </xf>
    <xf numFmtId="0" fontId="10" fillId="2" borderId="34" xfId="0" applyFont="1" applyFill="1" applyBorder="1" applyAlignment="1">
      <alignment horizontal="left" vertical="center" wrapText="1"/>
    </xf>
    <xf numFmtId="0" fontId="28" fillId="0" borderId="16" xfId="19" applyFont="1" applyBorder="1" applyAlignment="1">
      <alignment horizontal="center" vertical="center" wrapText="1"/>
    </xf>
    <xf numFmtId="0" fontId="28" fillId="0" borderId="17" xfId="19" applyFont="1" applyBorder="1" applyAlignment="1">
      <alignment horizontal="center" vertical="center" wrapText="1"/>
    </xf>
    <xf numFmtId="0" fontId="28" fillId="0" borderId="26" xfId="19" applyFont="1" applyBorder="1" applyAlignment="1">
      <alignment horizontal="center" vertical="center" wrapText="1"/>
    </xf>
    <xf numFmtId="0" fontId="2" fillId="16" borderId="8" xfId="0" applyFont="1" applyFill="1" applyBorder="1" applyAlignment="1">
      <alignment horizontal="center" vertical="center" wrapText="1"/>
    </xf>
    <xf numFmtId="0" fontId="2" fillId="16" borderId="6" xfId="0" applyFont="1" applyFill="1" applyBorder="1" applyAlignment="1">
      <alignment horizontal="center" vertical="center" wrapText="1"/>
    </xf>
    <xf numFmtId="0" fontId="2" fillId="16" borderId="7" xfId="0" applyFont="1" applyFill="1" applyBorder="1" applyAlignment="1">
      <alignment horizontal="center" vertical="center" wrapText="1"/>
    </xf>
    <xf numFmtId="0" fontId="0" fillId="0" borderId="16" xfId="0" applyBorder="1" applyAlignment="1">
      <alignment horizontal="center"/>
    </xf>
    <xf numFmtId="0" fontId="0" fillId="0" borderId="17" xfId="0" applyBorder="1" applyAlignment="1">
      <alignment horizontal="center"/>
    </xf>
    <xf numFmtId="0" fontId="0" fillId="0" borderId="18" xfId="0" applyBorder="1" applyAlignment="1">
      <alignment horizontal="center"/>
    </xf>
    <xf numFmtId="0" fontId="0" fillId="0" borderId="0" xfId="0" applyAlignment="1">
      <alignment horizontal="center"/>
    </xf>
    <xf numFmtId="0" fontId="72" fillId="16" borderId="13" xfId="0" applyFont="1" applyFill="1" applyBorder="1" applyAlignment="1">
      <alignment horizontal="center" vertical="center"/>
    </xf>
    <xf numFmtId="0" fontId="72" fillId="16" borderId="3" xfId="0" applyFont="1" applyFill="1" applyBorder="1" applyAlignment="1">
      <alignment horizontal="center" vertical="center"/>
    </xf>
    <xf numFmtId="0" fontId="72" fillId="16" borderId="10" xfId="0" applyFont="1" applyFill="1" applyBorder="1" applyAlignment="1">
      <alignment horizontal="center" vertical="center"/>
    </xf>
    <xf numFmtId="0" fontId="73" fillId="16" borderId="49" xfId="0" applyFont="1" applyFill="1" applyBorder="1" applyAlignment="1">
      <alignment horizontal="center" vertical="center" wrapText="1"/>
    </xf>
    <xf numFmtId="0" fontId="73" fillId="16" borderId="2" xfId="0" applyFont="1" applyFill="1" applyBorder="1" applyAlignment="1">
      <alignment horizontal="center" vertical="center" wrapText="1"/>
    </xf>
    <xf numFmtId="0" fontId="73" fillId="16" borderId="50" xfId="0" applyFont="1" applyFill="1" applyBorder="1" applyAlignment="1">
      <alignment horizontal="center" vertical="center" wrapText="1"/>
    </xf>
    <xf numFmtId="0" fontId="10" fillId="2" borderId="16" xfId="0" applyFont="1" applyFill="1" applyBorder="1" applyAlignment="1">
      <alignment horizontal="left" vertical="center" wrapText="1"/>
    </xf>
    <xf numFmtId="0" fontId="10" fillId="2" borderId="17" xfId="0" applyFont="1" applyFill="1" applyBorder="1" applyAlignment="1">
      <alignment horizontal="left" vertical="center" wrapText="1"/>
    </xf>
    <xf numFmtId="0" fontId="10" fillId="2" borderId="26" xfId="0" applyFont="1" applyFill="1" applyBorder="1" applyAlignment="1">
      <alignment horizontal="left" vertical="center" wrapText="1"/>
    </xf>
    <xf numFmtId="0" fontId="10" fillId="2" borderId="16" xfId="0" applyFont="1" applyFill="1" applyBorder="1" applyAlignment="1">
      <alignment horizontal="left" vertical="center"/>
    </xf>
    <xf numFmtId="0" fontId="10" fillId="2" borderId="17" xfId="0" applyFont="1" applyFill="1" applyBorder="1" applyAlignment="1">
      <alignment horizontal="left" vertical="center"/>
    </xf>
    <xf numFmtId="0" fontId="10" fillId="2" borderId="26" xfId="0" applyFont="1" applyFill="1" applyBorder="1" applyAlignment="1">
      <alignment horizontal="left" vertical="center"/>
    </xf>
    <xf numFmtId="0" fontId="9" fillId="16" borderId="30" xfId="0" applyFont="1" applyFill="1" applyBorder="1" applyAlignment="1">
      <alignment horizontal="left" vertical="center"/>
    </xf>
    <xf numFmtId="0" fontId="9" fillId="16" borderId="31" xfId="0" applyFont="1" applyFill="1" applyBorder="1" applyAlignment="1">
      <alignment horizontal="left" vertical="center"/>
    </xf>
    <xf numFmtId="0" fontId="9" fillId="2" borderId="48" xfId="0" applyFont="1" applyFill="1" applyBorder="1" applyAlignment="1">
      <alignment horizontal="left" vertical="center"/>
    </xf>
    <xf numFmtId="0" fontId="9" fillId="2" borderId="36" xfId="0" applyFont="1" applyFill="1" applyBorder="1" applyAlignment="1">
      <alignment horizontal="left" vertical="center"/>
    </xf>
    <xf numFmtId="0" fontId="9" fillId="2" borderId="33" xfId="0" applyFont="1" applyFill="1" applyBorder="1" applyAlignment="1">
      <alignment horizontal="left" vertical="center"/>
    </xf>
    <xf numFmtId="0" fontId="9" fillId="2" borderId="34" xfId="0" applyFont="1" applyFill="1" applyBorder="1" applyAlignment="1">
      <alignment horizontal="left" vertical="center"/>
    </xf>
    <xf numFmtId="180" fontId="19" fillId="16" borderId="5" xfId="0" applyNumberFormat="1" applyFont="1" applyFill="1" applyBorder="1" applyAlignment="1">
      <alignment horizontal="center" wrapText="1"/>
    </xf>
    <xf numFmtId="180" fontId="19" fillId="16" borderId="1" xfId="0" applyNumberFormat="1" applyFont="1" applyFill="1" applyBorder="1" applyAlignment="1">
      <alignment horizontal="center" wrapText="1"/>
    </xf>
  </cellXfs>
  <cellStyles count="3020">
    <cellStyle name="60% - Énfasis1 2" xfId="28" xr:uid="{00000000-0005-0000-0000-000000000000}"/>
    <cellStyle name="60% - Énfasis2 2" xfId="29" xr:uid="{00000000-0005-0000-0000-000001000000}"/>
    <cellStyle name="60% - Énfasis3 2" xfId="30" xr:uid="{00000000-0005-0000-0000-000002000000}"/>
    <cellStyle name="60% - Énfasis4 2" xfId="31" xr:uid="{00000000-0005-0000-0000-000003000000}"/>
    <cellStyle name="60% - Énfasis5 2" xfId="32" xr:uid="{00000000-0005-0000-0000-000004000000}"/>
    <cellStyle name="60% - Énfasis6 2" xfId="33" xr:uid="{00000000-0005-0000-0000-000005000000}"/>
    <cellStyle name="BodyStyle" xfId="34" xr:uid="{00000000-0005-0000-0000-000006000000}"/>
    <cellStyle name="BodyStyleBold" xfId="35" xr:uid="{00000000-0005-0000-0000-000007000000}"/>
    <cellStyle name="BodyStyleBoldRight" xfId="36" xr:uid="{00000000-0005-0000-0000-000008000000}"/>
    <cellStyle name="BodyStyleWithBorder" xfId="37" xr:uid="{00000000-0005-0000-0000-000009000000}"/>
    <cellStyle name="BodyStyleWithBorder 2" xfId="38" xr:uid="{00000000-0005-0000-0000-00000A000000}"/>
    <cellStyle name="BodyStyleWithBorder 2 2" xfId="39" xr:uid="{00000000-0005-0000-0000-00000B000000}"/>
    <cellStyle name="BodyStyleWithBorder 2 3" xfId="40" xr:uid="{00000000-0005-0000-0000-00000C000000}"/>
    <cellStyle name="BodyStyleWithBorder 2 4" xfId="41" xr:uid="{00000000-0005-0000-0000-00000D000000}"/>
    <cellStyle name="BodyStyleWithBorder 3" xfId="42" xr:uid="{00000000-0005-0000-0000-00000E000000}"/>
    <cellStyle name="BodyStyleWithBorder 4" xfId="43" xr:uid="{00000000-0005-0000-0000-00000F000000}"/>
    <cellStyle name="BodyStyleWithBorder 5" xfId="44" xr:uid="{00000000-0005-0000-0000-000010000000}"/>
    <cellStyle name="BorderThinBlack" xfId="45" xr:uid="{00000000-0005-0000-0000-000011000000}"/>
    <cellStyle name="BorderThinBlack 2" xfId="46" xr:uid="{00000000-0005-0000-0000-000012000000}"/>
    <cellStyle name="BorderThinBlack 2 2" xfId="47" xr:uid="{00000000-0005-0000-0000-000013000000}"/>
    <cellStyle name="BorderThinBlack 2 2 2" xfId="48" xr:uid="{00000000-0005-0000-0000-000014000000}"/>
    <cellStyle name="BorderThinBlack 2 2 2 2" xfId="49" xr:uid="{00000000-0005-0000-0000-000015000000}"/>
    <cellStyle name="BorderThinBlack 2 2 2 3" xfId="50" xr:uid="{00000000-0005-0000-0000-000016000000}"/>
    <cellStyle name="BorderThinBlack 2 2 2 4" xfId="51" xr:uid="{00000000-0005-0000-0000-000017000000}"/>
    <cellStyle name="BorderThinBlack 2 2 3" xfId="52" xr:uid="{00000000-0005-0000-0000-000018000000}"/>
    <cellStyle name="BorderThinBlack 2 2 4" xfId="53" xr:uid="{00000000-0005-0000-0000-000019000000}"/>
    <cellStyle name="BorderThinBlack 2 2 5" xfId="54" xr:uid="{00000000-0005-0000-0000-00001A000000}"/>
    <cellStyle name="BorderThinBlack 2 3" xfId="55" xr:uid="{00000000-0005-0000-0000-00001B000000}"/>
    <cellStyle name="BorderThinBlack 2 4" xfId="56" xr:uid="{00000000-0005-0000-0000-00001C000000}"/>
    <cellStyle name="BorderThinBlack 2 5" xfId="57" xr:uid="{00000000-0005-0000-0000-00001D000000}"/>
    <cellStyle name="BorderThinBlack 3" xfId="58" xr:uid="{00000000-0005-0000-0000-00001E000000}"/>
    <cellStyle name="BorderThinBlack 3 2" xfId="59" xr:uid="{00000000-0005-0000-0000-00001F000000}"/>
    <cellStyle name="BorderThinBlack 3 2 2" xfId="60" xr:uid="{00000000-0005-0000-0000-000020000000}"/>
    <cellStyle name="BorderThinBlack 3 2 3" xfId="61" xr:uid="{00000000-0005-0000-0000-000021000000}"/>
    <cellStyle name="BorderThinBlack 3 2 4" xfId="62" xr:uid="{00000000-0005-0000-0000-000022000000}"/>
    <cellStyle name="BorderThinBlack 3 3" xfId="63" xr:uid="{00000000-0005-0000-0000-000023000000}"/>
    <cellStyle name="BorderThinBlack 3 4" xfId="64" xr:uid="{00000000-0005-0000-0000-000024000000}"/>
    <cellStyle name="BorderThinBlack 3 5" xfId="65" xr:uid="{00000000-0005-0000-0000-000025000000}"/>
    <cellStyle name="BorderThinBlack 4" xfId="66" xr:uid="{00000000-0005-0000-0000-000026000000}"/>
    <cellStyle name="BorderThinBlack 5" xfId="67" xr:uid="{00000000-0005-0000-0000-000027000000}"/>
    <cellStyle name="BorderThinBlack 6" xfId="68" xr:uid="{00000000-0005-0000-0000-000028000000}"/>
    <cellStyle name="Coma 2" xfId="1" xr:uid="{00000000-0005-0000-0000-000029000000}"/>
    <cellStyle name="Coma 2 2" xfId="2" xr:uid="{00000000-0005-0000-0000-00002A000000}"/>
    <cellStyle name="Comma" xfId="69" xr:uid="{00000000-0005-0000-0000-00002B000000}"/>
    <cellStyle name="Comma [0]" xfId="70" xr:uid="{00000000-0005-0000-0000-00002C000000}"/>
    <cellStyle name="Comma [0] 2" xfId="71" xr:uid="{00000000-0005-0000-0000-00002D000000}"/>
    <cellStyle name="Comma [0] 2 2" xfId="72" xr:uid="{00000000-0005-0000-0000-00002E000000}"/>
    <cellStyle name="Comma [0] 2 2 2" xfId="73" xr:uid="{00000000-0005-0000-0000-00002F000000}"/>
    <cellStyle name="Comma [0] 2 2 2 2" xfId="2875" xr:uid="{00000000-0005-0000-0000-000030000000}"/>
    <cellStyle name="Comma [0] 2 2 2 2 2" xfId="2975" xr:uid="{00000000-0005-0000-0000-000031000000}"/>
    <cellStyle name="Comma [0] 2 2 2 3" xfId="2926" xr:uid="{00000000-0005-0000-0000-000032000000}"/>
    <cellStyle name="Comma [0] 2 2 3" xfId="2874" xr:uid="{00000000-0005-0000-0000-000033000000}"/>
    <cellStyle name="Comma [0] 2 2 3 2" xfId="2974" xr:uid="{00000000-0005-0000-0000-000034000000}"/>
    <cellStyle name="Comma [0] 2 2 4" xfId="2925" xr:uid="{00000000-0005-0000-0000-000035000000}"/>
    <cellStyle name="Comma [0] 2 3" xfId="74" xr:uid="{00000000-0005-0000-0000-000036000000}"/>
    <cellStyle name="Comma [0] 2 3 2" xfId="2876" xr:uid="{00000000-0005-0000-0000-000037000000}"/>
    <cellStyle name="Comma [0] 2 3 2 2" xfId="2976" xr:uid="{00000000-0005-0000-0000-000038000000}"/>
    <cellStyle name="Comma [0] 2 3 3" xfId="2927" xr:uid="{00000000-0005-0000-0000-000039000000}"/>
    <cellStyle name="Comma [0] 2 4" xfId="2873" xr:uid="{00000000-0005-0000-0000-00003A000000}"/>
    <cellStyle name="Comma [0] 2 4 2" xfId="2973" xr:uid="{00000000-0005-0000-0000-00003B000000}"/>
    <cellStyle name="Comma [0] 2 5" xfId="2924" xr:uid="{00000000-0005-0000-0000-00003C000000}"/>
    <cellStyle name="Comma [0] 3" xfId="75" xr:uid="{00000000-0005-0000-0000-00003D000000}"/>
    <cellStyle name="Comma [0] 3 2" xfId="2877" xr:uid="{00000000-0005-0000-0000-00003E000000}"/>
    <cellStyle name="Comma [0] 3 2 2" xfId="2977" xr:uid="{00000000-0005-0000-0000-00003F000000}"/>
    <cellStyle name="Comma [0] 3 3" xfId="2928" xr:uid="{00000000-0005-0000-0000-000040000000}"/>
    <cellStyle name="Comma [0] 4" xfId="2872" xr:uid="{00000000-0005-0000-0000-000041000000}"/>
    <cellStyle name="Comma [0] 4 2" xfId="2972" xr:uid="{00000000-0005-0000-0000-000042000000}"/>
    <cellStyle name="Comma [0] 5" xfId="2923" xr:uid="{00000000-0005-0000-0000-000043000000}"/>
    <cellStyle name="Comma 2" xfId="76" xr:uid="{00000000-0005-0000-0000-000044000000}"/>
    <cellStyle name="Comma 2 2" xfId="77" xr:uid="{00000000-0005-0000-0000-000045000000}"/>
    <cellStyle name="Comma 2 2 2" xfId="78" xr:uid="{00000000-0005-0000-0000-000046000000}"/>
    <cellStyle name="Comma 2 2 2 2" xfId="2880" xr:uid="{00000000-0005-0000-0000-000047000000}"/>
    <cellStyle name="Comma 2 2 2 2 2" xfId="2980" xr:uid="{00000000-0005-0000-0000-000048000000}"/>
    <cellStyle name="Comma 2 2 2 3" xfId="2931" xr:uid="{00000000-0005-0000-0000-000049000000}"/>
    <cellStyle name="Comma 2 2 3" xfId="2879" xr:uid="{00000000-0005-0000-0000-00004A000000}"/>
    <cellStyle name="Comma 2 2 3 2" xfId="2979" xr:uid="{00000000-0005-0000-0000-00004B000000}"/>
    <cellStyle name="Comma 2 2 4" xfId="2930" xr:uid="{00000000-0005-0000-0000-00004C000000}"/>
    <cellStyle name="Comma 2 3" xfId="79" xr:uid="{00000000-0005-0000-0000-00004D000000}"/>
    <cellStyle name="Comma 2 3 2" xfId="2881" xr:uid="{00000000-0005-0000-0000-00004E000000}"/>
    <cellStyle name="Comma 2 3 2 2" xfId="2981" xr:uid="{00000000-0005-0000-0000-00004F000000}"/>
    <cellStyle name="Comma 2 3 3" xfId="2932" xr:uid="{00000000-0005-0000-0000-000050000000}"/>
    <cellStyle name="Comma 2 4" xfId="2878" xr:uid="{00000000-0005-0000-0000-000051000000}"/>
    <cellStyle name="Comma 2 4 2" xfId="2978" xr:uid="{00000000-0005-0000-0000-000052000000}"/>
    <cellStyle name="Comma 2 5" xfId="2929" xr:uid="{00000000-0005-0000-0000-000053000000}"/>
    <cellStyle name="Comma 3" xfId="80" xr:uid="{00000000-0005-0000-0000-000054000000}"/>
    <cellStyle name="Comma 3 2" xfId="2882" xr:uid="{00000000-0005-0000-0000-000055000000}"/>
    <cellStyle name="Comma 3 2 2" xfId="2982" xr:uid="{00000000-0005-0000-0000-000056000000}"/>
    <cellStyle name="Comma 3 3" xfId="2933" xr:uid="{00000000-0005-0000-0000-000057000000}"/>
    <cellStyle name="Comma 4" xfId="81" xr:uid="{00000000-0005-0000-0000-000058000000}"/>
    <cellStyle name="Comma 4 2" xfId="2883" xr:uid="{00000000-0005-0000-0000-000059000000}"/>
    <cellStyle name="Comma 4 2 2" xfId="2983" xr:uid="{00000000-0005-0000-0000-00005A000000}"/>
    <cellStyle name="Comma 4 3" xfId="2934" xr:uid="{00000000-0005-0000-0000-00005B000000}"/>
    <cellStyle name="Comma 5" xfId="82" xr:uid="{00000000-0005-0000-0000-00005C000000}"/>
    <cellStyle name="Comma 5 2" xfId="2884" xr:uid="{00000000-0005-0000-0000-00005D000000}"/>
    <cellStyle name="Comma 5 2 2" xfId="2984" xr:uid="{00000000-0005-0000-0000-00005E000000}"/>
    <cellStyle name="Comma 5 3" xfId="2935" xr:uid="{00000000-0005-0000-0000-00005F000000}"/>
    <cellStyle name="Comma 6" xfId="2871" xr:uid="{00000000-0005-0000-0000-000060000000}"/>
    <cellStyle name="Comma 6 2" xfId="2971" xr:uid="{00000000-0005-0000-0000-000061000000}"/>
    <cellStyle name="Comma 7" xfId="2922" xr:uid="{00000000-0005-0000-0000-000062000000}"/>
    <cellStyle name="Currency" xfId="83" xr:uid="{00000000-0005-0000-0000-000063000000}"/>
    <cellStyle name="Currency [0]" xfId="84" xr:uid="{00000000-0005-0000-0000-000064000000}"/>
    <cellStyle name="Currency [0] 2" xfId="85" xr:uid="{00000000-0005-0000-0000-000065000000}"/>
    <cellStyle name="Currency [0] 2 2" xfId="86" xr:uid="{00000000-0005-0000-0000-000066000000}"/>
    <cellStyle name="Currency [0] 2 2 2" xfId="87" xr:uid="{00000000-0005-0000-0000-000067000000}"/>
    <cellStyle name="Currency [0] 2 2 2 2" xfId="88" xr:uid="{00000000-0005-0000-0000-000068000000}"/>
    <cellStyle name="Currency [0] 2 2 3" xfId="89" xr:uid="{00000000-0005-0000-0000-000069000000}"/>
    <cellStyle name="Currency [0] 2 2 3 2" xfId="90" xr:uid="{00000000-0005-0000-0000-00006A000000}"/>
    <cellStyle name="Currency [0] 2 2 4" xfId="91" xr:uid="{00000000-0005-0000-0000-00006B000000}"/>
    <cellStyle name="Currency [0] 2 2 4 2" xfId="92" xr:uid="{00000000-0005-0000-0000-00006C000000}"/>
    <cellStyle name="Currency [0] 2 2 5" xfId="93" xr:uid="{00000000-0005-0000-0000-00006D000000}"/>
    <cellStyle name="Currency [0] 2 3" xfId="94" xr:uid="{00000000-0005-0000-0000-00006E000000}"/>
    <cellStyle name="Currency [0] 2 3 2" xfId="95" xr:uid="{00000000-0005-0000-0000-00006F000000}"/>
    <cellStyle name="Currency [0] 2 4" xfId="96" xr:uid="{00000000-0005-0000-0000-000070000000}"/>
    <cellStyle name="Currency [0] 2 4 2" xfId="97" xr:uid="{00000000-0005-0000-0000-000071000000}"/>
    <cellStyle name="Currency [0] 2 5" xfId="98" xr:uid="{00000000-0005-0000-0000-000072000000}"/>
    <cellStyle name="Currency [0] 2 5 2" xfId="99" xr:uid="{00000000-0005-0000-0000-000073000000}"/>
    <cellStyle name="Currency [0] 2 6" xfId="100" xr:uid="{00000000-0005-0000-0000-000074000000}"/>
    <cellStyle name="Currency [0] 3" xfId="101" xr:uid="{00000000-0005-0000-0000-000075000000}"/>
    <cellStyle name="Currency [0] 3 2" xfId="102" xr:uid="{00000000-0005-0000-0000-000076000000}"/>
    <cellStyle name="Currency [0] 3 2 2" xfId="103" xr:uid="{00000000-0005-0000-0000-000077000000}"/>
    <cellStyle name="Currency [0] 3 3" xfId="104" xr:uid="{00000000-0005-0000-0000-000078000000}"/>
    <cellStyle name="Currency [0] 3 3 2" xfId="105" xr:uid="{00000000-0005-0000-0000-000079000000}"/>
    <cellStyle name="Currency [0] 3 4" xfId="106" xr:uid="{00000000-0005-0000-0000-00007A000000}"/>
    <cellStyle name="Currency [0] 3 4 2" xfId="107" xr:uid="{00000000-0005-0000-0000-00007B000000}"/>
    <cellStyle name="Currency [0] 3 5" xfId="108" xr:uid="{00000000-0005-0000-0000-00007C000000}"/>
    <cellStyle name="Currency [0] 4" xfId="109" xr:uid="{00000000-0005-0000-0000-00007D000000}"/>
    <cellStyle name="Currency [0] 4 2" xfId="110" xr:uid="{00000000-0005-0000-0000-00007E000000}"/>
    <cellStyle name="Currency [0] 5" xfId="111" xr:uid="{00000000-0005-0000-0000-00007F000000}"/>
    <cellStyle name="Currency [0] 5 2" xfId="112" xr:uid="{00000000-0005-0000-0000-000080000000}"/>
    <cellStyle name="Currency [0] 6" xfId="113" xr:uid="{00000000-0005-0000-0000-000081000000}"/>
    <cellStyle name="Currency [0] 6 2" xfId="114" xr:uid="{00000000-0005-0000-0000-000082000000}"/>
    <cellStyle name="Currency [0] 7" xfId="115" xr:uid="{00000000-0005-0000-0000-000083000000}"/>
    <cellStyle name="Currency 10" xfId="116" xr:uid="{00000000-0005-0000-0000-000084000000}"/>
    <cellStyle name="Currency 10 2" xfId="117" xr:uid="{00000000-0005-0000-0000-000085000000}"/>
    <cellStyle name="Currency 11" xfId="118" xr:uid="{00000000-0005-0000-0000-000086000000}"/>
    <cellStyle name="Currency 11 2" xfId="119" xr:uid="{00000000-0005-0000-0000-000087000000}"/>
    <cellStyle name="Currency 12" xfId="120" xr:uid="{00000000-0005-0000-0000-000088000000}"/>
    <cellStyle name="Currency 12 2" xfId="121" xr:uid="{00000000-0005-0000-0000-000089000000}"/>
    <cellStyle name="Currency 13" xfId="122" xr:uid="{00000000-0005-0000-0000-00008A000000}"/>
    <cellStyle name="Currency 13 2" xfId="123" xr:uid="{00000000-0005-0000-0000-00008B000000}"/>
    <cellStyle name="Currency 14" xfId="124" xr:uid="{00000000-0005-0000-0000-00008C000000}"/>
    <cellStyle name="Currency 15" xfId="125" xr:uid="{00000000-0005-0000-0000-00008D000000}"/>
    <cellStyle name="Currency 2" xfId="126" xr:uid="{00000000-0005-0000-0000-00008E000000}"/>
    <cellStyle name="Currency 2 2" xfId="127" xr:uid="{00000000-0005-0000-0000-00008F000000}"/>
    <cellStyle name="Currency 2 2 2" xfId="128" xr:uid="{00000000-0005-0000-0000-000090000000}"/>
    <cellStyle name="Currency 2 2 2 2" xfId="129" xr:uid="{00000000-0005-0000-0000-000091000000}"/>
    <cellStyle name="Currency 2 2 3" xfId="130" xr:uid="{00000000-0005-0000-0000-000092000000}"/>
    <cellStyle name="Currency 2 2 3 2" xfId="131" xr:uid="{00000000-0005-0000-0000-000093000000}"/>
    <cellStyle name="Currency 2 2 4" xfId="132" xr:uid="{00000000-0005-0000-0000-000094000000}"/>
    <cellStyle name="Currency 2 2 4 2" xfId="133" xr:uid="{00000000-0005-0000-0000-000095000000}"/>
    <cellStyle name="Currency 2 2 5" xfId="134" xr:uid="{00000000-0005-0000-0000-000096000000}"/>
    <cellStyle name="Currency 2 3" xfId="135" xr:uid="{00000000-0005-0000-0000-000097000000}"/>
    <cellStyle name="Currency 2 3 2" xfId="136" xr:uid="{00000000-0005-0000-0000-000098000000}"/>
    <cellStyle name="Currency 2 4" xfId="137" xr:uid="{00000000-0005-0000-0000-000099000000}"/>
    <cellStyle name="Currency 2 4 2" xfId="138" xr:uid="{00000000-0005-0000-0000-00009A000000}"/>
    <cellStyle name="Currency 2 5" xfId="139" xr:uid="{00000000-0005-0000-0000-00009B000000}"/>
    <cellStyle name="Currency 2 5 2" xfId="140" xr:uid="{00000000-0005-0000-0000-00009C000000}"/>
    <cellStyle name="Currency 2 6" xfId="141" xr:uid="{00000000-0005-0000-0000-00009D000000}"/>
    <cellStyle name="Currency 3" xfId="142" xr:uid="{00000000-0005-0000-0000-00009E000000}"/>
    <cellStyle name="Currency 3 2" xfId="143" xr:uid="{00000000-0005-0000-0000-00009F000000}"/>
    <cellStyle name="Currency 3 2 2" xfId="144" xr:uid="{00000000-0005-0000-0000-0000A0000000}"/>
    <cellStyle name="Currency 3 3" xfId="145" xr:uid="{00000000-0005-0000-0000-0000A1000000}"/>
    <cellStyle name="Currency 3 3 2" xfId="146" xr:uid="{00000000-0005-0000-0000-0000A2000000}"/>
    <cellStyle name="Currency 3 4" xfId="147" xr:uid="{00000000-0005-0000-0000-0000A3000000}"/>
    <cellStyle name="Currency 3 4 2" xfId="148" xr:uid="{00000000-0005-0000-0000-0000A4000000}"/>
    <cellStyle name="Currency 3 5" xfId="149" xr:uid="{00000000-0005-0000-0000-0000A5000000}"/>
    <cellStyle name="Currency 4" xfId="150" xr:uid="{00000000-0005-0000-0000-0000A6000000}"/>
    <cellStyle name="Currency 4 2" xfId="151" xr:uid="{00000000-0005-0000-0000-0000A7000000}"/>
    <cellStyle name="Currency 4 2 2" xfId="152" xr:uid="{00000000-0005-0000-0000-0000A8000000}"/>
    <cellStyle name="Currency 4 3" xfId="153" xr:uid="{00000000-0005-0000-0000-0000A9000000}"/>
    <cellStyle name="Currency 4 3 2" xfId="154" xr:uid="{00000000-0005-0000-0000-0000AA000000}"/>
    <cellStyle name="Currency 4 4" xfId="155" xr:uid="{00000000-0005-0000-0000-0000AB000000}"/>
    <cellStyle name="Currency 4 4 2" xfId="156" xr:uid="{00000000-0005-0000-0000-0000AC000000}"/>
    <cellStyle name="Currency 4 5" xfId="157" xr:uid="{00000000-0005-0000-0000-0000AD000000}"/>
    <cellStyle name="Currency 5" xfId="158" xr:uid="{00000000-0005-0000-0000-0000AE000000}"/>
    <cellStyle name="Currency 5 2" xfId="159" xr:uid="{00000000-0005-0000-0000-0000AF000000}"/>
    <cellStyle name="Currency 5 2 2" xfId="160" xr:uid="{00000000-0005-0000-0000-0000B0000000}"/>
    <cellStyle name="Currency 5 3" xfId="161" xr:uid="{00000000-0005-0000-0000-0000B1000000}"/>
    <cellStyle name="Currency 5 3 2" xfId="162" xr:uid="{00000000-0005-0000-0000-0000B2000000}"/>
    <cellStyle name="Currency 5 4" xfId="163" xr:uid="{00000000-0005-0000-0000-0000B3000000}"/>
    <cellStyle name="Currency 5 4 2" xfId="164" xr:uid="{00000000-0005-0000-0000-0000B4000000}"/>
    <cellStyle name="Currency 5 5" xfId="165" xr:uid="{00000000-0005-0000-0000-0000B5000000}"/>
    <cellStyle name="Currency 6" xfId="166" xr:uid="{00000000-0005-0000-0000-0000B6000000}"/>
    <cellStyle name="Currency 6 2" xfId="167" xr:uid="{00000000-0005-0000-0000-0000B7000000}"/>
    <cellStyle name="Currency 7" xfId="168" xr:uid="{00000000-0005-0000-0000-0000B8000000}"/>
    <cellStyle name="Currency 7 2" xfId="169" xr:uid="{00000000-0005-0000-0000-0000B9000000}"/>
    <cellStyle name="Currency 8" xfId="170" xr:uid="{00000000-0005-0000-0000-0000BA000000}"/>
    <cellStyle name="Currency 8 2" xfId="171" xr:uid="{00000000-0005-0000-0000-0000BB000000}"/>
    <cellStyle name="Currency 9" xfId="172" xr:uid="{00000000-0005-0000-0000-0000BC000000}"/>
    <cellStyle name="Currency 9 2" xfId="173" xr:uid="{00000000-0005-0000-0000-0000BD000000}"/>
    <cellStyle name="DateStyle" xfId="174" xr:uid="{00000000-0005-0000-0000-0000BE000000}"/>
    <cellStyle name="DateTimeStyle" xfId="175" xr:uid="{00000000-0005-0000-0000-0000BF000000}"/>
    <cellStyle name="Decimal" xfId="176" xr:uid="{00000000-0005-0000-0000-0000C0000000}"/>
    <cellStyle name="DecimalWithBorder" xfId="177" xr:uid="{00000000-0005-0000-0000-0000C1000000}"/>
    <cellStyle name="DecimalWithBorder 2" xfId="178" xr:uid="{00000000-0005-0000-0000-0000C2000000}"/>
    <cellStyle name="DecimalWithBorder 2 2" xfId="179" xr:uid="{00000000-0005-0000-0000-0000C3000000}"/>
    <cellStyle name="DecimalWithBorder 2 3" xfId="180" xr:uid="{00000000-0005-0000-0000-0000C4000000}"/>
    <cellStyle name="DecimalWithBorder 2 4" xfId="181" xr:uid="{00000000-0005-0000-0000-0000C5000000}"/>
    <cellStyle name="DecimalWithBorder 3" xfId="182" xr:uid="{00000000-0005-0000-0000-0000C6000000}"/>
    <cellStyle name="DecimalWithBorder 4" xfId="183" xr:uid="{00000000-0005-0000-0000-0000C7000000}"/>
    <cellStyle name="DecimalWithBorder 5" xfId="184" xr:uid="{00000000-0005-0000-0000-0000C8000000}"/>
    <cellStyle name="Énfasis1 2" xfId="185" xr:uid="{00000000-0005-0000-0000-0000C9000000}"/>
    <cellStyle name="Énfasis1 2 2" xfId="186" xr:uid="{00000000-0005-0000-0000-0000CA000000}"/>
    <cellStyle name="EuroCurrency" xfId="187" xr:uid="{00000000-0005-0000-0000-0000CB000000}"/>
    <cellStyle name="EuroCurrencyWithBorder" xfId="188" xr:uid="{00000000-0005-0000-0000-0000CC000000}"/>
    <cellStyle name="EuroCurrencyWithBorder 2" xfId="189" xr:uid="{00000000-0005-0000-0000-0000CD000000}"/>
    <cellStyle name="EuroCurrencyWithBorder 2 2" xfId="190" xr:uid="{00000000-0005-0000-0000-0000CE000000}"/>
    <cellStyle name="EuroCurrencyWithBorder 2 3" xfId="191" xr:uid="{00000000-0005-0000-0000-0000CF000000}"/>
    <cellStyle name="EuroCurrencyWithBorder 2 4" xfId="192" xr:uid="{00000000-0005-0000-0000-0000D0000000}"/>
    <cellStyle name="EuroCurrencyWithBorder 3" xfId="193" xr:uid="{00000000-0005-0000-0000-0000D1000000}"/>
    <cellStyle name="EuroCurrencyWithBorder 4" xfId="194" xr:uid="{00000000-0005-0000-0000-0000D2000000}"/>
    <cellStyle name="EuroCurrencyWithBorder 5" xfId="195" xr:uid="{00000000-0005-0000-0000-0000D3000000}"/>
    <cellStyle name="HeaderStyle" xfId="196" xr:uid="{00000000-0005-0000-0000-0000D4000000}"/>
    <cellStyle name="HeaderSubTop" xfId="197" xr:uid="{00000000-0005-0000-0000-0000D5000000}"/>
    <cellStyle name="HeaderSubTopNoBold" xfId="198" xr:uid="{00000000-0005-0000-0000-0000D6000000}"/>
    <cellStyle name="HeaderTopBuyer" xfId="199" xr:uid="{00000000-0005-0000-0000-0000D7000000}"/>
    <cellStyle name="HeaderTopStyle" xfId="200" xr:uid="{00000000-0005-0000-0000-0000D8000000}"/>
    <cellStyle name="HeaderTopStyleAlignRight" xfId="201" xr:uid="{00000000-0005-0000-0000-0000D9000000}"/>
    <cellStyle name="Hipervínculo" xfId="2867" builtinId="8"/>
    <cellStyle name="MainTitle" xfId="202" xr:uid="{00000000-0005-0000-0000-0000DB000000}"/>
    <cellStyle name="MainTitle 2" xfId="203" xr:uid="{00000000-0005-0000-0000-0000DC000000}"/>
    <cellStyle name="MainTitle 2 2" xfId="204" xr:uid="{00000000-0005-0000-0000-0000DD000000}"/>
    <cellStyle name="MainTitle 2 3" xfId="205" xr:uid="{00000000-0005-0000-0000-0000DE000000}"/>
    <cellStyle name="MainTitle 2 4" xfId="206" xr:uid="{00000000-0005-0000-0000-0000DF000000}"/>
    <cellStyle name="MainTitle 3" xfId="207" xr:uid="{00000000-0005-0000-0000-0000E0000000}"/>
    <cellStyle name="MainTitle 4" xfId="208" xr:uid="{00000000-0005-0000-0000-0000E1000000}"/>
    <cellStyle name="MainTitle 5" xfId="209" xr:uid="{00000000-0005-0000-0000-0000E2000000}"/>
    <cellStyle name="Millares" xfId="3" builtinId="3"/>
    <cellStyle name="Millares [0]" xfId="2869" builtinId="6"/>
    <cellStyle name="Millares [0] 2" xfId="2919" xr:uid="{00000000-0005-0000-0000-0000E5000000}"/>
    <cellStyle name="Millares [0] 2 2" xfId="3019" xr:uid="{00000000-0005-0000-0000-0000E6000000}"/>
    <cellStyle name="Millares [0] 3" xfId="2970" xr:uid="{00000000-0005-0000-0000-0000E7000000}"/>
    <cellStyle name="Millares 10" xfId="210" xr:uid="{00000000-0005-0000-0000-0000E8000000}"/>
    <cellStyle name="Millares 10 2" xfId="211" xr:uid="{00000000-0005-0000-0000-0000E9000000}"/>
    <cellStyle name="Millares 10 2 2" xfId="2886" xr:uid="{00000000-0005-0000-0000-0000EA000000}"/>
    <cellStyle name="Millares 10 2 2 2" xfId="2986" xr:uid="{00000000-0005-0000-0000-0000EB000000}"/>
    <cellStyle name="Millares 10 2 3" xfId="2937" xr:uid="{00000000-0005-0000-0000-0000EC000000}"/>
    <cellStyle name="Millares 10 3" xfId="2885" xr:uid="{00000000-0005-0000-0000-0000ED000000}"/>
    <cellStyle name="Millares 10 3 2" xfId="2985" xr:uid="{00000000-0005-0000-0000-0000EE000000}"/>
    <cellStyle name="Millares 10 4" xfId="2936" xr:uid="{00000000-0005-0000-0000-0000EF000000}"/>
    <cellStyle name="Millares 11" xfId="2920" xr:uid="{00000000-0005-0000-0000-0000F0000000}"/>
    <cellStyle name="Millares 2" xfId="4" xr:uid="{00000000-0005-0000-0000-0000F1000000}"/>
    <cellStyle name="Millares 2 2" xfId="5" xr:uid="{00000000-0005-0000-0000-0000F2000000}"/>
    <cellStyle name="Millares 2 2 2" xfId="212" xr:uid="{00000000-0005-0000-0000-0000F3000000}"/>
    <cellStyle name="Millares 2 3" xfId="213" xr:uid="{00000000-0005-0000-0000-0000F4000000}"/>
    <cellStyle name="Millares 2 3 2" xfId="214" xr:uid="{00000000-0005-0000-0000-0000F5000000}"/>
    <cellStyle name="Millares 2 3 2 2" xfId="215" xr:uid="{00000000-0005-0000-0000-0000F6000000}"/>
    <cellStyle name="Millares 2 3 2 2 2" xfId="2889" xr:uid="{00000000-0005-0000-0000-0000F7000000}"/>
    <cellStyle name="Millares 2 3 2 2 2 2" xfId="2989" xr:uid="{00000000-0005-0000-0000-0000F8000000}"/>
    <cellStyle name="Millares 2 3 2 2 3" xfId="2940" xr:uid="{00000000-0005-0000-0000-0000F9000000}"/>
    <cellStyle name="Millares 2 3 2 3" xfId="2888" xr:uid="{00000000-0005-0000-0000-0000FA000000}"/>
    <cellStyle name="Millares 2 3 2 3 2" xfId="2988" xr:uid="{00000000-0005-0000-0000-0000FB000000}"/>
    <cellStyle name="Millares 2 3 2 4" xfId="2939" xr:uid="{00000000-0005-0000-0000-0000FC000000}"/>
    <cellStyle name="Millares 2 3 3" xfId="216" xr:uid="{00000000-0005-0000-0000-0000FD000000}"/>
    <cellStyle name="Millares 2 3 3 2" xfId="2890" xr:uid="{00000000-0005-0000-0000-0000FE000000}"/>
    <cellStyle name="Millares 2 3 3 2 2" xfId="2990" xr:uid="{00000000-0005-0000-0000-0000FF000000}"/>
    <cellStyle name="Millares 2 3 3 3" xfId="2941" xr:uid="{00000000-0005-0000-0000-000000010000}"/>
    <cellStyle name="Millares 2 3 4" xfId="217" xr:uid="{00000000-0005-0000-0000-000001010000}"/>
    <cellStyle name="Millares 2 3 4 2" xfId="2891" xr:uid="{00000000-0005-0000-0000-000002010000}"/>
    <cellStyle name="Millares 2 3 4 2 2" xfId="2991" xr:uid="{00000000-0005-0000-0000-000003010000}"/>
    <cellStyle name="Millares 2 3 4 3" xfId="2942" xr:uid="{00000000-0005-0000-0000-000004010000}"/>
    <cellStyle name="Millares 2 3 5" xfId="2887" xr:uid="{00000000-0005-0000-0000-000005010000}"/>
    <cellStyle name="Millares 2 3 5 2" xfId="2987" xr:uid="{00000000-0005-0000-0000-000006010000}"/>
    <cellStyle name="Millares 2 3 6" xfId="2938" xr:uid="{00000000-0005-0000-0000-000007010000}"/>
    <cellStyle name="Millares 2 4" xfId="218" xr:uid="{00000000-0005-0000-0000-000008010000}"/>
    <cellStyle name="Millares 2 4 2" xfId="219" xr:uid="{00000000-0005-0000-0000-000009010000}"/>
    <cellStyle name="Millares 2 4 2 2" xfId="2893" xr:uid="{00000000-0005-0000-0000-00000A010000}"/>
    <cellStyle name="Millares 2 4 2 2 2" xfId="2993" xr:uid="{00000000-0005-0000-0000-00000B010000}"/>
    <cellStyle name="Millares 2 4 2 3" xfId="2944" xr:uid="{00000000-0005-0000-0000-00000C010000}"/>
    <cellStyle name="Millares 2 4 3" xfId="220" xr:uid="{00000000-0005-0000-0000-00000D010000}"/>
    <cellStyle name="Millares 2 4 3 2" xfId="2894" xr:uid="{00000000-0005-0000-0000-00000E010000}"/>
    <cellStyle name="Millares 2 4 3 2 2" xfId="2994" xr:uid="{00000000-0005-0000-0000-00000F010000}"/>
    <cellStyle name="Millares 2 4 3 3" xfId="2945" xr:uid="{00000000-0005-0000-0000-000010010000}"/>
    <cellStyle name="Millares 2 4 4" xfId="2892" xr:uid="{00000000-0005-0000-0000-000011010000}"/>
    <cellStyle name="Millares 2 4 4 2" xfId="2992" xr:uid="{00000000-0005-0000-0000-000012010000}"/>
    <cellStyle name="Millares 2 4 5" xfId="2943" xr:uid="{00000000-0005-0000-0000-000013010000}"/>
    <cellStyle name="Millares 2 5" xfId="221" xr:uid="{00000000-0005-0000-0000-000014010000}"/>
    <cellStyle name="Millares 2 5 2" xfId="222" xr:uid="{00000000-0005-0000-0000-000015010000}"/>
    <cellStyle name="Millares 2 5 2 2" xfId="2896" xr:uid="{00000000-0005-0000-0000-000016010000}"/>
    <cellStyle name="Millares 2 5 2 2 2" xfId="2996" xr:uid="{00000000-0005-0000-0000-000017010000}"/>
    <cellStyle name="Millares 2 5 2 3" xfId="2947" xr:uid="{00000000-0005-0000-0000-000018010000}"/>
    <cellStyle name="Millares 2 5 3" xfId="2895" xr:uid="{00000000-0005-0000-0000-000019010000}"/>
    <cellStyle name="Millares 2 5 3 2" xfId="2995" xr:uid="{00000000-0005-0000-0000-00001A010000}"/>
    <cellStyle name="Millares 2 5 4" xfId="2946" xr:uid="{00000000-0005-0000-0000-00001B010000}"/>
    <cellStyle name="Millares 2 6" xfId="223" xr:uid="{00000000-0005-0000-0000-00001C010000}"/>
    <cellStyle name="Millares 2 6 2" xfId="224" xr:uid="{00000000-0005-0000-0000-00001D010000}"/>
    <cellStyle name="Millares 2 6 2 2" xfId="2898" xr:uid="{00000000-0005-0000-0000-00001E010000}"/>
    <cellStyle name="Millares 2 6 2 2 2" xfId="2998" xr:uid="{00000000-0005-0000-0000-00001F010000}"/>
    <cellStyle name="Millares 2 6 2 3" xfId="2949" xr:uid="{00000000-0005-0000-0000-000020010000}"/>
    <cellStyle name="Millares 2 6 3" xfId="2897" xr:uid="{00000000-0005-0000-0000-000021010000}"/>
    <cellStyle name="Millares 2 6 3 2" xfId="2997" xr:uid="{00000000-0005-0000-0000-000022010000}"/>
    <cellStyle name="Millares 2 6 4" xfId="2948" xr:uid="{00000000-0005-0000-0000-000023010000}"/>
    <cellStyle name="Millares 3" xfId="6" xr:uid="{00000000-0005-0000-0000-000024010000}"/>
    <cellStyle name="Millares 3 2" xfId="7" xr:uid="{00000000-0005-0000-0000-000025010000}"/>
    <cellStyle name="Millares 3 3" xfId="225" xr:uid="{00000000-0005-0000-0000-000026010000}"/>
    <cellStyle name="Millares 3 3 2" xfId="226" xr:uid="{00000000-0005-0000-0000-000027010000}"/>
    <cellStyle name="Millares 3 3 2 2" xfId="2900" xr:uid="{00000000-0005-0000-0000-000028010000}"/>
    <cellStyle name="Millares 3 3 2 2 2" xfId="3000" xr:uid="{00000000-0005-0000-0000-000029010000}"/>
    <cellStyle name="Millares 3 3 2 3" xfId="2951" xr:uid="{00000000-0005-0000-0000-00002A010000}"/>
    <cellStyle name="Millares 3 3 3" xfId="2899" xr:uid="{00000000-0005-0000-0000-00002B010000}"/>
    <cellStyle name="Millares 3 3 3 2" xfId="2999" xr:uid="{00000000-0005-0000-0000-00002C010000}"/>
    <cellStyle name="Millares 3 3 4" xfId="2950" xr:uid="{00000000-0005-0000-0000-00002D010000}"/>
    <cellStyle name="Millares 3 4" xfId="227" xr:uid="{00000000-0005-0000-0000-00002E010000}"/>
    <cellStyle name="Millares 3 4 2" xfId="2901" xr:uid="{00000000-0005-0000-0000-00002F010000}"/>
    <cellStyle name="Millares 3 4 2 2" xfId="3001" xr:uid="{00000000-0005-0000-0000-000030010000}"/>
    <cellStyle name="Millares 3 4 3" xfId="2952" xr:uid="{00000000-0005-0000-0000-000031010000}"/>
    <cellStyle name="Millares 4" xfId="8" xr:uid="{00000000-0005-0000-0000-000032010000}"/>
    <cellStyle name="Millares 4 2" xfId="228" xr:uid="{00000000-0005-0000-0000-000033010000}"/>
    <cellStyle name="Millares 5" xfId="229" xr:uid="{00000000-0005-0000-0000-000034010000}"/>
    <cellStyle name="Millares 5 2" xfId="230" xr:uid="{00000000-0005-0000-0000-000035010000}"/>
    <cellStyle name="Millares 5 3" xfId="231" xr:uid="{00000000-0005-0000-0000-000036010000}"/>
    <cellStyle name="Millares 5 4" xfId="232" xr:uid="{00000000-0005-0000-0000-000037010000}"/>
    <cellStyle name="Millares 5 4 2" xfId="2902" xr:uid="{00000000-0005-0000-0000-000038010000}"/>
    <cellStyle name="Millares 5 4 2 2" xfId="3002" xr:uid="{00000000-0005-0000-0000-000039010000}"/>
    <cellStyle name="Millares 5 4 3" xfId="2953" xr:uid="{00000000-0005-0000-0000-00003A010000}"/>
    <cellStyle name="Millares 5 5" xfId="233" xr:uid="{00000000-0005-0000-0000-00003B010000}"/>
    <cellStyle name="Millares 5 5 2" xfId="2903" xr:uid="{00000000-0005-0000-0000-00003C010000}"/>
    <cellStyle name="Millares 5 5 2 2" xfId="3003" xr:uid="{00000000-0005-0000-0000-00003D010000}"/>
    <cellStyle name="Millares 5 5 3" xfId="2954" xr:uid="{00000000-0005-0000-0000-00003E010000}"/>
    <cellStyle name="Millares 6" xfId="234" xr:uid="{00000000-0005-0000-0000-00003F010000}"/>
    <cellStyle name="Millares 6 2" xfId="235" xr:uid="{00000000-0005-0000-0000-000040010000}"/>
    <cellStyle name="Millares 6 2 2" xfId="236" xr:uid="{00000000-0005-0000-0000-000041010000}"/>
    <cellStyle name="Millares 6 2 2 2" xfId="2906" xr:uid="{00000000-0005-0000-0000-000042010000}"/>
    <cellStyle name="Millares 6 2 2 2 2" xfId="3006" xr:uid="{00000000-0005-0000-0000-000043010000}"/>
    <cellStyle name="Millares 6 2 2 3" xfId="2957" xr:uid="{00000000-0005-0000-0000-000044010000}"/>
    <cellStyle name="Millares 6 2 3" xfId="2905" xr:uid="{00000000-0005-0000-0000-000045010000}"/>
    <cellStyle name="Millares 6 2 3 2" xfId="3005" xr:uid="{00000000-0005-0000-0000-000046010000}"/>
    <cellStyle name="Millares 6 2 4" xfId="2956" xr:uid="{00000000-0005-0000-0000-000047010000}"/>
    <cellStyle name="Millares 6 3" xfId="237" xr:uid="{00000000-0005-0000-0000-000048010000}"/>
    <cellStyle name="Millares 6 3 2" xfId="238" xr:uid="{00000000-0005-0000-0000-000049010000}"/>
    <cellStyle name="Millares 6 3 2 2" xfId="2908" xr:uid="{00000000-0005-0000-0000-00004A010000}"/>
    <cellStyle name="Millares 6 3 2 2 2" xfId="3008" xr:uid="{00000000-0005-0000-0000-00004B010000}"/>
    <cellStyle name="Millares 6 3 2 3" xfId="2959" xr:uid="{00000000-0005-0000-0000-00004C010000}"/>
    <cellStyle name="Millares 6 3 3" xfId="2907" xr:uid="{00000000-0005-0000-0000-00004D010000}"/>
    <cellStyle name="Millares 6 3 3 2" xfId="3007" xr:uid="{00000000-0005-0000-0000-00004E010000}"/>
    <cellStyle name="Millares 6 3 4" xfId="2958" xr:uid="{00000000-0005-0000-0000-00004F010000}"/>
    <cellStyle name="Millares 6 4" xfId="239" xr:uid="{00000000-0005-0000-0000-000050010000}"/>
    <cellStyle name="Millares 6 5" xfId="2904" xr:uid="{00000000-0005-0000-0000-000051010000}"/>
    <cellStyle name="Millares 6 5 2" xfId="3004" xr:uid="{00000000-0005-0000-0000-000052010000}"/>
    <cellStyle name="Millares 6 6" xfId="2955" xr:uid="{00000000-0005-0000-0000-000053010000}"/>
    <cellStyle name="Millares 7" xfId="240" xr:uid="{00000000-0005-0000-0000-000054010000}"/>
    <cellStyle name="Millares 7 2" xfId="241" xr:uid="{00000000-0005-0000-0000-000055010000}"/>
    <cellStyle name="Millares 7 2 2" xfId="2910" xr:uid="{00000000-0005-0000-0000-000056010000}"/>
    <cellStyle name="Millares 7 2 2 2" xfId="3010" xr:uid="{00000000-0005-0000-0000-000057010000}"/>
    <cellStyle name="Millares 7 2 3" xfId="2961" xr:uid="{00000000-0005-0000-0000-000058010000}"/>
    <cellStyle name="Millares 7 3" xfId="2909" xr:uid="{00000000-0005-0000-0000-000059010000}"/>
    <cellStyle name="Millares 7 3 2" xfId="3009" xr:uid="{00000000-0005-0000-0000-00005A010000}"/>
    <cellStyle name="Millares 7 4" xfId="2960" xr:uid="{00000000-0005-0000-0000-00005B010000}"/>
    <cellStyle name="Millares 8" xfId="242" xr:uid="{00000000-0005-0000-0000-00005C010000}"/>
    <cellStyle name="Millares 8 2" xfId="243" xr:uid="{00000000-0005-0000-0000-00005D010000}"/>
    <cellStyle name="Millares 8 2 2" xfId="2912" xr:uid="{00000000-0005-0000-0000-00005E010000}"/>
    <cellStyle name="Millares 8 2 2 2" xfId="3012" xr:uid="{00000000-0005-0000-0000-00005F010000}"/>
    <cellStyle name="Millares 8 2 3" xfId="2963" xr:uid="{00000000-0005-0000-0000-000060010000}"/>
    <cellStyle name="Millares 8 3" xfId="2911" xr:uid="{00000000-0005-0000-0000-000061010000}"/>
    <cellStyle name="Millares 8 3 2" xfId="3011" xr:uid="{00000000-0005-0000-0000-000062010000}"/>
    <cellStyle name="Millares 8 4" xfId="2962" xr:uid="{00000000-0005-0000-0000-000063010000}"/>
    <cellStyle name="Millares 9" xfId="244" xr:uid="{00000000-0005-0000-0000-000064010000}"/>
    <cellStyle name="Millares 9 2" xfId="245" xr:uid="{00000000-0005-0000-0000-000065010000}"/>
    <cellStyle name="Millares 9 2 2" xfId="2914" xr:uid="{00000000-0005-0000-0000-000066010000}"/>
    <cellStyle name="Millares 9 2 2 2" xfId="3014" xr:uid="{00000000-0005-0000-0000-000067010000}"/>
    <cellStyle name="Millares 9 2 3" xfId="2965" xr:uid="{00000000-0005-0000-0000-000068010000}"/>
    <cellStyle name="Millares 9 3" xfId="2913" xr:uid="{00000000-0005-0000-0000-000069010000}"/>
    <cellStyle name="Millares 9 3 2" xfId="3013" xr:uid="{00000000-0005-0000-0000-00006A010000}"/>
    <cellStyle name="Millares 9 4" xfId="2964" xr:uid="{00000000-0005-0000-0000-00006B010000}"/>
    <cellStyle name="Moneda" xfId="9" builtinId="4"/>
    <cellStyle name="Moneda [0]" xfId="2865" builtinId="7"/>
    <cellStyle name="Moneda [0] 10" xfId="2868" xr:uid="{00000000-0005-0000-0000-00006E010000}"/>
    <cellStyle name="Moneda [0] 11" xfId="2918" xr:uid="{00000000-0005-0000-0000-00006F010000}"/>
    <cellStyle name="Moneda [0] 11 2" xfId="3018" xr:uid="{00000000-0005-0000-0000-000070010000}"/>
    <cellStyle name="Moneda [0] 12" xfId="2969" xr:uid="{00000000-0005-0000-0000-000071010000}"/>
    <cellStyle name="Moneda [0] 2" xfId="246" xr:uid="{00000000-0005-0000-0000-000072010000}"/>
    <cellStyle name="Moneda [0] 2 2" xfId="247" xr:uid="{00000000-0005-0000-0000-000073010000}"/>
    <cellStyle name="Moneda [0] 2 2 2" xfId="248" xr:uid="{00000000-0005-0000-0000-000074010000}"/>
    <cellStyle name="Moneda [0] 2 2 2 2" xfId="249" xr:uid="{00000000-0005-0000-0000-000075010000}"/>
    <cellStyle name="Moneda [0] 2 2 3" xfId="250" xr:uid="{00000000-0005-0000-0000-000076010000}"/>
    <cellStyle name="Moneda [0] 2 2 4" xfId="251" xr:uid="{00000000-0005-0000-0000-000077010000}"/>
    <cellStyle name="Moneda [0] 2 3" xfId="252" xr:uid="{00000000-0005-0000-0000-000078010000}"/>
    <cellStyle name="Moneda [0] 2 3 2" xfId="253" xr:uid="{00000000-0005-0000-0000-000079010000}"/>
    <cellStyle name="Moneda [0] 2 4" xfId="254" xr:uid="{00000000-0005-0000-0000-00007A010000}"/>
    <cellStyle name="Moneda [0] 2 5" xfId="255" xr:uid="{00000000-0005-0000-0000-00007B010000}"/>
    <cellStyle name="Moneda [0] 3" xfId="256" xr:uid="{00000000-0005-0000-0000-00007C010000}"/>
    <cellStyle name="Moneda [0] 3 2" xfId="257" xr:uid="{00000000-0005-0000-0000-00007D010000}"/>
    <cellStyle name="Moneda [0] 3 2 2" xfId="258" xr:uid="{00000000-0005-0000-0000-00007E010000}"/>
    <cellStyle name="Moneda [0] 3 2 2 2" xfId="259" xr:uid="{00000000-0005-0000-0000-00007F010000}"/>
    <cellStyle name="Moneda [0] 3 2 3" xfId="260" xr:uid="{00000000-0005-0000-0000-000080010000}"/>
    <cellStyle name="Moneda [0] 3 2 3 2" xfId="261" xr:uid="{00000000-0005-0000-0000-000081010000}"/>
    <cellStyle name="Moneda [0] 3 2 4" xfId="262" xr:uid="{00000000-0005-0000-0000-000082010000}"/>
    <cellStyle name="Moneda [0] 3 2 4 2" xfId="263" xr:uid="{00000000-0005-0000-0000-000083010000}"/>
    <cellStyle name="Moneda [0] 3 2 5" xfId="264" xr:uid="{00000000-0005-0000-0000-000084010000}"/>
    <cellStyle name="Moneda [0] 3 3" xfId="265" xr:uid="{00000000-0005-0000-0000-000085010000}"/>
    <cellStyle name="Moneda [0] 3 3 2" xfId="266" xr:uid="{00000000-0005-0000-0000-000086010000}"/>
    <cellStyle name="Moneda [0] 3 4" xfId="267" xr:uid="{00000000-0005-0000-0000-000087010000}"/>
    <cellStyle name="Moneda [0] 3 4 2" xfId="268" xr:uid="{00000000-0005-0000-0000-000088010000}"/>
    <cellStyle name="Moneda [0] 3 5" xfId="269" xr:uid="{00000000-0005-0000-0000-000089010000}"/>
    <cellStyle name="Moneda [0] 3 5 2" xfId="270" xr:uid="{00000000-0005-0000-0000-00008A010000}"/>
    <cellStyle name="Moneda [0] 3 6" xfId="271" xr:uid="{00000000-0005-0000-0000-00008B010000}"/>
    <cellStyle name="Moneda [0] 3 7" xfId="272" xr:uid="{00000000-0005-0000-0000-00008C010000}"/>
    <cellStyle name="Moneda [0] 3 8" xfId="2915" xr:uid="{00000000-0005-0000-0000-00008D010000}"/>
    <cellStyle name="Moneda [0] 3 8 2" xfId="3015" xr:uid="{00000000-0005-0000-0000-00008E010000}"/>
    <cellStyle name="Moneda [0] 3 9" xfId="2966" xr:uid="{00000000-0005-0000-0000-00008F010000}"/>
    <cellStyle name="Moneda [0] 4" xfId="273" xr:uid="{00000000-0005-0000-0000-000090010000}"/>
    <cellStyle name="Moneda [0] 4 2" xfId="274" xr:uid="{00000000-0005-0000-0000-000091010000}"/>
    <cellStyle name="Moneda [0] 4 2 2" xfId="275" xr:uid="{00000000-0005-0000-0000-000092010000}"/>
    <cellStyle name="Moneda [0] 4 3" xfId="276" xr:uid="{00000000-0005-0000-0000-000093010000}"/>
    <cellStyle name="Moneda [0] 4 3 2" xfId="277" xr:uid="{00000000-0005-0000-0000-000094010000}"/>
    <cellStyle name="Moneda [0] 4 4" xfId="278" xr:uid="{00000000-0005-0000-0000-000095010000}"/>
    <cellStyle name="Moneda [0] 4 4 2" xfId="279" xr:uid="{00000000-0005-0000-0000-000096010000}"/>
    <cellStyle name="Moneda [0] 4 5" xfId="280" xr:uid="{00000000-0005-0000-0000-000097010000}"/>
    <cellStyle name="Moneda [0] 5" xfId="281" xr:uid="{00000000-0005-0000-0000-000098010000}"/>
    <cellStyle name="Moneda [0] 5 2" xfId="282" xr:uid="{00000000-0005-0000-0000-000099010000}"/>
    <cellStyle name="Moneda [0] 5 2 2" xfId="283" xr:uid="{00000000-0005-0000-0000-00009A010000}"/>
    <cellStyle name="Moneda [0] 5 3" xfId="284" xr:uid="{00000000-0005-0000-0000-00009B010000}"/>
    <cellStyle name="Moneda [0] 5 3 2" xfId="285" xr:uid="{00000000-0005-0000-0000-00009C010000}"/>
    <cellStyle name="Moneda [0] 5 4" xfId="286" xr:uid="{00000000-0005-0000-0000-00009D010000}"/>
    <cellStyle name="Moneda [0] 5 4 2" xfId="287" xr:uid="{00000000-0005-0000-0000-00009E010000}"/>
    <cellStyle name="Moneda [0] 5 5" xfId="288" xr:uid="{00000000-0005-0000-0000-00009F010000}"/>
    <cellStyle name="Moneda [0] 6" xfId="289" xr:uid="{00000000-0005-0000-0000-0000A0010000}"/>
    <cellStyle name="Moneda [0] 6 2" xfId="290" xr:uid="{00000000-0005-0000-0000-0000A1010000}"/>
    <cellStyle name="Moneda [0] 7" xfId="291" xr:uid="{00000000-0005-0000-0000-0000A2010000}"/>
    <cellStyle name="Moneda [0] 7 2" xfId="292" xr:uid="{00000000-0005-0000-0000-0000A3010000}"/>
    <cellStyle name="Moneda [0] 8" xfId="293" xr:uid="{00000000-0005-0000-0000-0000A4010000}"/>
    <cellStyle name="Moneda [0] 8 2" xfId="294" xr:uid="{00000000-0005-0000-0000-0000A5010000}"/>
    <cellStyle name="Moneda [0] 9" xfId="295" xr:uid="{00000000-0005-0000-0000-0000A6010000}"/>
    <cellStyle name="Moneda [0] 9 2" xfId="296" xr:uid="{00000000-0005-0000-0000-0000A7010000}"/>
    <cellStyle name="Moneda 10" xfId="297" xr:uid="{00000000-0005-0000-0000-0000A8010000}"/>
    <cellStyle name="Moneda 10 10" xfId="298" xr:uid="{00000000-0005-0000-0000-0000A9010000}"/>
    <cellStyle name="Moneda 10 11" xfId="299" xr:uid="{00000000-0005-0000-0000-0000AA010000}"/>
    <cellStyle name="Moneda 10 2" xfId="300" xr:uid="{00000000-0005-0000-0000-0000AB010000}"/>
    <cellStyle name="Moneda 10 2 2" xfId="301" xr:uid="{00000000-0005-0000-0000-0000AC010000}"/>
    <cellStyle name="Moneda 10 2 2 2" xfId="302" xr:uid="{00000000-0005-0000-0000-0000AD010000}"/>
    <cellStyle name="Moneda 10 2 2 2 2" xfId="303" xr:uid="{00000000-0005-0000-0000-0000AE010000}"/>
    <cellStyle name="Moneda 10 2 2 2 2 2" xfId="304" xr:uid="{00000000-0005-0000-0000-0000AF010000}"/>
    <cellStyle name="Moneda 10 2 2 2 3" xfId="305" xr:uid="{00000000-0005-0000-0000-0000B0010000}"/>
    <cellStyle name="Moneda 10 2 2 2 3 2" xfId="306" xr:uid="{00000000-0005-0000-0000-0000B1010000}"/>
    <cellStyle name="Moneda 10 2 2 2 4" xfId="307" xr:uid="{00000000-0005-0000-0000-0000B2010000}"/>
    <cellStyle name="Moneda 10 2 2 2 4 2" xfId="308" xr:uid="{00000000-0005-0000-0000-0000B3010000}"/>
    <cellStyle name="Moneda 10 2 2 2 5" xfId="309" xr:uid="{00000000-0005-0000-0000-0000B4010000}"/>
    <cellStyle name="Moneda 10 2 2 3" xfId="310" xr:uid="{00000000-0005-0000-0000-0000B5010000}"/>
    <cellStyle name="Moneda 10 2 2 3 2" xfId="311" xr:uid="{00000000-0005-0000-0000-0000B6010000}"/>
    <cellStyle name="Moneda 10 2 2 4" xfId="312" xr:uid="{00000000-0005-0000-0000-0000B7010000}"/>
    <cellStyle name="Moneda 10 2 2 4 2" xfId="313" xr:uid="{00000000-0005-0000-0000-0000B8010000}"/>
    <cellStyle name="Moneda 10 2 2 5" xfId="314" xr:uid="{00000000-0005-0000-0000-0000B9010000}"/>
    <cellStyle name="Moneda 10 2 2 5 2" xfId="315" xr:uid="{00000000-0005-0000-0000-0000BA010000}"/>
    <cellStyle name="Moneda 10 2 2 6" xfId="316" xr:uid="{00000000-0005-0000-0000-0000BB010000}"/>
    <cellStyle name="Moneda 10 2 3" xfId="317" xr:uid="{00000000-0005-0000-0000-0000BC010000}"/>
    <cellStyle name="Moneda 10 2 3 2" xfId="318" xr:uid="{00000000-0005-0000-0000-0000BD010000}"/>
    <cellStyle name="Moneda 10 2 3 2 2" xfId="319" xr:uid="{00000000-0005-0000-0000-0000BE010000}"/>
    <cellStyle name="Moneda 10 2 3 3" xfId="320" xr:uid="{00000000-0005-0000-0000-0000BF010000}"/>
    <cellStyle name="Moneda 10 2 3 3 2" xfId="321" xr:uid="{00000000-0005-0000-0000-0000C0010000}"/>
    <cellStyle name="Moneda 10 2 3 4" xfId="322" xr:uid="{00000000-0005-0000-0000-0000C1010000}"/>
    <cellStyle name="Moneda 10 2 3 4 2" xfId="323" xr:uid="{00000000-0005-0000-0000-0000C2010000}"/>
    <cellStyle name="Moneda 10 2 3 5" xfId="324" xr:uid="{00000000-0005-0000-0000-0000C3010000}"/>
    <cellStyle name="Moneda 10 2 4" xfId="325" xr:uid="{00000000-0005-0000-0000-0000C4010000}"/>
    <cellStyle name="Moneda 10 2 4 2" xfId="326" xr:uid="{00000000-0005-0000-0000-0000C5010000}"/>
    <cellStyle name="Moneda 10 2 5" xfId="327" xr:uid="{00000000-0005-0000-0000-0000C6010000}"/>
    <cellStyle name="Moneda 10 2 5 2" xfId="328" xr:uid="{00000000-0005-0000-0000-0000C7010000}"/>
    <cellStyle name="Moneda 10 2 6" xfId="329" xr:uid="{00000000-0005-0000-0000-0000C8010000}"/>
    <cellStyle name="Moneda 10 2 6 2" xfId="330" xr:uid="{00000000-0005-0000-0000-0000C9010000}"/>
    <cellStyle name="Moneda 10 2 7" xfId="331" xr:uid="{00000000-0005-0000-0000-0000CA010000}"/>
    <cellStyle name="Moneda 10 2 8" xfId="332" xr:uid="{00000000-0005-0000-0000-0000CB010000}"/>
    <cellStyle name="Moneda 10 3" xfId="333" xr:uid="{00000000-0005-0000-0000-0000CC010000}"/>
    <cellStyle name="Moneda 10 3 2" xfId="334" xr:uid="{00000000-0005-0000-0000-0000CD010000}"/>
    <cellStyle name="Moneda 10 3 2 2" xfId="335" xr:uid="{00000000-0005-0000-0000-0000CE010000}"/>
    <cellStyle name="Moneda 10 3 2 2 2" xfId="336" xr:uid="{00000000-0005-0000-0000-0000CF010000}"/>
    <cellStyle name="Moneda 10 3 2 2 2 2" xfId="337" xr:uid="{00000000-0005-0000-0000-0000D0010000}"/>
    <cellStyle name="Moneda 10 3 2 2 3" xfId="338" xr:uid="{00000000-0005-0000-0000-0000D1010000}"/>
    <cellStyle name="Moneda 10 3 2 2 3 2" xfId="339" xr:uid="{00000000-0005-0000-0000-0000D2010000}"/>
    <cellStyle name="Moneda 10 3 2 2 4" xfId="340" xr:uid="{00000000-0005-0000-0000-0000D3010000}"/>
    <cellStyle name="Moneda 10 3 2 2 4 2" xfId="341" xr:uid="{00000000-0005-0000-0000-0000D4010000}"/>
    <cellStyle name="Moneda 10 3 2 2 5" xfId="342" xr:uid="{00000000-0005-0000-0000-0000D5010000}"/>
    <cellStyle name="Moneda 10 3 2 3" xfId="343" xr:uid="{00000000-0005-0000-0000-0000D6010000}"/>
    <cellStyle name="Moneda 10 3 2 3 2" xfId="344" xr:uid="{00000000-0005-0000-0000-0000D7010000}"/>
    <cellStyle name="Moneda 10 3 2 4" xfId="345" xr:uid="{00000000-0005-0000-0000-0000D8010000}"/>
    <cellStyle name="Moneda 10 3 2 4 2" xfId="346" xr:uid="{00000000-0005-0000-0000-0000D9010000}"/>
    <cellStyle name="Moneda 10 3 2 5" xfId="347" xr:uid="{00000000-0005-0000-0000-0000DA010000}"/>
    <cellStyle name="Moneda 10 3 2 5 2" xfId="348" xr:uid="{00000000-0005-0000-0000-0000DB010000}"/>
    <cellStyle name="Moneda 10 3 2 6" xfId="349" xr:uid="{00000000-0005-0000-0000-0000DC010000}"/>
    <cellStyle name="Moneda 10 3 3" xfId="350" xr:uid="{00000000-0005-0000-0000-0000DD010000}"/>
    <cellStyle name="Moneda 10 3 3 2" xfId="351" xr:uid="{00000000-0005-0000-0000-0000DE010000}"/>
    <cellStyle name="Moneda 10 3 3 2 2" xfId="352" xr:uid="{00000000-0005-0000-0000-0000DF010000}"/>
    <cellStyle name="Moneda 10 3 3 3" xfId="353" xr:uid="{00000000-0005-0000-0000-0000E0010000}"/>
    <cellStyle name="Moneda 10 3 3 3 2" xfId="354" xr:uid="{00000000-0005-0000-0000-0000E1010000}"/>
    <cellStyle name="Moneda 10 3 3 4" xfId="355" xr:uid="{00000000-0005-0000-0000-0000E2010000}"/>
    <cellStyle name="Moneda 10 3 3 4 2" xfId="356" xr:uid="{00000000-0005-0000-0000-0000E3010000}"/>
    <cellStyle name="Moneda 10 3 3 5" xfId="357" xr:uid="{00000000-0005-0000-0000-0000E4010000}"/>
    <cellStyle name="Moneda 10 3 4" xfId="358" xr:uid="{00000000-0005-0000-0000-0000E5010000}"/>
    <cellStyle name="Moneda 10 3 4 2" xfId="359" xr:uid="{00000000-0005-0000-0000-0000E6010000}"/>
    <cellStyle name="Moneda 10 3 5" xfId="360" xr:uid="{00000000-0005-0000-0000-0000E7010000}"/>
    <cellStyle name="Moneda 10 3 5 2" xfId="361" xr:uid="{00000000-0005-0000-0000-0000E8010000}"/>
    <cellStyle name="Moneda 10 3 6" xfId="362" xr:uid="{00000000-0005-0000-0000-0000E9010000}"/>
    <cellStyle name="Moneda 10 3 6 2" xfId="363" xr:uid="{00000000-0005-0000-0000-0000EA010000}"/>
    <cellStyle name="Moneda 10 3 7" xfId="364" xr:uid="{00000000-0005-0000-0000-0000EB010000}"/>
    <cellStyle name="Moneda 10 4" xfId="365" xr:uid="{00000000-0005-0000-0000-0000EC010000}"/>
    <cellStyle name="Moneda 10 4 2" xfId="366" xr:uid="{00000000-0005-0000-0000-0000ED010000}"/>
    <cellStyle name="Moneda 10 4 2 2" xfId="367" xr:uid="{00000000-0005-0000-0000-0000EE010000}"/>
    <cellStyle name="Moneda 10 4 2 2 2" xfId="368" xr:uid="{00000000-0005-0000-0000-0000EF010000}"/>
    <cellStyle name="Moneda 10 4 2 2 2 2" xfId="369" xr:uid="{00000000-0005-0000-0000-0000F0010000}"/>
    <cellStyle name="Moneda 10 4 2 2 3" xfId="370" xr:uid="{00000000-0005-0000-0000-0000F1010000}"/>
    <cellStyle name="Moneda 10 4 2 2 3 2" xfId="371" xr:uid="{00000000-0005-0000-0000-0000F2010000}"/>
    <cellStyle name="Moneda 10 4 2 2 4" xfId="372" xr:uid="{00000000-0005-0000-0000-0000F3010000}"/>
    <cellStyle name="Moneda 10 4 2 2 4 2" xfId="373" xr:uid="{00000000-0005-0000-0000-0000F4010000}"/>
    <cellStyle name="Moneda 10 4 2 2 5" xfId="374" xr:uid="{00000000-0005-0000-0000-0000F5010000}"/>
    <cellStyle name="Moneda 10 4 2 3" xfId="375" xr:uid="{00000000-0005-0000-0000-0000F6010000}"/>
    <cellStyle name="Moneda 10 4 2 3 2" xfId="376" xr:uid="{00000000-0005-0000-0000-0000F7010000}"/>
    <cellStyle name="Moneda 10 4 2 4" xfId="377" xr:uid="{00000000-0005-0000-0000-0000F8010000}"/>
    <cellStyle name="Moneda 10 4 2 4 2" xfId="378" xr:uid="{00000000-0005-0000-0000-0000F9010000}"/>
    <cellStyle name="Moneda 10 4 2 5" xfId="379" xr:uid="{00000000-0005-0000-0000-0000FA010000}"/>
    <cellStyle name="Moneda 10 4 2 5 2" xfId="380" xr:uid="{00000000-0005-0000-0000-0000FB010000}"/>
    <cellStyle name="Moneda 10 4 2 6" xfId="381" xr:uid="{00000000-0005-0000-0000-0000FC010000}"/>
    <cellStyle name="Moneda 10 4 3" xfId="382" xr:uid="{00000000-0005-0000-0000-0000FD010000}"/>
    <cellStyle name="Moneda 10 4 3 2" xfId="383" xr:uid="{00000000-0005-0000-0000-0000FE010000}"/>
    <cellStyle name="Moneda 10 4 3 2 2" xfId="384" xr:uid="{00000000-0005-0000-0000-0000FF010000}"/>
    <cellStyle name="Moneda 10 4 3 3" xfId="385" xr:uid="{00000000-0005-0000-0000-000000020000}"/>
    <cellStyle name="Moneda 10 4 3 3 2" xfId="386" xr:uid="{00000000-0005-0000-0000-000001020000}"/>
    <cellStyle name="Moneda 10 4 3 4" xfId="387" xr:uid="{00000000-0005-0000-0000-000002020000}"/>
    <cellStyle name="Moneda 10 4 3 4 2" xfId="388" xr:uid="{00000000-0005-0000-0000-000003020000}"/>
    <cellStyle name="Moneda 10 4 3 5" xfId="389" xr:uid="{00000000-0005-0000-0000-000004020000}"/>
    <cellStyle name="Moneda 10 4 4" xfId="390" xr:uid="{00000000-0005-0000-0000-000005020000}"/>
    <cellStyle name="Moneda 10 4 4 2" xfId="391" xr:uid="{00000000-0005-0000-0000-000006020000}"/>
    <cellStyle name="Moneda 10 4 5" xfId="392" xr:uid="{00000000-0005-0000-0000-000007020000}"/>
    <cellStyle name="Moneda 10 4 5 2" xfId="393" xr:uid="{00000000-0005-0000-0000-000008020000}"/>
    <cellStyle name="Moneda 10 4 6" xfId="394" xr:uid="{00000000-0005-0000-0000-000009020000}"/>
    <cellStyle name="Moneda 10 4 6 2" xfId="395" xr:uid="{00000000-0005-0000-0000-00000A020000}"/>
    <cellStyle name="Moneda 10 4 7" xfId="396" xr:uid="{00000000-0005-0000-0000-00000B020000}"/>
    <cellStyle name="Moneda 10 5" xfId="397" xr:uid="{00000000-0005-0000-0000-00000C020000}"/>
    <cellStyle name="Moneda 10 5 2" xfId="398" xr:uid="{00000000-0005-0000-0000-00000D020000}"/>
    <cellStyle name="Moneda 10 5 2 2" xfId="399" xr:uid="{00000000-0005-0000-0000-00000E020000}"/>
    <cellStyle name="Moneda 10 5 2 2 2" xfId="400" xr:uid="{00000000-0005-0000-0000-00000F020000}"/>
    <cellStyle name="Moneda 10 5 2 3" xfId="401" xr:uid="{00000000-0005-0000-0000-000010020000}"/>
    <cellStyle name="Moneda 10 5 2 3 2" xfId="402" xr:uid="{00000000-0005-0000-0000-000011020000}"/>
    <cellStyle name="Moneda 10 5 2 4" xfId="403" xr:uid="{00000000-0005-0000-0000-000012020000}"/>
    <cellStyle name="Moneda 10 5 2 4 2" xfId="404" xr:uid="{00000000-0005-0000-0000-000013020000}"/>
    <cellStyle name="Moneda 10 5 2 5" xfId="405" xr:uid="{00000000-0005-0000-0000-000014020000}"/>
    <cellStyle name="Moneda 10 5 3" xfId="406" xr:uid="{00000000-0005-0000-0000-000015020000}"/>
    <cellStyle name="Moneda 10 5 3 2" xfId="407" xr:uid="{00000000-0005-0000-0000-000016020000}"/>
    <cellStyle name="Moneda 10 5 4" xfId="408" xr:uid="{00000000-0005-0000-0000-000017020000}"/>
    <cellStyle name="Moneda 10 5 4 2" xfId="409" xr:uid="{00000000-0005-0000-0000-000018020000}"/>
    <cellStyle name="Moneda 10 5 5" xfId="410" xr:uid="{00000000-0005-0000-0000-000019020000}"/>
    <cellStyle name="Moneda 10 5 5 2" xfId="411" xr:uid="{00000000-0005-0000-0000-00001A020000}"/>
    <cellStyle name="Moneda 10 5 6" xfId="412" xr:uid="{00000000-0005-0000-0000-00001B020000}"/>
    <cellStyle name="Moneda 10 6" xfId="413" xr:uid="{00000000-0005-0000-0000-00001C020000}"/>
    <cellStyle name="Moneda 10 6 2" xfId="414" xr:uid="{00000000-0005-0000-0000-00001D020000}"/>
    <cellStyle name="Moneda 10 6 2 2" xfId="415" xr:uid="{00000000-0005-0000-0000-00001E020000}"/>
    <cellStyle name="Moneda 10 6 3" xfId="416" xr:uid="{00000000-0005-0000-0000-00001F020000}"/>
    <cellStyle name="Moneda 10 6 3 2" xfId="417" xr:uid="{00000000-0005-0000-0000-000020020000}"/>
    <cellStyle name="Moneda 10 6 4" xfId="418" xr:uid="{00000000-0005-0000-0000-000021020000}"/>
    <cellStyle name="Moneda 10 6 4 2" xfId="419" xr:uid="{00000000-0005-0000-0000-000022020000}"/>
    <cellStyle name="Moneda 10 6 5" xfId="420" xr:uid="{00000000-0005-0000-0000-000023020000}"/>
    <cellStyle name="Moneda 10 7" xfId="421" xr:uid="{00000000-0005-0000-0000-000024020000}"/>
    <cellStyle name="Moneda 10 7 2" xfId="422" xr:uid="{00000000-0005-0000-0000-000025020000}"/>
    <cellStyle name="Moneda 10 8" xfId="423" xr:uid="{00000000-0005-0000-0000-000026020000}"/>
    <cellStyle name="Moneda 10 8 2" xfId="424" xr:uid="{00000000-0005-0000-0000-000027020000}"/>
    <cellStyle name="Moneda 10 9" xfId="425" xr:uid="{00000000-0005-0000-0000-000028020000}"/>
    <cellStyle name="Moneda 10 9 2" xfId="426" xr:uid="{00000000-0005-0000-0000-000029020000}"/>
    <cellStyle name="Moneda 11" xfId="427" xr:uid="{00000000-0005-0000-0000-00002A020000}"/>
    <cellStyle name="Moneda 11 10" xfId="428" xr:uid="{00000000-0005-0000-0000-00002B020000}"/>
    <cellStyle name="Moneda 11 11" xfId="429" xr:uid="{00000000-0005-0000-0000-00002C020000}"/>
    <cellStyle name="Moneda 11 2" xfId="430" xr:uid="{00000000-0005-0000-0000-00002D020000}"/>
    <cellStyle name="Moneda 11 2 2" xfId="431" xr:uid="{00000000-0005-0000-0000-00002E020000}"/>
    <cellStyle name="Moneda 11 2 2 2" xfId="432" xr:uid="{00000000-0005-0000-0000-00002F020000}"/>
    <cellStyle name="Moneda 11 2 2 2 2" xfId="433" xr:uid="{00000000-0005-0000-0000-000030020000}"/>
    <cellStyle name="Moneda 11 2 2 2 2 2" xfId="434" xr:uid="{00000000-0005-0000-0000-000031020000}"/>
    <cellStyle name="Moneda 11 2 2 2 3" xfId="435" xr:uid="{00000000-0005-0000-0000-000032020000}"/>
    <cellStyle name="Moneda 11 2 2 2 3 2" xfId="436" xr:uid="{00000000-0005-0000-0000-000033020000}"/>
    <cellStyle name="Moneda 11 2 2 2 4" xfId="437" xr:uid="{00000000-0005-0000-0000-000034020000}"/>
    <cellStyle name="Moneda 11 2 2 2 4 2" xfId="438" xr:uid="{00000000-0005-0000-0000-000035020000}"/>
    <cellStyle name="Moneda 11 2 2 2 5" xfId="439" xr:uid="{00000000-0005-0000-0000-000036020000}"/>
    <cellStyle name="Moneda 11 2 2 3" xfId="440" xr:uid="{00000000-0005-0000-0000-000037020000}"/>
    <cellStyle name="Moneda 11 2 2 3 2" xfId="441" xr:uid="{00000000-0005-0000-0000-000038020000}"/>
    <cellStyle name="Moneda 11 2 2 4" xfId="442" xr:uid="{00000000-0005-0000-0000-000039020000}"/>
    <cellStyle name="Moneda 11 2 2 4 2" xfId="443" xr:uid="{00000000-0005-0000-0000-00003A020000}"/>
    <cellStyle name="Moneda 11 2 2 5" xfId="444" xr:uid="{00000000-0005-0000-0000-00003B020000}"/>
    <cellStyle name="Moneda 11 2 2 5 2" xfId="445" xr:uid="{00000000-0005-0000-0000-00003C020000}"/>
    <cellStyle name="Moneda 11 2 2 6" xfId="446" xr:uid="{00000000-0005-0000-0000-00003D020000}"/>
    <cellStyle name="Moneda 11 2 3" xfId="447" xr:uid="{00000000-0005-0000-0000-00003E020000}"/>
    <cellStyle name="Moneda 11 2 3 2" xfId="448" xr:uid="{00000000-0005-0000-0000-00003F020000}"/>
    <cellStyle name="Moneda 11 2 3 2 2" xfId="449" xr:uid="{00000000-0005-0000-0000-000040020000}"/>
    <cellStyle name="Moneda 11 2 3 3" xfId="450" xr:uid="{00000000-0005-0000-0000-000041020000}"/>
    <cellStyle name="Moneda 11 2 3 3 2" xfId="451" xr:uid="{00000000-0005-0000-0000-000042020000}"/>
    <cellStyle name="Moneda 11 2 3 4" xfId="452" xr:uid="{00000000-0005-0000-0000-000043020000}"/>
    <cellStyle name="Moneda 11 2 3 4 2" xfId="453" xr:uid="{00000000-0005-0000-0000-000044020000}"/>
    <cellStyle name="Moneda 11 2 3 5" xfId="454" xr:uid="{00000000-0005-0000-0000-000045020000}"/>
    <cellStyle name="Moneda 11 2 4" xfId="455" xr:uid="{00000000-0005-0000-0000-000046020000}"/>
    <cellStyle name="Moneda 11 2 4 2" xfId="456" xr:uid="{00000000-0005-0000-0000-000047020000}"/>
    <cellStyle name="Moneda 11 2 5" xfId="457" xr:uid="{00000000-0005-0000-0000-000048020000}"/>
    <cellStyle name="Moneda 11 2 5 2" xfId="458" xr:uid="{00000000-0005-0000-0000-000049020000}"/>
    <cellStyle name="Moneda 11 2 6" xfId="459" xr:uid="{00000000-0005-0000-0000-00004A020000}"/>
    <cellStyle name="Moneda 11 2 6 2" xfId="460" xr:uid="{00000000-0005-0000-0000-00004B020000}"/>
    <cellStyle name="Moneda 11 2 7" xfId="461" xr:uid="{00000000-0005-0000-0000-00004C020000}"/>
    <cellStyle name="Moneda 11 2 8" xfId="462" xr:uid="{00000000-0005-0000-0000-00004D020000}"/>
    <cellStyle name="Moneda 11 3" xfId="463" xr:uid="{00000000-0005-0000-0000-00004E020000}"/>
    <cellStyle name="Moneda 11 3 2" xfId="464" xr:uid="{00000000-0005-0000-0000-00004F020000}"/>
    <cellStyle name="Moneda 11 3 2 2" xfId="465" xr:uid="{00000000-0005-0000-0000-000050020000}"/>
    <cellStyle name="Moneda 11 3 2 2 2" xfId="466" xr:uid="{00000000-0005-0000-0000-000051020000}"/>
    <cellStyle name="Moneda 11 3 2 2 2 2" xfId="467" xr:uid="{00000000-0005-0000-0000-000052020000}"/>
    <cellStyle name="Moneda 11 3 2 2 3" xfId="468" xr:uid="{00000000-0005-0000-0000-000053020000}"/>
    <cellStyle name="Moneda 11 3 2 2 3 2" xfId="469" xr:uid="{00000000-0005-0000-0000-000054020000}"/>
    <cellStyle name="Moneda 11 3 2 2 4" xfId="470" xr:uid="{00000000-0005-0000-0000-000055020000}"/>
    <cellStyle name="Moneda 11 3 2 2 4 2" xfId="471" xr:uid="{00000000-0005-0000-0000-000056020000}"/>
    <cellStyle name="Moneda 11 3 2 2 5" xfId="472" xr:uid="{00000000-0005-0000-0000-000057020000}"/>
    <cellStyle name="Moneda 11 3 2 3" xfId="473" xr:uid="{00000000-0005-0000-0000-000058020000}"/>
    <cellStyle name="Moneda 11 3 2 3 2" xfId="474" xr:uid="{00000000-0005-0000-0000-000059020000}"/>
    <cellStyle name="Moneda 11 3 2 4" xfId="475" xr:uid="{00000000-0005-0000-0000-00005A020000}"/>
    <cellStyle name="Moneda 11 3 2 4 2" xfId="476" xr:uid="{00000000-0005-0000-0000-00005B020000}"/>
    <cellStyle name="Moneda 11 3 2 5" xfId="477" xr:uid="{00000000-0005-0000-0000-00005C020000}"/>
    <cellStyle name="Moneda 11 3 2 5 2" xfId="478" xr:uid="{00000000-0005-0000-0000-00005D020000}"/>
    <cellStyle name="Moneda 11 3 2 6" xfId="479" xr:uid="{00000000-0005-0000-0000-00005E020000}"/>
    <cellStyle name="Moneda 11 3 3" xfId="480" xr:uid="{00000000-0005-0000-0000-00005F020000}"/>
    <cellStyle name="Moneda 11 3 3 2" xfId="481" xr:uid="{00000000-0005-0000-0000-000060020000}"/>
    <cellStyle name="Moneda 11 3 3 2 2" xfId="482" xr:uid="{00000000-0005-0000-0000-000061020000}"/>
    <cellStyle name="Moneda 11 3 3 3" xfId="483" xr:uid="{00000000-0005-0000-0000-000062020000}"/>
    <cellStyle name="Moneda 11 3 3 3 2" xfId="484" xr:uid="{00000000-0005-0000-0000-000063020000}"/>
    <cellStyle name="Moneda 11 3 3 4" xfId="485" xr:uid="{00000000-0005-0000-0000-000064020000}"/>
    <cellStyle name="Moneda 11 3 3 4 2" xfId="486" xr:uid="{00000000-0005-0000-0000-000065020000}"/>
    <cellStyle name="Moneda 11 3 3 5" xfId="487" xr:uid="{00000000-0005-0000-0000-000066020000}"/>
    <cellStyle name="Moneda 11 3 4" xfId="488" xr:uid="{00000000-0005-0000-0000-000067020000}"/>
    <cellStyle name="Moneda 11 3 4 2" xfId="489" xr:uid="{00000000-0005-0000-0000-000068020000}"/>
    <cellStyle name="Moneda 11 3 5" xfId="490" xr:uid="{00000000-0005-0000-0000-000069020000}"/>
    <cellStyle name="Moneda 11 3 5 2" xfId="491" xr:uid="{00000000-0005-0000-0000-00006A020000}"/>
    <cellStyle name="Moneda 11 3 6" xfId="492" xr:uid="{00000000-0005-0000-0000-00006B020000}"/>
    <cellStyle name="Moneda 11 3 6 2" xfId="493" xr:uid="{00000000-0005-0000-0000-00006C020000}"/>
    <cellStyle name="Moneda 11 3 7" xfId="494" xr:uid="{00000000-0005-0000-0000-00006D020000}"/>
    <cellStyle name="Moneda 11 4" xfId="495" xr:uid="{00000000-0005-0000-0000-00006E020000}"/>
    <cellStyle name="Moneda 11 4 2" xfId="496" xr:uid="{00000000-0005-0000-0000-00006F020000}"/>
    <cellStyle name="Moneda 11 4 2 2" xfId="497" xr:uid="{00000000-0005-0000-0000-000070020000}"/>
    <cellStyle name="Moneda 11 4 2 2 2" xfId="498" xr:uid="{00000000-0005-0000-0000-000071020000}"/>
    <cellStyle name="Moneda 11 4 2 2 2 2" xfId="499" xr:uid="{00000000-0005-0000-0000-000072020000}"/>
    <cellStyle name="Moneda 11 4 2 2 3" xfId="500" xr:uid="{00000000-0005-0000-0000-000073020000}"/>
    <cellStyle name="Moneda 11 4 2 2 3 2" xfId="501" xr:uid="{00000000-0005-0000-0000-000074020000}"/>
    <cellStyle name="Moneda 11 4 2 2 4" xfId="502" xr:uid="{00000000-0005-0000-0000-000075020000}"/>
    <cellStyle name="Moneda 11 4 2 2 4 2" xfId="503" xr:uid="{00000000-0005-0000-0000-000076020000}"/>
    <cellStyle name="Moneda 11 4 2 2 5" xfId="504" xr:uid="{00000000-0005-0000-0000-000077020000}"/>
    <cellStyle name="Moneda 11 4 2 3" xfId="505" xr:uid="{00000000-0005-0000-0000-000078020000}"/>
    <cellStyle name="Moneda 11 4 2 3 2" xfId="506" xr:uid="{00000000-0005-0000-0000-000079020000}"/>
    <cellStyle name="Moneda 11 4 2 4" xfId="507" xr:uid="{00000000-0005-0000-0000-00007A020000}"/>
    <cellStyle name="Moneda 11 4 2 4 2" xfId="508" xr:uid="{00000000-0005-0000-0000-00007B020000}"/>
    <cellStyle name="Moneda 11 4 2 5" xfId="509" xr:uid="{00000000-0005-0000-0000-00007C020000}"/>
    <cellStyle name="Moneda 11 4 2 5 2" xfId="510" xr:uid="{00000000-0005-0000-0000-00007D020000}"/>
    <cellStyle name="Moneda 11 4 2 6" xfId="511" xr:uid="{00000000-0005-0000-0000-00007E020000}"/>
    <cellStyle name="Moneda 11 4 3" xfId="512" xr:uid="{00000000-0005-0000-0000-00007F020000}"/>
    <cellStyle name="Moneda 11 4 3 2" xfId="513" xr:uid="{00000000-0005-0000-0000-000080020000}"/>
    <cellStyle name="Moneda 11 4 3 2 2" xfId="514" xr:uid="{00000000-0005-0000-0000-000081020000}"/>
    <cellStyle name="Moneda 11 4 3 3" xfId="515" xr:uid="{00000000-0005-0000-0000-000082020000}"/>
    <cellStyle name="Moneda 11 4 3 3 2" xfId="516" xr:uid="{00000000-0005-0000-0000-000083020000}"/>
    <cellStyle name="Moneda 11 4 3 4" xfId="517" xr:uid="{00000000-0005-0000-0000-000084020000}"/>
    <cellStyle name="Moneda 11 4 3 4 2" xfId="518" xr:uid="{00000000-0005-0000-0000-000085020000}"/>
    <cellStyle name="Moneda 11 4 3 5" xfId="519" xr:uid="{00000000-0005-0000-0000-000086020000}"/>
    <cellStyle name="Moneda 11 4 4" xfId="520" xr:uid="{00000000-0005-0000-0000-000087020000}"/>
    <cellStyle name="Moneda 11 4 4 2" xfId="521" xr:uid="{00000000-0005-0000-0000-000088020000}"/>
    <cellStyle name="Moneda 11 4 5" xfId="522" xr:uid="{00000000-0005-0000-0000-000089020000}"/>
    <cellStyle name="Moneda 11 4 5 2" xfId="523" xr:uid="{00000000-0005-0000-0000-00008A020000}"/>
    <cellStyle name="Moneda 11 4 6" xfId="524" xr:uid="{00000000-0005-0000-0000-00008B020000}"/>
    <cellStyle name="Moneda 11 4 6 2" xfId="525" xr:uid="{00000000-0005-0000-0000-00008C020000}"/>
    <cellStyle name="Moneda 11 4 7" xfId="526" xr:uid="{00000000-0005-0000-0000-00008D020000}"/>
    <cellStyle name="Moneda 11 5" xfId="527" xr:uid="{00000000-0005-0000-0000-00008E020000}"/>
    <cellStyle name="Moneda 11 5 2" xfId="528" xr:uid="{00000000-0005-0000-0000-00008F020000}"/>
    <cellStyle name="Moneda 11 5 2 2" xfId="529" xr:uid="{00000000-0005-0000-0000-000090020000}"/>
    <cellStyle name="Moneda 11 5 2 2 2" xfId="530" xr:uid="{00000000-0005-0000-0000-000091020000}"/>
    <cellStyle name="Moneda 11 5 2 3" xfId="531" xr:uid="{00000000-0005-0000-0000-000092020000}"/>
    <cellStyle name="Moneda 11 5 2 3 2" xfId="532" xr:uid="{00000000-0005-0000-0000-000093020000}"/>
    <cellStyle name="Moneda 11 5 2 4" xfId="533" xr:uid="{00000000-0005-0000-0000-000094020000}"/>
    <cellStyle name="Moneda 11 5 2 4 2" xfId="534" xr:uid="{00000000-0005-0000-0000-000095020000}"/>
    <cellStyle name="Moneda 11 5 2 5" xfId="535" xr:uid="{00000000-0005-0000-0000-000096020000}"/>
    <cellStyle name="Moneda 11 5 3" xfId="536" xr:uid="{00000000-0005-0000-0000-000097020000}"/>
    <cellStyle name="Moneda 11 5 3 2" xfId="537" xr:uid="{00000000-0005-0000-0000-000098020000}"/>
    <cellStyle name="Moneda 11 5 4" xfId="538" xr:uid="{00000000-0005-0000-0000-000099020000}"/>
    <cellStyle name="Moneda 11 5 4 2" xfId="539" xr:uid="{00000000-0005-0000-0000-00009A020000}"/>
    <cellStyle name="Moneda 11 5 5" xfId="540" xr:uid="{00000000-0005-0000-0000-00009B020000}"/>
    <cellStyle name="Moneda 11 5 5 2" xfId="541" xr:uid="{00000000-0005-0000-0000-00009C020000}"/>
    <cellStyle name="Moneda 11 5 6" xfId="542" xr:uid="{00000000-0005-0000-0000-00009D020000}"/>
    <cellStyle name="Moneda 11 6" xfId="543" xr:uid="{00000000-0005-0000-0000-00009E020000}"/>
    <cellStyle name="Moneda 11 6 2" xfId="544" xr:uid="{00000000-0005-0000-0000-00009F020000}"/>
    <cellStyle name="Moneda 11 6 2 2" xfId="545" xr:uid="{00000000-0005-0000-0000-0000A0020000}"/>
    <cellStyle name="Moneda 11 6 3" xfId="546" xr:uid="{00000000-0005-0000-0000-0000A1020000}"/>
    <cellStyle name="Moneda 11 6 3 2" xfId="547" xr:uid="{00000000-0005-0000-0000-0000A2020000}"/>
    <cellStyle name="Moneda 11 6 4" xfId="548" xr:uid="{00000000-0005-0000-0000-0000A3020000}"/>
    <cellStyle name="Moneda 11 6 4 2" xfId="549" xr:uid="{00000000-0005-0000-0000-0000A4020000}"/>
    <cellStyle name="Moneda 11 6 5" xfId="550" xr:uid="{00000000-0005-0000-0000-0000A5020000}"/>
    <cellStyle name="Moneda 11 7" xfId="551" xr:uid="{00000000-0005-0000-0000-0000A6020000}"/>
    <cellStyle name="Moneda 11 7 2" xfId="552" xr:uid="{00000000-0005-0000-0000-0000A7020000}"/>
    <cellStyle name="Moneda 11 8" xfId="553" xr:uid="{00000000-0005-0000-0000-0000A8020000}"/>
    <cellStyle name="Moneda 11 8 2" xfId="554" xr:uid="{00000000-0005-0000-0000-0000A9020000}"/>
    <cellStyle name="Moneda 11 9" xfId="555" xr:uid="{00000000-0005-0000-0000-0000AA020000}"/>
    <cellStyle name="Moneda 11 9 2" xfId="556" xr:uid="{00000000-0005-0000-0000-0000AB020000}"/>
    <cellStyle name="Moneda 12" xfId="557" xr:uid="{00000000-0005-0000-0000-0000AC020000}"/>
    <cellStyle name="Moneda 12 2" xfId="558" xr:uid="{00000000-0005-0000-0000-0000AD020000}"/>
    <cellStyle name="Moneda 12 2 2" xfId="559" xr:uid="{00000000-0005-0000-0000-0000AE020000}"/>
    <cellStyle name="Moneda 12 2 2 2" xfId="560" xr:uid="{00000000-0005-0000-0000-0000AF020000}"/>
    <cellStyle name="Moneda 12 2 2 2 2" xfId="561" xr:uid="{00000000-0005-0000-0000-0000B0020000}"/>
    <cellStyle name="Moneda 12 2 2 2 2 2" xfId="562" xr:uid="{00000000-0005-0000-0000-0000B1020000}"/>
    <cellStyle name="Moneda 12 2 2 2 3" xfId="563" xr:uid="{00000000-0005-0000-0000-0000B2020000}"/>
    <cellStyle name="Moneda 12 2 2 2 3 2" xfId="564" xr:uid="{00000000-0005-0000-0000-0000B3020000}"/>
    <cellStyle name="Moneda 12 2 2 2 4" xfId="565" xr:uid="{00000000-0005-0000-0000-0000B4020000}"/>
    <cellStyle name="Moneda 12 2 2 2 4 2" xfId="566" xr:uid="{00000000-0005-0000-0000-0000B5020000}"/>
    <cellStyle name="Moneda 12 2 2 2 5" xfId="567" xr:uid="{00000000-0005-0000-0000-0000B6020000}"/>
    <cellStyle name="Moneda 12 2 2 3" xfId="568" xr:uid="{00000000-0005-0000-0000-0000B7020000}"/>
    <cellStyle name="Moneda 12 2 2 3 2" xfId="569" xr:uid="{00000000-0005-0000-0000-0000B8020000}"/>
    <cellStyle name="Moneda 12 2 2 4" xfId="570" xr:uid="{00000000-0005-0000-0000-0000B9020000}"/>
    <cellStyle name="Moneda 12 2 2 4 2" xfId="571" xr:uid="{00000000-0005-0000-0000-0000BA020000}"/>
    <cellStyle name="Moneda 12 2 2 5" xfId="572" xr:uid="{00000000-0005-0000-0000-0000BB020000}"/>
    <cellStyle name="Moneda 12 2 2 5 2" xfId="573" xr:uid="{00000000-0005-0000-0000-0000BC020000}"/>
    <cellStyle name="Moneda 12 2 2 6" xfId="574" xr:uid="{00000000-0005-0000-0000-0000BD020000}"/>
    <cellStyle name="Moneda 12 2 3" xfId="575" xr:uid="{00000000-0005-0000-0000-0000BE020000}"/>
    <cellStyle name="Moneda 12 2 3 2" xfId="576" xr:uid="{00000000-0005-0000-0000-0000BF020000}"/>
    <cellStyle name="Moneda 12 2 3 2 2" xfId="577" xr:uid="{00000000-0005-0000-0000-0000C0020000}"/>
    <cellStyle name="Moneda 12 2 3 3" xfId="578" xr:uid="{00000000-0005-0000-0000-0000C1020000}"/>
    <cellStyle name="Moneda 12 2 3 3 2" xfId="579" xr:uid="{00000000-0005-0000-0000-0000C2020000}"/>
    <cellStyle name="Moneda 12 2 3 4" xfId="580" xr:uid="{00000000-0005-0000-0000-0000C3020000}"/>
    <cellStyle name="Moneda 12 2 3 4 2" xfId="581" xr:uid="{00000000-0005-0000-0000-0000C4020000}"/>
    <cellStyle name="Moneda 12 2 3 5" xfId="582" xr:uid="{00000000-0005-0000-0000-0000C5020000}"/>
    <cellStyle name="Moneda 12 2 4" xfId="583" xr:uid="{00000000-0005-0000-0000-0000C6020000}"/>
    <cellStyle name="Moneda 12 2 4 2" xfId="584" xr:uid="{00000000-0005-0000-0000-0000C7020000}"/>
    <cellStyle name="Moneda 12 2 5" xfId="585" xr:uid="{00000000-0005-0000-0000-0000C8020000}"/>
    <cellStyle name="Moneda 12 2 5 2" xfId="586" xr:uid="{00000000-0005-0000-0000-0000C9020000}"/>
    <cellStyle name="Moneda 12 2 6" xfId="587" xr:uid="{00000000-0005-0000-0000-0000CA020000}"/>
    <cellStyle name="Moneda 12 2 6 2" xfId="588" xr:uid="{00000000-0005-0000-0000-0000CB020000}"/>
    <cellStyle name="Moneda 12 2 7" xfId="589" xr:uid="{00000000-0005-0000-0000-0000CC020000}"/>
    <cellStyle name="Moneda 12 2 8" xfId="590" xr:uid="{00000000-0005-0000-0000-0000CD020000}"/>
    <cellStyle name="Moneda 12 3" xfId="591" xr:uid="{00000000-0005-0000-0000-0000CE020000}"/>
    <cellStyle name="Moneda 12 3 2" xfId="592" xr:uid="{00000000-0005-0000-0000-0000CF020000}"/>
    <cellStyle name="Moneda 12 3 2 2" xfId="593" xr:uid="{00000000-0005-0000-0000-0000D0020000}"/>
    <cellStyle name="Moneda 12 3 2 2 2" xfId="594" xr:uid="{00000000-0005-0000-0000-0000D1020000}"/>
    <cellStyle name="Moneda 12 3 2 3" xfId="595" xr:uid="{00000000-0005-0000-0000-0000D2020000}"/>
    <cellStyle name="Moneda 12 3 2 3 2" xfId="596" xr:uid="{00000000-0005-0000-0000-0000D3020000}"/>
    <cellStyle name="Moneda 12 3 2 4" xfId="597" xr:uid="{00000000-0005-0000-0000-0000D4020000}"/>
    <cellStyle name="Moneda 12 3 2 4 2" xfId="598" xr:uid="{00000000-0005-0000-0000-0000D5020000}"/>
    <cellStyle name="Moneda 12 3 2 5" xfId="599" xr:uid="{00000000-0005-0000-0000-0000D6020000}"/>
    <cellStyle name="Moneda 12 3 3" xfId="600" xr:uid="{00000000-0005-0000-0000-0000D7020000}"/>
    <cellStyle name="Moneda 12 3 3 2" xfId="601" xr:uid="{00000000-0005-0000-0000-0000D8020000}"/>
    <cellStyle name="Moneda 12 3 4" xfId="602" xr:uid="{00000000-0005-0000-0000-0000D9020000}"/>
    <cellStyle name="Moneda 12 3 4 2" xfId="603" xr:uid="{00000000-0005-0000-0000-0000DA020000}"/>
    <cellStyle name="Moneda 12 3 5" xfId="604" xr:uid="{00000000-0005-0000-0000-0000DB020000}"/>
    <cellStyle name="Moneda 12 3 5 2" xfId="605" xr:uid="{00000000-0005-0000-0000-0000DC020000}"/>
    <cellStyle name="Moneda 12 3 6" xfId="606" xr:uid="{00000000-0005-0000-0000-0000DD020000}"/>
    <cellStyle name="Moneda 12 4" xfId="607" xr:uid="{00000000-0005-0000-0000-0000DE020000}"/>
    <cellStyle name="Moneda 12 4 2" xfId="608" xr:uid="{00000000-0005-0000-0000-0000DF020000}"/>
    <cellStyle name="Moneda 12 4 2 2" xfId="609" xr:uid="{00000000-0005-0000-0000-0000E0020000}"/>
    <cellStyle name="Moneda 12 4 3" xfId="610" xr:uid="{00000000-0005-0000-0000-0000E1020000}"/>
    <cellStyle name="Moneda 12 4 3 2" xfId="611" xr:uid="{00000000-0005-0000-0000-0000E2020000}"/>
    <cellStyle name="Moneda 12 4 4" xfId="612" xr:uid="{00000000-0005-0000-0000-0000E3020000}"/>
    <cellStyle name="Moneda 12 4 4 2" xfId="613" xr:uid="{00000000-0005-0000-0000-0000E4020000}"/>
    <cellStyle name="Moneda 12 4 5" xfId="614" xr:uid="{00000000-0005-0000-0000-0000E5020000}"/>
    <cellStyle name="Moneda 12 5" xfId="615" xr:uid="{00000000-0005-0000-0000-0000E6020000}"/>
    <cellStyle name="Moneda 12 5 2" xfId="616" xr:uid="{00000000-0005-0000-0000-0000E7020000}"/>
    <cellStyle name="Moneda 12 6" xfId="617" xr:uid="{00000000-0005-0000-0000-0000E8020000}"/>
    <cellStyle name="Moneda 12 6 2" xfId="618" xr:uid="{00000000-0005-0000-0000-0000E9020000}"/>
    <cellStyle name="Moneda 12 7" xfId="619" xr:uid="{00000000-0005-0000-0000-0000EA020000}"/>
    <cellStyle name="Moneda 12 7 2" xfId="620" xr:uid="{00000000-0005-0000-0000-0000EB020000}"/>
    <cellStyle name="Moneda 12 8" xfId="621" xr:uid="{00000000-0005-0000-0000-0000EC020000}"/>
    <cellStyle name="Moneda 12 9" xfId="622" xr:uid="{00000000-0005-0000-0000-0000ED020000}"/>
    <cellStyle name="Moneda 13" xfId="623" xr:uid="{00000000-0005-0000-0000-0000EE020000}"/>
    <cellStyle name="Moneda 13 10" xfId="624" xr:uid="{00000000-0005-0000-0000-0000EF020000}"/>
    <cellStyle name="Moneda 13 2" xfId="625" xr:uid="{00000000-0005-0000-0000-0000F0020000}"/>
    <cellStyle name="Moneda 13 2 2" xfId="626" xr:uid="{00000000-0005-0000-0000-0000F1020000}"/>
    <cellStyle name="Moneda 13 2 2 2" xfId="627" xr:uid="{00000000-0005-0000-0000-0000F2020000}"/>
    <cellStyle name="Moneda 13 2 2 2 2" xfId="628" xr:uid="{00000000-0005-0000-0000-0000F3020000}"/>
    <cellStyle name="Moneda 13 2 2 2 2 2" xfId="629" xr:uid="{00000000-0005-0000-0000-0000F4020000}"/>
    <cellStyle name="Moneda 13 2 2 2 3" xfId="630" xr:uid="{00000000-0005-0000-0000-0000F5020000}"/>
    <cellStyle name="Moneda 13 2 2 2 3 2" xfId="631" xr:uid="{00000000-0005-0000-0000-0000F6020000}"/>
    <cellStyle name="Moneda 13 2 2 2 4" xfId="632" xr:uid="{00000000-0005-0000-0000-0000F7020000}"/>
    <cellStyle name="Moneda 13 2 2 2 4 2" xfId="633" xr:uid="{00000000-0005-0000-0000-0000F8020000}"/>
    <cellStyle name="Moneda 13 2 2 2 5" xfId="634" xr:uid="{00000000-0005-0000-0000-0000F9020000}"/>
    <cellStyle name="Moneda 13 2 2 3" xfId="635" xr:uid="{00000000-0005-0000-0000-0000FA020000}"/>
    <cellStyle name="Moneda 13 2 2 3 2" xfId="636" xr:uid="{00000000-0005-0000-0000-0000FB020000}"/>
    <cellStyle name="Moneda 13 2 2 4" xfId="637" xr:uid="{00000000-0005-0000-0000-0000FC020000}"/>
    <cellStyle name="Moneda 13 2 2 4 2" xfId="638" xr:uid="{00000000-0005-0000-0000-0000FD020000}"/>
    <cellStyle name="Moneda 13 2 2 5" xfId="639" xr:uid="{00000000-0005-0000-0000-0000FE020000}"/>
    <cellStyle name="Moneda 13 2 2 5 2" xfId="640" xr:uid="{00000000-0005-0000-0000-0000FF020000}"/>
    <cellStyle name="Moneda 13 2 2 6" xfId="641" xr:uid="{00000000-0005-0000-0000-000000030000}"/>
    <cellStyle name="Moneda 13 2 3" xfId="642" xr:uid="{00000000-0005-0000-0000-000001030000}"/>
    <cellStyle name="Moneda 13 2 3 2" xfId="643" xr:uid="{00000000-0005-0000-0000-000002030000}"/>
    <cellStyle name="Moneda 13 2 3 2 2" xfId="644" xr:uid="{00000000-0005-0000-0000-000003030000}"/>
    <cellStyle name="Moneda 13 2 3 3" xfId="645" xr:uid="{00000000-0005-0000-0000-000004030000}"/>
    <cellStyle name="Moneda 13 2 3 3 2" xfId="646" xr:uid="{00000000-0005-0000-0000-000005030000}"/>
    <cellStyle name="Moneda 13 2 3 4" xfId="647" xr:uid="{00000000-0005-0000-0000-000006030000}"/>
    <cellStyle name="Moneda 13 2 3 4 2" xfId="648" xr:uid="{00000000-0005-0000-0000-000007030000}"/>
    <cellStyle name="Moneda 13 2 3 5" xfId="649" xr:uid="{00000000-0005-0000-0000-000008030000}"/>
    <cellStyle name="Moneda 13 2 4" xfId="650" xr:uid="{00000000-0005-0000-0000-000009030000}"/>
    <cellStyle name="Moneda 13 2 4 2" xfId="651" xr:uid="{00000000-0005-0000-0000-00000A030000}"/>
    <cellStyle name="Moneda 13 2 5" xfId="652" xr:uid="{00000000-0005-0000-0000-00000B030000}"/>
    <cellStyle name="Moneda 13 2 5 2" xfId="653" xr:uid="{00000000-0005-0000-0000-00000C030000}"/>
    <cellStyle name="Moneda 13 2 6" xfId="654" xr:uid="{00000000-0005-0000-0000-00000D030000}"/>
    <cellStyle name="Moneda 13 2 6 2" xfId="655" xr:uid="{00000000-0005-0000-0000-00000E030000}"/>
    <cellStyle name="Moneda 13 2 7" xfId="656" xr:uid="{00000000-0005-0000-0000-00000F030000}"/>
    <cellStyle name="Moneda 13 2 8" xfId="657" xr:uid="{00000000-0005-0000-0000-000010030000}"/>
    <cellStyle name="Moneda 13 3" xfId="658" xr:uid="{00000000-0005-0000-0000-000011030000}"/>
    <cellStyle name="Moneda 13 3 2" xfId="659" xr:uid="{00000000-0005-0000-0000-000012030000}"/>
    <cellStyle name="Moneda 13 3 2 2" xfId="660" xr:uid="{00000000-0005-0000-0000-000013030000}"/>
    <cellStyle name="Moneda 13 3 2 2 2" xfId="661" xr:uid="{00000000-0005-0000-0000-000014030000}"/>
    <cellStyle name="Moneda 13 3 2 3" xfId="662" xr:uid="{00000000-0005-0000-0000-000015030000}"/>
    <cellStyle name="Moneda 13 3 2 3 2" xfId="663" xr:uid="{00000000-0005-0000-0000-000016030000}"/>
    <cellStyle name="Moneda 13 3 2 4" xfId="664" xr:uid="{00000000-0005-0000-0000-000017030000}"/>
    <cellStyle name="Moneda 13 3 2 4 2" xfId="665" xr:uid="{00000000-0005-0000-0000-000018030000}"/>
    <cellStyle name="Moneda 13 3 2 5" xfId="666" xr:uid="{00000000-0005-0000-0000-000019030000}"/>
    <cellStyle name="Moneda 13 3 3" xfId="667" xr:uid="{00000000-0005-0000-0000-00001A030000}"/>
    <cellStyle name="Moneda 13 3 3 2" xfId="668" xr:uid="{00000000-0005-0000-0000-00001B030000}"/>
    <cellStyle name="Moneda 13 3 4" xfId="669" xr:uid="{00000000-0005-0000-0000-00001C030000}"/>
    <cellStyle name="Moneda 13 3 4 2" xfId="670" xr:uid="{00000000-0005-0000-0000-00001D030000}"/>
    <cellStyle name="Moneda 13 3 5" xfId="671" xr:uid="{00000000-0005-0000-0000-00001E030000}"/>
    <cellStyle name="Moneda 13 3 5 2" xfId="672" xr:uid="{00000000-0005-0000-0000-00001F030000}"/>
    <cellStyle name="Moneda 13 3 6" xfId="673" xr:uid="{00000000-0005-0000-0000-000020030000}"/>
    <cellStyle name="Moneda 13 4" xfId="674" xr:uid="{00000000-0005-0000-0000-000021030000}"/>
    <cellStyle name="Moneda 13 4 2" xfId="675" xr:uid="{00000000-0005-0000-0000-000022030000}"/>
    <cellStyle name="Moneda 13 4 2 2" xfId="676" xr:uid="{00000000-0005-0000-0000-000023030000}"/>
    <cellStyle name="Moneda 13 4 3" xfId="677" xr:uid="{00000000-0005-0000-0000-000024030000}"/>
    <cellStyle name="Moneda 13 4 3 2" xfId="678" xr:uid="{00000000-0005-0000-0000-000025030000}"/>
    <cellStyle name="Moneda 13 4 4" xfId="679" xr:uid="{00000000-0005-0000-0000-000026030000}"/>
    <cellStyle name="Moneda 13 4 4 2" xfId="680" xr:uid="{00000000-0005-0000-0000-000027030000}"/>
    <cellStyle name="Moneda 13 4 5" xfId="681" xr:uid="{00000000-0005-0000-0000-000028030000}"/>
    <cellStyle name="Moneda 13 5" xfId="682" xr:uid="{00000000-0005-0000-0000-000029030000}"/>
    <cellStyle name="Moneda 13 5 2" xfId="683" xr:uid="{00000000-0005-0000-0000-00002A030000}"/>
    <cellStyle name="Moneda 13 5 2 2" xfId="684" xr:uid="{00000000-0005-0000-0000-00002B030000}"/>
    <cellStyle name="Moneda 13 5 3" xfId="685" xr:uid="{00000000-0005-0000-0000-00002C030000}"/>
    <cellStyle name="Moneda 13 5 3 2" xfId="686" xr:uid="{00000000-0005-0000-0000-00002D030000}"/>
    <cellStyle name="Moneda 13 5 4" xfId="687" xr:uid="{00000000-0005-0000-0000-00002E030000}"/>
    <cellStyle name="Moneda 13 5 4 2" xfId="688" xr:uid="{00000000-0005-0000-0000-00002F030000}"/>
    <cellStyle name="Moneda 13 5 5" xfId="689" xr:uid="{00000000-0005-0000-0000-000030030000}"/>
    <cellStyle name="Moneda 13 6" xfId="690" xr:uid="{00000000-0005-0000-0000-000031030000}"/>
    <cellStyle name="Moneda 13 6 2" xfId="691" xr:uid="{00000000-0005-0000-0000-000032030000}"/>
    <cellStyle name="Moneda 13 7" xfId="692" xr:uid="{00000000-0005-0000-0000-000033030000}"/>
    <cellStyle name="Moneda 13 7 2" xfId="693" xr:uid="{00000000-0005-0000-0000-000034030000}"/>
    <cellStyle name="Moneda 13 8" xfId="694" xr:uid="{00000000-0005-0000-0000-000035030000}"/>
    <cellStyle name="Moneda 13 8 2" xfId="695" xr:uid="{00000000-0005-0000-0000-000036030000}"/>
    <cellStyle name="Moneda 13 9" xfId="696" xr:uid="{00000000-0005-0000-0000-000037030000}"/>
    <cellStyle name="Moneda 14" xfId="697" xr:uid="{00000000-0005-0000-0000-000038030000}"/>
    <cellStyle name="Moneda 14 2" xfId="698" xr:uid="{00000000-0005-0000-0000-000039030000}"/>
    <cellStyle name="Moneda 14 2 2" xfId="699" xr:uid="{00000000-0005-0000-0000-00003A030000}"/>
    <cellStyle name="Moneda 14 2 2 2" xfId="700" xr:uid="{00000000-0005-0000-0000-00003B030000}"/>
    <cellStyle name="Moneda 14 2 2 2 2" xfId="701" xr:uid="{00000000-0005-0000-0000-00003C030000}"/>
    <cellStyle name="Moneda 14 2 2 2 2 2" xfId="702" xr:uid="{00000000-0005-0000-0000-00003D030000}"/>
    <cellStyle name="Moneda 14 2 2 2 3" xfId="703" xr:uid="{00000000-0005-0000-0000-00003E030000}"/>
    <cellStyle name="Moneda 14 2 2 2 3 2" xfId="704" xr:uid="{00000000-0005-0000-0000-00003F030000}"/>
    <cellStyle name="Moneda 14 2 2 2 4" xfId="705" xr:uid="{00000000-0005-0000-0000-000040030000}"/>
    <cellStyle name="Moneda 14 2 2 2 4 2" xfId="706" xr:uid="{00000000-0005-0000-0000-000041030000}"/>
    <cellStyle name="Moneda 14 2 2 2 5" xfId="707" xr:uid="{00000000-0005-0000-0000-000042030000}"/>
    <cellStyle name="Moneda 14 2 2 3" xfId="708" xr:uid="{00000000-0005-0000-0000-000043030000}"/>
    <cellStyle name="Moneda 14 2 2 3 2" xfId="709" xr:uid="{00000000-0005-0000-0000-000044030000}"/>
    <cellStyle name="Moneda 14 2 2 4" xfId="710" xr:uid="{00000000-0005-0000-0000-000045030000}"/>
    <cellStyle name="Moneda 14 2 2 4 2" xfId="711" xr:uid="{00000000-0005-0000-0000-000046030000}"/>
    <cellStyle name="Moneda 14 2 2 5" xfId="712" xr:uid="{00000000-0005-0000-0000-000047030000}"/>
    <cellStyle name="Moneda 14 2 2 5 2" xfId="713" xr:uid="{00000000-0005-0000-0000-000048030000}"/>
    <cellStyle name="Moneda 14 2 2 6" xfId="714" xr:uid="{00000000-0005-0000-0000-000049030000}"/>
    <cellStyle name="Moneda 14 2 3" xfId="715" xr:uid="{00000000-0005-0000-0000-00004A030000}"/>
    <cellStyle name="Moneda 14 2 3 2" xfId="716" xr:uid="{00000000-0005-0000-0000-00004B030000}"/>
    <cellStyle name="Moneda 14 2 3 2 2" xfId="717" xr:uid="{00000000-0005-0000-0000-00004C030000}"/>
    <cellStyle name="Moneda 14 2 3 3" xfId="718" xr:uid="{00000000-0005-0000-0000-00004D030000}"/>
    <cellStyle name="Moneda 14 2 3 3 2" xfId="719" xr:uid="{00000000-0005-0000-0000-00004E030000}"/>
    <cellStyle name="Moneda 14 2 3 4" xfId="720" xr:uid="{00000000-0005-0000-0000-00004F030000}"/>
    <cellStyle name="Moneda 14 2 3 4 2" xfId="721" xr:uid="{00000000-0005-0000-0000-000050030000}"/>
    <cellStyle name="Moneda 14 2 3 5" xfId="722" xr:uid="{00000000-0005-0000-0000-000051030000}"/>
    <cellStyle name="Moneda 14 2 4" xfId="723" xr:uid="{00000000-0005-0000-0000-000052030000}"/>
    <cellStyle name="Moneda 14 2 4 2" xfId="724" xr:uid="{00000000-0005-0000-0000-000053030000}"/>
    <cellStyle name="Moneda 14 2 5" xfId="725" xr:uid="{00000000-0005-0000-0000-000054030000}"/>
    <cellStyle name="Moneda 14 2 5 2" xfId="726" xr:uid="{00000000-0005-0000-0000-000055030000}"/>
    <cellStyle name="Moneda 14 2 6" xfId="727" xr:uid="{00000000-0005-0000-0000-000056030000}"/>
    <cellStyle name="Moneda 14 2 6 2" xfId="728" xr:uid="{00000000-0005-0000-0000-000057030000}"/>
    <cellStyle name="Moneda 14 2 7" xfId="729" xr:uid="{00000000-0005-0000-0000-000058030000}"/>
    <cellStyle name="Moneda 14 2 8" xfId="730" xr:uid="{00000000-0005-0000-0000-000059030000}"/>
    <cellStyle name="Moneda 14 3" xfId="731" xr:uid="{00000000-0005-0000-0000-00005A030000}"/>
    <cellStyle name="Moneda 14 3 2" xfId="732" xr:uid="{00000000-0005-0000-0000-00005B030000}"/>
    <cellStyle name="Moneda 14 3 2 2" xfId="733" xr:uid="{00000000-0005-0000-0000-00005C030000}"/>
    <cellStyle name="Moneda 14 3 2 2 2" xfId="734" xr:uid="{00000000-0005-0000-0000-00005D030000}"/>
    <cellStyle name="Moneda 14 3 2 3" xfId="735" xr:uid="{00000000-0005-0000-0000-00005E030000}"/>
    <cellStyle name="Moneda 14 3 2 3 2" xfId="736" xr:uid="{00000000-0005-0000-0000-00005F030000}"/>
    <cellStyle name="Moneda 14 3 2 4" xfId="737" xr:uid="{00000000-0005-0000-0000-000060030000}"/>
    <cellStyle name="Moneda 14 3 2 4 2" xfId="738" xr:uid="{00000000-0005-0000-0000-000061030000}"/>
    <cellStyle name="Moneda 14 3 2 5" xfId="739" xr:uid="{00000000-0005-0000-0000-000062030000}"/>
    <cellStyle name="Moneda 14 3 3" xfId="740" xr:uid="{00000000-0005-0000-0000-000063030000}"/>
    <cellStyle name="Moneda 14 3 3 2" xfId="741" xr:uid="{00000000-0005-0000-0000-000064030000}"/>
    <cellStyle name="Moneda 14 3 4" xfId="742" xr:uid="{00000000-0005-0000-0000-000065030000}"/>
    <cellStyle name="Moneda 14 3 4 2" xfId="743" xr:uid="{00000000-0005-0000-0000-000066030000}"/>
    <cellStyle name="Moneda 14 3 5" xfId="744" xr:uid="{00000000-0005-0000-0000-000067030000}"/>
    <cellStyle name="Moneda 14 3 5 2" xfId="745" xr:uid="{00000000-0005-0000-0000-000068030000}"/>
    <cellStyle name="Moneda 14 3 6" xfId="746" xr:uid="{00000000-0005-0000-0000-000069030000}"/>
    <cellStyle name="Moneda 14 4" xfId="747" xr:uid="{00000000-0005-0000-0000-00006A030000}"/>
    <cellStyle name="Moneda 14 4 2" xfId="748" xr:uid="{00000000-0005-0000-0000-00006B030000}"/>
    <cellStyle name="Moneda 14 4 2 2" xfId="749" xr:uid="{00000000-0005-0000-0000-00006C030000}"/>
    <cellStyle name="Moneda 14 4 3" xfId="750" xr:uid="{00000000-0005-0000-0000-00006D030000}"/>
    <cellStyle name="Moneda 14 4 3 2" xfId="751" xr:uid="{00000000-0005-0000-0000-00006E030000}"/>
    <cellStyle name="Moneda 14 4 4" xfId="752" xr:uid="{00000000-0005-0000-0000-00006F030000}"/>
    <cellStyle name="Moneda 14 4 4 2" xfId="753" xr:uid="{00000000-0005-0000-0000-000070030000}"/>
    <cellStyle name="Moneda 14 4 5" xfId="754" xr:uid="{00000000-0005-0000-0000-000071030000}"/>
    <cellStyle name="Moneda 14 5" xfId="755" xr:uid="{00000000-0005-0000-0000-000072030000}"/>
    <cellStyle name="Moneda 14 5 2" xfId="756" xr:uid="{00000000-0005-0000-0000-000073030000}"/>
    <cellStyle name="Moneda 14 6" xfId="757" xr:uid="{00000000-0005-0000-0000-000074030000}"/>
    <cellStyle name="Moneda 14 6 2" xfId="758" xr:uid="{00000000-0005-0000-0000-000075030000}"/>
    <cellStyle name="Moneda 14 7" xfId="759" xr:uid="{00000000-0005-0000-0000-000076030000}"/>
    <cellStyle name="Moneda 14 7 2" xfId="760" xr:uid="{00000000-0005-0000-0000-000077030000}"/>
    <cellStyle name="Moneda 14 8" xfId="761" xr:uid="{00000000-0005-0000-0000-000078030000}"/>
    <cellStyle name="Moneda 14 9" xfId="762" xr:uid="{00000000-0005-0000-0000-000079030000}"/>
    <cellStyle name="Moneda 15" xfId="763" xr:uid="{00000000-0005-0000-0000-00007A030000}"/>
    <cellStyle name="Moneda 15 2" xfId="764" xr:uid="{00000000-0005-0000-0000-00007B030000}"/>
    <cellStyle name="Moneda 15 2 2" xfId="765" xr:uid="{00000000-0005-0000-0000-00007C030000}"/>
    <cellStyle name="Moneda 15 2 2 2" xfId="766" xr:uid="{00000000-0005-0000-0000-00007D030000}"/>
    <cellStyle name="Moneda 15 2 2 2 2" xfId="767" xr:uid="{00000000-0005-0000-0000-00007E030000}"/>
    <cellStyle name="Moneda 15 2 2 2 2 2" xfId="768" xr:uid="{00000000-0005-0000-0000-00007F030000}"/>
    <cellStyle name="Moneda 15 2 2 2 3" xfId="769" xr:uid="{00000000-0005-0000-0000-000080030000}"/>
    <cellStyle name="Moneda 15 2 2 2 3 2" xfId="770" xr:uid="{00000000-0005-0000-0000-000081030000}"/>
    <cellStyle name="Moneda 15 2 2 2 4" xfId="771" xr:uid="{00000000-0005-0000-0000-000082030000}"/>
    <cellStyle name="Moneda 15 2 2 2 4 2" xfId="772" xr:uid="{00000000-0005-0000-0000-000083030000}"/>
    <cellStyle name="Moneda 15 2 2 2 5" xfId="773" xr:uid="{00000000-0005-0000-0000-000084030000}"/>
    <cellStyle name="Moneda 15 2 2 3" xfId="774" xr:uid="{00000000-0005-0000-0000-000085030000}"/>
    <cellStyle name="Moneda 15 2 2 3 2" xfId="775" xr:uid="{00000000-0005-0000-0000-000086030000}"/>
    <cellStyle name="Moneda 15 2 2 4" xfId="776" xr:uid="{00000000-0005-0000-0000-000087030000}"/>
    <cellStyle name="Moneda 15 2 2 4 2" xfId="777" xr:uid="{00000000-0005-0000-0000-000088030000}"/>
    <cellStyle name="Moneda 15 2 2 5" xfId="778" xr:uid="{00000000-0005-0000-0000-000089030000}"/>
    <cellStyle name="Moneda 15 2 2 5 2" xfId="779" xr:uid="{00000000-0005-0000-0000-00008A030000}"/>
    <cellStyle name="Moneda 15 2 2 6" xfId="780" xr:uid="{00000000-0005-0000-0000-00008B030000}"/>
    <cellStyle name="Moneda 15 2 3" xfId="781" xr:uid="{00000000-0005-0000-0000-00008C030000}"/>
    <cellStyle name="Moneda 15 2 3 2" xfId="782" xr:uid="{00000000-0005-0000-0000-00008D030000}"/>
    <cellStyle name="Moneda 15 2 3 2 2" xfId="783" xr:uid="{00000000-0005-0000-0000-00008E030000}"/>
    <cellStyle name="Moneda 15 2 3 3" xfId="784" xr:uid="{00000000-0005-0000-0000-00008F030000}"/>
    <cellStyle name="Moneda 15 2 3 3 2" xfId="785" xr:uid="{00000000-0005-0000-0000-000090030000}"/>
    <cellStyle name="Moneda 15 2 3 4" xfId="786" xr:uid="{00000000-0005-0000-0000-000091030000}"/>
    <cellStyle name="Moneda 15 2 3 4 2" xfId="787" xr:uid="{00000000-0005-0000-0000-000092030000}"/>
    <cellStyle name="Moneda 15 2 3 5" xfId="788" xr:uid="{00000000-0005-0000-0000-000093030000}"/>
    <cellStyle name="Moneda 15 2 4" xfId="789" xr:uid="{00000000-0005-0000-0000-000094030000}"/>
    <cellStyle name="Moneda 15 2 4 2" xfId="790" xr:uid="{00000000-0005-0000-0000-000095030000}"/>
    <cellStyle name="Moneda 15 2 5" xfId="791" xr:uid="{00000000-0005-0000-0000-000096030000}"/>
    <cellStyle name="Moneda 15 2 5 2" xfId="792" xr:uid="{00000000-0005-0000-0000-000097030000}"/>
    <cellStyle name="Moneda 15 2 6" xfId="793" xr:uid="{00000000-0005-0000-0000-000098030000}"/>
    <cellStyle name="Moneda 15 2 6 2" xfId="794" xr:uid="{00000000-0005-0000-0000-000099030000}"/>
    <cellStyle name="Moneda 15 2 7" xfId="795" xr:uid="{00000000-0005-0000-0000-00009A030000}"/>
    <cellStyle name="Moneda 15 2 8" xfId="796" xr:uid="{00000000-0005-0000-0000-00009B030000}"/>
    <cellStyle name="Moneda 15 3" xfId="797" xr:uid="{00000000-0005-0000-0000-00009C030000}"/>
    <cellStyle name="Moneda 15 3 2" xfId="798" xr:uid="{00000000-0005-0000-0000-00009D030000}"/>
    <cellStyle name="Moneda 15 3 2 2" xfId="799" xr:uid="{00000000-0005-0000-0000-00009E030000}"/>
    <cellStyle name="Moneda 15 3 2 2 2" xfId="800" xr:uid="{00000000-0005-0000-0000-00009F030000}"/>
    <cellStyle name="Moneda 15 3 2 3" xfId="801" xr:uid="{00000000-0005-0000-0000-0000A0030000}"/>
    <cellStyle name="Moneda 15 3 2 3 2" xfId="802" xr:uid="{00000000-0005-0000-0000-0000A1030000}"/>
    <cellStyle name="Moneda 15 3 2 4" xfId="803" xr:uid="{00000000-0005-0000-0000-0000A2030000}"/>
    <cellStyle name="Moneda 15 3 2 4 2" xfId="804" xr:uid="{00000000-0005-0000-0000-0000A3030000}"/>
    <cellStyle name="Moneda 15 3 2 5" xfId="805" xr:uid="{00000000-0005-0000-0000-0000A4030000}"/>
    <cellStyle name="Moneda 15 3 3" xfId="806" xr:uid="{00000000-0005-0000-0000-0000A5030000}"/>
    <cellStyle name="Moneda 15 3 3 2" xfId="807" xr:uid="{00000000-0005-0000-0000-0000A6030000}"/>
    <cellStyle name="Moneda 15 3 4" xfId="808" xr:uid="{00000000-0005-0000-0000-0000A7030000}"/>
    <cellStyle name="Moneda 15 3 4 2" xfId="809" xr:uid="{00000000-0005-0000-0000-0000A8030000}"/>
    <cellStyle name="Moneda 15 3 5" xfId="810" xr:uid="{00000000-0005-0000-0000-0000A9030000}"/>
    <cellStyle name="Moneda 15 3 5 2" xfId="811" xr:uid="{00000000-0005-0000-0000-0000AA030000}"/>
    <cellStyle name="Moneda 15 3 6" xfId="812" xr:uid="{00000000-0005-0000-0000-0000AB030000}"/>
    <cellStyle name="Moneda 15 4" xfId="813" xr:uid="{00000000-0005-0000-0000-0000AC030000}"/>
    <cellStyle name="Moneda 15 4 2" xfId="814" xr:uid="{00000000-0005-0000-0000-0000AD030000}"/>
    <cellStyle name="Moneda 15 4 2 2" xfId="815" xr:uid="{00000000-0005-0000-0000-0000AE030000}"/>
    <cellStyle name="Moneda 15 4 3" xfId="816" xr:uid="{00000000-0005-0000-0000-0000AF030000}"/>
    <cellStyle name="Moneda 15 4 3 2" xfId="817" xr:uid="{00000000-0005-0000-0000-0000B0030000}"/>
    <cellStyle name="Moneda 15 4 4" xfId="818" xr:uid="{00000000-0005-0000-0000-0000B1030000}"/>
    <cellStyle name="Moneda 15 4 4 2" xfId="819" xr:uid="{00000000-0005-0000-0000-0000B2030000}"/>
    <cellStyle name="Moneda 15 4 5" xfId="820" xr:uid="{00000000-0005-0000-0000-0000B3030000}"/>
    <cellStyle name="Moneda 15 5" xfId="821" xr:uid="{00000000-0005-0000-0000-0000B4030000}"/>
    <cellStyle name="Moneda 15 5 2" xfId="822" xr:uid="{00000000-0005-0000-0000-0000B5030000}"/>
    <cellStyle name="Moneda 15 6" xfId="823" xr:uid="{00000000-0005-0000-0000-0000B6030000}"/>
    <cellStyle name="Moneda 15 6 2" xfId="824" xr:uid="{00000000-0005-0000-0000-0000B7030000}"/>
    <cellStyle name="Moneda 15 7" xfId="825" xr:uid="{00000000-0005-0000-0000-0000B8030000}"/>
    <cellStyle name="Moneda 15 7 2" xfId="826" xr:uid="{00000000-0005-0000-0000-0000B9030000}"/>
    <cellStyle name="Moneda 15 8" xfId="827" xr:uid="{00000000-0005-0000-0000-0000BA030000}"/>
    <cellStyle name="Moneda 15 9" xfId="828" xr:uid="{00000000-0005-0000-0000-0000BB030000}"/>
    <cellStyle name="Moneda 16" xfId="829" xr:uid="{00000000-0005-0000-0000-0000BC030000}"/>
    <cellStyle name="Moneda 16 2" xfId="830" xr:uid="{00000000-0005-0000-0000-0000BD030000}"/>
    <cellStyle name="Moneda 16 2 2" xfId="831" xr:uid="{00000000-0005-0000-0000-0000BE030000}"/>
    <cellStyle name="Moneda 16 2 2 2" xfId="832" xr:uid="{00000000-0005-0000-0000-0000BF030000}"/>
    <cellStyle name="Moneda 16 2 2 2 2" xfId="833" xr:uid="{00000000-0005-0000-0000-0000C0030000}"/>
    <cellStyle name="Moneda 16 2 2 3" xfId="834" xr:uid="{00000000-0005-0000-0000-0000C1030000}"/>
    <cellStyle name="Moneda 16 2 2 3 2" xfId="835" xr:uid="{00000000-0005-0000-0000-0000C2030000}"/>
    <cellStyle name="Moneda 16 2 2 4" xfId="836" xr:uid="{00000000-0005-0000-0000-0000C3030000}"/>
    <cellStyle name="Moneda 16 2 2 4 2" xfId="837" xr:uid="{00000000-0005-0000-0000-0000C4030000}"/>
    <cellStyle name="Moneda 16 2 2 5" xfId="838" xr:uid="{00000000-0005-0000-0000-0000C5030000}"/>
    <cellStyle name="Moneda 16 2 3" xfId="839" xr:uid="{00000000-0005-0000-0000-0000C6030000}"/>
    <cellStyle name="Moneda 16 2 3 2" xfId="840" xr:uid="{00000000-0005-0000-0000-0000C7030000}"/>
    <cellStyle name="Moneda 16 2 4" xfId="841" xr:uid="{00000000-0005-0000-0000-0000C8030000}"/>
    <cellStyle name="Moneda 16 2 4 2" xfId="842" xr:uid="{00000000-0005-0000-0000-0000C9030000}"/>
    <cellStyle name="Moneda 16 2 5" xfId="843" xr:uid="{00000000-0005-0000-0000-0000CA030000}"/>
    <cellStyle name="Moneda 16 2 5 2" xfId="844" xr:uid="{00000000-0005-0000-0000-0000CB030000}"/>
    <cellStyle name="Moneda 16 2 6" xfId="845" xr:uid="{00000000-0005-0000-0000-0000CC030000}"/>
    <cellStyle name="Moneda 16 2 7" xfId="846" xr:uid="{00000000-0005-0000-0000-0000CD030000}"/>
    <cellStyle name="Moneda 16 3" xfId="847" xr:uid="{00000000-0005-0000-0000-0000CE030000}"/>
    <cellStyle name="Moneda 16 3 2" xfId="848" xr:uid="{00000000-0005-0000-0000-0000CF030000}"/>
    <cellStyle name="Moneda 16 3 2 2" xfId="849" xr:uid="{00000000-0005-0000-0000-0000D0030000}"/>
    <cellStyle name="Moneda 16 3 3" xfId="850" xr:uid="{00000000-0005-0000-0000-0000D1030000}"/>
    <cellStyle name="Moneda 16 3 3 2" xfId="851" xr:uid="{00000000-0005-0000-0000-0000D2030000}"/>
    <cellStyle name="Moneda 16 3 4" xfId="852" xr:uid="{00000000-0005-0000-0000-0000D3030000}"/>
    <cellStyle name="Moneda 16 3 4 2" xfId="853" xr:uid="{00000000-0005-0000-0000-0000D4030000}"/>
    <cellStyle name="Moneda 16 3 5" xfId="854" xr:uid="{00000000-0005-0000-0000-0000D5030000}"/>
    <cellStyle name="Moneda 16 4" xfId="855" xr:uid="{00000000-0005-0000-0000-0000D6030000}"/>
    <cellStyle name="Moneda 16 4 2" xfId="856" xr:uid="{00000000-0005-0000-0000-0000D7030000}"/>
    <cellStyle name="Moneda 16 5" xfId="857" xr:uid="{00000000-0005-0000-0000-0000D8030000}"/>
    <cellStyle name="Moneda 16 5 2" xfId="858" xr:uid="{00000000-0005-0000-0000-0000D9030000}"/>
    <cellStyle name="Moneda 16 6" xfId="859" xr:uid="{00000000-0005-0000-0000-0000DA030000}"/>
    <cellStyle name="Moneda 16 6 2" xfId="860" xr:uid="{00000000-0005-0000-0000-0000DB030000}"/>
    <cellStyle name="Moneda 16 7" xfId="861" xr:uid="{00000000-0005-0000-0000-0000DC030000}"/>
    <cellStyle name="Moneda 16 8" xfId="862" xr:uid="{00000000-0005-0000-0000-0000DD030000}"/>
    <cellStyle name="Moneda 17" xfId="863" xr:uid="{00000000-0005-0000-0000-0000DE030000}"/>
    <cellStyle name="Moneda 17 2" xfId="864" xr:uid="{00000000-0005-0000-0000-0000DF030000}"/>
    <cellStyle name="Moneda 17 2 2" xfId="865" xr:uid="{00000000-0005-0000-0000-0000E0030000}"/>
    <cellStyle name="Moneda 17 2 2 2" xfId="866" xr:uid="{00000000-0005-0000-0000-0000E1030000}"/>
    <cellStyle name="Moneda 17 2 2 2 2" xfId="867" xr:uid="{00000000-0005-0000-0000-0000E2030000}"/>
    <cellStyle name="Moneda 17 2 2 3" xfId="868" xr:uid="{00000000-0005-0000-0000-0000E3030000}"/>
    <cellStyle name="Moneda 17 2 2 3 2" xfId="869" xr:uid="{00000000-0005-0000-0000-0000E4030000}"/>
    <cellStyle name="Moneda 17 2 2 4" xfId="870" xr:uid="{00000000-0005-0000-0000-0000E5030000}"/>
    <cellStyle name="Moneda 17 2 2 4 2" xfId="871" xr:uid="{00000000-0005-0000-0000-0000E6030000}"/>
    <cellStyle name="Moneda 17 2 2 5" xfId="872" xr:uid="{00000000-0005-0000-0000-0000E7030000}"/>
    <cellStyle name="Moneda 17 2 3" xfId="873" xr:uid="{00000000-0005-0000-0000-0000E8030000}"/>
    <cellStyle name="Moneda 17 2 3 2" xfId="874" xr:uid="{00000000-0005-0000-0000-0000E9030000}"/>
    <cellStyle name="Moneda 17 2 4" xfId="875" xr:uid="{00000000-0005-0000-0000-0000EA030000}"/>
    <cellStyle name="Moneda 17 2 4 2" xfId="876" xr:uid="{00000000-0005-0000-0000-0000EB030000}"/>
    <cellStyle name="Moneda 17 2 5" xfId="877" xr:uid="{00000000-0005-0000-0000-0000EC030000}"/>
    <cellStyle name="Moneda 17 2 5 2" xfId="878" xr:uid="{00000000-0005-0000-0000-0000ED030000}"/>
    <cellStyle name="Moneda 17 2 6" xfId="879" xr:uid="{00000000-0005-0000-0000-0000EE030000}"/>
    <cellStyle name="Moneda 17 2 7" xfId="880" xr:uid="{00000000-0005-0000-0000-0000EF030000}"/>
    <cellStyle name="Moneda 17 3" xfId="881" xr:uid="{00000000-0005-0000-0000-0000F0030000}"/>
    <cellStyle name="Moneda 17 3 2" xfId="882" xr:uid="{00000000-0005-0000-0000-0000F1030000}"/>
    <cellStyle name="Moneda 17 3 2 2" xfId="883" xr:uid="{00000000-0005-0000-0000-0000F2030000}"/>
    <cellStyle name="Moneda 17 3 3" xfId="884" xr:uid="{00000000-0005-0000-0000-0000F3030000}"/>
    <cellStyle name="Moneda 17 3 3 2" xfId="885" xr:uid="{00000000-0005-0000-0000-0000F4030000}"/>
    <cellStyle name="Moneda 17 3 4" xfId="886" xr:uid="{00000000-0005-0000-0000-0000F5030000}"/>
    <cellStyle name="Moneda 17 3 4 2" xfId="887" xr:uid="{00000000-0005-0000-0000-0000F6030000}"/>
    <cellStyle name="Moneda 17 3 5" xfId="888" xr:uid="{00000000-0005-0000-0000-0000F7030000}"/>
    <cellStyle name="Moneda 17 4" xfId="889" xr:uid="{00000000-0005-0000-0000-0000F8030000}"/>
    <cellStyle name="Moneda 17 4 2" xfId="890" xr:uid="{00000000-0005-0000-0000-0000F9030000}"/>
    <cellStyle name="Moneda 17 5" xfId="891" xr:uid="{00000000-0005-0000-0000-0000FA030000}"/>
    <cellStyle name="Moneda 17 5 2" xfId="892" xr:uid="{00000000-0005-0000-0000-0000FB030000}"/>
    <cellStyle name="Moneda 17 6" xfId="893" xr:uid="{00000000-0005-0000-0000-0000FC030000}"/>
    <cellStyle name="Moneda 17 6 2" xfId="894" xr:uid="{00000000-0005-0000-0000-0000FD030000}"/>
    <cellStyle name="Moneda 17 7" xfId="895" xr:uid="{00000000-0005-0000-0000-0000FE030000}"/>
    <cellStyle name="Moneda 17 8" xfId="896" xr:uid="{00000000-0005-0000-0000-0000FF030000}"/>
    <cellStyle name="Moneda 18" xfId="897" xr:uid="{00000000-0005-0000-0000-000000040000}"/>
    <cellStyle name="Moneda 18 2" xfId="898" xr:uid="{00000000-0005-0000-0000-000001040000}"/>
    <cellStyle name="Moneda 18 2 2" xfId="899" xr:uid="{00000000-0005-0000-0000-000002040000}"/>
    <cellStyle name="Moneda 18 2 2 2" xfId="900" xr:uid="{00000000-0005-0000-0000-000003040000}"/>
    <cellStyle name="Moneda 18 2 2 2 2" xfId="901" xr:uid="{00000000-0005-0000-0000-000004040000}"/>
    <cellStyle name="Moneda 18 2 2 3" xfId="902" xr:uid="{00000000-0005-0000-0000-000005040000}"/>
    <cellStyle name="Moneda 18 2 2 3 2" xfId="903" xr:uid="{00000000-0005-0000-0000-000006040000}"/>
    <cellStyle name="Moneda 18 2 2 4" xfId="904" xr:uid="{00000000-0005-0000-0000-000007040000}"/>
    <cellStyle name="Moneda 18 2 2 4 2" xfId="905" xr:uid="{00000000-0005-0000-0000-000008040000}"/>
    <cellStyle name="Moneda 18 2 2 5" xfId="906" xr:uid="{00000000-0005-0000-0000-000009040000}"/>
    <cellStyle name="Moneda 18 2 3" xfId="907" xr:uid="{00000000-0005-0000-0000-00000A040000}"/>
    <cellStyle name="Moneda 18 2 3 2" xfId="908" xr:uid="{00000000-0005-0000-0000-00000B040000}"/>
    <cellStyle name="Moneda 18 2 4" xfId="909" xr:uid="{00000000-0005-0000-0000-00000C040000}"/>
    <cellStyle name="Moneda 18 2 4 2" xfId="910" xr:uid="{00000000-0005-0000-0000-00000D040000}"/>
    <cellStyle name="Moneda 18 2 5" xfId="911" xr:uid="{00000000-0005-0000-0000-00000E040000}"/>
    <cellStyle name="Moneda 18 2 5 2" xfId="912" xr:uid="{00000000-0005-0000-0000-00000F040000}"/>
    <cellStyle name="Moneda 18 2 6" xfId="913" xr:uid="{00000000-0005-0000-0000-000010040000}"/>
    <cellStyle name="Moneda 18 2 7" xfId="914" xr:uid="{00000000-0005-0000-0000-000011040000}"/>
    <cellStyle name="Moneda 18 3" xfId="915" xr:uid="{00000000-0005-0000-0000-000012040000}"/>
    <cellStyle name="Moneda 18 3 2" xfId="916" xr:uid="{00000000-0005-0000-0000-000013040000}"/>
    <cellStyle name="Moneda 18 3 2 2" xfId="917" xr:uid="{00000000-0005-0000-0000-000014040000}"/>
    <cellStyle name="Moneda 18 3 3" xfId="918" xr:uid="{00000000-0005-0000-0000-000015040000}"/>
    <cellStyle name="Moneda 18 3 3 2" xfId="919" xr:uid="{00000000-0005-0000-0000-000016040000}"/>
    <cellStyle name="Moneda 18 3 4" xfId="920" xr:uid="{00000000-0005-0000-0000-000017040000}"/>
    <cellStyle name="Moneda 18 3 4 2" xfId="921" xr:uid="{00000000-0005-0000-0000-000018040000}"/>
    <cellStyle name="Moneda 18 3 5" xfId="922" xr:uid="{00000000-0005-0000-0000-000019040000}"/>
    <cellStyle name="Moneda 18 4" xfId="923" xr:uid="{00000000-0005-0000-0000-00001A040000}"/>
    <cellStyle name="Moneda 18 4 2" xfId="924" xr:uid="{00000000-0005-0000-0000-00001B040000}"/>
    <cellStyle name="Moneda 18 5" xfId="925" xr:uid="{00000000-0005-0000-0000-00001C040000}"/>
    <cellStyle name="Moneda 18 5 2" xfId="926" xr:uid="{00000000-0005-0000-0000-00001D040000}"/>
    <cellStyle name="Moneda 18 6" xfId="927" xr:uid="{00000000-0005-0000-0000-00001E040000}"/>
    <cellStyle name="Moneda 18 6 2" xfId="928" xr:uid="{00000000-0005-0000-0000-00001F040000}"/>
    <cellStyle name="Moneda 18 7" xfId="929" xr:uid="{00000000-0005-0000-0000-000020040000}"/>
    <cellStyle name="Moneda 18 8" xfId="930" xr:uid="{00000000-0005-0000-0000-000021040000}"/>
    <cellStyle name="Moneda 19" xfId="931" xr:uid="{00000000-0005-0000-0000-000022040000}"/>
    <cellStyle name="Moneda 19 2" xfId="932" xr:uid="{00000000-0005-0000-0000-000023040000}"/>
    <cellStyle name="Moneda 19 2 2" xfId="933" xr:uid="{00000000-0005-0000-0000-000024040000}"/>
    <cellStyle name="Moneda 19 2 2 2" xfId="934" xr:uid="{00000000-0005-0000-0000-000025040000}"/>
    <cellStyle name="Moneda 19 2 2 2 2" xfId="935" xr:uid="{00000000-0005-0000-0000-000026040000}"/>
    <cellStyle name="Moneda 19 2 2 3" xfId="936" xr:uid="{00000000-0005-0000-0000-000027040000}"/>
    <cellStyle name="Moneda 19 2 2 3 2" xfId="937" xr:uid="{00000000-0005-0000-0000-000028040000}"/>
    <cellStyle name="Moneda 19 2 2 4" xfId="938" xr:uid="{00000000-0005-0000-0000-000029040000}"/>
    <cellStyle name="Moneda 19 2 2 4 2" xfId="939" xr:uid="{00000000-0005-0000-0000-00002A040000}"/>
    <cellStyle name="Moneda 19 2 2 5" xfId="940" xr:uid="{00000000-0005-0000-0000-00002B040000}"/>
    <cellStyle name="Moneda 19 2 3" xfId="941" xr:uid="{00000000-0005-0000-0000-00002C040000}"/>
    <cellStyle name="Moneda 19 2 3 2" xfId="942" xr:uid="{00000000-0005-0000-0000-00002D040000}"/>
    <cellStyle name="Moneda 19 2 4" xfId="943" xr:uid="{00000000-0005-0000-0000-00002E040000}"/>
    <cellStyle name="Moneda 19 2 4 2" xfId="944" xr:uid="{00000000-0005-0000-0000-00002F040000}"/>
    <cellStyle name="Moneda 19 2 5" xfId="945" xr:uid="{00000000-0005-0000-0000-000030040000}"/>
    <cellStyle name="Moneda 19 2 5 2" xfId="946" xr:uid="{00000000-0005-0000-0000-000031040000}"/>
    <cellStyle name="Moneda 19 2 6" xfId="947" xr:uid="{00000000-0005-0000-0000-000032040000}"/>
    <cellStyle name="Moneda 19 2 7" xfId="948" xr:uid="{00000000-0005-0000-0000-000033040000}"/>
    <cellStyle name="Moneda 19 3" xfId="949" xr:uid="{00000000-0005-0000-0000-000034040000}"/>
    <cellStyle name="Moneda 19 3 2" xfId="950" xr:uid="{00000000-0005-0000-0000-000035040000}"/>
    <cellStyle name="Moneda 19 3 2 2" xfId="951" xr:uid="{00000000-0005-0000-0000-000036040000}"/>
    <cellStyle name="Moneda 19 3 3" xfId="952" xr:uid="{00000000-0005-0000-0000-000037040000}"/>
    <cellStyle name="Moneda 19 3 3 2" xfId="953" xr:uid="{00000000-0005-0000-0000-000038040000}"/>
    <cellStyle name="Moneda 19 3 4" xfId="954" xr:uid="{00000000-0005-0000-0000-000039040000}"/>
    <cellStyle name="Moneda 19 3 4 2" xfId="955" xr:uid="{00000000-0005-0000-0000-00003A040000}"/>
    <cellStyle name="Moneda 19 3 5" xfId="956" xr:uid="{00000000-0005-0000-0000-00003B040000}"/>
    <cellStyle name="Moneda 19 4" xfId="957" xr:uid="{00000000-0005-0000-0000-00003C040000}"/>
    <cellStyle name="Moneda 19 4 2" xfId="958" xr:uid="{00000000-0005-0000-0000-00003D040000}"/>
    <cellStyle name="Moneda 19 5" xfId="959" xr:uid="{00000000-0005-0000-0000-00003E040000}"/>
    <cellStyle name="Moneda 19 5 2" xfId="960" xr:uid="{00000000-0005-0000-0000-00003F040000}"/>
    <cellStyle name="Moneda 19 6" xfId="961" xr:uid="{00000000-0005-0000-0000-000040040000}"/>
    <cellStyle name="Moneda 19 6 2" xfId="962" xr:uid="{00000000-0005-0000-0000-000041040000}"/>
    <cellStyle name="Moneda 19 7" xfId="963" xr:uid="{00000000-0005-0000-0000-000042040000}"/>
    <cellStyle name="Moneda 19 8" xfId="964" xr:uid="{00000000-0005-0000-0000-000043040000}"/>
    <cellStyle name="Moneda 2" xfId="10" xr:uid="{00000000-0005-0000-0000-000044040000}"/>
    <cellStyle name="Moneda 2 2" xfId="11" xr:uid="{00000000-0005-0000-0000-000045040000}"/>
    <cellStyle name="Moneda 2 2 2" xfId="12" xr:uid="{00000000-0005-0000-0000-000046040000}"/>
    <cellStyle name="Moneda 2 2 3" xfId="965" xr:uid="{00000000-0005-0000-0000-000047040000}"/>
    <cellStyle name="Moneda 2 2 3 2" xfId="966" xr:uid="{00000000-0005-0000-0000-000048040000}"/>
    <cellStyle name="Moneda 2 3" xfId="13" xr:uid="{00000000-0005-0000-0000-000049040000}"/>
    <cellStyle name="Moneda 2 3 10" xfId="967" xr:uid="{00000000-0005-0000-0000-00004A040000}"/>
    <cellStyle name="Moneda 2 3 10 2" xfId="968" xr:uid="{00000000-0005-0000-0000-00004B040000}"/>
    <cellStyle name="Moneda 2 3 10 2 2" xfId="969" xr:uid="{00000000-0005-0000-0000-00004C040000}"/>
    <cellStyle name="Moneda 2 3 10 3" xfId="970" xr:uid="{00000000-0005-0000-0000-00004D040000}"/>
    <cellStyle name="Moneda 2 3 11" xfId="971" xr:uid="{00000000-0005-0000-0000-00004E040000}"/>
    <cellStyle name="Moneda 2 3 11 2" xfId="972" xr:uid="{00000000-0005-0000-0000-00004F040000}"/>
    <cellStyle name="Moneda 2 3 11 3" xfId="973" xr:uid="{00000000-0005-0000-0000-000050040000}"/>
    <cellStyle name="Moneda 2 3 12" xfId="974" xr:uid="{00000000-0005-0000-0000-000051040000}"/>
    <cellStyle name="Moneda 2 3 2" xfId="975" xr:uid="{00000000-0005-0000-0000-000052040000}"/>
    <cellStyle name="Moneda 2 3 2 10" xfId="976" xr:uid="{00000000-0005-0000-0000-000053040000}"/>
    <cellStyle name="Moneda 2 3 2 11" xfId="977" xr:uid="{00000000-0005-0000-0000-000054040000}"/>
    <cellStyle name="Moneda 2 3 2 2" xfId="978" xr:uid="{00000000-0005-0000-0000-000055040000}"/>
    <cellStyle name="Moneda 2 3 2 2 2" xfId="979" xr:uid="{00000000-0005-0000-0000-000056040000}"/>
    <cellStyle name="Moneda 2 3 2 2 2 2" xfId="980" xr:uid="{00000000-0005-0000-0000-000057040000}"/>
    <cellStyle name="Moneda 2 3 2 2 2 2 2" xfId="981" xr:uid="{00000000-0005-0000-0000-000058040000}"/>
    <cellStyle name="Moneda 2 3 2 2 2 2 2 2" xfId="982" xr:uid="{00000000-0005-0000-0000-000059040000}"/>
    <cellStyle name="Moneda 2 3 2 2 2 2 2 2 2" xfId="983" xr:uid="{00000000-0005-0000-0000-00005A040000}"/>
    <cellStyle name="Moneda 2 3 2 2 2 2 2 3" xfId="984" xr:uid="{00000000-0005-0000-0000-00005B040000}"/>
    <cellStyle name="Moneda 2 3 2 2 2 2 3" xfId="985" xr:uid="{00000000-0005-0000-0000-00005C040000}"/>
    <cellStyle name="Moneda 2 3 2 2 2 2 3 2" xfId="986" xr:uid="{00000000-0005-0000-0000-00005D040000}"/>
    <cellStyle name="Moneda 2 3 2 2 2 2 3 3" xfId="987" xr:uid="{00000000-0005-0000-0000-00005E040000}"/>
    <cellStyle name="Moneda 2 3 2 2 2 2 4" xfId="988" xr:uid="{00000000-0005-0000-0000-00005F040000}"/>
    <cellStyle name="Moneda 2 3 2 2 2 2 4 2" xfId="989" xr:uid="{00000000-0005-0000-0000-000060040000}"/>
    <cellStyle name="Moneda 2 3 2 2 2 2 5" xfId="990" xr:uid="{00000000-0005-0000-0000-000061040000}"/>
    <cellStyle name="Moneda 2 3 2 2 2 2 6" xfId="991" xr:uid="{00000000-0005-0000-0000-000062040000}"/>
    <cellStyle name="Moneda 2 3 2 2 2 3" xfId="992" xr:uid="{00000000-0005-0000-0000-000063040000}"/>
    <cellStyle name="Moneda 2 3 2 2 2 3 2" xfId="993" xr:uid="{00000000-0005-0000-0000-000064040000}"/>
    <cellStyle name="Moneda 2 3 2 2 2 3 2 2" xfId="994" xr:uid="{00000000-0005-0000-0000-000065040000}"/>
    <cellStyle name="Moneda 2 3 2 2 2 3 3" xfId="995" xr:uid="{00000000-0005-0000-0000-000066040000}"/>
    <cellStyle name="Moneda 2 3 2 2 2 4" xfId="996" xr:uid="{00000000-0005-0000-0000-000067040000}"/>
    <cellStyle name="Moneda 2 3 2 2 2 4 2" xfId="997" xr:uid="{00000000-0005-0000-0000-000068040000}"/>
    <cellStyle name="Moneda 2 3 2 2 2 4 3" xfId="998" xr:uid="{00000000-0005-0000-0000-000069040000}"/>
    <cellStyle name="Moneda 2 3 2 2 2 5" xfId="999" xr:uid="{00000000-0005-0000-0000-00006A040000}"/>
    <cellStyle name="Moneda 2 3 2 2 2 5 2" xfId="1000" xr:uid="{00000000-0005-0000-0000-00006B040000}"/>
    <cellStyle name="Moneda 2 3 2 2 2 6" xfId="1001" xr:uid="{00000000-0005-0000-0000-00006C040000}"/>
    <cellStyle name="Moneda 2 3 2 2 2 7" xfId="1002" xr:uid="{00000000-0005-0000-0000-00006D040000}"/>
    <cellStyle name="Moneda 2 3 2 2 3" xfId="1003" xr:uid="{00000000-0005-0000-0000-00006E040000}"/>
    <cellStyle name="Moneda 2 3 2 2 3 2" xfId="1004" xr:uid="{00000000-0005-0000-0000-00006F040000}"/>
    <cellStyle name="Moneda 2 3 2 2 3 2 2" xfId="1005" xr:uid="{00000000-0005-0000-0000-000070040000}"/>
    <cellStyle name="Moneda 2 3 2 2 3 2 2 2" xfId="1006" xr:uid="{00000000-0005-0000-0000-000071040000}"/>
    <cellStyle name="Moneda 2 3 2 2 3 2 2 3" xfId="1007" xr:uid="{00000000-0005-0000-0000-000072040000}"/>
    <cellStyle name="Moneda 2 3 2 2 3 2 3" xfId="1008" xr:uid="{00000000-0005-0000-0000-000073040000}"/>
    <cellStyle name="Moneda 2 3 2 2 3 2 4" xfId="1009" xr:uid="{00000000-0005-0000-0000-000074040000}"/>
    <cellStyle name="Moneda 2 3 2 2 3 3" xfId="1010" xr:uid="{00000000-0005-0000-0000-000075040000}"/>
    <cellStyle name="Moneda 2 3 2 2 3 3 2" xfId="1011" xr:uid="{00000000-0005-0000-0000-000076040000}"/>
    <cellStyle name="Moneda 2 3 2 2 3 3 2 2" xfId="1012" xr:uid="{00000000-0005-0000-0000-000077040000}"/>
    <cellStyle name="Moneda 2 3 2 2 3 3 3" xfId="1013" xr:uid="{00000000-0005-0000-0000-000078040000}"/>
    <cellStyle name="Moneda 2 3 2 2 3 4" xfId="1014" xr:uid="{00000000-0005-0000-0000-000079040000}"/>
    <cellStyle name="Moneda 2 3 2 2 3 4 2" xfId="1015" xr:uid="{00000000-0005-0000-0000-00007A040000}"/>
    <cellStyle name="Moneda 2 3 2 2 3 4 3" xfId="1016" xr:uid="{00000000-0005-0000-0000-00007B040000}"/>
    <cellStyle name="Moneda 2 3 2 2 3 5" xfId="1017" xr:uid="{00000000-0005-0000-0000-00007C040000}"/>
    <cellStyle name="Moneda 2 3 2 2 3 6" xfId="1018" xr:uid="{00000000-0005-0000-0000-00007D040000}"/>
    <cellStyle name="Moneda 2 3 2 2 4" xfId="1019" xr:uid="{00000000-0005-0000-0000-00007E040000}"/>
    <cellStyle name="Moneda 2 3 2 2 4 2" xfId="1020" xr:uid="{00000000-0005-0000-0000-00007F040000}"/>
    <cellStyle name="Moneda 2 3 2 2 4 2 2" xfId="1021" xr:uid="{00000000-0005-0000-0000-000080040000}"/>
    <cellStyle name="Moneda 2 3 2 2 4 2 2 2" xfId="1022" xr:uid="{00000000-0005-0000-0000-000081040000}"/>
    <cellStyle name="Moneda 2 3 2 2 4 2 3" xfId="1023" xr:uid="{00000000-0005-0000-0000-000082040000}"/>
    <cellStyle name="Moneda 2 3 2 2 4 2 4" xfId="1024" xr:uid="{00000000-0005-0000-0000-000083040000}"/>
    <cellStyle name="Moneda 2 3 2 2 4 3" xfId="1025" xr:uid="{00000000-0005-0000-0000-000084040000}"/>
    <cellStyle name="Moneda 2 3 2 2 4 3 2" xfId="1026" xr:uid="{00000000-0005-0000-0000-000085040000}"/>
    <cellStyle name="Moneda 2 3 2 2 4 4" xfId="1027" xr:uid="{00000000-0005-0000-0000-000086040000}"/>
    <cellStyle name="Moneda 2 3 2 2 4 5" xfId="1028" xr:uid="{00000000-0005-0000-0000-000087040000}"/>
    <cellStyle name="Moneda 2 3 2 2 5" xfId="1029" xr:uid="{00000000-0005-0000-0000-000088040000}"/>
    <cellStyle name="Moneda 2 3 2 2 5 2" xfId="1030" xr:uid="{00000000-0005-0000-0000-000089040000}"/>
    <cellStyle name="Moneda 2 3 2 2 5 2 2" xfId="1031" xr:uid="{00000000-0005-0000-0000-00008A040000}"/>
    <cellStyle name="Moneda 2 3 2 2 5 2 3" xfId="1032" xr:uid="{00000000-0005-0000-0000-00008B040000}"/>
    <cellStyle name="Moneda 2 3 2 2 5 3" xfId="1033" xr:uid="{00000000-0005-0000-0000-00008C040000}"/>
    <cellStyle name="Moneda 2 3 2 2 5 4" xfId="1034" xr:uid="{00000000-0005-0000-0000-00008D040000}"/>
    <cellStyle name="Moneda 2 3 2 2 6" xfId="1035" xr:uid="{00000000-0005-0000-0000-00008E040000}"/>
    <cellStyle name="Moneda 2 3 2 2 6 2" xfId="1036" xr:uid="{00000000-0005-0000-0000-00008F040000}"/>
    <cellStyle name="Moneda 2 3 2 2 6 2 2" xfId="1037" xr:uid="{00000000-0005-0000-0000-000090040000}"/>
    <cellStyle name="Moneda 2 3 2 2 6 3" xfId="1038" xr:uid="{00000000-0005-0000-0000-000091040000}"/>
    <cellStyle name="Moneda 2 3 2 2 7" xfId="1039" xr:uid="{00000000-0005-0000-0000-000092040000}"/>
    <cellStyle name="Moneda 2 3 2 2 7 2" xfId="1040" xr:uid="{00000000-0005-0000-0000-000093040000}"/>
    <cellStyle name="Moneda 2 3 2 2 8" xfId="1041" xr:uid="{00000000-0005-0000-0000-000094040000}"/>
    <cellStyle name="Moneda 2 3 2 3" xfId="1042" xr:uid="{00000000-0005-0000-0000-000095040000}"/>
    <cellStyle name="Moneda 2 3 2 3 2" xfId="1043" xr:uid="{00000000-0005-0000-0000-000096040000}"/>
    <cellStyle name="Moneda 2 3 2 3 2 2" xfId="1044" xr:uid="{00000000-0005-0000-0000-000097040000}"/>
    <cellStyle name="Moneda 2 3 2 3 2 2 2" xfId="1045" xr:uid="{00000000-0005-0000-0000-000098040000}"/>
    <cellStyle name="Moneda 2 3 2 3 2 2 2 2" xfId="1046" xr:uid="{00000000-0005-0000-0000-000099040000}"/>
    <cellStyle name="Moneda 2 3 2 3 2 2 2 3" xfId="1047" xr:uid="{00000000-0005-0000-0000-00009A040000}"/>
    <cellStyle name="Moneda 2 3 2 3 2 2 3" xfId="1048" xr:uid="{00000000-0005-0000-0000-00009B040000}"/>
    <cellStyle name="Moneda 2 3 2 3 2 2 3 2" xfId="1049" xr:uid="{00000000-0005-0000-0000-00009C040000}"/>
    <cellStyle name="Moneda 2 3 2 3 2 2 4" xfId="1050" xr:uid="{00000000-0005-0000-0000-00009D040000}"/>
    <cellStyle name="Moneda 2 3 2 3 2 2 4 2" xfId="1051" xr:uid="{00000000-0005-0000-0000-00009E040000}"/>
    <cellStyle name="Moneda 2 3 2 3 2 2 5" xfId="1052" xr:uid="{00000000-0005-0000-0000-00009F040000}"/>
    <cellStyle name="Moneda 2 3 2 3 2 2 6" xfId="1053" xr:uid="{00000000-0005-0000-0000-0000A0040000}"/>
    <cellStyle name="Moneda 2 3 2 3 2 3" xfId="1054" xr:uid="{00000000-0005-0000-0000-0000A1040000}"/>
    <cellStyle name="Moneda 2 3 2 3 2 3 2" xfId="1055" xr:uid="{00000000-0005-0000-0000-0000A2040000}"/>
    <cellStyle name="Moneda 2 3 2 3 2 3 3" xfId="1056" xr:uid="{00000000-0005-0000-0000-0000A3040000}"/>
    <cellStyle name="Moneda 2 3 2 3 2 4" xfId="1057" xr:uid="{00000000-0005-0000-0000-0000A4040000}"/>
    <cellStyle name="Moneda 2 3 2 3 2 4 2" xfId="1058" xr:uid="{00000000-0005-0000-0000-0000A5040000}"/>
    <cellStyle name="Moneda 2 3 2 3 2 5" xfId="1059" xr:uid="{00000000-0005-0000-0000-0000A6040000}"/>
    <cellStyle name="Moneda 2 3 2 3 2 5 2" xfId="1060" xr:uid="{00000000-0005-0000-0000-0000A7040000}"/>
    <cellStyle name="Moneda 2 3 2 3 2 6" xfId="1061" xr:uid="{00000000-0005-0000-0000-0000A8040000}"/>
    <cellStyle name="Moneda 2 3 2 3 2 7" xfId="1062" xr:uid="{00000000-0005-0000-0000-0000A9040000}"/>
    <cellStyle name="Moneda 2 3 2 3 3" xfId="1063" xr:uid="{00000000-0005-0000-0000-0000AA040000}"/>
    <cellStyle name="Moneda 2 3 2 3 3 2" xfId="1064" xr:uid="{00000000-0005-0000-0000-0000AB040000}"/>
    <cellStyle name="Moneda 2 3 2 3 3 2 2" xfId="1065" xr:uid="{00000000-0005-0000-0000-0000AC040000}"/>
    <cellStyle name="Moneda 2 3 2 3 3 2 3" xfId="1066" xr:uid="{00000000-0005-0000-0000-0000AD040000}"/>
    <cellStyle name="Moneda 2 3 2 3 3 3" xfId="1067" xr:uid="{00000000-0005-0000-0000-0000AE040000}"/>
    <cellStyle name="Moneda 2 3 2 3 3 3 2" xfId="1068" xr:uid="{00000000-0005-0000-0000-0000AF040000}"/>
    <cellStyle name="Moneda 2 3 2 3 3 4" xfId="1069" xr:uid="{00000000-0005-0000-0000-0000B0040000}"/>
    <cellStyle name="Moneda 2 3 2 3 3 4 2" xfId="1070" xr:uid="{00000000-0005-0000-0000-0000B1040000}"/>
    <cellStyle name="Moneda 2 3 2 3 3 5" xfId="1071" xr:uid="{00000000-0005-0000-0000-0000B2040000}"/>
    <cellStyle name="Moneda 2 3 2 3 3 6" xfId="1072" xr:uid="{00000000-0005-0000-0000-0000B3040000}"/>
    <cellStyle name="Moneda 2 3 2 3 4" xfId="1073" xr:uid="{00000000-0005-0000-0000-0000B4040000}"/>
    <cellStyle name="Moneda 2 3 2 3 4 2" xfId="1074" xr:uid="{00000000-0005-0000-0000-0000B5040000}"/>
    <cellStyle name="Moneda 2 3 2 3 4 3" xfId="1075" xr:uid="{00000000-0005-0000-0000-0000B6040000}"/>
    <cellStyle name="Moneda 2 3 2 3 5" xfId="1076" xr:uid="{00000000-0005-0000-0000-0000B7040000}"/>
    <cellStyle name="Moneda 2 3 2 3 5 2" xfId="1077" xr:uid="{00000000-0005-0000-0000-0000B8040000}"/>
    <cellStyle name="Moneda 2 3 2 3 6" xfId="1078" xr:uid="{00000000-0005-0000-0000-0000B9040000}"/>
    <cellStyle name="Moneda 2 3 2 3 6 2" xfId="1079" xr:uid="{00000000-0005-0000-0000-0000BA040000}"/>
    <cellStyle name="Moneda 2 3 2 3 7" xfId="1080" xr:uid="{00000000-0005-0000-0000-0000BB040000}"/>
    <cellStyle name="Moneda 2 3 2 3 8" xfId="1081" xr:uid="{00000000-0005-0000-0000-0000BC040000}"/>
    <cellStyle name="Moneda 2 3 2 4" xfId="1082" xr:uid="{00000000-0005-0000-0000-0000BD040000}"/>
    <cellStyle name="Moneda 2 3 2 4 2" xfId="1083" xr:uid="{00000000-0005-0000-0000-0000BE040000}"/>
    <cellStyle name="Moneda 2 3 2 4 2 2" xfId="1084" xr:uid="{00000000-0005-0000-0000-0000BF040000}"/>
    <cellStyle name="Moneda 2 3 2 4 2 2 2" xfId="1085" xr:uid="{00000000-0005-0000-0000-0000C0040000}"/>
    <cellStyle name="Moneda 2 3 2 4 2 2 2 2" xfId="1086" xr:uid="{00000000-0005-0000-0000-0000C1040000}"/>
    <cellStyle name="Moneda 2 3 2 4 2 2 2 3" xfId="1087" xr:uid="{00000000-0005-0000-0000-0000C2040000}"/>
    <cellStyle name="Moneda 2 3 2 4 2 2 3" xfId="1088" xr:uid="{00000000-0005-0000-0000-0000C3040000}"/>
    <cellStyle name="Moneda 2 3 2 4 2 2 3 2" xfId="1089" xr:uid="{00000000-0005-0000-0000-0000C4040000}"/>
    <cellStyle name="Moneda 2 3 2 4 2 2 4" xfId="1090" xr:uid="{00000000-0005-0000-0000-0000C5040000}"/>
    <cellStyle name="Moneda 2 3 2 4 2 2 4 2" xfId="1091" xr:uid="{00000000-0005-0000-0000-0000C6040000}"/>
    <cellStyle name="Moneda 2 3 2 4 2 2 5" xfId="1092" xr:uid="{00000000-0005-0000-0000-0000C7040000}"/>
    <cellStyle name="Moneda 2 3 2 4 2 2 6" xfId="1093" xr:uid="{00000000-0005-0000-0000-0000C8040000}"/>
    <cellStyle name="Moneda 2 3 2 4 2 3" xfId="1094" xr:uid="{00000000-0005-0000-0000-0000C9040000}"/>
    <cellStyle name="Moneda 2 3 2 4 2 3 2" xfId="1095" xr:uid="{00000000-0005-0000-0000-0000CA040000}"/>
    <cellStyle name="Moneda 2 3 2 4 2 3 3" xfId="1096" xr:uid="{00000000-0005-0000-0000-0000CB040000}"/>
    <cellStyle name="Moneda 2 3 2 4 2 4" xfId="1097" xr:uid="{00000000-0005-0000-0000-0000CC040000}"/>
    <cellStyle name="Moneda 2 3 2 4 2 4 2" xfId="1098" xr:uid="{00000000-0005-0000-0000-0000CD040000}"/>
    <cellStyle name="Moneda 2 3 2 4 2 5" xfId="1099" xr:uid="{00000000-0005-0000-0000-0000CE040000}"/>
    <cellStyle name="Moneda 2 3 2 4 2 5 2" xfId="1100" xr:uid="{00000000-0005-0000-0000-0000CF040000}"/>
    <cellStyle name="Moneda 2 3 2 4 2 6" xfId="1101" xr:uid="{00000000-0005-0000-0000-0000D0040000}"/>
    <cellStyle name="Moneda 2 3 2 4 2 7" xfId="1102" xr:uid="{00000000-0005-0000-0000-0000D1040000}"/>
    <cellStyle name="Moneda 2 3 2 4 3" xfId="1103" xr:uid="{00000000-0005-0000-0000-0000D2040000}"/>
    <cellStyle name="Moneda 2 3 2 4 3 2" xfId="1104" xr:uid="{00000000-0005-0000-0000-0000D3040000}"/>
    <cellStyle name="Moneda 2 3 2 4 3 2 2" xfId="1105" xr:uid="{00000000-0005-0000-0000-0000D4040000}"/>
    <cellStyle name="Moneda 2 3 2 4 3 2 3" xfId="1106" xr:uid="{00000000-0005-0000-0000-0000D5040000}"/>
    <cellStyle name="Moneda 2 3 2 4 3 3" xfId="1107" xr:uid="{00000000-0005-0000-0000-0000D6040000}"/>
    <cellStyle name="Moneda 2 3 2 4 3 3 2" xfId="1108" xr:uid="{00000000-0005-0000-0000-0000D7040000}"/>
    <cellStyle name="Moneda 2 3 2 4 3 4" xfId="1109" xr:uid="{00000000-0005-0000-0000-0000D8040000}"/>
    <cellStyle name="Moneda 2 3 2 4 3 4 2" xfId="1110" xr:uid="{00000000-0005-0000-0000-0000D9040000}"/>
    <cellStyle name="Moneda 2 3 2 4 3 5" xfId="1111" xr:uid="{00000000-0005-0000-0000-0000DA040000}"/>
    <cellStyle name="Moneda 2 3 2 4 3 6" xfId="1112" xr:uid="{00000000-0005-0000-0000-0000DB040000}"/>
    <cellStyle name="Moneda 2 3 2 4 4" xfId="1113" xr:uid="{00000000-0005-0000-0000-0000DC040000}"/>
    <cellStyle name="Moneda 2 3 2 4 4 2" xfId="1114" xr:uid="{00000000-0005-0000-0000-0000DD040000}"/>
    <cellStyle name="Moneda 2 3 2 4 4 3" xfId="1115" xr:uid="{00000000-0005-0000-0000-0000DE040000}"/>
    <cellStyle name="Moneda 2 3 2 4 5" xfId="1116" xr:uid="{00000000-0005-0000-0000-0000DF040000}"/>
    <cellStyle name="Moneda 2 3 2 4 5 2" xfId="1117" xr:uid="{00000000-0005-0000-0000-0000E0040000}"/>
    <cellStyle name="Moneda 2 3 2 4 6" xfId="1118" xr:uid="{00000000-0005-0000-0000-0000E1040000}"/>
    <cellStyle name="Moneda 2 3 2 4 6 2" xfId="1119" xr:uid="{00000000-0005-0000-0000-0000E2040000}"/>
    <cellStyle name="Moneda 2 3 2 4 7" xfId="1120" xr:uid="{00000000-0005-0000-0000-0000E3040000}"/>
    <cellStyle name="Moneda 2 3 2 4 8" xfId="1121" xr:uid="{00000000-0005-0000-0000-0000E4040000}"/>
    <cellStyle name="Moneda 2 3 2 5" xfId="1122" xr:uid="{00000000-0005-0000-0000-0000E5040000}"/>
    <cellStyle name="Moneda 2 3 2 5 2" xfId="1123" xr:uid="{00000000-0005-0000-0000-0000E6040000}"/>
    <cellStyle name="Moneda 2 3 2 5 2 2" xfId="1124" xr:uid="{00000000-0005-0000-0000-0000E7040000}"/>
    <cellStyle name="Moneda 2 3 2 5 2 2 2" xfId="1125" xr:uid="{00000000-0005-0000-0000-0000E8040000}"/>
    <cellStyle name="Moneda 2 3 2 5 2 2 2 2" xfId="1126" xr:uid="{00000000-0005-0000-0000-0000E9040000}"/>
    <cellStyle name="Moneda 2 3 2 5 2 2 3" xfId="1127" xr:uid="{00000000-0005-0000-0000-0000EA040000}"/>
    <cellStyle name="Moneda 2 3 2 5 2 3" xfId="1128" xr:uid="{00000000-0005-0000-0000-0000EB040000}"/>
    <cellStyle name="Moneda 2 3 2 5 2 3 2" xfId="1129" xr:uid="{00000000-0005-0000-0000-0000EC040000}"/>
    <cellStyle name="Moneda 2 3 2 5 2 3 3" xfId="1130" xr:uid="{00000000-0005-0000-0000-0000ED040000}"/>
    <cellStyle name="Moneda 2 3 2 5 2 4" xfId="1131" xr:uid="{00000000-0005-0000-0000-0000EE040000}"/>
    <cellStyle name="Moneda 2 3 2 5 2 4 2" xfId="1132" xr:uid="{00000000-0005-0000-0000-0000EF040000}"/>
    <cellStyle name="Moneda 2 3 2 5 2 5" xfId="1133" xr:uid="{00000000-0005-0000-0000-0000F0040000}"/>
    <cellStyle name="Moneda 2 3 2 5 2 6" xfId="1134" xr:uid="{00000000-0005-0000-0000-0000F1040000}"/>
    <cellStyle name="Moneda 2 3 2 5 3" xfId="1135" xr:uid="{00000000-0005-0000-0000-0000F2040000}"/>
    <cellStyle name="Moneda 2 3 2 5 3 2" xfId="1136" xr:uid="{00000000-0005-0000-0000-0000F3040000}"/>
    <cellStyle name="Moneda 2 3 2 5 3 2 2" xfId="1137" xr:uid="{00000000-0005-0000-0000-0000F4040000}"/>
    <cellStyle name="Moneda 2 3 2 5 3 3" xfId="1138" xr:uid="{00000000-0005-0000-0000-0000F5040000}"/>
    <cellStyle name="Moneda 2 3 2 5 4" xfId="1139" xr:uid="{00000000-0005-0000-0000-0000F6040000}"/>
    <cellStyle name="Moneda 2 3 2 5 4 2" xfId="1140" xr:uid="{00000000-0005-0000-0000-0000F7040000}"/>
    <cellStyle name="Moneda 2 3 2 5 4 3" xfId="1141" xr:uid="{00000000-0005-0000-0000-0000F8040000}"/>
    <cellStyle name="Moneda 2 3 2 5 5" xfId="1142" xr:uid="{00000000-0005-0000-0000-0000F9040000}"/>
    <cellStyle name="Moneda 2 3 2 5 5 2" xfId="1143" xr:uid="{00000000-0005-0000-0000-0000FA040000}"/>
    <cellStyle name="Moneda 2 3 2 5 6" xfId="1144" xr:uid="{00000000-0005-0000-0000-0000FB040000}"/>
    <cellStyle name="Moneda 2 3 2 5 7" xfId="1145" xr:uid="{00000000-0005-0000-0000-0000FC040000}"/>
    <cellStyle name="Moneda 2 3 2 6" xfId="1146" xr:uid="{00000000-0005-0000-0000-0000FD040000}"/>
    <cellStyle name="Moneda 2 3 2 6 2" xfId="1147" xr:uid="{00000000-0005-0000-0000-0000FE040000}"/>
    <cellStyle name="Moneda 2 3 2 6 2 2" xfId="1148" xr:uid="{00000000-0005-0000-0000-0000FF040000}"/>
    <cellStyle name="Moneda 2 3 2 6 2 2 2" xfId="1149" xr:uid="{00000000-0005-0000-0000-000000050000}"/>
    <cellStyle name="Moneda 2 3 2 6 2 3" xfId="1150" xr:uid="{00000000-0005-0000-0000-000001050000}"/>
    <cellStyle name="Moneda 2 3 2 6 3" xfId="1151" xr:uid="{00000000-0005-0000-0000-000002050000}"/>
    <cellStyle name="Moneda 2 3 2 6 3 2" xfId="1152" xr:uid="{00000000-0005-0000-0000-000003050000}"/>
    <cellStyle name="Moneda 2 3 2 6 3 3" xfId="1153" xr:uid="{00000000-0005-0000-0000-000004050000}"/>
    <cellStyle name="Moneda 2 3 2 6 4" xfId="1154" xr:uid="{00000000-0005-0000-0000-000005050000}"/>
    <cellStyle name="Moneda 2 3 2 6 4 2" xfId="1155" xr:uid="{00000000-0005-0000-0000-000006050000}"/>
    <cellStyle name="Moneda 2 3 2 6 5" xfId="1156" xr:uid="{00000000-0005-0000-0000-000007050000}"/>
    <cellStyle name="Moneda 2 3 2 6 6" xfId="1157" xr:uid="{00000000-0005-0000-0000-000008050000}"/>
    <cellStyle name="Moneda 2 3 2 7" xfId="1158" xr:uid="{00000000-0005-0000-0000-000009050000}"/>
    <cellStyle name="Moneda 2 3 2 7 2" xfId="1159" xr:uid="{00000000-0005-0000-0000-00000A050000}"/>
    <cellStyle name="Moneda 2 3 2 7 2 2" xfId="1160" xr:uid="{00000000-0005-0000-0000-00000B050000}"/>
    <cellStyle name="Moneda 2 3 2 7 3" xfId="1161" xr:uid="{00000000-0005-0000-0000-00000C050000}"/>
    <cellStyle name="Moneda 2 3 2 8" xfId="1162" xr:uid="{00000000-0005-0000-0000-00000D050000}"/>
    <cellStyle name="Moneda 2 3 2 8 2" xfId="1163" xr:uid="{00000000-0005-0000-0000-00000E050000}"/>
    <cellStyle name="Moneda 2 3 2 8 3" xfId="1164" xr:uid="{00000000-0005-0000-0000-00000F050000}"/>
    <cellStyle name="Moneda 2 3 2 9" xfId="1165" xr:uid="{00000000-0005-0000-0000-000010050000}"/>
    <cellStyle name="Moneda 2 3 2 9 2" xfId="1166" xr:uid="{00000000-0005-0000-0000-000011050000}"/>
    <cellStyle name="Moneda 2 3 3" xfId="1167" xr:uid="{00000000-0005-0000-0000-000012050000}"/>
    <cellStyle name="Moneda 2 3 3 2" xfId="1168" xr:uid="{00000000-0005-0000-0000-000013050000}"/>
    <cellStyle name="Moneda 2 3 3 2 2" xfId="1169" xr:uid="{00000000-0005-0000-0000-000014050000}"/>
    <cellStyle name="Moneda 2 3 3 2 2 2" xfId="1170" xr:uid="{00000000-0005-0000-0000-000015050000}"/>
    <cellStyle name="Moneda 2 3 3 2 2 2 2" xfId="1171" xr:uid="{00000000-0005-0000-0000-000016050000}"/>
    <cellStyle name="Moneda 2 3 3 2 2 2 2 2" xfId="1172" xr:uid="{00000000-0005-0000-0000-000017050000}"/>
    <cellStyle name="Moneda 2 3 3 2 2 2 3" xfId="1173" xr:uid="{00000000-0005-0000-0000-000018050000}"/>
    <cellStyle name="Moneda 2 3 3 2 2 3" xfId="1174" xr:uid="{00000000-0005-0000-0000-000019050000}"/>
    <cellStyle name="Moneda 2 3 3 2 2 3 2" xfId="1175" xr:uid="{00000000-0005-0000-0000-00001A050000}"/>
    <cellStyle name="Moneda 2 3 3 2 2 3 3" xfId="1176" xr:uid="{00000000-0005-0000-0000-00001B050000}"/>
    <cellStyle name="Moneda 2 3 3 2 2 4" xfId="1177" xr:uid="{00000000-0005-0000-0000-00001C050000}"/>
    <cellStyle name="Moneda 2 3 3 2 2 4 2" xfId="1178" xr:uid="{00000000-0005-0000-0000-00001D050000}"/>
    <cellStyle name="Moneda 2 3 3 2 2 5" xfId="1179" xr:uid="{00000000-0005-0000-0000-00001E050000}"/>
    <cellStyle name="Moneda 2 3 3 2 2 6" xfId="1180" xr:uid="{00000000-0005-0000-0000-00001F050000}"/>
    <cellStyle name="Moneda 2 3 3 2 3" xfId="1181" xr:uid="{00000000-0005-0000-0000-000020050000}"/>
    <cellStyle name="Moneda 2 3 3 2 3 2" xfId="1182" xr:uid="{00000000-0005-0000-0000-000021050000}"/>
    <cellStyle name="Moneda 2 3 3 2 3 2 2" xfId="1183" xr:uid="{00000000-0005-0000-0000-000022050000}"/>
    <cellStyle name="Moneda 2 3 3 2 3 3" xfId="1184" xr:uid="{00000000-0005-0000-0000-000023050000}"/>
    <cellStyle name="Moneda 2 3 3 2 4" xfId="1185" xr:uid="{00000000-0005-0000-0000-000024050000}"/>
    <cellStyle name="Moneda 2 3 3 2 4 2" xfId="1186" xr:uid="{00000000-0005-0000-0000-000025050000}"/>
    <cellStyle name="Moneda 2 3 3 2 4 3" xfId="1187" xr:uid="{00000000-0005-0000-0000-000026050000}"/>
    <cellStyle name="Moneda 2 3 3 2 5" xfId="1188" xr:uid="{00000000-0005-0000-0000-000027050000}"/>
    <cellStyle name="Moneda 2 3 3 2 5 2" xfId="1189" xr:uid="{00000000-0005-0000-0000-000028050000}"/>
    <cellStyle name="Moneda 2 3 3 2 6" xfId="1190" xr:uid="{00000000-0005-0000-0000-000029050000}"/>
    <cellStyle name="Moneda 2 3 3 2 7" xfId="1191" xr:uid="{00000000-0005-0000-0000-00002A050000}"/>
    <cellStyle name="Moneda 2 3 3 3" xfId="1192" xr:uid="{00000000-0005-0000-0000-00002B050000}"/>
    <cellStyle name="Moneda 2 3 3 3 2" xfId="1193" xr:uid="{00000000-0005-0000-0000-00002C050000}"/>
    <cellStyle name="Moneda 2 3 3 3 2 2" xfId="1194" xr:uid="{00000000-0005-0000-0000-00002D050000}"/>
    <cellStyle name="Moneda 2 3 3 3 2 2 2" xfId="1195" xr:uid="{00000000-0005-0000-0000-00002E050000}"/>
    <cellStyle name="Moneda 2 3 3 3 2 2 3" xfId="1196" xr:uid="{00000000-0005-0000-0000-00002F050000}"/>
    <cellStyle name="Moneda 2 3 3 3 2 3" xfId="1197" xr:uid="{00000000-0005-0000-0000-000030050000}"/>
    <cellStyle name="Moneda 2 3 3 3 2 4" xfId="1198" xr:uid="{00000000-0005-0000-0000-000031050000}"/>
    <cellStyle name="Moneda 2 3 3 3 3" xfId="1199" xr:uid="{00000000-0005-0000-0000-000032050000}"/>
    <cellStyle name="Moneda 2 3 3 3 3 2" xfId="1200" xr:uid="{00000000-0005-0000-0000-000033050000}"/>
    <cellStyle name="Moneda 2 3 3 3 3 2 2" xfId="1201" xr:uid="{00000000-0005-0000-0000-000034050000}"/>
    <cellStyle name="Moneda 2 3 3 3 3 3" xfId="1202" xr:uid="{00000000-0005-0000-0000-000035050000}"/>
    <cellStyle name="Moneda 2 3 3 3 4" xfId="1203" xr:uid="{00000000-0005-0000-0000-000036050000}"/>
    <cellStyle name="Moneda 2 3 3 3 4 2" xfId="1204" xr:uid="{00000000-0005-0000-0000-000037050000}"/>
    <cellStyle name="Moneda 2 3 3 3 4 3" xfId="1205" xr:uid="{00000000-0005-0000-0000-000038050000}"/>
    <cellStyle name="Moneda 2 3 3 3 5" xfId="1206" xr:uid="{00000000-0005-0000-0000-000039050000}"/>
    <cellStyle name="Moneda 2 3 3 3 6" xfId="1207" xr:uid="{00000000-0005-0000-0000-00003A050000}"/>
    <cellStyle name="Moneda 2 3 3 4" xfId="1208" xr:uid="{00000000-0005-0000-0000-00003B050000}"/>
    <cellStyle name="Moneda 2 3 3 4 2" xfId="1209" xr:uid="{00000000-0005-0000-0000-00003C050000}"/>
    <cellStyle name="Moneda 2 3 3 4 2 2" xfId="1210" xr:uid="{00000000-0005-0000-0000-00003D050000}"/>
    <cellStyle name="Moneda 2 3 3 4 2 2 2" xfId="1211" xr:uid="{00000000-0005-0000-0000-00003E050000}"/>
    <cellStyle name="Moneda 2 3 3 4 2 3" xfId="1212" xr:uid="{00000000-0005-0000-0000-00003F050000}"/>
    <cellStyle name="Moneda 2 3 3 4 2 4" xfId="1213" xr:uid="{00000000-0005-0000-0000-000040050000}"/>
    <cellStyle name="Moneda 2 3 3 4 3" xfId="1214" xr:uid="{00000000-0005-0000-0000-000041050000}"/>
    <cellStyle name="Moneda 2 3 3 4 3 2" xfId="1215" xr:uid="{00000000-0005-0000-0000-000042050000}"/>
    <cellStyle name="Moneda 2 3 3 4 4" xfId="1216" xr:uid="{00000000-0005-0000-0000-000043050000}"/>
    <cellStyle name="Moneda 2 3 3 4 5" xfId="1217" xr:uid="{00000000-0005-0000-0000-000044050000}"/>
    <cellStyle name="Moneda 2 3 3 5" xfId="1218" xr:uid="{00000000-0005-0000-0000-000045050000}"/>
    <cellStyle name="Moneda 2 3 3 5 2" xfId="1219" xr:uid="{00000000-0005-0000-0000-000046050000}"/>
    <cellStyle name="Moneda 2 3 3 5 2 2" xfId="1220" xr:uid="{00000000-0005-0000-0000-000047050000}"/>
    <cellStyle name="Moneda 2 3 3 5 2 3" xfId="1221" xr:uid="{00000000-0005-0000-0000-000048050000}"/>
    <cellStyle name="Moneda 2 3 3 5 3" xfId="1222" xr:uid="{00000000-0005-0000-0000-000049050000}"/>
    <cellStyle name="Moneda 2 3 3 5 4" xfId="1223" xr:uid="{00000000-0005-0000-0000-00004A050000}"/>
    <cellStyle name="Moneda 2 3 3 6" xfId="1224" xr:uid="{00000000-0005-0000-0000-00004B050000}"/>
    <cellStyle name="Moneda 2 3 3 6 2" xfId="1225" xr:uid="{00000000-0005-0000-0000-00004C050000}"/>
    <cellStyle name="Moneda 2 3 3 6 2 2" xfId="1226" xr:uid="{00000000-0005-0000-0000-00004D050000}"/>
    <cellStyle name="Moneda 2 3 3 6 3" xfId="1227" xr:uid="{00000000-0005-0000-0000-00004E050000}"/>
    <cellStyle name="Moneda 2 3 3 7" xfId="1228" xr:uid="{00000000-0005-0000-0000-00004F050000}"/>
    <cellStyle name="Moneda 2 3 3 7 2" xfId="1229" xr:uid="{00000000-0005-0000-0000-000050050000}"/>
    <cellStyle name="Moneda 2 3 3 8" xfId="1230" xr:uid="{00000000-0005-0000-0000-000051050000}"/>
    <cellStyle name="Moneda 2 3 4" xfId="1231" xr:uid="{00000000-0005-0000-0000-000052050000}"/>
    <cellStyle name="Moneda 2 3 4 2" xfId="1232" xr:uid="{00000000-0005-0000-0000-000053050000}"/>
    <cellStyle name="Moneda 2 3 4 2 2" xfId="1233" xr:uid="{00000000-0005-0000-0000-000054050000}"/>
    <cellStyle name="Moneda 2 3 4 2 2 2" xfId="1234" xr:uid="{00000000-0005-0000-0000-000055050000}"/>
    <cellStyle name="Moneda 2 3 4 2 2 2 2" xfId="1235" xr:uid="{00000000-0005-0000-0000-000056050000}"/>
    <cellStyle name="Moneda 2 3 4 2 2 2 2 2" xfId="1236" xr:uid="{00000000-0005-0000-0000-000057050000}"/>
    <cellStyle name="Moneda 2 3 4 2 2 2 3" xfId="1237" xr:uid="{00000000-0005-0000-0000-000058050000}"/>
    <cellStyle name="Moneda 2 3 4 2 2 3" xfId="1238" xr:uid="{00000000-0005-0000-0000-000059050000}"/>
    <cellStyle name="Moneda 2 3 4 2 2 3 2" xfId="1239" xr:uid="{00000000-0005-0000-0000-00005A050000}"/>
    <cellStyle name="Moneda 2 3 4 2 2 3 3" xfId="1240" xr:uid="{00000000-0005-0000-0000-00005B050000}"/>
    <cellStyle name="Moneda 2 3 4 2 2 4" xfId="1241" xr:uid="{00000000-0005-0000-0000-00005C050000}"/>
    <cellStyle name="Moneda 2 3 4 2 2 4 2" xfId="1242" xr:uid="{00000000-0005-0000-0000-00005D050000}"/>
    <cellStyle name="Moneda 2 3 4 2 2 5" xfId="1243" xr:uid="{00000000-0005-0000-0000-00005E050000}"/>
    <cellStyle name="Moneda 2 3 4 2 2 6" xfId="1244" xr:uid="{00000000-0005-0000-0000-00005F050000}"/>
    <cellStyle name="Moneda 2 3 4 2 3" xfId="1245" xr:uid="{00000000-0005-0000-0000-000060050000}"/>
    <cellStyle name="Moneda 2 3 4 2 3 2" xfId="1246" xr:uid="{00000000-0005-0000-0000-000061050000}"/>
    <cellStyle name="Moneda 2 3 4 2 3 2 2" xfId="1247" xr:uid="{00000000-0005-0000-0000-000062050000}"/>
    <cellStyle name="Moneda 2 3 4 2 3 3" xfId="1248" xr:uid="{00000000-0005-0000-0000-000063050000}"/>
    <cellStyle name="Moneda 2 3 4 2 4" xfId="1249" xr:uid="{00000000-0005-0000-0000-000064050000}"/>
    <cellStyle name="Moneda 2 3 4 2 4 2" xfId="1250" xr:uid="{00000000-0005-0000-0000-000065050000}"/>
    <cellStyle name="Moneda 2 3 4 2 4 3" xfId="1251" xr:uid="{00000000-0005-0000-0000-000066050000}"/>
    <cellStyle name="Moneda 2 3 4 2 5" xfId="1252" xr:uid="{00000000-0005-0000-0000-000067050000}"/>
    <cellStyle name="Moneda 2 3 4 2 5 2" xfId="1253" xr:uid="{00000000-0005-0000-0000-000068050000}"/>
    <cellStyle name="Moneda 2 3 4 2 6" xfId="1254" xr:uid="{00000000-0005-0000-0000-000069050000}"/>
    <cellStyle name="Moneda 2 3 4 2 7" xfId="1255" xr:uid="{00000000-0005-0000-0000-00006A050000}"/>
    <cellStyle name="Moneda 2 3 4 3" xfId="1256" xr:uid="{00000000-0005-0000-0000-00006B050000}"/>
    <cellStyle name="Moneda 2 3 4 3 2" xfId="1257" xr:uid="{00000000-0005-0000-0000-00006C050000}"/>
    <cellStyle name="Moneda 2 3 4 3 2 2" xfId="1258" xr:uid="{00000000-0005-0000-0000-00006D050000}"/>
    <cellStyle name="Moneda 2 3 4 3 2 2 2" xfId="1259" xr:uid="{00000000-0005-0000-0000-00006E050000}"/>
    <cellStyle name="Moneda 2 3 4 3 2 2 3" xfId="1260" xr:uid="{00000000-0005-0000-0000-00006F050000}"/>
    <cellStyle name="Moneda 2 3 4 3 2 3" xfId="1261" xr:uid="{00000000-0005-0000-0000-000070050000}"/>
    <cellStyle name="Moneda 2 3 4 3 2 4" xfId="1262" xr:uid="{00000000-0005-0000-0000-000071050000}"/>
    <cellStyle name="Moneda 2 3 4 3 3" xfId="1263" xr:uid="{00000000-0005-0000-0000-000072050000}"/>
    <cellStyle name="Moneda 2 3 4 3 3 2" xfId="1264" xr:uid="{00000000-0005-0000-0000-000073050000}"/>
    <cellStyle name="Moneda 2 3 4 3 3 2 2" xfId="1265" xr:uid="{00000000-0005-0000-0000-000074050000}"/>
    <cellStyle name="Moneda 2 3 4 3 3 3" xfId="1266" xr:uid="{00000000-0005-0000-0000-000075050000}"/>
    <cellStyle name="Moneda 2 3 4 3 4" xfId="1267" xr:uid="{00000000-0005-0000-0000-000076050000}"/>
    <cellStyle name="Moneda 2 3 4 3 4 2" xfId="1268" xr:uid="{00000000-0005-0000-0000-000077050000}"/>
    <cellStyle name="Moneda 2 3 4 3 4 3" xfId="1269" xr:uid="{00000000-0005-0000-0000-000078050000}"/>
    <cellStyle name="Moneda 2 3 4 3 5" xfId="1270" xr:uid="{00000000-0005-0000-0000-000079050000}"/>
    <cellStyle name="Moneda 2 3 4 3 6" xfId="1271" xr:uid="{00000000-0005-0000-0000-00007A050000}"/>
    <cellStyle name="Moneda 2 3 4 4" xfId="1272" xr:uid="{00000000-0005-0000-0000-00007B050000}"/>
    <cellStyle name="Moneda 2 3 4 4 2" xfId="1273" xr:uid="{00000000-0005-0000-0000-00007C050000}"/>
    <cellStyle name="Moneda 2 3 4 4 2 2" xfId="1274" xr:uid="{00000000-0005-0000-0000-00007D050000}"/>
    <cellStyle name="Moneda 2 3 4 4 2 2 2" xfId="1275" xr:uid="{00000000-0005-0000-0000-00007E050000}"/>
    <cellStyle name="Moneda 2 3 4 4 2 3" xfId="1276" xr:uid="{00000000-0005-0000-0000-00007F050000}"/>
    <cellStyle name="Moneda 2 3 4 4 2 4" xfId="1277" xr:uid="{00000000-0005-0000-0000-000080050000}"/>
    <cellStyle name="Moneda 2 3 4 4 3" xfId="1278" xr:uid="{00000000-0005-0000-0000-000081050000}"/>
    <cellStyle name="Moneda 2 3 4 4 3 2" xfId="1279" xr:uid="{00000000-0005-0000-0000-000082050000}"/>
    <cellStyle name="Moneda 2 3 4 4 4" xfId="1280" xr:uid="{00000000-0005-0000-0000-000083050000}"/>
    <cellStyle name="Moneda 2 3 4 4 5" xfId="1281" xr:uid="{00000000-0005-0000-0000-000084050000}"/>
    <cellStyle name="Moneda 2 3 4 5" xfId="1282" xr:uid="{00000000-0005-0000-0000-000085050000}"/>
    <cellStyle name="Moneda 2 3 4 5 2" xfId="1283" xr:uid="{00000000-0005-0000-0000-000086050000}"/>
    <cellStyle name="Moneda 2 3 4 5 2 2" xfId="1284" xr:uid="{00000000-0005-0000-0000-000087050000}"/>
    <cellStyle name="Moneda 2 3 4 5 2 3" xfId="1285" xr:uid="{00000000-0005-0000-0000-000088050000}"/>
    <cellStyle name="Moneda 2 3 4 5 3" xfId="1286" xr:uid="{00000000-0005-0000-0000-000089050000}"/>
    <cellStyle name="Moneda 2 3 4 5 4" xfId="1287" xr:uid="{00000000-0005-0000-0000-00008A050000}"/>
    <cellStyle name="Moneda 2 3 4 6" xfId="1288" xr:uid="{00000000-0005-0000-0000-00008B050000}"/>
    <cellStyle name="Moneda 2 3 4 6 2" xfId="1289" xr:uid="{00000000-0005-0000-0000-00008C050000}"/>
    <cellStyle name="Moneda 2 3 4 6 2 2" xfId="1290" xr:uid="{00000000-0005-0000-0000-00008D050000}"/>
    <cellStyle name="Moneda 2 3 4 6 3" xfId="1291" xr:uid="{00000000-0005-0000-0000-00008E050000}"/>
    <cellStyle name="Moneda 2 3 4 7" xfId="1292" xr:uid="{00000000-0005-0000-0000-00008F050000}"/>
    <cellStyle name="Moneda 2 3 4 7 2" xfId="1293" xr:uid="{00000000-0005-0000-0000-000090050000}"/>
    <cellStyle name="Moneda 2 3 4 8" xfId="1294" xr:uid="{00000000-0005-0000-0000-000091050000}"/>
    <cellStyle name="Moneda 2 3 5" xfId="1295" xr:uid="{00000000-0005-0000-0000-000092050000}"/>
    <cellStyle name="Moneda 2 3 5 2" xfId="1296" xr:uid="{00000000-0005-0000-0000-000093050000}"/>
    <cellStyle name="Moneda 2 3 5 2 2" xfId="1297" xr:uid="{00000000-0005-0000-0000-000094050000}"/>
    <cellStyle name="Moneda 2 3 5 2 2 2" xfId="1298" xr:uid="{00000000-0005-0000-0000-000095050000}"/>
    <cellStyle name="Moneda 2 3 5 2 2 2 2" xfId="1299" xr:uid="{00000000-0005-0000-0000-000096050000}"/>
    <cellStyle name="Moneda 2 3 5 2 2 2 3" xfId="1300" xr:uid="{00000000-0005-0000-0000-000097050000}"/>
    <cellStyle name="Moneda 2 3 5 2 2 3" xfId="1301" xr:uid="{00000000-0005-0000-0000-000098050000}"/>
    <cellStyle name="Moneda 2 3 5 2 2 3 2" xfId="1302" xr:uid="{00000000-0005-0000-0000-000099050000}"/>
    <cellStyle name="Moneda 2 3 5 2 2 4" xfId="1303" xr:uid="{00000000-0005-0000-0000-00009A050000}"/>
    <cellStyle name="Moneda 2 3 5 2 2 4 2" xfId="1304" xr:uid="{00000000-0005-0000-0000-00009B050000}"/>
    <cellStyle name="Moneda 2 3 5 2 2 5" xfId="1305" xr:uid="{00000000-0005-0000-0000-00009C050000}"/>
    <cellStyle name="Moneda 2 3 5 2 2 6" xfId="1306" xr:uid="{00000000-0005-0000-0000-00009D050000}"/>
    <cellStyle name="Moneda 2 3 5 2 3" xfId="1307" xr:uid="{00000000-0005-0000-0000-00009E050000}"/>
    <cellStyle name="Moneda 2 3 5 2 3 2" xfId="1308" xr:uid="{00000000-0005-0000-0000-00009F050000}"/>
    <cellStyle name="Moneda 2 3 5 2 3 3" xfId="1309" xr:uid="{00000000-0005-0000-0000-0000A0050000}"/>
    <cellStyle name="Moneda 2 3 5 2 4" xfId="1310" xr:uid="{00000000-0005-0000-0000-0000A1050000}"/>
    <cellStyle name="Moneda 2 3 5 2 4 2" xfId="1311" xr:uid="{00000000-0005-0000-0000-0000A2050000}"/>
    <cellStyle name="Moneda 2 3 5 2 5" xfId="1312" xr:uid="{00000000-0005-0000-0000-0000A3050000}"/>
    <cellStyle name="Moneda 2 3 5 2 5 2" xfId="1313" xr:uid="{00000000-0005-0000-0000-0000A4050000}"/>
    <cellStyle name="Moneda 2 3 5 2 6" xfId="1314" xr:uid="{00000000-0005-0000-0000-0000A5050000}"/>
    <cellStyle name="Moneda 2 3 5 2 7" xfId="1315" xr:uid="{00000000-0005-0000-0000-0000A6050000}"/>
    <cellStyle name="Moneda 2 3 5 3" xfId="1316" xr:uid="{00000000-0005-0000-0000-0000A7050000}"/>
    <cellStyle name="Moneda 2 3 5 3 2" xfId="1317" xr:uid="{00000000-0005-0000-0000-0000A8050000}"/>
    <cellStyle name="Moneda 2 3 5 3 2 2" xfId="1318" xr:uid="{00000000-0005-0000-0000-0000A9050000}"/>
    <cellStyle name="Moneda 2 3 5 3 2 3" xfId="1319" xr:uid="{00000000-0005-0000-0000-0000AA050000}"/>
    <cellStyle name="Moneda 2 3 5 3 3" xfId="1320" xr:uid="{00000000-0005-0000-0000-0000AB050000}"/>
    <cellStyle name="Moneda 2 3 5 3 3 2" xfId="1321" xr:uid="{00000000-0005-0000-0000-0000AC050000}"/>
    <cellStyle name="Moneda 2 3 5 3 4" xfId="1322" xr:uid="{00000000-0005-0000-0000-0000AD050000}"/>
    <cellStyle name="Moneda 2 3 5 3 4 2" xfId="1323" xr:uid="{00000000-0005-0000-0000-0000AE050000}"/>
    <cellStyle name="Moneda 2 3 5 3 5" xfId="1324" xr:uid="{00000000-0005-0000-0000-0000AF050000}"/>
    <cellStyle name="Moneda 2 3 5 3 6" xfId="1325" xr:uid="{00000000-0005-0000-0000-0000B0050000}"/>
    <cellStyle name="Moneda 2 3 5 4" xfId="1326" xr:uid="{00000000-0005-0000-0000-0000B1050000}"/>
    <cellStyle name="Moneda 2 3 5 4 2" xfId="1327" xr:uid="{00000000-0005-0000-0000-0000B2050000}"/>
    <cellStyle name="Moneda 2 3 5 4 3" xfId="1328" xr:uid="{00000000-0005-0000-0000-0000B3050000}"/>
    <cellStyle name="Moneda 2 3 5 5" xfId="1329" xr:uid="{00000000-0005-0000-0000-0000B4050000}"/>
    <cellStyle name="Moneda 2 3 5 5 2" xfId="1330" xr:uid="{00000000-0005-0000-0000-0000B5050000}"/>
    <cellStyle name="Moneda 2 3 5 6" xfId="1331" xr:uid="{00000000-0005-0000-0000-0000B6050000}"/>
    <cellStyle name="Moneda 2 3 5 6 2" xfId="1332" xr:uid="{00000000-0005-0000-0000-0000B7050000}"/>
    <cellStyle name="Moneda 2 3 5 7" xfId="1333" xr:uid="{00000000-0005-0000-0000-0000B8050000}"/>
    <cellStyle name="Moneda 2 3 5 8" xfId="1334" xr:uid="{00000000-0005-0000-0000-0000B9050000}"/>
    <cellStyle name="Moneda 2 3 6" xfId="1335" xr:uid="{00000000-0005-0000-0000-0000BA050000}"/>
    <cellStyle name="Moneda 2 3 6 2" xfId="1336" xr:uid="{00000000-0005-0000-0000-0000BB050000}"/>
    <cellStyle name="Moneda 2 3 6 2 2" xfId="1337" xr:uid="{00000000-0005-0000-0000-0000BC050000}"/>
    <cellStyle name="Moneda 2 3 6 2 2 2" xfId="1338" xr:uid="{00000000-0005-0000-0000-0000BD050000}"/>
    <cellStyle name="Moneda 2 3 6 2 2 2 2" xfId="1339" xr:uid="{00000000-0005-0000-0000-0000BE050000}"/>
    <cellStyle name="Moneda 2 3 6 2 2 3" xfId="1340" xr:uid="{00000000-0005-0000-0000-0000BF050000}"/>
    <cellStyle name="Moneda 2 3 6 2 3" xfId="1341" xr:uid="{00000000-0005-0000-0000-0000C0050000}"/>
    <cellStyle name="Moneda 2 3 6 2 3 2" xfId="1342" xr:uid="{00000000-0005-0000-0000-0000C1050000}"/>
    <cellStyle name="Moneda 2 3 6 2 3 3" xfId="1343" xr:uid="{00000000-0005-0000-0000-0000C2050000}"/>
    <cellStyle name="Moneda 2 3 6 2 4" xfId="1344" xr:uid="{00000000-0005-0000-0000-0000C3050000}"/>
    <cellStyle name="Moneda 2 3 6 2 4 2" xfId="1345" xr:uid="{00000000-0005-0000-0000-0000C4050000}"/>
    <cellStyle name="Moneda 2 3 6 2 5" xfId="1346" xr:uid="{00000000-0005-0000-0000-0000C5050000}"/>
    <cellStyle name="Moneda 2 3 6 2 6" xfId="1347" xr:uid="{00000000-0005-0000-0000-0000C6050000}"/>
    <cellStyle name="Moneda 2 3 6 3" xfId="1348" xr:uid="{00000000-0005-0000-0000-0000C7050000}"/>
    <cellStyle name="Moneda 2 3 6 3 2" xfId="1349" xr:uid="{00000000-0005-0000-0000-0000C8050000}"/>
    <cellStyle name="Moneda 2 3 6 3 2 2" xfId="1350" xr:uid="{00000000-0005-0000-0000-0000C9050000}"/>
    <cellStyle name="Moneda 2 3 6 3 3" xfId="1351" xr:uid="{00000000-0005-0000-0000-0000CA050000}"/>
    <cellStyle name="Moneda 2 3 6 4" xfId="1352" xr:uid="{00000000-0005-0000-0000-0000CB050000}"/>
    <cellStyle name="Moneda 2 3 6 4 2" xfId="1353" xr:uid="{00000000-0005-0000-0000-0000CC050000}"/>
    <cellStyle name="Moneda 2 3 6 4 3" xfId="1354" xr:uid="{00000000-0005-0000-0000-0000CD050000}"/>
    <cellStyle name="Moneda 2 3 6 5" xfId="1355" xr:uid="{00000000-0005-0000-0000-0000CE050000}"/>
    <cellStyle name="Moneda 2 3 6 5 2" xfId="1356" xr:uid="{00000000-0005-0000-0000-0000CF050000}"/>
    <cellStyle name="Moneda 2 3 6 6" xfId="1357" xr:uid="{00000000-0005-0000-0000-0000D0050000}"/>
    <cellStyle name="Moneda 2 3 6 7" xfId="1358" xr:uid="{00000000-0005-0000-0000-0000D1050000}"/>
    <cellStyle name="Moneda 2 3 7" xfId="1359" xr:uid="{00000000-0005-0000-0000-0000D2050000}"/>
    <cellStyle name="Moneda 2 3 7 2" xfId="1360" xr:uid="{00000000-0005-0000-0000-0000D3050000}"/>
    <cellStyle name="Moneda 2 3 7 2 2" xfId="1361" xr:uid="{00000000-0005-0000-0000-0000D4050000}"/>
    <cellStyle name="Moneda 2 3 7 2 2 2" xfId="1362" xr:uid="{00000000-0005-0000-0000-0000D5050000}"/>
    <cellStyle name="Moneda 2 3 7 2 2 3" xfId="1363" xr:uid="{00000000-0005-0000-0000-0000D6050000}"/>
    <cellStyle name="Moneda 2 3 7 2 3" xfId="1364" xr:uid="{00000000-0005-0000-0000-0000D7050000}"/>
    <cellStyle name="Moneda 2 3 7 2 4" xfId="1365" xr:uid="{00000000-0005-0000-0000-0000D8050000}"/>
    <cellStyle name="Moneda 2 3 7 3" xfId="1366" xr:uid="{00000000-0005-0000-0000-0000D9050000}"/>
    <cellStyle name="Moneda 2 3 7 3 2" xfId="1367" xr:uid="{00000000-0005-0000-0000-0000DA050000}"/>
    <cellStyle name="Moneda 2 3 7 3 2 2" xfId="1368" xr:uid="{00000000-0005-0000-0000-0000DB050000}"/>
    <cellStyle name="Moneda 2 3 7 3 3" xfId="1369" xr:uid="{00000000-0005-0000-0000-0000DC050000}"/>
    <cellStyle name="Moneda 2 3 7 4" xfId="1370" xr:uid="{00000000-0005-0000-0000-0000DD050000}"/>
    <cellStyle name="Moneda 2 3 7 4 2" xfId="1371" xr:uid="{00000000-0005-0000-0000-0000DE050000}"/>
    <cellStyle name="Moneda 2 3 7 4 3" xfId="1372" xr:uid="{00000000-0005-0000-0000-0000DF050000}"/>
    <cellStyle name="Moneda 2 3 7 5" xfId="1373" xr:uid="{00000000-0005-0000-0000-0000E0050000}"/>
    <cellStyle name="Moneda 2 3 7 6" xfId="1374" xr:uid="{00000000-0005-0000-0000-0000E1050000}"/>
    <cellStyle name="Moneda 2 3 8" xfId="1375" xr:uid="{00000000-0005-0000-0000-0000E2050000}"/>
    <cellStyle name="Moneda 2 3 8 2" xfId="1376" xr:uid="{00000000-0005-0000-0000-0000E3050000}"/>
    <cellStyle name="Moneda 2 3 8 2 2" xfId="1377" xr:uid="{00000000-0005-0000-0000-0000E4050000}"/>
    <cellStyle name="Moneda 2 3 8 2 3" xfId="1378" xr:uid="{00000000-0005-0000-0000-0000E5050000}"/>
    <cellStyle name="Moneda 2 3 8 3" xfId="1379" xr:uid="{00000000-0005-0000-0000-0000E6050000}"/>
    <cellStyle name="Moneda 2 3 8 4" xfId="1380" xr:uid="{00000000-0005-0000-0000-0000E7050000}"/>
    <cellStyle name="Moneda 2 3 9" xfId="1381" xr:uid="{00000000-0005-0000-0000-0000E8050000}"/>
    <cellStyle name="Moneda 2 3 9 2" xfId="1382" xr:uid="{00000000-0005-0000-0000-0000E9050000}"/>
    <cellStyle name="Moneda 2 3 9 2 2" xfId="1383" xr:uid="{00000000-0005-0000-0000-0000EA050000}"/>
    <cellStyle name="Moneda 2 3 9 3" xfId="1384" xr:uid="{00000000-0005-0000-0000-0000EB050000}"/>
    <cellStyle name="Moneda 2 4" xfId="1385" xr:uid="{00000000-0005-0000-0000-0000EC050000}"/>
    <cellStyle name="Moneda 2 4 2" xfId="1386" xr:uid="{00000000-0005-0000-0000-0000ED050000}"/>
    <cellStyle name="Moneda 2 5" xfId="1387" xr:uid="{00000000-0005-0000-0000-0000EE050000}"/>
    <cellStyle name="Moneda 2 5 2" xfId="1388" xr:uid="{00000000-0005-0000-0000-0000EF050000}"/>
    <cellStyle name="Moneda 2 5 2 2" xfId="1389" xr:uid="{00000000-0005-0000-0000-0000F0050000}"/>
    <cellStyle name="Moneda 2 5 3" xfId="1390" xr:uid="{00000000-0005-0000-0000-0000F1050000}"/>
    <cellStyle name="Moneda 2 5 3 2" xfId="1391" xr:uid="{00000000-0005-0000-0000-0000F2050000}"/>
    <cellStyle name="Moneda 2 5 4" xfId="1392" xr:uid="{00000000-0005-0000-0000-0000F3050000}"/>
    <cellStyle name="Moneda 2 5 4 2" xfId="1393" xr:uid="{00000000-0005-0000-0000-0000F4050000}"/>
    <cellStyle name="Moneda 2 5 5" xfId="1394" xr:uid="{00000000-0005-0000-0000-0000F5050000}"/>
    <cellStyle name="Moneda 2 6" xfId="1395" xr:uid="{00000000-0005-0000-0000-0000F6050000}"/>
    <cellStyle name="Moneda 20" xfId="1396" xr:uid="{00000000-0005-0000-0000-0000F7050000}"/>
    <cellStyle name="Moneda 20 2" xfId="1397" xr:uid="{00000000-0005-0000-0000-0000F8050000}"/>
    <cellStyle name="Moneda 20 2 2" xfId="1398" xr:uid="{00000000-0005-0000-0000-0000F9050000}"/>
    <cellStyle name="Moneda 20 2 2 2" xfId="1399" xr:uid="{00000000-0005-0000-0000-0000FA050000}"/>
    <cellStyle name="Moneda 20 2 2 2 2" xfId="1400" xr:uid="{00000000-0005-0000-0000-0000FB050000}"/>
    <cellStyle name="Moneda 20 2 2 3" xfId="1401" xr:uid="{00000000-0005-0000-0000-0000FC050000}"/>
    <cellStyle name="Moneda 20 2 2 3 2" xfId="1402" xr:uid="{00000000-0005-0000-0000-0000FD050000}"/>
    <cellStyle name="Moneda 20 2 2 4" xfId="1403" xr:uid="{00000000-0005-0000-0000-0000FE050000}"/>
    <cellStyle name="Moneda 20 2 2 4 2" xfId="1404" xr:uid="{00000000-0005-0000-0000-0000FF050000}"/>
    <cellStyle name="Moneda 20 2 2 5" xfId="1405" xr:uid="{00000000-0005-0000-0000-000000060000}"/>
    <cellStyle name="Moneda 20 2 3" xfId="1406" xr:uid="{00000000-0005-0000-0000-000001060000}"/>
    <cellStyle name="Moneda 20 2 3 2" xfId="1407" xr:uid="{00000000-0005-0000-0000-000002060000}"/>
    <cellStyle name="Moneda 20 2 4" xfId="1408" xr:uid="{00000000-0005-0000-0000-000003060000}"/>
    <cellStyle name="Moneda 20 2 4 2" xfId="1409" xr:uid="{00000000-0005-0000-0000-000004060000}"/>
    <cellStyle name="Moneda 20 2 5" xfId="1410" xr:uid="{00000000-0005-0000-0000-000005060000}"/>
    <cellStyle name="Moneda 20 2 5 2" xfId="1411" xr:uid="{00000000-0005-0000-0000-000006060000}"/>
    <cellStyle name="Moneda 20 2 6" xfId="1412" xr:uid="{00000000-0005-0000-0000-000007060000}"/>
    <cellStyle name="Moneda 20 2 7" xfId="1413" xr:uid="{00000000-0005-0000-0000-000008060000}"/>
    <cellStyle name="Moneda 20 3" xfId="1414" xr:uid="{00000000-0005-0000-0000-000009060000}"/>
    <cellStyle name="Moneda 20 3 2" xfId="1415" xr:uid="{00000000-0005-0000-0000-00000A060000}"/>
    <cellStyle name="Moneda 20 3 2 2" xfId="1416" xr:uid="{00000000-0005-0000-0000-00000B060000}"/>
    <cellStyle name="Moneda 20 3 3" xfId="1417" xr:uid="{00000000-0005-0000-0000-00000C060000}"/>
    <cellStyle name="Moneda 20 3 3 2" xfId="1418" xr:uid="{00000000-0005-0000-0000-00000D060000}"/>
    <cellStyle name="Moneda 20 3 4" xfId="1419" xr:uid="{00000000-0005-0000-0000-00000E060000}"/>
    <cellStyle name="Moneda 20 3 4 2" xfId="1420" xr:uid="{00000000-0005-0000-0000-00000F060000}"/>
    <cellStyle name="Moneda 20 3 5" xfId="1421" xr:uid="{00000000-0005-0000-0000-000010060000}"/>
    <cellStyle name="Moneda 20 4" xfId="1422" xr:uid="{00000000-0005-0000-0000-000011060000}"/>
    <cellStyle name="Moneda 20 4 2" xfId="1423" xr:uid="{00000000-0005-0000-0000-000012060000}"/>
    <cellStyle name="Moneda 20 5" xfId="1424" xr:uid="{00000000-0005-0000-0000-000013060000}"/>
    <cellStyle name="Moneda 20 5 2" xfId="1425" xr:uid="{00000000-0005-0000-0000-000014060000}"/>
    <cellStyle name="Moneda 20 6" xfId="1426" xr:uid="{00000000-0005-0000-0000-000015060000}"/>
    <cellStyle name="Moneda 20 6 2" xfId="1427" xr:uid="{00000000-0005-0000-0000-000016060000}"/>
    <cellStyle name="Moneda 20 7" xfId="1428" xr:uid="{00000000-0005-0000-0000-000017060000}"/>
    <cellStyle name="Moneda 20 8" xfId="1429" xr:uid="{00000000-0005-0000-0000-000018060000}"/>
    <cellStyle name="Moneda 21" xfId="1430" xr:uid="{00000000-0005-0000-0000-000019060000}"/>
    <cellStyle name="Moneda 21 2" xfId="1431" xr:uid="{00000000-0005-0000-0000-00001A060000}"/>
    <cellStyle name="Moneda 21 2 2" xfId="1432" xr:uid="{00000000-0005-0000-0000-00001B060000}"/>
    <cellStyle name="Moneda 21 2 2 2" xfId="1433" xr:uid="{00000000-0005-0000-0000-00001C060000}"/>
    <cellStyle name="Moneda 21 2 2 2 2" xfId="1434" xr:uid="{00000000-0005-0000-0000-00001D060000}"/>
    <cellStyle name="Moneda 21 2 2 3" xfId="1435" xr:uid="{00000000-0005-0000-0000-00001E060000}"/>
    <cellStyle name="Moneda 21 2 2 3 2" xfId="1436" xr:uid="{00000000-0005-0000-0000-00001F060000}"/>
    <cellStyle name="Moneda 21 2 2 4" xfId="1437" xr:uid="{00000000-0005-0000-0000-000020060000}"/>
    <cellStyle name="Moneda 21 2 2 4 2" xfId="1438" xr:uid="{00000000-0005-0000-0000-000021060000}"/>
    <cellStyle name="Moneda 21 2 2 5" xfId="1439" xr:uid="{00000000-0005-0000-0000-000022060000}"/>
    <cellStyle name="Moneda 21 2 3" xfId="1440" xr:uid="{00000000-0005-0000-0000-000023060000}"/>
    <cellStyle name="Moneda 21 2 3 2" xfId="1441" xr:uid="{00000000-0005-0000-0000-000024060000}"/>
    <cellStyle name="Moneda 21 2 4" xfId="1442" xr:uid="{00000000-0005-0000-0000-000025060000}"/>
    <cellStyle name="Moneda 21 2 4 2" xfId="1443" xr:uid="{00000000-0005-0000-0000-000026060000}"/>
    <cellStyle name="Moneda 21 2 5" xfId="1444" xr:uid="{00000000-0005-0000-0000-000027060000}"/>
    <cellStyle name="Moneda 21 2 5 2" xfId="1445" xr:uid="{00000000-0005-0000-0000-000028060000}"/>
    <cellStyle name="Moneda 21 2 6" xfId="1446" xr:uid="{00000000-0005-0000-0000-000029060000}"/>
    <cellStyle name="Moneda 21 2 7" xfId="1447" xr:uid="{00000000-0005-0000-0000-00002A060000}"/>
    <cellStyle name="Moneda 21 3" xfId="1448" xr:uid="{00000000-0005-0000-0000-00002B060000}"/>
    <cellStyle name="Moneda 21 3 2" xfId="1449" xr:uid="{00000000-0005-0000-0000-00002C060000}"/>
    <cellStyle name="Moneda 21 3 2 2" xfId="1450" xr:uid="{00000000-0005-0000-0000-00002D060000}"/>
    <cellStyle name="Moneda 21 3 3" xfId="1451" xr:uid="{00000000-0005-0000-0000-00002E060000}"/>
    <cellStyle name="Moneda 21 3 3 2" xfId="1452" xr:uid="{00000000-0005-0000-0000-00002F060000}"/>
    <cellStyle name="Moneda 21 3 4" xfId="1453" xr:uid="{00000000-0005-0000-0000-000030060000}"/>
    <cellStyle name="Moneda 21 3 4 2" xfId="1454" xr:uid="{00000000-0005-0000-0000-000031060000}"/>
    <cellStyle name="Moneda 21 3 5" xfId="1455" xr:uid="{00000000-0005-0000-0000-000032060000}"/>
    <cellStyle name="Moneda 21 4" xfId="1456" xr:uid="{00000000-0005-0000-0000-000033060000}"/>
    <cellStyle name="Moneda 21 4 2" xfId="1457" xr:uid="{00000000-0005-0000-0000-000034060000}"/>
    <cellStyle name="Moneda 21 5" xfId="1458" xr:uid="{00000000-0005-0000-0000-000035060000}"/>
    <cellStyle name="Moneda 21 5 2" xfId="1459" xr:uid="{00000000-0005-0000-0000-000036060000}"/>
    <cellStyle name="Moneda 21 6" xfId="1460" xr:uid="{00000000-0005-0000-0000-000037060000}"/>
    <cellStyle name="Moneda 21 6 2" xfId="1461" xr:uid="{00000000-0005-0000-0000-000038060000}"/>
    <cellStyle name="Moneda 21 7" xfId="1462" xr:uid="{00000000-0005-0000-0000-000039060000}"/>
    <cellStyle name="Moneda 21 8" xfId="1463" xr:uid="{00000000-0005-0000-0000-00003A060000}"/>
    <cellStyle name="Moneda 22" xfId="1464" xr:uid="{00000000-0005-0000-0000-00003B060000}"/>
    <cellStyle name="Moneda 22 2" xfId="1465" xr:uid="{00000000-0005-0000-0000-00003C060000}"/>
    <cellStyle name="Moneda 22 2 2" xfId="1466" xr:uid="{00000000-0005-0000-0000-00003D060000}"/>
    <cellStyle name="Moneda 22 2 2 2" xfId="1467" xr:uid="{00000000-0005-0000-0000-00003E060000}"/>
    <cellStyle name="Moneda 22 2 2 2 2" xfId="1468" xr:uid="{00000000-0005-0000-0000-00003F060000}"/>
    <cellStyle name="Moneda 22 2 2 3" xfId="1469" xr:uid="{00000000-0005-0000-0000-000040060000}"/>
    <cellStyle name="Moneda 22 2 2 3 2" xfId="1470" xr:uid="{00000000-0005-0000-0000-000041060000}"/>
    <cellStyle name="Moneda 22 2 2 4" xfId="1471" xr:uid="{00000000-0005-0000-0000-000042060000}"/>
    <cellStyle name="Moneda 22 2 2 4 2" xfId="1472" xr:uid="{00000000-0005-0000-0000-000043060000}"/>
    <cellStyle name="Moneda 22 2 2 5" xfId="1473" xr:uid="{00000000-0005-0000-0000-000044060000}"/>
    <cellStyle name="Moneda 22 2 3" xfId="1474" xr:uid="{00000000-0005-0000-0000-000045060000}"/>
    <cellStyle name="Moneda 22 2 3 2" xfId="1475" xr:uid="{00000000-0005-0000-0000-000046060000}"/>
    <cellStyle name="Moneda 22 2 4" xfId="1476" xr:uid="{00000000-0005-0000-0000-000047060000}"/>
    <cellStyle name="Moneda 22 2 4 2" xfId="1477" xr:uid="{00000000-0005-0000-0000-000048060000}"/>
    <cellStyle name="Moneda 22 2 5" xfId="1478" xr:uid="{00000000-0005-0000-0000-000049060000}"/>
    <cellStyle name="Moneda 22 2 5 2" xfId="1479" xr:uid="{00000000-0005-0000-0000-00004A060000}"/>
    <cellStyle name="Moneda 22 2 6" xfId="1480" xr:uid="{00000000-0005-0000-0000-00004B060000}"/>
    <cellStyle name="Moneda 22 3" xfId="1481" xr:uid="{00000000-0005-0000-0000-00004C060000}"/>
    <cellStyle name="Moneda 22 3 2" xfId="1482" xr:uid="{00000000-0005-0000-0000-00004D060000}"/>
    <cellStyle name="Moneda 22 3 2 2" xfId="1483" xr:uid="{00000000-0005-0000-0000-00004E060000}"/>
    <cellStyle name="Moneda 22 3 3" xfId="1484" xr:uid="{00000000-0005-0000-0000-00004F060000}"/>
    <cellStyle name="Moneda 22 3 3 2" xfId="1485" xr:uid="{00000000-0005-0000-0000-000050060000}"/>
    <cellStyle name="Moneda 22 3 4" xfId="1486" xr:uid="{00000000-0005-0000-0000-000051060000}"/>
    <cellStyle name="Moneda 22 3 4 2" xfId="1487" xr:uid="{00000000-0005-0000-0000-000052060000}"/>
    <cellStyle name="Moneda 22 3 5" xfId="1488" xr:uid="{00000000-0005-0000-0000-000053060000}"/>
    <cellStyle name="Moneda 22 4" xfId="1489" xr:uid="{00000000-0005-0000-0000-000054060000}"/>
    <cellStyle name="Moneda 22 4 2" xfId="1490" xr:uid="{00000000-0005-0000-0000-000055060000}"/>
    <cellStyle name="Moneda 22 5" xfId="1491" xr:uid="{00000000-0005-0000-0000-000056060000}"/>
    <cellStyle name="Moneda 22 5 2" xfId="1492" xr:uid="{00000000-0005-0000-0000-000057060000}"/>
    <cellStyle name="Moneda 22 6" xfId="1493" xr:uid="{00000000-0005-0000-0000-000058060000}"/>
    <cellStyle name="Moneda 22 6 2" xfId="1494" xr:uid="{00000000-0005-0000-0000-000059060000}"/>
    <cellStyle name="Moneda 22 7" xfId="1495" xr:uid="{00000000-0005-0000-0000-00005A060000}"/>
    <cellStyle name="Moneda 22 8" xfId="1496" xr:uid="{00000000-0005-0000-0000-00005B060000}"/>
    <cellStyle name="Moneda 23" xfId="1497" xr:uid="{00000000-0005-0000-0000-00005C060000}"/>
    <cellStyle name="Moneda 23 2" xfId="1498" xr:uid="{00000000-0005-0000-0000-00005D060000}"/>
    <cellStyle name="Moneda 23 2 2" xfId="1499" xr:uid="{00000000-0005-0000-0000-00005E060000}"/>
    <cellStyle name="Moneda 23 2 2 2" xfId="1500" xr:uid="{00000000-0005-0000-0000-00005F060000}"/>
    <cellStyle name="Moneda 23 2 3" xfId="1501" xr:uid="{00000000-0005-0000-0000-000060060000}"/>
    <cellStyle name="Moneda 23 2 3 2" xfId="1502" xr:uid="{00000000-0005-0000-0000-000061060000}"/>
    <cellStyle name="Moneda 23 2 4" xfId="1503" xr:uid="{00000000-0005-0000-0000-000062060000}"/>
    <cellStyle name="Moneda 23 2 4 2" xfId="1504" xr:uid="{00000000-0005-0000-0000-000063060000}"/>
    <cellStyle name="Moneda 23 2 5" xfId="1505" xr:uid="{00000000-0005-0000-0000-000064060000}"/>
    <cellStyle name="Moneda 23 3" xfId="1506" xr:uid="{00000000-0005-0000-0000-000065060000}"/>
    <cellStyle name="Moneda 23 3 2" xfId="1507" xr:uid="{00000000-0005-0000-0000-000066060000}"/>
    <cellStyle name="Moneda 23 4" xfId="1508" xr:uid="{00000000-0005-0000-0000-000067060000}"/>
    <cellStyle name="Moneda 23 4 2" xfId="1509" xr:uid="{00000000-0005-0000-0000-000068060000}"/>
    <cellStyle name="Moneda 23 5" xfId="1510" xr:uid="{00000000-0005-0000-0000-000069060000}"/>
    <cellStyle name="Moneda 23 5 2" xfId="1511" xr:uid="{00000000-0005-0000-0000-00006A060000}"/>
    <cellStyle name="Moneda 23 6" xfId="1512" xr:uid="{00000000-0005-0000-0000-00006B060000}"/>
    <cellStyle name="Moneda 23 7" xfId="1513" xr:uid="{00000000-0005-0000-0000-00006C060000}"/>
    <cellStyle name="Moneda 24" xfId="1514" xr:uid="{00000000-0005-0000-0000-00006D060000}"/>
    <cellStyle name="Moneda 24 2" xfId="1515" xr:uid="{00000000-0005-0000-0000-00006E060000}"/>
    <cellStyle name="Moneda 24 2 2" xfId="1516" xr:uid="{00000000-0005-0000-0000-00006F060000}"/>
    <cellStyle name="Moneda 24 2 2 2" xfId="1517" xr:uid="{00000000-0005-0000-0000-000070060000}"/>
    <cellStyle name="Moneda 24 2 3" xfId="1518" xr:uid="{00000000-0005-0000-0000-000071060000}"/>
    <cellStyle name="Moneda 24 2 3 2" xfId="1519" xr:uid="{00000000-0005-0000-0000-000072060000}"/>
    <cellStyle name="Moneda 24 2 4" xfId="1520" xr:uid="{00000000-0005-0000-0000-000073060000}"/>
    <cellStyle name="Moneda 24 2 4 2" xfId="1521" xr:uid="{00000000-0005-0000-0000-000074060000}"/>
    <cellStyle name="Moneda 24 2 5" xfId="1522" xr:uid="{00000000-0005-0000-0000-000075060000}"/>
    <cellStyle name="Moneda 24 3" xfId="1523" xr:uid="{00000000-0005-0000-0000-000076060000}"/>
    <cellStyle name="Moneda 24 3 2" xfId="1524" xr:uid="{00000000-0005-0000-0000-000077060000}"/>
    <cellStyle name="Moneda 24 4" xfId="1525" xr:uid="{00000000-0005-0000-0000-000078060000}"/>
    <cellStyle name="Moneda 24 4 2" xfId="1526" xr:uid="{00000000-0005-0000-0000-000079060000}"/>
    <cellStyle name="Moneda 24 5" xfId="1527" xr:uid="{00000000-0005-0000-0000-00007A060000}"/>
    <cellStyle name="Moneda 24 5 2" xfId="1528" xr:uid="{00000000-0005-0000-0000-00007B060000}"/>
    <cellStyle name="Moneda 24 6" xfId="1529" xr:uid="{00000000-0005-0000-0000-00007C060000}"/>
    <cellStyle name="Moneda 24 7" xfId="1530" xr:uid="{00000000-0005-0000-0000-00007D060000}"/>
    <cellStyle name="Moneda 25" xfId="1531" xr:uid="{00000000-0005-0000-0000-00007E060000}"/>
    <cellStyle name="Moneda 25 2" xfId="1532" xr:uid="{00000000-0005-0000-0000-00007F060000}"/>
    <cellStyle name="Moneda 25 2 2" xfId="1533" xr:uid="{00000000-0005-0000-0000-000080060000}"/>
    <cellStyle name="Moneda 25 3" xfId="1534" xr:uid="{00000000-0005-0000-0000-000081060000}"/>
    <cellStyle name="Moneda 25 3 2" xfId="1535" xr:uid="{00000000-0005-0000-0000-000082060000}"/>
    <cellStyle name="Moneda 25 4" xfId="1536" xr:uid="{00000000-0005-0000-0000-000083060000}"/>
    <cellStyle name="Moneda 25 4 2" xfId="1537" xr:uid="{00000000-0005-0000-0000-000084060000}"/>
    <cellStyle name="Moneda 25 5" xfId="1538" xr:uid="{00000000-0005-0000-0000-000085060000}"/>
    <cellStyle name="Moneda 26" xfId="1539" xr:uid="{00000000-0005-0000-0000-000086060000}"/>
    <cellStyle name="Moneda 26 2" xfId="1540" xr:uid="{00000000-0005-0000-0000-000087060000}"/>
    <cellStyle name="Moneda 26 2 2" xfId="1541" xr:uid="{00000000-0005-0000-0000-000088060000}"/>
    <cellStyle name="Moneda 26 3" xfId="1542" xr:uid="{00000000-0005-0000-0000-000089060000}"/>
    <cellStyle name="Moneda 26 3 2" xfId="1543" xr:uid="{00000000-0005-0000-0000-00008A060000}"/>
    <cellStyle name="Moneda 26 4" xfId="1544" xr:uid="{00000000-0005-0000-0000-00008B060000}"/>
    <cellStyle name="Moneda 26 4 2" xfId="1545" xr:uid="{00000000-0005-0000-0000-00008C060000}"/>
    <cellStyle name="Moneda 26 5" xfId="1546" xr:uid="{00000000-0005-0000-0000-00008D060000}"/>
    <cellStyle name="Moneda 27" xfId="1547" xr:uid="{00000000-0005-0000-0000-00008E060000}"/>
    <cellStyle name="Moneda 27 2" xfId="1548" xr:uid="{00000000-0005-0000-0000-00008F060000}"/>
    <cellStyle name="Moneda 27 2 2" xfId="1549" xr:uid="{00000000-0005-0000-0000-000090060000}"/>
    <cellStyle name="Moneda 27 3" xfId="1550" xr:uid="{00000000-0005-0000-0000-000091060000}"/>
    <cellStyle name="Moneda 27 3 2" xfId="1551" xr:uid="{00000000-0005-0000-0000-000092060000}"/>
    <cellStyle name="Moneda 27 4" xfId="1552" xr:uid="{00000000-0005-0000-0000-000093060000}"/>
    <cellStyle name="Moneda 27 4 2" xfId="1553" xr:uid="{00000000-0005-0000-0000-000094060000}"/>
    <cellStyle name="Moneda 27 5" xfId="1554" xr:uid="{00000000-0005-0000-0000-000095060000}"/>
    <cellStyle name="Moneda 28" xfId="1555" xr:uid="{00000000-0005-0000-0000-000096060000}"/>
    <cellStyle name="Moneda 28 2" xfId="1556" xr:uid="{00000000-0005-0000-0000-000097060000}"/>
    <cellStyle name="Moneda 28 2 2" xfId="1557" xr:uid="{00000000-0005-0000-0000-000098060000}"/>
    <cellStyle name="Moneda 28 3" xfId="1558" xr:uid="{00000000-0005-0000-0000-000099060000}"/>
    <cellStyle name="Moneda 28 3 2" xfId="1559" xr:uid="{00000000-0005-0000-0000-00009A060000}"/>
    <cellStyle name="Moneda 28 4" xfId="1560" xr:uid="{00000000-0005-0000-0000-00009B060000}"/>
    <cellStyle name="Moneda 28 4 2" xfId="1561" xr:uid="{00000000-0005-0000-0000-00009C060000}"/>
    <cellStyle name="Moneda 28 5" xfId="1562" xr:uid="{00000000-0005-0000-0000-00009D060000}"/>
    <cellStyle name="Moneda 29" xfId="1563" xr:uid="{00000000-0005-0000-0000-00009E060000}"/>
    <cellStyle name="Moneda 29 2" xfId="1564" xr:uid="{00000000-0005-0000-0000-00009F060000}"/>
    <cellStyle name="Moneda 29 2 2" xfId="1565" xr:uid="{00000000-0005-0000-0000-0000A0060000}"/>
    <cellStyle name="Moneda 29 3" xfId="1566" xr:uid="{00000000-0005-0000-0000-0000A1060000}"/>
    <cellStyle name="Moneda 29 3 2" xfId="1567" xr:uid="{00000000-0005-0000-0000-0000A2060000}"/>
    <cellStyle name="Moneda 29 4" xfId="1568" xr:uid="{00000000-0005-0000-0000-0000A3060000}"/>
    <cellStyle name="Moneda 29 4 2" xfId="1569" xr:uid="{00000000-0005-0000-0000-0000A4060000}"/>
    <cellStyle name="Moneda 29 5" xfId="1570" xr:uid="{00000000-0005-0000-0000-0000A5060000}"/>
    <cellStyle name="Moneda 3" xfId="14" xr:uid="{00000000-0005-0000-0000-0000A6060000}"/>
    <cellStyle name="Moneda 3 10" xfId="1571" xr:uid="{00000000-0005-0000-0000-0000A7060000}"/>
    <cellStyle name="Moneda 3 10 2" xfId="1572" xr:uid="{00000000-0005-0000-0000-0000A8060000}"/>
    <cellStyle name="Moneda 3 10 2 2" xfId="1573" xr:uid="{00000000-0005-0000-0000-0000A9060000}"/>
    <cellStyle name="Moneda 3 10 3" xfId="1574" xr:uid="{00000000-0005-0000-0000-0000AA060000}"/>
    <cellStyle name="Moneda 3 10 3 2" xfId="1575" xr:uid="{00000000-0005-0000-0000-0000AB060000}"/>
    <cellStyle name="Moneda 3 10 4" xfId="1576" xr:uid="{00000000-0005-0000-0000-0000AC060000}"/>
    <cellStyle name="Moneda 3 10 4 2" xfId="1577" xr:uid="{00000000-0005-0000-0000-0000AD060000}"/>
    <cellStyle name="Moneda 3 10 5" xfId="1578" xr:uid="{00000000-0005-0000-0000-0000AE060000}"/>
    <cellStyle name="Moneda 3 11" xfId="1579" xr:uid="{00000000-0005-0000-0000-0000AF060000}"/>
    <cellStyle name="Moneda 3 11 2" xfId="1580" xr:uid="{00000000-0005-0000-0000-0000B0060000}"/>
    <cellStyle name="Moneda 3 12" xfId="1581" xr:uid="{00000000-0005-0000-0000-0000B1060000}"/>
    <cellStyle name="Moneda 3 12 2" xfId="1582" xr:uid="{00000000-0005-0000-0000-0000B2060000}"/>
    <cellStyle name="Moneda 3 13" xfId="1583" xr:uid="{00000000-0005-0000-0000-0000B3060000}"/>
    <cellStyle name="Moneda 3 13 2" xfId="1584" xr:uid="{00000000-0005-0000-0000-0000B4060000}"/>
    <cellStyle name="Moneda 3 14" xfId="1585" xr:uid="{00000000-0005-0000-0000-0000B5060000}"/>
    <cellStyle name="Moneda 3 14 2" xfId="1586" xr:uid="{00000000-0005-0000-0000-0000B6060000}"/>
    <cellStyle name="Moneda 3 15" xfId="1587" xr:uid="{00000000-0005-0000-0000-0000B7060000}"/>
    <cellStyle name="Moneda 3 15 2" xfId="1588" xr:uid="{00000000-0005-0000-0000-0000B8060000}"/>
    <cellStyle name="Moneda 3 15 3" xfId="1589" xr:uid="{00000000-0005-0000-0000-0000B9060000}"/>
    <cellStyle name="Moneda 3 15 4" xfId="2916" xr:uid="{00000000-0005-0000-0000-0000BA060000}"/>
    <cellStyle name="Moneda 3 15 4 2" xfId="3016" xr:uid="{00000000-0005-0000-0000-0000BB060000}"/>
    <cellStyle name="Moneda 3 15 5" xfId="2967" xr:uid="{00000000-0005-0000-0000-0000BC060000}"/>
    <cellStyle name="Moneda 3 16" xfId="1590" xr:uid="{00000000-0005-0000-0000-0000BD060000}"/>
    <cellStyle name="Moneda 3 2" xfId="1591" xr:uid="{00000000-0005-0000-0000-0000BE060000}"/>
    <cellStyle name="Moneda 3 2 10" xfId="1592" xr:uid="{00000000-0005-0000-0000-0000BF060000}"/>
    <cellStyle name="Moneda 3 2 10 2" xfId="1593" xr:uid="{00000000-0005-0000-0000-0000C0060000}"/>
    <cellStyle name="Moneda 3 2 11" xfId="1594" xr:uid="{00000000-0005-0000-0000-0000C1060000}"/>
    <cellStyle name="Moneda 3 2 2" xfId="1595" xr:uid="{00000000-0005-0000-0000-0000C2060000}"/>
    <cellStyle name="Moneda 3 2 2 2" xfId="1596" xr:uid="{00000000-0005-0000-0000-0000C3060000}"/>
    <cellStyle name="Moneda 3 2 2 2 2" xfId="1597" xr:uid="{00000000-0005-0000-0000-0000C4060000}"/>
    <cellStyle name="Moneda 3 2 2 2 2 2" xfId="1598" xr:uid="{00000000-0005-0000-0000-0000C5060000}"/>
    <cellStyle name="Moneda 3 2 2 2 2 2 2" xfId="1599" xr:uid="{00000000-0005-0000-0000-0000C6060000}"/>
    <cellStyle name="Moneda 3 2 2 2 2 3" xfId="1600" xr:uid="{00000000-0005-0000-0000-0000C7060000}"/>
    <cellStyle name="Moneda 3 2 2 2 2 3 2" xfId="1601" xr:uid="{00000000-0005-0000-0000-0000C8060000}"/>
    <cellStyle name="Moneda 3 2 2 2 2 4" xfId="1602" xr:uid="{00000000-0005-0000-0000-0000C9060000}"/>
    <cellStyle name="Moneda 3 2 2 2 2 4 2" xfId="1603" xr:uid="{00000000-0005-0000-0000-0000CA060000}"/>
    <cellStyle name="Moneda 3 2 2 2 2 5" xfId="1604" xr:uid="{00000000-0005-0000-0000-0000CB060000}"/>
    <cellStyle name="Moneda 3 2 2 2 3" xfId="1605" xr:uid="{00000000-0005-0000-0000-0000CC060000}"/>
    <cellStyle name="Moneda 3 2 2 2 3 2" xfId="1606" xr:uid="{00000000-0005-0000-0000-0000CD060000}"/>
    <cellStyle name="Moneda 3 2 2 2 4" xfId="1607" xr:uid="{00000000-0005-0000-0000-0000CE060000}"/>
    <cellStyle name="Moneda 3 2 2 2 4 2" xfId="1608" xr:uid="{00000000-0005-0000-0000-0000CF060000}"/>
    <cellStyle name="Moneda 3 2 2 2 5" xfId="1609" xr:uid="{00000000-0005-0000-0000-0000D0060000}"/>
    <cellStyle name="Moneda 3 2 2 2 5 2" xfId="1610" xr:uid="{00000000-0005-0000-0000-0000D1060000}"/>
    <cellStyle name="Moneda 3 2 2 2 6" xfId="1611" xr:uid="{00000000-0005-0000-0000-0000D2060000}"/>
    <cellStyle name="Moneda 3 2 2 3" xfId="1612" xr:uid="{00000000-0005-0000-0000-0000D3060000}"/>
    <cellStyle name="Moneda 3 2 2 3 2" xfId="1613" xr:uid="{00000000-0005-0000-0000-0000D4060000}"/>
    <cellStyle name="Moneda 3 2 2 3 2 2" xfId="1614" xr:uid="{00000000-0005-0000-0000-0000D5060000}"/>
    <cellStyle name="Moneda 3 2 2 3 2 2 2" xfId="1615" xr:uid="{00000000-0005-0000-0000-0000D6060000}"/>
    <cellStyle name="Moneda 3 2 2 3 2 3" xfId="1616" xr:uid="{00000000-0005-0000-0000-0000D7060000}"/>
    <cellStyle name="Moneda 3 2 2 3 3" xfId="1617" xr:uid="{00000000-0005-0000-0000-0000D8060000}"/>
    <cellStyle name="Moneda 3 2 2 3 3 2" xfId="1618" xr:uid="{00000000-0005-0000-0000-0000D9060000}"/>
    <cellStyle name="Moneda 3 2 2 3 4" xfId="1619" xr:uid="{00000000-0005-0000-0000-0000DA060000}"/>
    <cellStyle name="Moneda 3 2 2 3 4 2" xfId="1620" xr:uid="{00000000-0005-0000-0000-0000DB060000}"/>
    <cellStyle name="Moneda 3 2 2 3 5" xfId="1621" xr:uid="{00000000-0005-0000-0000-0000DC060000}"/>
    <cellStyle name="Moneda 3 2 2 4" xfId="1622" xr:uid="{00000000-0005-0000-0000-0000DD060000}"/>
    <cellStyle name="Moneda 3 2 2 4 2" xfId="1623" xr:uid="{00000000-0005-0000-0000-0000DE060000}"/>
    <cellStyle name="Moneda 3 2 2 4 2 2" xfId="1624" xr:uid="{00000000-0005-0000-0000-0000DF060000}"/>
    <cellStyle name="Moneda 3 2 2 4 2 2 2" xfId="1625" xr:uid="{00000000-0005-0000-0000-0000E0060000}"/>
    <cellStyle name="Moneda 3 2 2 4 2 3" xfId="1626" xr:uid="{00000000-0005-0000-0000-0000E1060000}"/>
    <cellStyle name="Moneda 3 2 2 4 3" xfId="1627" xr:uid="{00000000-0005-0000-0000-0000E2060000}"/>
    <cellStyle name="Moneda 3 2 2 4 3 2" xfId="1628" xr:uid="{00000000-0005-0000-0000-0000E3060000}"/>
    <cellStyle name="Moneda 3 2 2 4 4" xfId="1629" xr:uid="{00000000-0005-0000-0000-0000E4060000}"/>
    <cellStyle name="Moneda 3 2 2 5" xfId="1630" xr:uid="{00000000-0005-0000-0000-0000E5060000}"/>
    <cellStyle name="Moneda 3 2 2 5 2" xfId="1631" xr:uid="{00000000-0005-0000-0000-0000E6060000}"/>
    <cellStyle name="Moneda 3 2 2 5 2 2" xfId="1632" xr:uid="{00000000-0005-0000-0000-0000E7060000}"/>
    <cellStyle name="Moneda 3 2 2 5 3" xfId="1633" xr:uid="{00000000-0005-0000-0000-0000E8060000}"/>
    <cellStyle name="Moneda 3 2 2 6" xfId="1634" xr:uid="{00000000-0005-0000-0000-0000E9060000}"/>
    <cellStyle name="Moneda 3 2 2 6 2" xfId="1635" xr:uid="{00000000-0005-0000-0000-0000EA060000}"/>
    <cellStyle name="Moneda 3 2 2 7" xfId="1636" xr:uid="{00000000-0005-0000-0000-0000EB060000}"/>
    <cellStyle name="Moneda 3 2 3" xfId="1637" xr:uid="{00000000-0005-0000-0000-0000EC060000}"/>
    <cellStyle name="Moneda 3 2 3 2" xfId="1638" xr:uid="{00000000-0005-0000-0000-0000ED060000}"/>
    <cellStyle name="Moneda 3 2 3 2 2" xfId="1639" xr:uid="{00000000-0005-0000-0000-0000EE060000}"/>
    <cellStyle name="Moneda 3 2 3 2 2 2" xfId="1640" xr:uid="{00000000-0005-0000-0000-0000EF060000}"/>
    <cellStyle name="Moneda 3 2 3 2 2 2 2" xfId="1641" xr:uid="{00000000-0005-0000-0000-0000F0060000}"/>
    <cellStyle name="Moneda 3 2 3 2 2 3" xfId="1642" xr:uid="{00000000-0005-0000-0000-0000F1060000}"/>
    <cellStyle name="Moneda 3 2 3 2 2 3 2" xfId="1643" xr:uid="{00000000-0005-0000-0000-0000F2060000}"/>
    <cellStyle name="Moneda 3 2 3 2 2 4" xfId="1644" xr:uid="{00000000-0005-0000-0000-0000F3060000}"/>
    <cellStyle name="Moneda 3 2 3 2 2 4 2" xfId="1645" xr:uid="{00000000-0005-0000-0000-0000F4060000}"/>
    <cellStyle name="Moneda 3 2 3 2 2 5" xfId="1646" xr:uid="{00000000-0005-0000-0000-0000F5060000}"/>
    <cellStyle name="Moneda 3 2 3 2 3" xfId="1647" xr:uid="{00000000-0005-0000-0000-0000F6060000}"/>
    <cellStyle name="Moneda 3 2 3 2 3 2" xfId="1648" xr:uid="{00000000-0005-0000-0000-0000F7060000}"/>
    <cellStyle name="Moneda 3 2 3 2 4" xfId="1649" xr:uid="{00000000-0005-0000-0000-0000F8060000}"/>
    <cellStyle name="Moneda 3 2 3 2 4 2" xfId="1650" xr:uid="{00000000-0005-0000-0000-0000F9060000}"/>
    <cellStyle name="Moneda 3 2 3 2 5" xfId="1651" xr:uid="{00000000-0005-0000-0000-0000FA060000}"/>
    <cellStyle name="Moneda 3 2 3 2 5 2" xfId="1652" xr:uid="{00000000-0005-0000-0000-0000FB060000}"/>
    <cellStyle name="Moneda 3 2 3 2 6" xfId="1653" xr:uid="{00000000-0005-0000-0000-0000FC060000}"/>
    <cellStyle name="Moneda 3 2 3 3" xfId="1654" xr:uid="{00000000-0005-0000-0000-0000FD060000}"/>
    <cellStyle name="Moneda 3 2 3 3 2" xfId="1655" xr:uid="{00000000-0005-0000-0000-0000FE060000}"/>
    <cellStyle name="Moneda 3 2 3 3 2 2" xfId="1656" xr:uid="{00000000-0005-0000-0000-0000FF060000}"/>
    <cellStyle name="Moneda 3 2 3 3 3" xfId="1657" xr:uid="{00000000-0005-0000-0000-000000070000}"/>
    <cellStyle name="Moneda 3 2 3 3 3 2" xfId="1658" xr:uid="{00000000-0005-0000-0000-000001070000}"/>
    <cellStyle name="Moneda 3 2 3 3 4" xfId="1659" xr:uid="{00000000-0005-0000-0000-000002070000}"/>
    <cellStyle name="Moneda 3 2 3 3 4 2" xfId="1660" xr:uid="{00000000-0005-0000-0000-000003070000}"/>
    <cellStyle name="Moneda 3 2 3 3 5" xfId="1661" xr:uid="{00000000-0005-0000-0000-000004070000}"/>
    <cellStyle name="Moneda 3 2 3 4" xfId="1662" xr:uid="{00000000-0005-0000-0000-000005070000}"/>
    <cellStyle name="Moneda 3 2 3 4 2" xfId="1663" xr:uid="{00000000-0005-0000-0000-000006070000}"/>
    <cellStyle name="Moneda 3 2 3 5" xfId="1664" xr:uid="{00000000-0005-0000-0000-000007070000}"/>
    <cellStyle name="Moneda 3 2 3 5 2" xfId="1665" xr:uid="{00000000-0005-0000-0000-000008070000}"/>
    <cellStyle name="Moneda 3 2 3 6" xfId="1666" xr:uid="{00000000-0005-0000-0000-000009070000}"/>
    <cellStyle name="Moneda 3 2 3 6 2" xfId="1667" xr:uid="{00000000-0005-0000-0000-00000A070000}"/>
    <cellStyle name="Moneda 3 2 3 7" xfId="1668" xr:uid="{00000000-0005-0000-0000-00000B070000}"/>
    <cellStyle name="Moneda 3 2 4" xfId="1669" xr:uid="{00000000-0005-0000-0000-00000C070000}"/>
    <cellStyle name="Moneda 3 2 4 2" xfId="1670" xr:uid="{00000000-0005-0000-0000-00000D070000}"/>
    <cellStyle name="Moneda 3 2 4 2 2" xfId="1671" xr:uid="{00000000-0005-0000-0000-00000E070000}"/>
    <cellStyle name="Moneda 3 2 4 2 2 2" xfId="1672" xr:uid="{00000000-0005-0000-0000-00000F070000}"/>
    <cellStyle name="Moneda 3 2 4 2 2 2 2" xfId="1673" xr:uid="{00000000-0005-0000-0000-000010070000}"/>
    <cellStyle name="Moneda 3 2 4 2 2 3" xfId="1674" xr:uid="{00000000-0005-0000-0000-000011070000}"/>
    <cellStyle name="Moneda 3 2 4 2 2 3 2" xfId="1675" xr:uid="{00000000-0005-0000-0000-000012070000}"/>
    <cellStyle name="Moneda 3 2 4 2 2 4" xfId="1676" xr:uid="{00000000-0005-0000-0000-000013070000}"/>
    <cellStyle name="Moneda 3 2 4 2 2 4 2" xfId="1677" xr:uid="{00000000-0005-0000-0000-000014070000}"/>
    <cellStyle name="Moneda 3 2 4 2 2 5" xfId="1678" xr:uid="{00000000-0005-0000-0000-000015070000}"/>
    <cellStyle name="Moneda 3 2 4 2 3" xfId="1679" xr:uid="{00000000-0005-0000-0000-000016070000}"/>
    <cellStyle name="Moneda 3 2 4 2 3 2" xfId="1680" xr:uid="{00000000-0005-0000-0000-000017070000}"/>
    <cellStyle name="Moneda 3 2 4 2 4" xfId="1681" xr:uid="{00000000-0005-0000-0000-000018070000}"/>
    <cellStyle name="Moneda 3 2 4 2 4 2" xfId="1682" xr:uid="{00000000-0005-0000-0000-000019070000}"/>
    <cellStyle name="Moneda 3 2 4 2 5" xfId="1683" xr:uid="{00000000-0005-0000-0000-00001A070000}"/>
    <cellStyle name="Moneda 3 2 4 2 5 2" xfId="1684" xr:uid="{00000000-0005-0000-0000-00001B070000}"/>
    <cellStyle name="Moneda 3 2 4 2 6" xfId="1685" xr:uid="{00000000-0005-0000-0000-00001C070000}"/>
    <cellStyle name="Moneda 3 2 4 3" xfId="1686" xr:uid="{00000000-0005-0000-0000-00001D070000}"/>
    <cellStyle name="Moneda 3 2 4 3 2" xfId="1687" xr:uid="{00000000-0005-0000-0000-00001E070000}"/>
    <cellStyle name="Moneda 3 2 4 3 2 2" xfId="1688" xr:uid="{00000000-0005-0000-0000-00001F070000}"/>
    <cellStyle name="Moneda 3 2 4 3 3" xfId="1689" xr:uid="{00000000-0005-0000-0000-000020070000}"/>
    <cellStyle name="Moneda 3 2 4 3 3 2" xfId="1690" xr:uid="{00000000-0005-0000-0000-000021070000}"/>
    <cellStyle name="Moneda 3 2 4 3 4" xfId="1691" xr:uid="{00000000-0005-0000-0000-000022070000}"/>
    <cellStyle name="Moneda 3 2 4 3 4 2" xfId="1692" xr:uid="{00000000-0005-0000-0000-000023070000}"/>
    <cellStyle name="Moneda 3 2 4 3 5" xfId="1693" xr:uid="{00000000-0005-0000-0000-000024070000}"/>
    <cellStyle name="Moneda 3 2 4 4" xfId="1694" xr:uid="{00000000-0005-0000-0000-000025070000}"/>
    <cellStyle name="Moneda 3 2 4 4 2" xfId="1695" xr:uid="{00000000-0005-0000-0000-000026070000}"/>
    <cellStyle name="Moneda 3 2 4 5" xfId="1696" xr:uid="{00000000-0005-0000-0000-000027070000}"/>
    <cellStyle name="Moneda 3 2 4 5 2" xfId="1697" xr:uid="{00000000-0005-0000-0000-000028070000}"/>
    <cellStyle name="Moneda 3 2 4 6" xfId="1698" xr:uid="{00000000-0005-0000-0000-000029070000}"/>
    <cellStyle name="Moneda 3 2 4 6 2" xfId="1699" xr:uid="{00000000-0005-0000-0000-00002A070000}"/>
    <cellStyle name="Moneda 3 2 4 7" xfId="1700" xr:uid="{00000000-0005-0000-0000-00002B070000}"/>
    <cellStyle name="Moneda 3 2 5" xfId="1701" xr:uid="{00000000-0005-0000-0000-00002C070000}"/>
    <cellStyle name="Moneda 3 2 5 2" xfId="1702" xr:uid="{00000000-0005-0000-0000-00002D070000}"/>
    <cellStyle name="Moneda 3 2 5 2 2" xfId="1703" xr:uid="{00000000-0005-0000-0000-00002E070000}"/>
    <cellStyle name="Moneda 3 2 5 2 2 2" xfId="1704" xr:uid="{00000000-0005-0000-0000-00002F070000}"/>
    <cellStyle name="Moneda 3 2 5 2 3" xfId="1705" xr:uid="{00000000-0005-0000-0000-000030070000}"/>
    <cellStyle name="Moneda 3 2 5 2 3 2" xfId="1706" xr:uid="{00000000-0005-0000-0000-000031070000}"/>
    <cellStyle name="Moneda 3 2 5 2 4" xfId="1707" xr:uid="{00000000-0005-0000-0000-000032070000}"/>
    <cellStyle name="Moneda 3 2 5 2 4 2" xfId="1708" xr:uid="{00000000-0005-0000-0000-000033070000}"/>
    <cellStyle name="Moneda 3 2 5 2 5" xfId="1709" xr:uid="{00000000-0005-0000-0000-000034070000}"/>
    <cellStyle name="Moneda 3 2 5 3" xfId="1710" xr:uid="{00000000-0005-0000-0000-000035070000}"/>
    <cellStyle name="Moneda 3 2 5 3 2" xfId="1711" xr:uid="{00000000-0005-0000-0000-000036070000}"/>
    <cellStyle name="Moneda 3 2 5 4" xfId="1712" xr:uid="{00000000-0005-0000-0000-000037070000}"/>
    <cellStyle name="Moneda 3 2 5 4 2" xfId="1713" xr:uid="{00000000-0005-0000-0000-000038070000}"/>
    <cellStyle name="Moneda 3 2 5 5" xfId="1714" xr:uid="{00000000-0005-0000-0000-000039070000}"/>
    <cellStyle name="Moneda 3 2 5 5 2" xfId="1715" xr:uid="{00000000-0005-0000-0000-00003A070000}"/>
    <cellStyle name="Moneda 3 2 5 6" xfId="1716" xr:uid="{00000000-0005-0000-0000-00003B070000}"/>
    <cellStyle name="Moneda 3 2 6" xfId="1717" xr:uid="{00000000-0005-0000-0000-00003C070000}"/>
    <cellStyle name="Moneda 3 2 6 2" xfId="1718" xr:uid="{00000000-0005-0000-0000-00003D070000}"/>
    <cellStyle name="Moneda 3 2 6 2 2" xfId="1719" xr:uid="{00000000-0005-0000-0000-00003E070000}"/>
    <cellStyle name="Moneda 3 2 6 2 3" xfId="1720" xr:uid="{00000000-0005-0000-0000-00003F070000}"/>
    <cellStyle name="Moneda 3 2 6 3" xfId="1721" xr:uid="{00000000-0005-0000-0000-000040070000}"/>
    <cellStyle name="Moneda 3 2 6 4" xfId="1722" xr:uid="{00000000-0005-0000-0000-000041070000}"/>
    <cellStyle name="Moneda 3 2 7" xfId="1723" xr:uid="{00000000-0005-0000-0000-000042070000}"/>
    <cellStyle name="Moneda 3 2 7 2" xfId="1724" xr:uid="{00000000-0005-0000-0000-000043070000}"/>
    <cellStyle name="Moneda 3 2 7 2 2" xfId="1725" xr:uid="{00000000-0005-0000-0000-000044070000}"/>
    <cellStyle name="Moneda 3 2 7 3" xfId="1726" xr:uid="{00000000-0005-0000-0000-000045070000}"/>
    <cellStyle name="Moneda 3 2 7 3 2" xfId="1727" xr:uid="{00000000-0005-0000-0000-000046070000}"/>
    <cellStyle name="Moneda 3 2 7 4" xfId="1728" xr:uid="{00000000-0005-0000-0000-000047070000}"/>
    <cellStyle name="Moneda 3 2 7 4 2" xfId="1729" xr:uid="{00000000-0005-0000-0000-000048070000}"/>
    <cellStyle name="Moneda 3 2 7 5" xfId="1730" xr:uid="{00000000-0005-0000-0000-000049070000}"/>
    <cellStyle name="Moneda 3 2 8" xfId="1731" xr:uid="{00000000-0005-0000-0000-00004A070000}"/>
    <cellStyle name="Moneda 3 2 8 2" xfId="1732" xr:uid="{00000000-0005-0000-0000-00004B070000}"/>
    <cellStyle name="Moneda 3 2 8 3" xfId="1733" xr:uid="{00000000-0005-0000-0000-00004C070000}"/>
    <cellStyle name="Moneda 3 2 9" xfId="1734" xr:uid="{00000000-0005-0000-0000-00004D070000}"/>
    <cellStyle name="Moneda 3 2 9 2" xfId="1735" xr:uid="{00000000-0005-0000-0000-00004E070000}"/>
    <cellStyle name="Moneda 3 3" xfId="1736" xr:uid="{00000000-0005-0000-0000-00004F070000}"/>
    <cellStyle name="Moneda 3 3 2" xfId="1737" xr:uid="{00000000-0005-0000-0000-000050070000}"/>
    <cellStyle name="Moneda 3 3 2 2" xfId="1738" xr:uid="{00000000-0005-0000-0000-000051070000}"/>
    <cellStyle name="Moneda 3 3 2 2 2" xfId="1739" xr:uid="{00000000-0005-0000-0000-000052070000}"/>
    <cellStyle name="Moneda 3 3 2 2 2 2" xfId="1740" xr:uid="{00000000-0005-0000-0000-000053070000}"/>
    <cellStyle name="Moneda 3 3 2 2 3" xfId="1741" xr:uid="{00000000-0005-0000-0000-000054070000}"/>
    <cellStyle name="Moneda 3 3 2 2 3 2" xfId="1742" xr:uid="{00000000-0005-0000-0000-000055070000}"/>
    <cellStyle name="Moneda 3 3 2 2 4" xfId="1743" xr:uid="{00000000-0005-0000-0000-000056070000}"/>
    <cellStyle name="Moneda 3 3 2 2 4 2" xfId="1744" xr:uid="{00000000-0005-0000-0000-000057070000}"/>
    <cellStyle name="Moneda 3 3 2 2 5" xfId="1745" xr:uid="{00000000-0005-0000-0000-000058070000}"/>
    <cellStyle name="Moneda 3 3 2 3" xfId="1746" xr:uid="{00000000-0005-0000-0000-000059070000}"/>
    <cellStyle name="Moneda 3 3 2 3 2" xfId="1747" xr:uid="{00000000-0005-0000-0000-00005A070000}"/>
    <cellStyle name="Moneda 3 3 2 4" xfId="1748" xr:uid="{00000000-0005-0000-0000-00005B070000}"/>
    <cellStyle name="Moneda 3 3 2 4 2" xfId="1749" xr:uid="{00000000-0005-0000-0000-00005C070000}"/>
    <cellStyle name="Moneda 3 3 2 5" xfId="1750" xr:uid="{00000000-0005-0000-0000-00005D070000}"/>
    <cellStyle name="Moneda 3 3 2 5 2" xfId="1751" xr:uid="{00000000-0005-0000-0000-00005E070000}"/>
    <cellStyle name="Moneda 3 3 2 6" xfId="1752" xr:uid="{00000000-0005-0000-0000-00005F070000}"/>
    <cellStyle name="Moneda 3 3 2 7" xfId="1753" xr:uid="{00000000-0005-0000-0000-000060070000}"/>
    <cellStyle name="Moneda 3 3 3" xfId="1754" xr:uid="{00000000-0005-0000-0000-000061070000}"/>
    <cellStyle name="Moneda 3 3 3 2" xfId="1755" xr:uid="{00000000-0005-0000-0000-000062070000}"/>
    <cellStyle name="Moneda 3 3 3 2 2" xfId="1756" xr:uid="{00000000-0005-0000-0000-000063070000}"/>
    <cellStyle name="Moneda 3 3 3 3" xfId="1757" xr:uid="{00000000-0005-0000-0000-000064070000}"/>
    <cellStyle name="Moneda 3 3 3 3 2" xfId="1758" xr:uid="{00000000-0005-0000-0000-000065070000}"/>
    <cellStyle name="Moneda 3 3 3 4" xfId="1759" xr:uid="{00000000-0005-0000-0000-000066070000}"/>
    <cellStyle name="Moneda 3 3 3 4 2" xfId="1760" xr:uid="{00000000-0005-0000-0000-000067070000}"/>
    <cellStyle name="Moneda 3 3 3 5" xfId="1761" xr:uid="{00000000-0005-0000-0000-000068070000}"/>
    <cellStyle name="Moneda 3 3 4" xfId="1762" xr:uid="{00000000-0005-0000-0000-000069070000}"/>
    <cellStyle name="Moneda 3 3 4 2" xfId="1763" xr:uid="{00000000-0005-0000-0000-00006A070000}"/>
    <cellStyle name="Moneda 3 3 5" xfId="1764" xr:uid="{00000000-0005-0000-0000-00006B070000}"/>
    <cellStyle name="Moneda 3 3 5 2" xfId="1765" xr:uid="{00000000-0005-0000-0000-00006C070000}"/>
    <cellStyle name="Moneda 3 3 6" xfId="1766" xr:uid="{00000000-0005-0000-0000-00006D070000}"/>
    <cellStyle name="Moneda 3 3 6 2" xfId="1767" xr:uid="{00000000-0005-0000-0000-00006E070000}"/>
    <cellStyle name="Moneda 3 3 7" xfId="1768" xr:uid="{00000000-0005-0000-0000-00006F070000}"/>
    <cellStyle name="Moneda 3 3 8" xfId="1769" xr:uid="{00000000-0005-0000-0000-000070070000}"/>
    <cellStyle name="Moneda 3 4" xfId="1770" xr:uid="{00000000-0005-0000-0000-000071070000}"/>
    <cellStyle name="Moneda 3 4 2" xfId="1771" xr:uid="{00000000-0005-0000-0000-000072070000}"/>
    <cellStyle name="Moneda 3 4 2 2" xfId="1772" xr:uid="{00000000-0005-0000-0000-000073070000}"/>
    <cellStyle name="Moneda 3 4 2 2 2" xfId="1773" xr:uid="{00000000-0005-0000-0000-000074070000}"/>
    <cellStyle name="Moneda 3 4 2 2 2 2" xfId="1774" xr:uid="{00000000-0005-0000-0000-000075070000}"/>
    <cellStyle name="Moneda 3 4 2 2 3" xfId="1775" xr:uid="{00000000-0005-0000-0000-000076070000}"/>
    <cellStyle name="Moneda 3 4 2 2 3 2" xfId="1776" xr:uid="{00000000-0005-0000-0000-000077070000}"/>
    <cellStyle name="Moneda 3 4 2 2 4" xfId="1777" xr:uid="{00000000-0005-0000-0000-000078070000}"/>
    <cellStyle name="Moneda 3 4 2 2 4 2" xfId="1778" xr:uid="{00000000-0005-0000-0000-000079070000}"/>
    <cellStyle name="Moneda 3 4 2 2 5" xfId="1779" xr:uid="{00000000-0005-0000-0000-00007A070000}"/>
    <cellStyle name="Moneda 3 4 2 3" xfId="1780" xr:uid="{00000000-0005-0000-0000-00007B070000}"/>
    <cellStyle name="Moneda 3 4 2 3 2" xfId="1781" xr:uid="{00000000-0005-0000-0000-00007C070000}"/>
    <cellStyle name="Moneda 3 4 2 4" xfId="1782" xr:uid="{00000000-0005-0000-0000-00007D070000}"/>
    <cellStyle name="Moneda 3 4 2 4 2" xfId="1783" xr:uid="{00000000-0005-0000-0000-00007E070000}"/>
    <cellStyle name="Moneda 3 4 2 5" xfId="1784" xr:uid="{00000000-0005-0000-0000-00007F070000}"/>
    <cellStyle name="Moneda 3 4 2 5 2" xfId="1785" xr:uid="{00000000-0005-0000-0000-000080070000}"/>
    <cellStyle name="Moneda 3 4 2 6" xfId="1786" xr:uid="{00000000-0005-0000-0000-000081070000}"/>
    <cellStyle name="Moneda 3 4 3" xfId="1787" xr:uid="{00000000-0005-0000-0000-000082070000}"/>
    <cellStyle name="Moneda 3 4 3 2" xfId="1788" xr:uid="{00000000-0005-0000-0000-000083070000}"/>
    <cellStyle name="Moneda 3 4 3 2 2" xfId="1789" xr:uid="{00000000-0005-0000-0000-000084070000}"/>
    <cellStyle name="Moneda 3 4 3 3" xfId="1790" xr:uid="{00000000-0005-0000-0000-000085070000}"/>
    <cellStyle name="Moneda 3 4 3 3 2" xfId="1791" xr:uid="{00000000-0005-0000-0000-000086070000}"/>
    <cellStyle name="Moneda 3 4 3 4" xfId="1792" xr:uid="{00000000-0005-0000-0000-000087070000}"/>
    <cellStyle name="Moneda 3 4 3 4 2" xfId="1793" xr:uid="{00000000-0005-0000-0000-000088070000}"/>
    <cellStyle name="Moneda 3 4 3 5" xfId="1794" xr:uid="{00000000-0005-0000-0000-000089070000}"/>
    <cellStyle name="Moneda 3 4 4" xfId="1795" xr:uid="{00000000-0005-0000-0000-00008A070000}"/>
    <cellStyle name="Moneda 3 4 4 2" xfId="1796" xr:uid="{00000000-0005-0000-0000-00008B070000}"/>
    <cellStyle name="Moneda 3 4 5" xfId="1797" xr:uid="{00000000-0005-0000-0000-00008C070000}"/>
    <cellStyle name="Moneda 3 4 5 2" xfId="1798" xr:uid="{00000000-0005-0000-0000-00008D070000}"/>
    <cellStyle name="Moneda 3 4 6" xfId="1799" xr:uid="{00000000-0005-0000-0000-00008E070000}"/>
    <cellStyle name="Moneda 3 4 6 2" xfId="1800" xr:uid="{00000000-0005-0000-0000-00008F070000}"/>
    <cellStyle name="Moneda 3 4 7" xfId="1801" xr:uid="{00000000-0005-0000-0000-000090070000}"/>
    <cellStyle name="Moneda 3 5" xfId="1802" xr:uid="{00000000-0005-0000-0000-000091070000}"/>
    <cellStyle name="Moneda 3 5 10" xfId="2968" xr:uid="{00000000-0005-0000-0000-000092070000}"/>
    <cellStyle name="Moneda 3 5 2" xfId="1803" xr:uid="{00000000-0005-0000-0000-000093070000}"/>
    <cellStyle name="Moneda 3 5 2 2" xfId="1804" xr:uid="{00000000-0005-0000-0000-000094070000}"/>
    <cellStyle name="Moneda 3 5 2 2 2" xfId="1805" xr:uid="{00000000-0005-0000-0000-000095070000}"/>
    <cellStyle name="Moneda 3 5 2 2 2 2" xfId="1806" xr:uid="{00000000-0005-0000-0000-000096070000}"/>
    <cellStyle name="Moneda 3 5 2 2 3" xfId="1807" xr:uid="{00000000-0005-0000-0000-000097070000}"/>
    <cellStyle name="Moneda 3 5 2 2 3 2" xfId="1808" xr:uid="{00000000-0005-0000-0000-000098070000}"/>
    <cellStyle name="Moneda 3 5 2 2 4" xfId="1809" xr:uid="{00000000-0005-0000-0000-000099070000}"/>
    <cellStyle name="Moneda 3 5 2 2 4 2" xfId="1810" xr:uid="{00000000-0005-0000-0000-00009A070000}"/>
    <cellStyle name="Moneda 3 5 2 2 5" xfId="1811" xr:uid="{00000000-0005-0000-0000-00009B070000}"/>
    <cellStyle name="Moneda 3 5 2 3" xfId="1812" xr:uid="{00000000-0005-0000-0000-00009C070000}"/>
    <cellStyle name="Moneda 3 5 2 3 2" xfId="1813" xr:uid="{00000000-0005-0000-0000-00009D070000}"/>
    <cellStyle name="Moneda 3 5 2 4" xfId="1814" xr:uid="{00000000-0005-0000-0000-00009E070000}"/>
    <cellStyle name="Moneda 3 5 2 4 2" xfId="1815" xr:uid="{00000000-0005-0000-0000-00009F070000}"/>
    <cellStyle name="Moneda 3 5 2 5" xfId="1816" xr:uid="{00000000-0005-0000-0000-0000A0070000}"/>
    <cellStyle name="Moneda 3 5 2 5 2" xfId="1817" xr:uid="{00000000-0005-0000-0000-0000A1070000}"/>
    <cellStyle name="Moneda 3 5 2 6" xfId="1818" xr:uid="{00000000-0005-0000-0000-0000A2070000}"/>
    <cellStyle name="Moneda 3 5 3" xfId="1819" xr:uid="{00000000-0005-0000-0000-0000A3070000}"/>
    <cellStyle name="Moneda 3 5 3 2" xfId="1820" xr:uid="{00000000-0005-0000-0000-0000A4070000}"/>
    <cellStyle name="Moneda 3 5 3 2 2" xfId="1821" xr:uid="{00000000-0005-0000-0000-0000A5070000}"/>
    <cellStyle name="Moneda 3 5 3 3" xfId="1822" xr:uid="{00000000-0005-0000-0000-0000A6070000}"/>
    <cellStyle name="Moneda 3 5 3 3 2" xfId="1823" xr:uid="{00000000-0005-0000-0000-0000A7070000}"/>
    <cellStyle name="Moneda 3 5 3 4" xfId="1824" xr:uid="{00000000-0005-0000-0000-0000A8070000}"/>
    <cellStyle name="Moneda 3 5 3 4 2" xfId="1825" xr:uid="{00000000-0005-0000-0000-0000A9070000}"/>
    <cellStyle name="Moneda 3 5 3 5" xfId="1826" xr:uid="{00000000-0005-0000-0000-0000AA070000}"/>
    <cellStyle name="Moneda 3 5 4" xfId="1827" xr:uid="{00000000-0005-0000-0000-0000AB070000}"/>
    <cellStyle name="Moneda 3 5 4 2" xfId="1828" xr:uid="{00000000-0005-0000-0000-0000AC070000}"/>
    <cellStyle name="Moneda 3 5 5" xfId="1829" xr:uid="{00000000-0005-0000-0000-0000AD070000}"/>
    <cellStyle name="Moneda 3 5 5 2" xfId="1830" xr:uid="{00000000-0005-0000-0000-0000AE070000}"/>
    <cellStyle name="Moneda 3 5 6" xfId="1831" xr:uid="{00000000-0005-0000-0000-0000AF070000}"/>
    <cellStyle name="Moneda 3 5 6 2" xfId="1832" xr:uid="{00000000-0005-0000-0000-0000B0070000}"/>
    <cellStyle name="Moneda 3 5 7" xfId="1833" xr:uid="{00000000-0005-0000-0000-0000B1070000}"/>
    <cellStyle name="Moneda 3 5 8" xfId="1834" xr:uid="{00000000-0005-0000-0000-0000B2070000}"/>
    <cellStyle name="Moneda 3 5 9" xfId="2917" xr:uid="{00000000-0005-0000-0000-0000B3070000}"/>
    <cellStyle name="Moneda 3 5 9 2" xfId="3017" xr:uid="{00000000-0005-0000-0000-0000B4070000}"/>
    <cellStyle name="Moneda 3 6" xfId="1835" xr:uid="{00000000-0005-0000-0000-0000B5070000}"/>
    <cellStyle name="Moneda 3 6 2" xfId="1836" xr:uid="{00000000-0005-0000-0000-0000B6070000}"/>
    <cellStyle name="Moneda 3 6 2 2" xfId="1837" xr:uid="{00000000-0005-0000-0000-0000B7070000}"/>
    <cellStyle name="Moneda 3 6 2 2 2" xfId="1838" xr:uid="{00000000-0005-0000-0000-0000B8070000}"/>
    <cellStyle name="Moneda 3 6 2 3" xfId="1839" xr:uid="{00000000-0005-0000-0000-0000B9070000}"/>
    <cellStyle name="Moneda 3 6 3" xfId="1840" xr:uid="{00000000-0005-0000-0000-0000BA070000}"/>
    <cellStyle name="Moneda 3 7" xfId="1841" xr:uid="{00000000-0005-0000-0000-0000BB070000}"/>
    <cellStyle name="Moneda 3 7 2" xfId="1842" xr:uid="{00000000-0005-0000-0000-0000BC070000}"/>
    <cellStyle name="Moneda 3 7 2 2" xfId="1843" xr:uid="{00000000-0005-0000-0000-0000BD070000}"/>
    <cellStyle name="Moneda 3 7 3" xfId="1844" xr:uid="{00000000-0005-0000-0000-0000BE070000}"/>
    <cellStyle name="Moneda 3 8" xfId="1845" xr:uid="{00000000-0005-0000-0000-0000BF070000}"/>
    <cellStyle name="Moneda 3 8 2" xfId="1846" xr:uid="{00000000-0005-0000-0000-0000C0070000}"/>
    <cellStyle name="Moneda 3 8 2 2" xfId="1847" xr:uid="{00000000-0005-0000-0000-0000C1070000}"/>
    <cellStyle name="Moneda 3 8 2 2 2" xfId="1848" xr:uid="{00000000-0005-0000-0000-0000C2070000}"/>
    <cellStyle name="Moneda 3 8 2 3" xfId="1849" xr:uid="{00000000-0005-0000-0000-0000C3070000}"/>
    <cellStyle name="Moneda 3 8 2 3 2" xfId="1850" xr:uid="{00000000-0005-0000-0000-0000C4070000}"/>
    <cellStyle name="Moneda 3 8 2 4" xfId="1851" xr:uid="{00000000-0005-0000-0000-0000C5070000}"/>
    <cellStyle name="Moneda 3 8 2 4 2" xfId="1852" xr:uid="{00000000-0005-0000-0000-0000C6070000}"/>
    <cellStyle name="Moneda 3 8 2 5" xfId="1853" xr:uid="{00000000-0005-0000-0000-0000C7070000}"/>
    <cellStyle name="Moneda 3 8 3" xfId="1854" xr:uid="{00000000-0005-0000-0000-0000C8070000}"/>
    <cellStyle name="Moneda 3 8 3 2" xfId="1855" xr:uid="{00000000-0005-0000-0000-0000C9070000}"/>
    <cellStyle name="Moneda 3 8 4" xfId="1856" xr:uid="{00000000-0005-0000-0000-0000CA070000}"/>
    <cellStyle name="Moneda 3 8 4 2" xfId="1857" xr:uid="{00000000-0005-0000-0000-0000CB070000}"/>
    <cellStyle name="Moneda 3 8 5" xfId="1858" xr:uid="{00000000-0005-0000-0000-0000CC070000}"/>
    <cellStyle name="Moneda 3 8 5 2" xfId="1859" xr:uid="{00000000-0005-0000-0000-0000CD070000}"/>
    <cellStyle name="Moneda 3 8 6" xfId="1860" xr:uid="{00000000-0005-0000-0000-0000CE070000}"/>
    <cellStyle name="Moneda 3 9" xfId="1861" xr:uid="{00000000-0005-0000-0000-0000CF070000}"/>
    <cellStyle name="Moneda 3 9 2" xfId="1862" xr:uid="{00000000-0005-0000-0000-0000D0070000}"/>
    <cellStyle name="Moneda 30" xfId="1863" xr:uid="{00000000-0005-0000-0000-0000D1070000}"/>
    <cellStyle name="Moneda 30 2" xfId="1864" xr:uid="{00000000-0005-0000-0000-0000D2070000}"/>
    <cellStyle name="Moneda 30 2 2" xfId="1865" xr:uid="{00000000-0005-0000-0000-0000D3070000}"/>
    <cellStyle name="Moneda 30 3" xfId="1866" xr:uid="{00000000-0005-0000-0000-0000D4070000}"/>
    <cellStyle name="Moneda 30 3 2" xfId="1867" xr:uid="{00000000-0005-0000-0000-0000D5070000}"/>
    <cellStyle name="Moneda 30 4" xfId="1868" xr:uid="{00000000-0005-0000-0000-0000D6070000}"/>
    <cellStyle name="Moneda 30 4 2" xfId="1869" xr:uid="{00000000-0005-0000-0000-0000D7070000}"/>
    <cellStyle name="Moneda 30 5" xfId="1870" xr:uid="{00000000-0005-0000-0000-0000D8070000}"/>
    <cellStyle name="Moneda 31" xfId="1871" xr:uid="{00000000-0005-0000-0000-0000D9070000}"/>
    <cellStyle name="Moneda 31 2" xfId="1872" xr:uid="{00000000-0005-0000-0000-0000DA070000}"/>
    <cellStyle name="Moneda 32" xfId="1873" xr:uid="{00000000-0005-0000-0000-0000DB070000}"/>
    <cellStyle name="Moneda 32 2" xfId="1874" xr:uid="{00000000-0005-0000-0000-0000DC070000}"/>
    <cellStyle name="Moneda 33" xfId="1875" xr:uid="{00000000-0005-0000-0000-0000DD070000}"/>
    <cellStyle name="Moneda 33 2" xfId="1876" xr:uid="{00000000-0005-0000-0000-0000DE070000}"/>
    <cellStyle name="Moneda 34" xfId="1877" xr:uid="{00000000-0005-0000-0000-0000DF070000}"/>
    <cellStyle name="Moneda 34 2" xfId="1878" xr:uid="{00000000-0005-0000-0000-0000E0070000}"/>
    <cellStyle name="Moneda 35" xfId="1879" xr:uid="{00000000-0005-0000-0000-0000E1070000}"/>
    <cellStyle name="Moneda 35 2" xfId="1880" xr:uid="{00000000-0005-0000-0000-0000E2070000}"/>
    <cellStyle name="Moneda 36" xfId="1881" xr:uid="{00000000-0005-0000-0000-0000E3070000}"/>
    <cellStyle name="Moneda 36 2" xfId="1882" xr:uid="{00000000-0005-0000-0000-0000E4070000}"/>
    <cellStyle name="Moneda 37" xfId="1883" xr:uid="{00000000-0005-0000-0000-0000E5070000}"/>
    <cellStyle name="Moneda 37 2" xfId="1884" xr:uid="{00000000-0005-0000-0000-0000E6070000}"/>
    <cellStyle name="Moneda 38" xfId="1885" xr:uid="{00000000-0005-0000-0000-0000E7070000}"/>
    <cellStyle name="Moneda 38 2" xfId="1886" xr:uid="{00000000-0005-0000-0000-0000E8070000}"/>
    <cellStyle name="Moneda 39" xfId="1887" xr:uid="{00000000-0005-0000-0000-0000E9070000}"/>
    <cellStyle name="Moneda 39 2" xfId="1888" xr:uid="{00000000-0005-0000-0000-0000EA070000}"/>
    <cellStyle name="Moneda 4" xfId="15" xr:uid="{00000000-0005-0000-0000-0000EB070000}"/>
    <cellStyle name="Moneda 4 2" xfId="1889" xr:uid="{00000000-0005-0000-0000-0000EC070000}"/>
    <cellStyle name="Moneda 4 3" xfId="1890" xr:uid="{00000000-0005-0000-0000-0000ED070000}"/>
    <cellStyle name="Moneda 4 4" xfId="1891" xr:uid="{00000000-0005-0000-0000-0000EE070000}"/>
    <cellStyle name="Moneda 40" xfId="1892" xr:uid="{00000000-0005-0000-0000-0000EF070000}"/>
    <cellStyle name="Moneda 40 2" xfId="1893" xr:uid="{00000000-0005-0000-0000-0000F0070000}"/>
    <cellStyle name="Moneda 41" xfId="1894" xr:uid="{00000000-0005-0000-0000-0000F1070000}"/>
    <cellStyle name="Moneda 41 2" xfId="1895" xr:uid="{00000000-0005-0000-0000-0000F2070000}"/>
    <cellStyle name="Moneda 42" xfId="1896" xr:uid="{00000000-0005-0000-0000-0000F3070000}"/>
    <cellStyle name="Moneda 42 2" xfId="1897" xr:uid="{00000000-0005-0000-0000-0000F4070000}"/>
    <cellStyle name="Moneda 43" xfId="1898" xr:uid="{00000000-0005-0000-0000-0000F5070000}"/>
    <cellStyle name="Moneda 43 2" xfId="1899" xr:uid="{00000000-0005-0000-0000-0000F6070000}"/>
    <cellStyle name="Moneda 44" xfId="1900" xr:uid="{00000000-0005-0000-0000-0000F7070000}"/>
    <cellStyle name="Moneda 44 2" xfId="1901" xr:uid="{00000000-0005-0000-0000-0000F8070000}"/>
    <cellStyle name="Moneda 45" xfId="1902" xr:uid="{00000000-0005-0000-0000-0000F9070000}"/>
    <cellStyle name="Moneda 45 2" xfId="1903" xr:uid="{00000000-0005-0000-0000-0000FA070000}"/>
    <cellStyle name="Moneda 46" xfId="1904" xr:uid="{00000000-0005-0000-0000-0000FB070000}"/>
    <cellStyle name="Moneda 46 2" xfId="1905" xr:uid="{00000000-0005-0000-0000-0000FC070000}"/>
    <cellStyle name="Moneda 47" xfId="1906" xr:uid="{00000000-0005-0000-0000-0000FD070000}"/>
    <cellStyle name="Moneda 47 2" xfId="1907" xr:uid="{00000000-0005-0000-0000-0000FE070000}"/>
    <cellStyle name="Moneda 48" xfId="1908" xr:uid="{00000000-0005-0000-0000-0000FF070000}"/>
    <cellStyle name="Moneda 48 2" xfId="1909" xr:uid="{00000000-0005-0000-0000-000000080000}"/>
    <cellStyle name="Moneda 49" xfId="1910" xr:uid="{00000000-0005-0000-0000-000001080000}"/>
    <cellStyle name="Moneda 5" xfId="1911" xr:uid="{00000000-0005-0000-0000-000002080000}"/>
    <cellStyle name="Moneda 5 2" xfId="1912" xr:uid="{00000000-0005-0000-0000-000003080000}"/>
    <cellStyle name="Moneda 5 3" xfId="1913" xr:uid="{00000000-0005-0000-0000-000004080000}"/>
    <cellStyle name="Moneda 5 4" xfId="1914" xr:uid="{00000000-0005-0000-0000-000005080000}"/>
    <cellStyle name="Moneda 5 5" xfId="1915" xr:uid="{00000000-0005-0000-0000-000006080000}"/>
    <cellStyle name="Moneda 50" xfId="1916" xr:uid="{00000000-0005-0000-0000-000007080000}"/>
    <cellStyle name="Moneda 51" xfId="1917" xr:uid="{00000000-0005-0000-0000-000008080000}"/>
    <cellStyle name="Moneda 52" xfId="1918" xr:uid="{00000000-0005-0000-0000-000009080000}"/>
    <cellStyle name="Moneda 53" xfId="2870" xr:uid="{00000000-0005-0000-0000-00000A080000}"/>
    <cellStyle name="Moneda 54" xfId="2921" xr:uid="{00000000-0005-0000-0000-00000B080000}"/>
    <cellStyle name="Moneda 6" xfId="1919" xr:uid="{00000000-0005-0000-0000-00000C080000}"/>
    <cellStyle name="Moneda 6 10" xfId="1920" xr:uid="{00000000-0005-0000-0000-00000D080000}"/>
    <cellStyle name="Moneda 6 10 2" xfId="1921" xr:uid="{00000000-0005-0000-0000-00000E080000}"/>
    <cellStyle name="Moneda 6 11" xfId="1922" xr:uid="{00000000-0005-0000-0000-00000F080000}"/>
    <cellStyle name="Moneda 6 11 2" xfId="1923" xr:uid="{00000000-0005-0000-0000-000010080000}"/>
    <cellStyle name="Moneda 6 12" xfId="1924" xr:uid="{00000000-0005-0000-0000-000011080000}"/>
    <cellStyle name="Moneda 6 2" xfId="1925" xr:uid="{00000000-0005-0000-0000-000012080000}"/>
    <cellStyle name="Moneda 6 2 10" xfId="1926" xr:uid="{00000000-0005-0000-0000-000013080000}"/>
    <cellStyle name="Moneda 6 2 11" xfId="1927" xr:uid="{00000000-0005-0000-0000-000014080000}"/>
    <cellStyle name="Moneda 6 2 2" xfId="1928" xr:uid="{00000000-0005-0000-0000-000015080000}"/>
    <cellStyle name="Moneda 6 2 2 2" xfId="1929" xr:uid="{00000000-0005-0000-0000-000016080000}"/>
    <cellStyle name="Moneda 6 2 2 2 2" xfId="1930" xr:uid="{00000000-0005-0000-0000-000017080000}"/>
    <cellStyle name="Moneda 6 2 2 2 2 2" xfId="1931" xr:uid="{00000000-0005-0000-0000-000018080000}"/>
    <cellStyle name="Moneda 6 2 2 2 2 2 2" xfId="1932" xr:uid="{00000000-0005-0000-0000-000019080000}"/>
    <cellStyle name="Moneda 6 2 2 2 2 3" xfId="1933" xr:uid="{00000000-0005-0000-0000-00001A080000}"/>
    <cellStyle name="Moneda 6 2 2 2 2 3 2" xfId="1934" xr:uid="{00000000-0005-0000-0000-00001B080000}"/>
    <cellStyle name="Moneda 6 2 2 2 2 4" xfId="1935" xr:uid="{00000000-0005-0000-0000-00001C080000}"/>
    <cellStyle name="Moneda 6 2 2 2 2 4 2" xfId="1936" xr:uid="{00000000-0005-0000-0000-00001D080000}"/>
    <cellStyle name="Moneda 6 2 2 2 2 5" xfId="1937" xr:uid="{00000000-0005-0000-0000-00001E080000}"/>
    <cellStyle name="Moneda 6 2 2 2 3" xfId="1938" xr:uid="{00000000-0005-0000-0000-00001F080000}"/>
    <cellStyle name="Moneda 6 2 2 2 3 2" xfId="1939" xr:uid="{00000000-0005-0000-0000-000020080000}"/>
    <cellStyle name="Moneda 6 2 2 2 4" xfId="1940" xr:uid="{00000000-0005-0000-0000-000021080000}"/>
    <cellStyle name="Moneda 6 2 2 2 4 2" xfId="1941" xr:uid="{00000000-0005-0000-0000-000022080000}"/>
    <cellStyle name="Moneda 6 2 2 2 5" xfId="1942" xr:uid="{00000000-0005-0000-0000-000023080000}"/>
    <cellStyle name="Moneda 6 2 2 2 5 2" xfId="1943" xr:uid="{00000000-0005-0000-0000-000024080000}"/>
    <cellStyle name="Moneda 6 2 2 2 6" xfId="1944" xr:uid="{00000000-0005-0000-0000-000025080000}"/>
    <cellStyle name="Moneda 6 2 2 3" xfId="1945" xr:uid="{00000000-0005-0000-0000-000026080000}"/>
    <cellStyle name="Moneda 6 2 2 3 2" xfId="1946" xr:uid="{00000000-0005-0000-0000-000027080000}"/>
    <cellStyle name="Moneda 6 2 2 3 2 2" xfId="1947" xr:uid="{00000000-0005-0000-0000-000028080000}"/>
    <cellStyle name="Moneda 6 2 2 3 3" xfId="1948" xr:uid="{00000000-0005-0000-0000-000029080000}"/>
    <cellStyle name="Moneda 6 2 2 3 3 2" xfId="1949" xr:uid="{00000000-0005-0000-0000-00002A080000}"/>
    <cellStyle name="Moneda 6 2 2 3 4" xfId="1950" xr:uid="{00000000-0005-0000-0000-00002B080000}"/>
    <cellStyle name="Moneda 6 2 2 3 4 2" xfId="1951" xr:uid="{00000000-0005-0000-0000-00002C080000}"/>
    <cellStyle name="Moneda 6 2 2 3 5" xfId="1952" xr:uid="{00000000-0005-0000-0000-00002D080000}"/>
    <cellStyle name="Moneda 6 2 2 4" xfId="1953" xr:uid="{00000000-0005-0000-0000-00002E080000}"/>
    <cellStyle name="Moneda 6 2 2 4 2" xfId="1954" xr:uid="{00000000-0005-0000-0000-00002F080000}"/>
    <cellStyle name="Moneda 6 2 2 5" xfId="1955" xr:uid="{00000000-0005-0000-0000-000030080000}"/>
    <cellStyle name="Moneda 6 2 2 5 2" xfId="1956" xr:uid="{00000000-0005-0000-0000-000031080000}"/>
    <cellStyle name="Moneda 6 2 2 6" xfId="1957" xr:uid="{00000000-0005-0000-0000-000032080000}"/>
    <cellStyle name="Moneda 6 2 2 6 2" xfId="1958" xr:uid="{00000000-0005-0000-0000-000033080000}"/>
    <cellStyle name="Moneda 6 2 2 7" xfId="1959" xr:uid="{00000000-0005-0000-0000-000034080000}"/>
    <cellStyle name="Moneda 6 2 3" xfId="1960" xr:uid="{00000000-0005-0000-0000-000035080000}"/>
    <cellStyle name="Moneda 6 2 3 2" xfId="1961" xr:uid="{00000000-0005-0000-0000-000036080000}"/>
    <cellStyle name="Moneda 6 2 3 2 2" xfId="1962" xr:uid="{00000000-0005-0000-0000-000037080000}"/>
    <cellStyle name="Moneda 6 2 3 2 2 2" xfId="1963" xr:uid="{00000000-0005-0000-0000-000038080000}"/>
    <cellStyle name="Moneda 6 2 3 2 2 2 2" xfId="1964" xr:uid="{00000000-0005-0000-0000-000039080000}"/>
    <cellStyle name="Moneda 6 2 3 2 2 3" xfId="1965" xr:uid="{00000000-0005-0000-0000-00003A080000}"/>
    <cellStyle name="Moneda 6 2 3 2 2 3 2" xfId="1966" xr:uid="{00000000-0005-0000-0000-00003B080000}"/>
    <cellStyle name="Moneda 6 2 3 2 2 4" xfId="1967" xr:uid="{00000000-0005-0000-0000-00003C080000}"/>
    <cellStyle name="Moneda 6 2 3 2 2 4 2" xfId="1968" xr:uid="{00000000-0005-0000-0000-00003D080000}"/>
    <cellStyle name="Moneda 6 2 3 2 2 5" xfId="1969" xr:uid="{00000000-0005-0000-0000-00003E080000}"/>
    <cellStyle name="Moneda 6 2 3 2 3" xfId="1970" xr:uid="{00000000-0005-0000-0000-00003F080000}"/>
    <cellStyle name="Moneda 6 2 3 2 3 2" xfId="1971" xr:uid="{00000000-0005-0000-0000-000040080000}"/>
    <cellStyle name="Moneda 6 2 3 2 4" xfId="1972" xr:uid="{00000000-0005-0000-0000-000041080000}"/>
    <cellStyle name="Moneda 6 2 3 2 4 2" xfId="1973" xr:uid="{00000000-0005-0000-0000-000042080000}"/>
    <cellStyle name="Moneda 6 2 3 2 5" xfId="1974" xr:uid="{00000000-0005-0000-0000-000043080000}"/>
    <cellStyle name="Moneda 6 2 3 2 5 2" xfId="1975" xr:uid="{00000000-0005-0000-0000-000044080000}"/>
    <cellStyle name="Moneda 6 2 3 2 6" xfId="1976" xr:uid="{00000000-0005-0000-0000-000045080000}"/>
    <cellStyle name="Moneda 6 2 3 3" xfId="1977" xr:uid="{00000000-0005-0000-0000-000046080000}"/>
    <cellStyle name="Moneda 6 2 3 3 2" xfId="1978" xr:uid="{00000000-0005-0000-0000-000047080000}"/>
    <cellStyle name="Moneda 6 2 3 3 2 2" xfId="1979" xr:uid="{00000000-0005-0000-0000-000048080000}"/>
    <cellStyle name="Moneda 6 2 3 3 3" xfId="1980" xr:uid="{00000000-0005-0000-0000-000049080000}"/>
    <cellStyle name="Moneda 6 2 3 3 3 2" xfId="1981" xr:uid="{00000000-0005-0000-0000-00004A080000}"/>
    <cellStyle name="Moneda 6 2 3 3 4" xfId="1982" xr:uid="{00000000-0005-0000-0000-00004B080000}"/>
    <cellStyle name="Moneda 6 2 3 3 4 2" xfId="1983" xr:uid="{00000000-0005-0000-0000-00004C080000}"/>
    <cellStyle name="Moneda 6 2 3 3 5" xfId="1984" xr:uid="{00000000-0005-0000-0000-00004D080000}"/>
    <cellStyle name="Moneda 6 2 3 4" xfId="1985" xr:uid="{00000000-0005-0000-0000-00004E080000}"/>
    <cellStyle name="Moneda 6 2 3 4 2" xfId="1986" xr:uid="{00000000-0005-0000-0000-00004F080000}"/>
    <cellStyle name="Moneda 6 2 3 5" xfId="1987" xr:uid="{00000000-0005-0000-0000-000050080000}"/>
    <cellStyle name="Moneda 6 2 3 5 2" xfId="1988" xr:uid="{00000000-0005-0000-0000-000051080000}"/>
    <cellStyle name="Moneda 6 2 3 6" xfId="1989" xr:uid="{00000000-0005-0000-0000-000052080000}"/>
    <cellStyle name="Moneda 6 2 3 6 2" xfId="1990" xr:uid="{00000000-0005-0000-0000-000053080000}"/>
    <cellStyle name="Moneda 6 2 3 7" xfId="1991" xr:uid="{00000000-0005-0000-0000-000054080000}"/>
    <cellStyle name="Moneda 6 2 4" xfId="1992" xr:uid="{00000000-0005-0000-0000-000055080000}"/>
    <cellStyle name="Moneda 6 2 4 2" xfId="1993" xr:uid="{00000000-0005-0000-0000-000056080000}"/>
    <cellStyle name="Moneda 6 2 4 2 2" xfId="1994" xr:uid="{00000000-0005-0000-0000-000057080000}"/>
    <cellStyle name="Moneda 6 2 4 2 2 2" xfId="1995" xr:uid="{00000000-0005-0000-0000-000058080000}"/>
    <cellStyle name="Moneda 6 2 4 2 2 2 2" xfId="1996" xr:uid="{00000000-0005-0000-0000-000059080000}"/>
    <cellStyle name="Moneda 6 2 4 2 2 3" xfId="1997" xr:uid="{00000000-0005-0000-0000-00005A080000}"/>
    <cellStyle name="Moneda 6 2 4 2 2 3 2" xfId="1998" xr:uid="{00000000-0005-0000-0000-00005B080000}"/>
    <cellStyle name="Moneda 6 2 4 2 2 4" xfId="1999" xr:uid="{00000000-0005-0000-0000-00005C080000}"/>
    <cellStyle name="Moneda 6 2 4 2 2 4 2" xfId="2000" xr:uid="{00000000-0005-0000-0000-00005D080000}"/>
    <cellStyle name="Moneda 6 2 4 2 2 5" xfId="2001" xr:uid="{00000000-0005-0000-0000-00005E080000}"/>
    <cellStyle name="Moneda 6 2 4 2 3" xfId="2002" xr:uid="{00000000-0005-0000-0000-00005F080000}"/>
    <cellStyle name="Moneda 6 2 4 2 3 2" xfId="2003" xr:uid="{00000000-0005-0000-0000-000060080000}"/>
    <cellStyle name="Moneda 6 2 4 2 4" xfId="2004" xr:uid="{00000000-0005-0000-0000-000061080000}"/>
    <cellStyle name="Moneda 6 2 4 2 4 2" xfId="2005" xr:uid="{00000000-0005-0000-0000-000062080000}"/>
    <cellStyle name="Moneda 6 2 4 2 5" xfId="2006" xr:uid="{00000000-0005-0000-0000-000063080000}"/>
    <cellStyle name="Moneda 6 2 4 2 5 2" xfId="2007" xr:uid="{00000000-0005-0000-0000-000064080000}"/>
    <cellStyle name="Moneda 6 2 4 2 6" xfId="2008" xr:uid="{00000000-0005-0000-0000-000065080000}"/>
    <cellStyle name="Moneda 6 2 4 3" xfId="2009" xr:uid="{00000000-0005-0000-0000-000066080000}"/>
    <cellStyle name="Moneda 6 2 4 3 2" xfId="2010" xr:uid="{00000000-0005-0000-0000-000067080000}"/>
    <cellStyle name="Moneda 6 2 4 3 2 2" xfId="2011" xr:uid="{00000000-0005-0000-0000-000068080000}"/>
    <cellStyle name="Moneda 6 2 4 3 3" xfId="2012" xr:uid="{00000000-0005-0000-0000-000069080000}"/>
    <cellStyle name="Moneda 6 2 4 3 3 2" xfId="2013" xr:uid="{00000000-0005-0000-0000-00006A080000}"/>
    <cellStyle name="Moneda 6 2 4 3 4" xfId="2014" xr:uid="{00000000-0005-0000-0000-00006B080000}"/>
    <cellStyle name="Moneda 6 2 4 3 4 2" xfId="2015" xr:uid="{00000000-0005-0000-0000-00006C080000}"/>
    <cellStyle name="Moneda 6 2 4 3 5" xfId="2016" xr:uid="{00000000-0005-0000-0000-00006D080000}"/>
    <cellStyle name="Moneda 6 2 4 4" xfId="2017" xr:uid="{00000000-0005-0000-0000-00006E080000}"/>
    <cellStyle name="Moneda 6 2 4 4 2" xfId="2018" xr:uid="{00000000-0005-0000-0000-00006F080000}"/>
    <cellStyle name="Moneda 6 2 4 5" xfId="2019" xr:uid="{00000000-0005-0000-0000-000070080000}"/>
    <cellStyle name="Moneda 6 2 4 5 2" xfId="2020" xr:uid="{00000000-0005-0000-0000-000071080000}"/>
    <cellStyle name="Moneda 6 2 4 6" xfId="2021" xr:uid="{00000000-0005-0000-0000-000072080000}"/>
    <cellStyle name="Moneda 6 2 4 6 2" xfId="2022" xr:uid="{00000000-0005-0000-0000-000073080000}"/>
    <cellStyle name="Moneda 6 2 4 7" xfId="2023" xr:uid="{00000000-0005-0000-0000-000074080000}"/>
    <cellStyle name="Moneda 6 2 5" xfId="2024" xr:uid="{00000000-0005-0000-0000-000075080000}"/>
    <cellStyle name="Moneda 6 2 5 2" xfId="2025" xr:uid="{00000000-0005-0000-0000-000076080000}"/>
    <cellStyle name="Moneda 6 2 5 2 2" xfId="2026" xr:uid="{00000000-0005-0000-0000-000077080000}"/>
    <cellStyle name="Moneda 6 2 5 2 2 2" xfId="2027" xr:uid="{00000000-0005-0000-0000-000078080000}"/>
    <cellStyle name="Moneda 6 2 5 2 3" xfId="2028" xr:uid="{00000000-0005-0000-0000-000079080000}"/>
    <cellStyle name="Moneda 6 2 5 2 3 2" xfId="2029" xr:uid="{00000000-0005-0000-0000-00007A080000}"/>
    <cellStyle name="Moneda 6 2 5 2 4" xfId="2030" xr:uid="{00000000-0005-0000-0000-00007B080000}"/>
    <cellStyle name="Moneda 6 2 5 2 4 2" xfId="2031" xr:uid="{00000000-0005-0000-0000-00007C080000}"/>
    <cellStyle name="Moneda 6 2 5 2 5" xfId="2032" xr:uid="{00000000-0005-0000-0000-00007D080000}"/>
    <cellStyle name="Moneda 6 2 5 3" xfId="2033" xr:uid="{00000000-0005-0000-0000-00007E080000}"/>
    <cellStyle name="Moneda 6 2 5 3 2" xfId="2034" xr:uid="{00000000-0005-0000-0000-00007F080000}"/>
    <cellStyle name="Moneda 6 2 5 4" xfId="2035" xr:uid="{00000000-0005-0000-0000-000080080000}"/>
    <cellStyle name="Moneda 6 2 5 4 2" xfId="2036" xr:uid="{00000000-0005-0000-0000-000081080000}"/>
    <cellStyle name="Moneda 6 2 5 5" xfId="2037" xr:uid="{00000000-0005-0000-0000-000082080000}"/>
    <cellStyle name="Moneda 6 2 5 5 2" xfId="2038" xr:uid="{00000000-0005-0000-0000-000083080000}"/>
    <cellStyle name="Moneda 6 2 5 6" xfId="2039" xr:uid="{00000000-0005-0000-0000-000084080000}"/>
    <cellStyle name="Moneda 6 2 6" xfId="2040" xr:uid="{00000000-0005-0000-0000-000085080000}"/>
    <cellStyle name="Moneda 6 2 6 2" xfId="2041" xr:uid="{00000000-0005-0000-0000-000086080000}"/>
    <cellStyle name="Moneda 6 2 6 2 2" xfId="2042" xr:uid="{00000000-0005-0000-0000-000087080000}"/>
    <cellStyle name="Moneda 6 2 6 3" xfId="2043" xr:uid="{00000000-0005-0000-0000-000088080000}"/>
    <cellStyle name="Moneda 6 2 6 3 2" xfId="2044" xr:uid="{00000000-0005-0000-0000-000089080000}"/>
    <cellStyle name="Moneda 6 2 6 4" xfId="2045" xr:uid="{00000000-0005-0000-0000-00008A080000}"/>
    <cellStyle name="Moneda 6 2 6 4 2" xfId="2046" xr:uid="{00000000-0005-0000-0000-00008B080000}"/>
    <cellStyle name="Moneda 6 2 6 5" xfId="2047" xr:uid="{00000000-0005-0000-0000-00008C080000}"/>
    <cellStyle name="Moneda 6 2 7" xfId="2048" xr:uid="{00000000-0005-0000-0000-00008D080000}"/>
    <cellStyle name="Moneda 6 2 7 2" xfId="2049" xr:uid="{00000000-0005-0000-0000-00008E080000}"/>
    <cellStyle name="Moneda 6 2 8" xfId="2050" xr:uid="{00000000-0005-0000-0000-00008F080000}"/>
    <cellStyle name="Moneda 6 2 8 2" xfId="2051" xr:uid="{00000000-0005-0000-0000-000090080000}"/>
    <cellStyle name="Moneda 6 2 9" xfId="2052" xr:uid="{00000000-0005-0000-0000-000091080000}"/>
    <cellStyle name="Moneda 6 2 9 2" xfId="2053" xr:uid="{00000000-0005-0000-0000-000092080000}"/>
    <cellStyle name="Moneda 6 3" xfId="2054" xr:uid="{00000000-0005-0000-0000-000093080000}"/>
    <cellStyle name="Moneda 6 3 2" xfId="2055" xr:uid="{00000000-0005-0000-0000-000094080000}"/>
    <cellStyle name="Moneda 6 3 2 2" xfId="2056" xr:uid="{00000000-0005-0000-0000-000095080000}"/>
    <cellStyle name="Moneda 6 3 2 2 2" xfId="2057" xr:uid="{00000000-0005-0000-0000-000096080000}"/>
    <cellStyle name="Moneda 6 3 2 2 2 2" xfId="2058" xr:uid="{00000000-0005-0000-0000-000097080000}"/>
    <cellStyle name="Moneda 6 3 2 2 3" xfId="2059" xr:uid="{00000000-0005-0000-0000-000098080000}"/>
    <cellStyle name="Moneda 6 3 2 2 3 2" xfId="2060" xr:uid="{00000000-0005-0000-0000-000099080000}"/>
    <cellStyle name="Moneda 6 3 2 2 4" xfId="2061" xr:uid="{00000000-0005-0000-0000-00009A080000}"/>
    <cellStyle name="Moneda 6 3 2 2 4 2" xfId="2062" xr:uid="{00000000-0005-0000-0000-00009B080000}"/>
    <cellStyle name="Moneda 6 3 2 2 5" xfId="2063" xr:uid="{00000000-0005-0000-0000-00009C080000}"/>
    <cellStyle name="Moneda 6 3 2 3" xfId="2064" xr:uid="{00000000-0005-0000-0000-00009D080000}"/>
    <cellStyle name="Moneda 6 3 2 3 2" xfId="2065" xr:uid="{00000000-0005-0000-0000-00009E080000}"/>
    <cellStyle name="Moneda 6 3 2 4" xfId="2066" xr:uid="{00000000-0005-0000-0000-00009F080000}"/>
    <cellStyle name="Moneda 6 3 2 4 2" xfId="2067" xr:uid="{00000000-0005-0000-0000-0000A0080000}"/>
    <cellStyle name="Moneda 6 3 2 5" xfId="2068" xr:uid="{00000000-0005-0000-0000-0000A1080000}"/>
    <cellStyle name="Moneda 6 3 2 5 2" xfId="2069" xr:uid="{00000000-0005-0000-0000-0000A2080000}"/>
    <cellStyle name="Moneda 6 3 2 6" xfId="2070" xr:uid="{00000000-0005-0000-0000-0000A3080000}"/>
    <cellStyle name="Moneda 6 3 3" xfId="2071" xr:uid="{00000000-0005-0000-0000-0000A4080000}"/>
    <cellStyle name="Moneda 6 3 3 2" xfId="2072" xr:uid="{00000000-0005-0000-0000-0000A5080000}"/>
    <cellStyle name="Moneda 6 3 3 2 2" xfId="2073" xr:uid="{00000000-0005-0000-0000-0000A6080000}"/>
    <cellStyle name="Moneda 6 3 3 3" xfId="2074" xr:uid="{00000000-0005-0000-0000-0000A7080000}"/>
    <cellStyle name="Moneda 6 3 3 3 2" xfId="2075" xr:uid="{00000000-0005-0000-0000-0000A8080000}"/>
    <cellStyle name="Moneda 6 3 3 4" xfId="2076" xr:uid="{00000000-0005-0000-0000-0000A9080000}"/>
    <cellStyle name="Moneda 6 3 3 4 2" xfId="2077" xr:uid="{00000000-0005-0000-0000-0000AA080000}"/>
    <cellStyle name="Moneda 6 3 3 5" xfId="2078" xr:uid="{00000000-0005-0000-0000-0000AB080000}"/>
    <cellStyle name="Moneda 6 3 4" xfId="2079" xr:uid="{00000000-0005-0000-0000-0000AC080000}"/>
    <cellStyle name="Moneda 6 3 4 2" xfId="2080" xr:uid="{00000000-0005-0000-0000-0000AD080000}"/>
    <cellStyle name="Moneda 6 3 5" xfId="2081" xr:uid="{00000000-0005-0000-0000-0000AE080000}"/>
    <cellStyle name="Moneda 6 3 5 2" xfId="2082" xr:uid="{00000000-0005-0000-0000-0000AF080000}"/>
    <cellStyle name="Moneda 6 3 6" xfId="2083" xr:uid="{00000000-0005-0000-0000-0000B0080000}"/>
    <cellStyle name="Moneda 6 3 6 2" xfId="2084" xr:uid="{00000000-0005-0000-0000-0000B1080000}"/>
    <cellStyle name="Moneda 6 3 7" xfId="2085" xr:uid="{00000000-0005-0000-0000-0000B2080000}"/>
    <cellStyle name="Moneda 6 4" xfId="2086" xr:uid="{00000000-0005-0000-0000-0000B3080000}"/>
    <cellStyle name="Moneda 6 4 2" xfId="2087" xr:uid="{00000000-0005-0000-0000-0000B4080000}"/>
    <cellStyle name="Moneda 6 4 2 2" xfId="2088" xr:uid="{00000000-0005-0000-0000-0000B5080000}"/>
    <cellStyle name="Moneda 6 4 2 2 2" xfId="2089" xr:uid="{00000000-0005-0000-0000-0000B6080000}"/>
    <cellStyle name="Moneda 6 4 2 2 2 2" xfId="2090" xr:uid="{00000000-0005-0000-0000-0000B7080000}"/>
    <cellStyle name="Moneda 6 4 2 2 3" xfId="2091" xr:uid="{00000000-0005-0000-0000-0000B8080000}"/>
    <cellStyle name="Moneda 6 4 2 2 3 2" xfId="2092" xr:uid="{00000000-0005-0000-0000-0000B9080000}"/>
    <cellStyle name="Moneda 6 4 2 2 4" xfId="2093" xr:uid="{00000000-0005-0000-0000-0000BA080000}"/>
    <cellStyle name="Moneda 6 4 2 2 4 2" xfId="2094" xr:uid="{00000000-0005-0000-0000-0000BB080000}"/>
    <cellStyle name="Moneda 6 4 2 2 5" xfId="2095" xr:uid="{00000000-0005-0000-0000-0000BC080000}"/>
    <cellStyle name="Moneda 6 4 2 3" xfId="2096" xr:uid="{00000000-0005-0000-0000-0000BD080000}"/>
    <cellStyle name="Moneda 6 4 2 3 2" xfId="2097" xr:uid="{00000000-0005-0000-0000-0000BE080000}"/>
    <cellStyle name="Moneda 6 4 2 4" xfId="2098" xr:uid="{00000000-0005-0000-0000-0000BF080000}"/>
    <cellStyle name="Moneda 6 4 2 4 2" xfId="2099" xr:uid="{00000000-0005-0000-0000-0000C0080000}"/>
    <cellStyle name="Moneda 6 4 2 5" xfId="2100" xr:uid="{00000000-0005-0000-0000-0000C1080000}"/>
    <cellStyle name="Moneda 6 4 2 5 2" xfId="2101" xr:uid="{00000000-0005-0000-0000-0000C2080000}"/>
    <cellStyle name="Moneda 6 4 2 6" xfId="2102" xr:uid="{00000000-0005-0000-0000-0000C3080000}"/>
    <cellStyle name="Moneda 6 4 3" xfId="2103" xr:uid="{00000000-0005-0000-0000-0000C4080000}"/>
    <cellStyle name="Moneda 6 4 3 2" xfId="2104" xr:uid="{00000000-0005-0000-0000-0000C5080000}"/>
    <cellStyle name="Moneda 6 4 3 2 2" xfId="2105" xr:uid="{00000000-0005-0000-0000-0000C6080000}"/>
    <cellStyle name="Moneda 6 4 3 3" xfId="2106" xr:uid="{00000000-0005-0000-0000-0000C7080000}"/>
    <cellStyle name="Moneda 6 4 3 3 2" xfId="2107" xr:uid="{00000000-0005-0000-0000-0000C8080000}"/>
    <cellStyle name="Moneda 6 4 3 4" xfId="2108" xr:uid="{00000000-0005-0000-0000-0000C9080000}"/>
    <cellStyle name="Moneda 6 4 3 4 2" xfId="2109" xr:uid="{00000000-0005-0000-0000-0000CA080000}"/>
    <cellStyle name="Moneda 6 4 3 5" xfId="2110" xr:uid="{00000000-0005-0000-0000-0000CB080000}"/>
    <cellStyle name="Moneda 6 4 4" xfId="2111" xr:uid="{00000000-0005-0000-0000-0000CC080000}"/>
    <cellStyle name="Moneda 6 4 4 2" xfId="2112" xr:uid="{00000000-0005-0000-0000-0000CD080000}"/>
    <cellStyle name="Moneda 6 4 5" xfId="2113" xr:uid="{00000000-0005-0000-0000-0000CE080000}"/>
    <cellStyle name="Moneda 6 4 5 2" xfId="2114" xr:uid="{00000000-0005-0000-0000-0000CF080000}"/>
    <cellStyle name="Moneda 6 4 6" xfId="2115" xr:uid="{00000000-0005-0000-0000-0000D0080000}"/>
    <cellStyle name="Moneda 6 4 6 2" xfId="2116" xr:uid="{00000000-0005-0000-0000-0000D1080000}"/>
    <cellStyle name="Moneda 6 4 7" xfId="2117" xr:uid="{00000000-0005-0000-0000-0000D2080000}"/>
    <cellStyle name="Moneda 6 5" xfId="2118" xr:uid="{00000000-0005-0000-0000-0000D3080000}"/>
    <cellStyle name="Moneda 6 5 2" xfId="2119" xr:uid="{00000000-0005-0000-0000-0000D4080000}"/>
    <cellStyle name="Moneda 6 5 2 2" xfId="2120" xr:uid="{00000000-0005-0000-0000-0000D5080000}"/>
    <cellStyle name="Moneda 6 5 2 2 2" xfId="2121" xr:uid="{00000000-0005-0000-0000-0000D6080000}"/>
    <cellStyle name="Moneda 6 5 2 2 2 2" xfId="2122" xr:uid="{00000000-0005-0000-0000-0000D7080000}"/>
    <cellStyle name="Moneda 6 5 2 2 3" xfId="2123" xr:uid="{00000000-0005-0000-0000-0000D8080000}"/>
    <cellStyle name="Moneda 6 5 2 2 3 2" xfId="2124" xr:uid="{00000000-0005-0000-0000-0000D9080000}"/>
    <cellStyle name="Moneda 6 5 2 2 4" xfId="2125" xr:uid="{00000000-0005-0000-0000-0000DA080000}"/>
    <cellStyle name="Moneda 6 5 2 2 4 2" xfId="2126" xr:uid="{00000000-0005-0000-0000-0000DB080000}"/>
    <cellStyle name="Moneda 6 5 2 2 5" xfId="2127" xr:uid="{00000000-0005-0000-0000-0000DC080000}"/>
    <cellStyle name="Moneda 6 5 2 3" xfId="2128" xr:uid="{00000000-0005-0000-0000-0000DD080000}"/>
    <cellStyle name="Moneda 6 5 2 3 2" xfId="2129" xr:uid="{00000000-0005-0000-0000-0000DE080000}"/>
    <cellStyle name="Moneda 6 5 2 4" xfId="2130" xr:uid="{00000000-0005-0000-0000-0000DF080000}"/>
    <cellStyle name="Moneda 6 5 2 4 2" xfId="2131" xr:uid="{00000000-0005-0000-0000-0000E0080000}"/>
    <cellStyle name="Moneda 6 5 2 5" xfId="2132" xr:uid="{00000000-0005-0000-0000-0000E1080000}"/>
    <cellStyle name="Moneda 6 5 2 5 2" xfId="2133" xr:uid="{00000000-0005-0000-0000-0000E2080000}"/>
    <cellStyle name="Moneda 6 5 2 6" xfId="2134" xr:uid="{00000000-0005-0000-0000-0000E3080000}"/>
    <cellStyle name="Moneda 6 5 3" xfId="2135" xr:uid="{00000000-0005-0000-0000-0000E4080000}"/>
    <cellStyle name="Moneda 6 5 3 2" xfId="2136" xr:uid="{00000000-0005-0000-0000-0000E5080000}"/>
    <cellStyle name="Moneda 6 5 3 2 2" xfId="2137" xr:uid="{00000000-0005-0000-0000-0000E6080000}"/>
    <cellStyle name="Moneda 6 5 3 3" xfId="2138" xr:uid="{00000000-0005-0000-0000-0000E7080000}"/>
    <cellStyle name="Moneda 6 5 3 3 2" xfId="2139" xr:uid="{00000000-0005-0000-0000-0000E8080000}"/>
    <cellStyle name="Moneda 6 5 3 4" xfId="2140" xr:uid="{00000000-0005-0000-0000-0000E9080000}"/>
    <cellStyle name="Moneda 6 5 3 4 2" xfId="2141" xr:uid="{00000000-0005-0000-0000-0000EA080000}"/>
    <cellStyle name="Moneda 6 5 3 5" xfId="2142" xr:uid="{00000000-0005-0000-0000-0000EB080000}"/>
    <cellStyle name="Moneda 6 5 4" xfId="2143" xr:uid="{00000000-0005-0000-0000-0000EC080000}"/>
    <cellStyle name="Moneda 6 5 4 2" xfId="2144" xr:uid="{00000000-0005-0000-0000-0000ED080000}"/>
    <cellStyle name="Moneda 6 5 5" xfId="2145" xr:uid="{00000000-0005-0000-0000-0000EE080000}"/>
    <cellStyle name="Moneda 6 5 5 2" xfId="2146" xr:uid="{00000000-0005-0000-0000-0000EF080000}"/>
    <cellStyle name="Moneda 6 5 6" xfId="2147" xr:uid="{00000000-0005-0000-0000-0000F0080000}"/>
    <cellStyle name="Moneda 6 5 6 2" xfId="2148" xr:uid="{00000000-0005-0000-0000-0000F1080000}"/>
    <cellStyle name="Moneda 6 5 7" xfId="2149" xr:uid="{00000000-0005-0000-0000-0000F2080000}"/>
    <cellStyle name="Moneda 6 6" xfId="2150" xr:uid="{00000000-0005-0000-0000-0000F3080000}"/>
    <cellStyle name="Moneda 6 6 2" xfId="2151" xr:uid="{00000000-0005-0000-0000-0000F4080000}"/>
    <cellStyle name="Moneda 6 6 2 2" xfId="2152" xr:uid="{00000000-0005-0000-0000-0000F5080000}"/>
    <cellStyle name="Moneda 6 6 2 2 2" xfId="2153" xr:uid="{00000000-0005-0000-0000-0000F6080000}"/>
    <cellStyle name="Moneda 6 6 2 3" xfId="2154" xr:uid="{00000000-0005-0000-0000-0000F7080000}"/>
    <cellStyle name="Moneda 6 6 2 3 2" xfId="2155" xr:uid="{00000000-0005-0000-0000-0000F8080000}"/>
    <cellStyle name="Moneda 6 6 2 4" xfId="2156" xr:uid="{00000000-0005-0000-0000-0000F9080000}"/>
    <cellStyle name="Moneda 6 6 2 4 2" xfId="2157" xr:uid="{00000000-0005-0000-0000-0000FA080000}"/>
    <cellStyle name="Moneda 6 6 2 5" xfId="2158" xr:uid="{00000000-0005-0000-0000-0000FB080000}"/>
    <cellStyle name="Moneda 6 6 3" xfId="2159" xr:uid="{00000000-0005-0000-0000-0000FC080000}"/>
    <cellStyle name="Moneda 6 6 3 2" xfId="2160" xr:uid="{00000000-0005-0000-0000-0000FD080000}"/>
    <cellStyle name="Moneda 6 6 4" xfId="2161" xr:uid="{00000000-0005-0000-0000-0000FE080000}"/>
    <cellStyle name="Moneda 6 6 4 2" xfId="2162" xr:uid="{00000000-0005-0000-0000-0000FF080000}"/>
    <cellStyle name="Moneda 6 6 5" xfId="2163" xr:uid="{00000000-0005-0000-0000-000000090000}"/>
    <cellStyle name="Moneda 6 6 5 2" xfId="2164" xr:uid="{00000000-0005-0000-0000-000001090000}"/>
    <cellStyle name="Moneda 6 6 6" xfId="2165" xr:uid="{00000000-0005-0000-0000-000002090000}"/>
    <cellStyle name="Moneda 6 7" xfId="2166" xr:uid="{00000000-0005-0000-0000-000003090000}"/>
    <cellStyle name="Moneda 6 7 2" xfId="2167" xr:uid="{00000000-0005-0000-0000-000004090000}"/>
    <cellStyle name="Moneda 6 7 2 2" xfId="2168" xr:uid="{00000000-0005-0000-0000-000005090000}"/>
    <cellStyle name="Moneda 6 7 3" xfId="2169" xr:uid="{00000000-0005-0000-0000-000006090000}"/>
    <cellStyle name="Moneda 6 7 3 2" xfId="2170" xr:uid="{00000000-0005-0000-0000-000007090000}"/>
    <cellStyle name="Moneda 6 7 4" xfId="2171" xr:uid="{00000000-0005-0000-0000-000008090000}"/>
    <cellStyle name="Moneda 6 7 4 2" xfId="2172" xr:uid="{00000000-0005-0000-0000-000009090000}"/>
    <cellStyle name="Moneda 6 7 5" xfId="2173" xr:uid="{00000000-0005-0000-0000-00000A090000}"/>
    <cellStyle name="Moneda 6 8" xfId="2174" xr:uid="{00000000-0005-0000-0000-00000B090000}"/>
    <cellStyle name="Moneda 6 8 2" xfId="2175" xr:uid="{00000000-0005-0000-0000-00000C090000}"/>
    <cellStyle name="Moneda 6 9" xfId="2176" xr:uid="{00000000-0005-0000-0000-00000D090000}"/>
    <cellStyle name="Moneda 6 9 2" xfId="2177" xr:uid="{00000000-0005-0000-0000-00000E090000}"/>
    <cellStyle name="Moneda 7" xfId="2178" xr:uid="{00000000-0005-0000-0000-00000F090000}"/>
    <cellStyle name="Moneda 7 10" xfId="2179" xr:uid="{00000000-0005-0000-0000-000010090000}"/>
    <cellStyle name="Moneda 7 10 2" xfId="2180" xr:uid="{00000000-0005-0000-0000-000011090000}"/>
    <cellStyle name="Moneda 7 11" xfId="2181" xr:uid="{00000000-0005-0000-0000-000012090000}"/>
    <cellStyle name="Moneda 7 12" xfId="2182" xr:uid="{00000000-0005-0000-0000-000013090000}"/>
    <cellStyle name="Moneda 7 2" xfId="2183" xr:uid="{00000000-0005-0000-0000-000014090000}"/>
    <cellStyle name="Moneda 7 2 10" xfId="2184" xr:uid="{00000000-0005-0000-0000-000015090000}"/>
    <cellStyle name="Moneda 7 2 11" xfId="2185" xr:uid="{00000000-0005-0000-0000-000016090000}"/>
    <cellStyle name="Moneda 7 2 2" xfId="2186" xr:uid="{00000000-0005-0000-0000-000017090000}"/>
    <cellStyle name="Moneda 7 2 2 2" xfId="2187" xr:uid="{00000000-0005-0000-0000-000018090000}"/>
    <cellStyle name="Moneda 7 2 2 2 2" xfId="2188" xr:uid="{00000000-0005-0000-0000-000019090000}"/>
    <cellStyle name="Moneda 7 2 2 2 2 2" xfId="2189" xr:uid="{00000000-0005-0000-0000-00001A090000}"/>
    <cellStyle name="Moneda 7 2 2 2 2 2 2" xfId="2190" xr:uid="{00000000-0005-0000-0000-00001B090000}"/>
    <cellStyle name="Moneda 7 2 2 2 2 3" xfId="2191" xr:uid="{00000000-0005-0000-0000-00001C090000}"/>
    <cellStyle name="Moneda 7 2 2 2 2 3 2" xfId="2192" xr:uid="{00000000-0005-0000-0000-00001D090000}"/>
    <cellStyle name="Moneda 7 2 2 2 2 4" xfId="2193" xr:uid="{00000000-0005-0000-0000-00001E090000}"/>
    <cellStyle name="Moneda 7 2 2 2 2 4 2" xfId="2194" xr:uid="{00000000-0005-0000-0000-00001F090000}"/>
    <cellStyle name="Moneda 7 2 2 2 2 5" xfId="2195" xr:uid="{00000000-0005-0000-0000-000020090000}"/>
    <cellStyle name="Moneda 7 2 2 2 3" xfId="2196" xr:uid="{00000000-0005-0000-0000-000021090000}"/>
    <cellStyle name="Moneda 7 2 2 2 3 2" xfId="2197" xr:uid="{00000000-0005-0000-0000-000022090000}"/>
    <cellStyle name="Moneda 7 2 2 2 4" xfId="2198" xr:uid="{00000000-0005-0000-0000-000023090000}"/>
    <cellStyle name="Moneda 7 2 2 2 4 2" xfId="2199" xr:uid="{00000000-0005-0000-0000-000024090000}"/>
    <cellStyle name="Moneda 7 2 2 2 5" xfId="2200" xr:uid="{00000000-0005-0000-0000-000025090000}"/>
    <cellStyle name="Moneda 7 2 2 2 5 2" xfId="2201" xr:uid="{00000000-0005-0000-0000-000026090000}"/>
    <cellStyle name="Moneda 7 2 2 2 6" xfId="2202" xr:uid="{00000000-0005-0000-0000-000027090000}"/>
    <cellStyle name="Moneda 7 2 2 3" xfId="2203" xr:uid="{00000000-0005-0000-0000-000028090000}"/>
    <cellStyle name="Moneda 7 2 2 3 2" xfId="2204" xr:uid="{00000000-0005-0000-0000-000029090000}"/>
    <cellStyle name="Moneda 7 2 2 3 2 2" xfId="2205" xr:uid="{00000000-0005-0000-0000-00002A090000}"/>
    <cellStyle name="Moneda 7 2 2 3 3" xfId="2206" xr:uid="{00000000-0005-0000-0000-00002B090000}"/>
    <cellStyle name="Moneda 7 2 2 3 3 2" xfId="2207" xr:uid="{00000000-0005-0000-0000-00002C090000}"/>
    <cellStyle name="Moneda 7 2 2 3 4" xfId="2208" xr:uid="{00000000-0005-0000-0000-00002D090000}"/>
    <cellStyle name="Moneda 7 2 2 3 4 2" xfId="2209" xr:uid="{00000000-0005-0000-0000-00002E090000}"/>
    <cellStyle name="Moneda 7 2 2 3 5" xfId="2210" xr:uid="{00000000-0005-0000-0000-00002F090000}"/>
    <cellStyle name="Moneda 7 2 2 4" xfId="2211" xr:uid="{00000000-0005-0000-0000-000030090000}"/>
    <cellStyle name="Moneda 7 2 2 4 2" xfId="2212" xr:uid="{00000000-0005-0000-0000-000031090000}"/>
    <cellStyle name="Moneda 7 2 2 5" xfId="2213" xr:uid="{00000000-0005-0000-0000-000032090000}"/>
    <cellStyle name="Moneda 7 2 2 5 2" xfId="2214" xr:uid="{00000000-0005-0000-0000-000033090000}"/>
    <cellStyle name="Moneda 7 2 2 6" xfId="2215" xr:uid="{00000000-0005-0000-0000-000034090000}"/>
    <cellStyle name="Moneda 7 2 2 6 2" xfId="2216" xr:uid="{00000000-0005-0000-0000-000035090000}"/>
    <cellStyle name="Moneda 7 2 2 7" xfId="2217" xr:uid="{00000000-0005-0000-0000-000036090000}"/>
    <cellStyle name="Moneda 7 2 3" xfId="2218" xr:uid="{00000000-0005-0000-0000-000037090000}"/>
    <cellStyle name="Moneda 7 2 3 2" xfId="2219" xr:uid="{00000000-0005-0000-0000-000038090000}"/>
    <cellStyle name="Moneda 7 2 3 2 2" xfId="2220" xr:uid="{00000000-0005-0000-0000-000039090000}"/>
    <cellStyle name="Moneda 7 2 3 2 2 2" xfId="2221" xr:uid="{00000000-0005-0000-0000-00003A090000}"/>
    <cellStyle name="Moneda 7 2 3 2 2 2 2" xfId="2222" xr:uid="{00000000-0005-0000-0000-00003B090000}"/>
    <cellStyle name="Moneda 7 2 3 2 2 3" xfId="2223" xr:uid="{00000000-0005-0000-0000-00003C090000}"/>
    <cellStyle name="Moneda 7 2 3 2 2 3 2" xfId="2224" xr:uid="{00000000-0005-0000-0000-00003D090000}"/>
    <cellStyle name="Moneda 7 2 3 2 2 4" xfId="2225" xr:uid="{00000000-0005-0000-0000-00003E090000}"/>
    <cellStyle name="Moneda 7 2 3 2 2 4 2" xfId="2226" xr:uid="{00000000-0005-0000-0000-00003F090000}"/>
    <cellStyle name="Moneda 7 2 3 2 2 5" xfId="2227" xr:uid="{00000000-0005-0000-0000-000040090000}"/>
    <cellStyle name="Moneda 7 2 3 2 3" xfId="2228" xr:uid="{00000000-0005-0000-0000-000041090000}"/>
    <cellStyle name="Moneda 7 2 3 2 3 2" xfId="2229" xr:uid="{00000000-0005-0000-0000-000042090000}"/>
    <cellStyle name="Moneda 7 2 3 2 4" xfId="2230" xr:uid="{00000000-0005-0000-0000-000043090000}"/>
    <cellStyle name="Moneda 7 2 3 2 4 2" xfId="2231" xr:uid="{00000000-0005-0000-0000-000044090000}"/>
    <cellStyle name="Moneda 7 2 3 2 5" xfId="2232" xr:uid="{00000000-0005-0000-0000-000045090000}"/>
    <cellStyle name="Moneda 7 2 3 2 5 2" xfId="2233" xr:uid="{00000000-0005-0000-0000-000046090000}"/>
    <cellStyle name="Moneda 7 2 3 2 6" xfId="2234" xr:uid="{00000000-0005-0000-0000-000047090000}"/>
    <cellStyle name="Moneda 7 2 3 3" xfId="2235" xr:uid="{00000000-0005-0000-0000-000048090000}"/>
    <cellStyle name="Moneda 7 2 3 3 2" xfId="2236" xr:uid="{00000000-0005-0000-0000-000049090000}"/>
    <cellStyle name="Moneda 7 2 3 3 2 2" xfId="2237" xr:uid="{00000000-0005-0000-0000-00004A090000}"/>
    <cellStyle name="Moneda 7 2 3 3 3" xfId="2238" xr:uid="{00000000-0005-0000-0000-00004B090000}"/>
    <cellStyle name="Moneda 7 2 3 3 3 2" xfId="2239" xr:uid="{00000000-0005-0000-0000-00004C090000}"/>
    <cellStyle name="Moneda 7 2 3 3 4" xfId="2240" xr:uid="{00000000-0005-0000-0000-00004D090000}"/>
    <cellStyle name="Moneda 7 2 3 3 4 2" xfId="2241" xr:uid="{00000000-0005-0000-0000-00004E090000}"/>
    <cellStyle name="Moneda 7 2 3 3 5" xfId="2242" xr:uid="{00000000-0005-0000-0000-00004F090000}"/>
    <cellStyle name="Moneda 7 2 3 4" xfId="2243" xr:uid="{00000000-0005-0000-0000-000050090000}"/>
    <cellStyle name="Moneda 7 2 3 4 2" xfId="2244" xr:uid="{00000000-0005-0000-0000-000051090000}"/>
    <cellStyle name="Moneda 7 2 3 5" xfId="2245" xr:uid="{00000000-0005-0000-0000-000052090000}"/>
    <cellStyle name="Moneda 7 2 3 5 2" xfId="2246" xr:uid="{00000000-0005-0000-0000-000053090000}"/>
    <cellStyle name="Moneda 7 2 3 6" xfId="2247" xr:uid="{00000000-0005-0000-0000-000054090000}"/>
    <cellStyle name="Moneda 7 2 3 6 2" xfId="2248" xr:uid="{00000000-0005-0000-0000-000055090000}"/>
    <cellStyle name="Moneda 7 2 3 7" xfId="2249" xr:uid="{00000000-0005-0000-0000-000056090000}"/>
    <cellStyle name="Moneda 7 2 4" xfId="2250" xr:uid="{00000000-0005-0000-0000-000057090000}"/>
    <cellStyle name="Moneda 7 2 4 2" xfId="2251" xr:uid="{00000000-0005-0000-0000-000058090000}"/>
    <cellStyle name="Moneda 7 2 4 2 2" xfId="2252" xr:uid="{00000000-0005-0000-0000-000059090000}"/>
    <cellStyle name="Moneda 7 2 4 2 2 2" xfId="2253" xr:uid="{00000000-0005-0000-0000-00005A090000}"/>
    <cellStyle name="Moneda 7 2 4 2 2 2 2" xfId="2254" xr:uid="{00000000-0005-0000-0000-00005B090000}"/>
    <cellStyle name="Moneda 7 2 4 2 2 3" xfId="2255" xr:uid="{00000000-0005-0000-0000-00005C090000}"/>
    <cellStyle name="Moneda 7 2 4 2 2 3 2" xfId="2256" xr:uid="{00000000-0005-0000-0000-00005D090000}"/>
    <cellStyle name="Moneda 7 2 4 2 2 4" xfId="2257" xr:uid="{00000000-0005-0000-0000-00005E090000}"/>
    <cellStyle name="Moneda 7 2 4 2 2 4 2" xfId="2258" xr:uid="{00000000-0005-0000-0000-00005F090000}"/>
    <cellStyle name="Moneda 7 2 4 2 2 5" xfId="2259" xr:uid="{00000000-0005-0000-0000-000060090000}"/>
    <cellStyle name="Moneda 7 2 4 2 3" xfId="2260" xr:uid="{00000000-0005-0000-0000-000061090000}"/>
    <cellStyle name="Moneda 7 2 4 2 3 2" xfId="2261" xr:uid="{00000000-0005-0000-0000-000062090000}"/>
    <cellStyle name="Moneda 7 2 4 2 4" xfId="2262" xr:uid="{00000000-0005-0000-0000-000063090000}"/>
    <cellStyle name="Moneda 7 2 4 2 4 2" xfId="2263" xr:uid="{00000000-0005-0000-0000-000064090000}"/>
    <cellStyle name="Moneda 7 2 4 2 5" xfId="2264" xr:uid="{00000000-0005-0000-0000-000065090000}"/>
    <cellStyle name="Moneda 7 2 4 2 5 2" xfId="2265" xr:uid="{00000000-0005-0000-0000-000066090000}"/>
    <cellStyle name="Moneda 7 2 4 2 6" xfId="2266" xr:uid="{00000000-0005-0000-0000-000067090000}"/>
    <cellStyle name="Moneda 7 2 4 3" xfId="2267" xr:uid="{00000000-0005-0000-0000-000068090000}"/>
    <cellStyle name="Moneda 7 2 4 3 2" xfId="2268" xr:uid="{00000000-0005-0000-0000-000069090000}"/>
    <cellStyle name="Moneda 7 2 4 3 2 2" xfId="2269" xr:uid="{00000000-0005-0000-0000-00006A090000}"/>
    <cellStyle name="Moneda 7 2 4 3 3" xfId="2270" xr:uid="{00000000-0005-0000-0000-00006B090000}"/>
    <cellStyle name="Moneda 7 2 4 3 3 2" xfId="2271" xr:uid="{00000000-0005-0000-0000-00006C090000}"/>
    <cellStyle name="Moneda 7 2 4 3 4" xfId="2272" xr:uid="{00000000-0005-0000-0000-00006D090000}"/>
    <cellStyle name="Moneda 7 2 4 3 4 2" xfId="2273" xr:uid="{00000000-0005-0000-0000-00006E090000}"/>
    <cellStyle name="Moneda 7 2 4 3 5" xfId="2274" xr:uid="{00000000-0005-0000-0000-00006F090000}"/>
    <cellStyle name="Moneda 7 2 4 4" xfId="2275" xr:uid="{00000000-0005-0000-0000-000070090000}"/>
    <cellStyle name="Moneda 7 2 4 4 2" xfId="2276" xr:uid="{00000000-0005-0000-0000-000071090000}"/>
    <cellStyle name="Moneda 7 2 4 5" xfId="2277" xr:uid="{00000000-0005-0000-0000-000072090000}"/>
    <cellStyle name="Moneda 7 2 4 5 2" xfId="2278" xr:uid="{00000000-0005-0000-0000-000073090000}"/>
    <cellStyle name="Moneda 7 2 4 6" xfId="2279" xr:uid="{00000000-0005-0000-0000-000074090000}"/>
    <cellStyle name="Moneda 7 2 4 6 2" xfId="2280" xr:uid="{00000000-0005-0000-0000-000075090000}"/>
    <cellStyle name="Moneda 7 2 4 7" xfId="2281" xr:uid="{00000000-0005-0000-0000-000076090000}"/>
    <cellStyle name="Moneda 7 2 5" xfId="2282" xr:uid="{00000000-0005-0000-0000-000077090000}"/>
    <cellStyle name="Moneda 7 2 5 2" xfId="2283" xr:uid="{00000000-0005-0000-0000-000078090000}"/>
    <cellStyle name="Moneda 7 2 5 2 2" xfId="2284" xr:uid="{00000000-0005-0000-0000-000079090000}"/>
    <cellStyle name="Moneda 7 2 5 2 2 2" xfId="2285" xr:uid="{00000000-0005-0000-0000-00007A090000}"/>
    <cellStyle name="Moneda 7 2 5 2 3" xfId="2286" xr:uid="{00000000-0005-0000-0000-00007B090000}"/>
    <cellStyle name="Moneda 7 2 5 2 3 2" xfId="2287" xr:uid="{00000000-0005-0000-0000-00007C090000}"/>
    <cellStyle name="Moneda 7 2 5 2 4" xfId="2288" xr:uid="{00000000-0005-0000-0000-00007D090000}"/>
    <cellStyle name="Moneda 7 2 5 2 4 2" xfId="2289" xr:uid="{00000000-0005-0000-0000-00007E090000}"/>
    <cellStyle name="Moneda 7 2 5 2 5" xfId="2290" xr:uid="{00000000-0005-0000-0000-00007F090000}"/>
    <cellStyle name="Moneda 7 2 5 3" xfId="2291" xr:uid="{00000000-0005-0000-0000-000080090000}"/>
    <cellStyle name="Moneda 7 2 5 3 2" xfId="2292" xr:uid="{00000000-0005-0000-0000-000081090000}"/>
    <cellStyle name="Moneda 7 2 5 4" xfId="2293" xr:uid="{00000000-0005-0000-0000-000082090000}"/>
    <cellStyle name="Moneda 7 2 5 4 2" xfId="2294" xr:uid="{00000000-0005-0000-0000-000083090000}"/>
    <cellStyle name="Moneda 7 2 5 5" xfId="2295" xr:uid="{00000000-0005-0000-0000-000084090000}"/>
    <cellStyle name="Moneda 7 2 5 5 2" xfId="2296" xr:uid="{00000000-0005-0000-0000-000085090000}"/>
    <cellStyle name="Moneda 7 2 5 6" xfId="2297" xr:uid="{00000000-0005-0000-0000-000086090000}"/>
    <cellStyle name="Moneda 7 2 6" xfId="2298" xr:uid="{00000000-0005-0000-0000-000087090000}"/>
    <cellStyle name="Moneda 7 2 6 2" xfId="2299" xr:uid="{00000000-0005-0000-0000-000088090000}"/>
    <cellStyle name="Moneda 7 2 6 2 2" xfId="2300" xr:uid="{00000000-0005-0000-0000-000089090000}"/>
    <cellStyle name="Moneda 7 2 6 3" xfId="2301" xr:uid="{00000000-0005-0000-0000-00008A090000}"/>
    <cellStyle name="Moneda 7 2 6 3 2" xfId="2302" xr:uid="{00000000-0005-0000-0000-00008B090000}"/>
    <cellStyle name="Moneda 7 2 6 4" xfId="2303" xr:uid="{00000000-0005-0000-0000-00008C090000}"/>
    <cellStyle name="Moneda 7 2 6 4 2" xfId="2304" xr:uid="{00000000-0005-0000-0000-00008D090000}"/>
    <cellStyle name="Moneda 7 2 6 5" xfId="2305" xr:uid="{00000000-0005-0000-0000-00008E090000}"/>
    <cellStyle name="Moneda 7 2 7" xfId="2306" xr:uid="{00000000-0005-0000-0000-00008F090000}"/>
    <cellStyle name="Moneda 7 2 7 2" xfId="2307" xr:uid="{00000000-0005-0000-0000-000090090000}"/>
    <cellStyle name="Moneda 7 2 8" xfId="2308" xr:uid="{00000000-0005-0000-0000-000091090000}"/>
    <cellStyle name="Moneda 7 2 8 2" xfId="2309" xr:uid="{00000000-0005-0000-0000-000092090000}"/>
    <cellStyle name="Moneda 7 2 9" xfId="2310" xr:uid="{00000000-0005-0000-0000-000093090000}"/>
    <cellStyle name="Moneda 7 2 9 2" xfId="2311" xr:uid="{00000000-0005-0000-0000-000094090000}"/>
    <cellStyle name="Moneda 7 3" xfId="2312" xr:uid="{00000000-0005-0000-0000-000095090000}"/>
    <cellStyle name="Moneda 7 3 2" xfId="2313" xr:uid="{00000000-0005-0000-0000-000096090000}"/>
    <cellStyle name="Moneda 7 3 2 2" xfId="2314" xr:uid="{00000000-0005-0000-0000-000097090000}"/>
    <cellStyle name="Moneda 7 3 2 2 2" xfId="2315" xr:uid="{00000000-0005-0000-0000-000098090000}"/>
    <cellStyle name="Moneda 7 3 2 2 2 2" xfId="2316" xr:uid="{00000000-0005-0000-0000-000099090000}"/>
    <cellStyle name="Moneda 7 3 2 2 3" xfId="2317" xr:uid="{00000000-0005-0000-0000-00009A090000}"/>
    <cellStyle name="Moneda 7 3 2 2 3 2" xfId="2318" xr:uid="{00000000-0005-0000-0000-00009B090000}"/>
    <cellStyle name="Moneda 7 3 2 2 4" xfId="2319" xr:uid="{00000000-0005-0000-0000-00009C090000}"/>
    <cellStyle name="Moneda 7 3 2 2 4 2" xfId="2320" xr:uid="{00000000-0005-0000-0000-00009D090000}"/>
    <cellStyle name="Moneda 7 3 2 2 5" xfId="2321" xr:uid="{00000000-0005-0000-0000-00009E090000}"/>
    <cellStyle name="Moneda 7 3 2 3" xfId="2322" xr:uid="{00000000-0005-0000-0000-00009F090000}"/>
    <cellStyle name="Moneda 7 3 2 3 2" xfId="2323" xr:uid="{00000000-0005-0000-0000-0000A0090000}"/>
    <cellStyle name="Moneda 7 3 2 4" xfId="2324" xr:uid="{00000000-0005-0000-0000-0000A1090000}"/>
    <cellStyle name="Moneda 7 3 2 4 2" xfId="2325" xr:uid="{00000000-0005-0000-0000-0000A2090000}"/>
    <cellStyle name="Moneda 7 3 2 5" xfId="2326" xr:uid="{00000000-0005-0000-0000-0000A3090000}"/>
    <cellStyle name="Moneda 7 3 2 5 2" xfId="2327" xr:uid="{00000000-0005-0000-0000-0000A4090000}"/>
    <cellStyle name="Moneda 7 3 2 6" xfId="2328" xr:uid="{00000000-0005-0000-0000-0000A5090000}"/>
    <cellStyle name="Moneda 7 3 3" xfId="2329" xr:uid="{00000000-0005-0000-0000-0000A6090000}"/>
    <cellStyle name="Moneda 7 3 3 2" xfId="2330" xr:uid="{00000000-0005-0000-0000-0000A7090000}"/>
    <cellStyle name="Moneda 7 3 3 2 2" xfId="2331" xr:uid="{00000000-0005-0000-0000-0000A8090000}"/>
    <cellStyle name="Moneda 7 3 3 3" xfId="2332" xr:uid="{00000000-0005-0000-0000-0000A9090000}"/>
    <cellStyle name="Moneda 7 3 3 3 2" xfId="2333" xr:uid="{00000000-0005-0000-0000-0000AA090000}"/>
    <cellStyle name="Moneda 7 3 3 4" xfId="2334" xr:uid="{00000000-0005-0000-0000-0000AB090000}"/>
    <cellStyle name="Moneda 7 3 3 4 2" xfId="2335" xr:uid="{00000000-0005-0000-0000-0000AC090000}"/>
    <cellStyle name="Moneda 7 3 3 5" xfId="2336" xr:uid="{00000000-0005-0000-0000-0000AD090000}"/>
    <cellStyle name="Moneda 7 3 4" xfId="2337" xr:uid="{00000000-0005-0000-0000-0000AE090000}"/>
    <cellStyle name="Moneda 7 3 4 2" xfId="2338" xr:uid="{00000000-0005-0000-0000-0000AF090000}"/>
    <cellStyle name="Moneda 7 3 5" xfId="2339" xr:uid="{00000000-0005-0000-0000-0000B0090000}"/>
    <cellStyle name="Moneda 7 3 5 2" xfId="2340" xr:uid="{00000000-0005-0000-0000-0000B1090000}"/>
    <cellStyle name="Moneda 7 3 6" xfId="2341" xr:uid="{00000000-0005-0000-0000-0000B2090000}"/>
    <cellStyle name="Moneda 7 3 6 2" xfId="2342" xr:uid="{00000000-0005-0000-0000-0000B3090000}"/>
    <cellStyle name="Moneda 7 3 7" xfId="2343" xr:uid="{00000000-0005-0000-0000-0000B4090000}"/>
    <cellStyle name="Moneda 7 4" xfId="2344" xr:uid="{00000000-0005-0000-0000-0000B5090000}"/>
    <cellStyle name="Moneda 7 4 2" xfId="2345" xr:uid="{00000000-0005-0000-0000-0000B6090000}"/>
    <cellStyle name="Moneda 7 4 2 2" xfId="2346" xr:uid="{00000000-0005-0000-0000-0000B7090000}"/>
    <cellStyle name="Moneda 7 4 2 2 2" xfId="2347" xr:uid="{00000000-0005-0000-0000-0000B8090000}"/>
    <cellStyle name="Moneda 7 4 2 2 2 2" xfId="2348" xr:uid="{00000000-0005-0000-0000-0000B9090000}"/>
    <cellStyle name="Moneda 7 4 2 2 3" xfId="2349" xr:uid="{00000000-0005-0000-0000-0000BA090000}"/>
    <cellStyle name="Moneda 7 4 2 2 3 2" xfId="2350" xr:uid="{00000000-0005-0000-0000-0000BB090000}"/>
    <cellStyle name="Moneda 7 4 2 2 4" xfId="2351" xr:uid="{00000000-0005-0000-0000-0000BC090000}"/>
    <cellStyle name="Moneda 7 4 2 2 4 2" xfId="2352" xr:uid="{00000000-0005-0000-0000-0000BD090000}"/>
    <cellStyle name="Moneda 7 4 2 2 5" xfId="2353" xr:uid="{00000000-0005-0000-0000-0000BE090000}"/>
    <cellStyle name="Moneda 7 4 2 3" xfId="2354" xr:uid="{00000000-0005-0000-0000-0000BF090000}"/>
    <cellStyle name="Moneda 7 4 2 3 2" xfId="2355" xr:uid="{00000000-0005-0000-0000-0000C0090000}"/>
    <cellStyle name="Moneda 7 4 2 4" xfId="2356" xr:uid="{00000000-0005-0000-0000-0000C1090000}"/>
    <cellStyle name="Moneda 7 4 2 4 2" xfId="2357" xr:uid="{00000000-0005-0000-0000-0000C2090000}"/>
    <cellStyle name="Moneda 7 4 2 5" xfId="2358" xr:uid="{00000000-0005-0000-0000-0000C3090000}"/>
    <cellStyle name="Moneda 7 4 2 5 2" xfId="2359" xr:uid="{00000000-0005-0000-0000-0000C4090000}"/>
    <cellStyle name="Moneda 7 4 2 6" xfId="2360" xr:uid="{00000000-0005-0000-0000-0000C5090000}"/>
    <cellStyle name="Moneda 7 4 3" xfId="2361" xr:uid="{00000000-0005-0000-0000-0000C6090000}"/>
    <cellStyle name="Moneda 7 4 3 2" xfId="2362" xr:uid="{00000000-0005-0000-0000-0000C7090000}"/>
    <cellStyle name="Moneda 7 4 3 2 2" xfId="2363" xr:uid="{00000000-0005-0000-0000-0000C8090000}"/>
    <cellStyle name="Moneda 7 4 3 3" xfId="2364" xr:uid="{00000000-0005-0000-0000-0000C9090000}"/>
    <cellStyle name="Moneda 7 4 3 3 2" xfId="2365" xr:uid="{00000000-0005-0000-0000-0000CA090000}"/>
    <cellStyle name="Moneda 7 4 3 4" xfId="2366" xr:uid="{00000000-0005-0000-0000-0000CB090000}"/>
    <cellStyle name="Moneda 7 4 3 4 2" xfId="2367" xr:uid="{00000000-0005-0000-0000-0000CC090000}"/>
    <cellStyle name="Moneda 7 4 3 5" xfId="2368" xr:uid="{00000000-0005-0000-0000-0000CD090000}"/>
    <cellStyle name="Moneda 7 4 4" xfId="2369" xr:uid="{00000000-0005-0000-0000-0000CE090000}"/>
    <cellStyle name="Moneda 7 4 4 2" xfId="2370" xr:uid="{00000000-0005-0000-0000-0000CF090000}"/>
    <cellStyle name="Moneda 7 4 5" xfId="2371" xr:uid="{00000000-0005-0000-0000-0000D0090000}"/>
    <cellStyle name="Moneda 7 4 5 2" xfId="2372" xr:uid="{00000000-0005-0000-0000-0000D1090000}"/>
    <cellStyle name="Moneda 7 4 6" xfId="2373" xr:uid="{00000000-0005-0000-0000-0000D2090000}"/>
    <cellStyle name="Moneda 7 4 6 2" xfId="2374" xr:uid="{00000000-0005-0000-0000-0000D3090000}"/>
    <cellStyle name="Moneda 7 4 7" xfId="2375" xr:uid="{00000000-0005-0000-0000-0000D4090000}"/>
    <cellStyle name="Moneda 7 5" xfId="2376" xr:uid="{00000000-0005-0000-0000-0000D5090000}"/>
    <cellStyle name="Moneda 7 5 2" xfId="2377" xr:uid="{00000000-0005-0000-0000-0000D6090000}"/>
    <cellStyle name="Moneda 7 5 2 2" xfId="2378" xr:uid="{00000000-0005-0000-0000-0000D7090000}"/>
    <cellStyle name="Moneda 7 5 2 2 2" xfId="2379" xr:uid="{00000000-0005-0000-0000-0000D8090000}"/>
    <cellStyle name="Moneda 7 5 2 2 2 2" xfId="2380" xr:uid="{00000000-0005-0000-0000-0000D9090000}"/>
    <cellStyle name="Moneda 7 5 2 2 3" xfId="2381" xr:uid="{00000000-0005-0000-0000-0000DA090000}"/>
    <cellStyle name="Moneda 7 5 2 2 3 2" xfId="2382" xr:uid="{00000000-0005-0000-0000-0000DB090000}"/>
    <cellStyle name="Moneda 7 5 2 2 4" xfId="2383" xr:uid="{00000000-0005-0000-0000-0000DC090000}"/>
    <cellStyle name="Moneda 7 5 2 2 4 2" xfId="2384" xr:uid="{00000000-0005-0000-0000-0000DD090000}"/>
    <cellStyle name="Moneda 7 5 2 2 5" xfId="2385" xr:uid="{00000000-0005-0000-0000-0000DE090000}"/>
    <cellStyle name="Moneda 7 5 2 3" xfId="2386" xr:uid="{00000000-0005-0000-0000-0000DF090000}"/>
    <cellStyle name="Moneda 7 5 2 3 2" xfId="2387" xr:uid="{00000000-0005-0000-0000-0000E0090000}"/>
    <cellStyle name="Moneda 7 5 2 4" xfId="2388" xr:uid="{00000000-0005-0000-0000-0000E1090000}"/>
    <cellStyle name="Moneda 7 5 2 4 2" xfId="2389" xr:uid="{00000000-0005-0000-0000-0000E2090000}"/>
    <cellStyle name="Moneda 7 5 2 5" xfId="2390" xr:uid="{00000000-0005-0000-0000-0000E3090000}"/>
    <cellStyle name="Moneda 7 5 2 5 2" xfId="2391" xr:uid="{00000000-0005-0000-0000-0000E4090000}"/>
    <cellStyle name="Moneda 7 5 2 6" xfId="2392" xr:uid="{00000000-0005-0000-0000-0000E5090000}"/>
    <cellStyle name="Moneda 7 5 3" xfId="2393" xr:uid="{00000000-0005-0000-0000-0000E6090000}"/>
    <cellStyle name="Moneda 7 5 3 2" xfId="2394" xr:uid="{00000000-0005-0000-0000-0000E7090000}"/>
    <cellStyle name="Moneda 7 5 3 2 2" xfId="2395" xr:uid="{00000000-0005-0000-0000-0000E8090000}"/>
    <cellStyle name="Moneda 7 5 3 3" xfId="2396" xr:uid="{00000000-0005-0000-0000-0000E9090000}"/>
    <cellStyle name="Moneda 7 5 3 3 2" xfId="2397" xr:uid="{00000000-0005-0000-0000-0000EA090000}"/>
    <cellStyle name="Moneda 7 5 3 4" xfId="2398" xr:uid="{00000000-0005-0000-0000-0000EB090000}"/>
    <cellStyle name="Moneda 7 5 3 4 2" xfId="2399" xr:uid="{00000000-0005-0000-0000-0000EC090000}"/>
    <cellStyle name="Moneda 7 5 3 5" xfId="2400" xr:uid="{00000000-0005-0000-0000-0000ED090000}"/>
    <cellStyle name="Moneda 7 5 4" xfId="2401" xr:uid="{00000000-0005-0000-0000-0000EE090000}"/>
    <cellStyle name="Moneda 7 5 4 2" xfId="2402" xr:uid="{00000000-0005-0000-0000-0000EF090000}"/>
    <cellStyle name="Moneda 7 5 5" xfId="2403" xr:uid="{00000000-0005-0000-0000-0000F0090000}"/>
    <cellStyle name="Moneda 7 5 5 2" xfId="2404" xr:uid="{00000000-0005-0000-0000-0000F1090000}"/>
    <cellStyle name="Moneda 7 5 6" xfId="2405" xr:uid="{00000000-0005-0000-0000-0000F2090000}"/>
    <cellStyle name="Moneda 7 5 6 2" xfId="2406" xr:uid="{00000000-0005-0000-0000-0000F3090000}"/>
    <cellStyle name="Moneda 7 5 7" xfId="2407" xr:uid="{00000000-0005-0000-0000-0000F4090000}"/>
    <cellStyle name="Moneda 7 6" xfId="2408" xr:uid="{00000000-0005-0000-0000-0000F5090000}"/>
    <cellStyle name="Moneda 7 6 2" xfId="2409" xr:uid="{00000000-0005-0000-0000-0000F6090000}"/>
    <cellStyle name="Moneda 7 6 2 2" xfId="2410" xr:uid="{00000000-0005-0000-0000-0000F7090000}"/>
    <cellStyle name="Moneda 7 6 2 2 2" xfId="2411" xr:uid="{00000000-0005-0000-0000-0000F8090000}"/>
    <cellStyle name="Moneda 7 6 2 3" xfId="2412" xr:uid="{00000000-0005-0000-0000-0000F9090000}"/>
    <cellStyle name="Moneda 7 6 2 3 2" xfId="2413" xr:uid="{00000000-0005-0000-0000-0000FA090000}"/>
    <cellStyle name="Moneda 7 6 2 4" xfId="2414" xr:uid="{00000000-0005-0000-0000-0000FB090000}"/>
    <cellStyle name="Moneda 7 6 2 4 2" xfId="2415" xr:uid="{00000000-0005-0000-0000-0000FC090000}"/>
    <cellStyle name="Moneda 7 6 2 5" xfId="2416" xr:uid="{00000000-0005-0000-0000-0000FD090000}"/>
    <cellStyle name="Moneda 7 6 3" xfId="2417" xr:uid="{00000000-0005-0000-0000-0000FE090000}"/>
    <cellStyle name="Moneda 7 6 3 2" xfId="2418" xr:uid="{00000000-0005-0000-0000-0000FF090000}"/>
    <cellStyle name="Moneda 7 6 4" xfId="2419" xr:uid="{00000000-0005-0000-0000-0000000A0000}"/>
    <cellStyle name="Moneda 7 6 4 2" xfId="2420" xr:uid="{00000000-0005-0000-0000-0000010A0000}"/>
    <cellStyle name="Moneda 7 6 5" xfId="2421" xr:uid="{00000000-0005-0000-0000-0000020A0000}"/>
    <cellStyle name="Moneda 7 6 5 2" xfId="2422" xr:uid="{00000000-0005-0000-0000-0000030A0000}"/>
    <cellStyle name="Moneda 7 6 6" xfId="2423" xr:uid="{00000000-0005-0000-0000-0000040A0000}"/>
    <cellStyle name="Moneda 7 7" xfId="2424" xr:uid="{00000000-0005-0000-0000-0000050A0000}"/>
    <cellStyle name="Moneda 7 7 2" xfId="2425" xr:uid="{00000000-0005-0000-0000-0000060A0000}"/>
    <cellStyle name="Moneda 7 7 2 2" xfId="2426" xr:uid="{00000000-0005-0000-0000-0000070A0000}"/>
    <cellStyle name="Moneda 7 7 3" xfId="2427" xr:uid="{00000000-0005-0000-0000-0000080A0000}"/>
    <cellStyle name="Moneda 7 7 3 2" xfId="2428" xr:uid="{00000000-0005-0000-0000-0000090A0000}"/>
    <cellStyle name="Moneda 7 7 4" xfId="2429" xr:uid="{00000000-0005-0000-0000-00000A0A0000}"/>
    <cellStyle name="Moneda 7 7 4 2" xfId="2430" xr:uid="{00000000-0005-0000-0000-00000B0A0000}"/>
    <cellStyle name="Moneda 7 7 5" xfId="2431" xr:uid="{00000000-0005-0000-0000-00000C0A0000}"/>
    <cellStyle name="Moneda 7 8" xfId="2432" xr:uid="{00000000-0005-0000-0000-00000D0A0000}"/>
    <cellStyle name="Moneda 7 8 2" xfId="2433" xr:uid="{00000000-0005-0000-0000-00000E0A0000}"/>
    <cellStyle name="Moneda 7 9" xfId="2434" xr:uid="{00000000-0005-0000-0000-00000F0A0000}"/>
    <cellStyle name="Moneda 7 9 2" xfId="2435" xr:uid="{00000000-0005-0000-0000-0000100A0000}"/>
    <cellStyle name="Moneda 8" xfId="2436" xr:uid="{00000000-0005-0000-0000-0000110A0000}"/>
    <cellStyle name="Moneda 8 10" xfId="2437" xr:uid="{00000000-0005-0000-0000-0000120A0000}"/>
    <cellStyle name="Moneda 8 10 2" xfId="2438" xr:uid="{00000000-0005-0000-0000-0000130A0000}"/>
    <cellStyle name="Moneda 8 11" xfId="2439" xr:uid="{00000000-0005-0000-0000-0000140A0000}"/>
    <cellStyle name="Moneda 8 11 2" xfId="2440" xr:uid="{00000000-0005-0000-0000-0000150A0000}"/>
    <cellStyle name="Moneda 8 12" xfId="2441" xr:uid="{00000000-0005-0000-0000-0000160A0000}"/>
    <cellStyle name="Moneda 8 13" xfId="2442" xr:uid="{00000000-0005-0000-0000-0000170A0000}"/>
    <cellStyle name="Moneda 8 2" xfId="2443" xr:uid="{00000000-0005-0000-0000-0000180A0000}"/>
    <cellStyle name="Moneda 8 2 10" xfId="2444" xr:uid="{00000000-0005-0000-0000-0000190A0000}"/>
    <cellStyle name="Moneda 8 2 11" xfId="2445" xr:uid="{00000000-0005-0000-0000-00001A0A0000}"/>
    <cellStyle name="Moneda 8 2 2" xfId="2446" xr:uid="{00000000-0005-0000-0000-00001B0A0000}"/>
    <cellStyle name="Moneda 8 2 2 2" xfId="2447" xr:uid="{00000000-0005-0000-0000-00001C0A0000}"/>
    <cellStyle name="Moneda 8 2 2 2 2" xfId="2448" xr:uid="{00000000-0005-0000-0000-00001D0A0000}"/>
    <cellStyle name="Moneda 8 2 2 2 2 2" xfId="2449" xr:uid="{00000000-0005-0000-0000-00001E0A0000}"/>
    <cellStyle name="Moneda 8 2 2 2 2 2 2" xfId="2450" xr:uid="{00000000-0005-0000-0000-00001F0A0000}"/>
    <cellStyle name="Moneda 8 2 2 2 2 3" xfId="2451" xr:uid="{00000000-0005-0000-0000-0000200A0000}"/>
    <cellStyle name="Moneda 8 2 2 2 2 3 2" xfId="2452" xr:uid="{00000000-0005-0000-0000-0000210A0000}"/>
    <cellStyle name="Moneda 8 2 2 2 2 4" xfId="2453" xr:uid="{00000000-0005-0000-0000-0000220A0000}"/>
    <cellStyle name="Moneda 8 2 2 2 2 4 2" xfId="2454" xr:uid="{00000000-0005-0000-0000-0000230A0000}"/>
    <cellStyle name="Moneda 8 2 2 2 2 5" xfId="2455" xr:uid="{00000000-0005-0000-0000-0000240A0000}"/>
    <cellStyle name="Moneda 8 2 2 2 3" xfId="2456" xr:uid="{00000000-0005-0000-0000-0000250A0000}"/>
    <cellStyle name="Moneda 8 2 2 2 3 2" xfId="2457" xr:uid="{00000000-0005-0000-0000-0000260A0000}"/>
    <cellStyle name="Moneda 8 2 2 2 4" xfId="2458" xr:uid="{00000000-0005-0000-0000-0000270A0000}"/>
    <cellStyle name="Moneda 8 2 2 2 4 2" xfId="2459" xr:uid="{00000000-0005-0000-0000-0000280A0000}"/>
    <cellStyle name="Moneda 8 2 2 2 5" xfId="2460" xr:uid="{00000000-0005-0000-0000-0000290A0000}"/>
    <cellStyle name="Moneda 8 2 2 2 5 2" xfId="2461" xr:uid="{00000000-0005-0000-0000-00002A0A0000}"/>
    <cellStyle name="Moneda 8 2 2 2 6" xfId="2462" xr:uid="{00000000-0005-0000-0000-00002B0A0000}"/>
    <cellStyle name="Moneda 8 2 2 3" xfId="2463" xr:uid="{00000000-0005-0000-0000-00002C0A0000}"/>
    <cellStyle name="Moneda 8 2 2 3 2" xfId="2464" xr:uid="{00000000-0005-0000-0000-00002D0A0000}"/>
    <cellStyle name="Moneda 8 2 2 3 2 2" xfId="2465" xr:uid="{00000000-0005-0000-0000-00002E0A0000}"/>
    <cellStyle name="Moneda 8 2 2 3 3" xfId="2466" xr:uid="{00000000-0005-0000-0000-00002F0A0000}"/>
    <cellStyle name="Moneda 8 2 2 3 3 2" xfId="2467" xr:uid="{00000000-0005-0000-0000-0000300A0000}"/>
    <cellStyle name="Moneda 8 2 2 3 4" xfId="2468" xr:uid="{00000000-0005-0000-0000-0000310A0000}"/>
    <cellStyle name="Moneda 8 2 2 3 4 2" xfId="2469" xr:uid="{00000000-0005-0000-0000-0000320A0000}"/>
    <cellStyle name="Moneda 8 2 2 3 5" xfId="2470" xr:uid="{00000000-0005-0000-0000-0000330A0000}"/>
    <cellStyle name="Moneda 8 2 2 4" xfId="2471" xr:uid="{00000000-0005-0000-0000-0000340A0000}"/>
    <cellStyle name="Moneda 8 2 2 4 2" xfId="2472" xr:uid="{00000000-0005-0000-0000-0000350A0000}"/>
    <cellStyle name="Moneda 8 2 2 5" xfId="2473" xr:uid="{00000000-0005-0000-0000-0000360A0000}"/>
    <cellStyle name="Moneda 8 2 2 5 2" xfId="2474" xr:uid="{00000000-0005-0000-0000-0000370A0000}"/>
    <cellStyle name="Moneda 8 2 2 6" xfId="2475" xr:uid="{00000000-0005-0000-0000-0000380A0000}"/>
    <cellStyle name="Moneda 8 2 2 6 2" xfId="2476" xr:uid="{00000000-0005-0000-0000-0000390A0000}"/>
    <cellStyle name="Moneda 8 2 2 7" xfId="2477" xr:uid="{00000000-0005-0000-0000-00003A0A0000}"/>
    <cellStyle name="Moneda 8 2 3" xfId="2478" xr:uid="{00000000-0005-0000-0000-00003B0A0000}"/>
    <cellStyle name="Moneda 8 2 3 2" xfId="2479" xr:uid="{00000000-0005-0000-0000-00003C0A0000}"/>
    <cellStyle name="Moneda 8 2 3 2 2" xfId="2480" xr:uid="{00000000-0005-0000-0000-00003D0A0000}"/>
    <cellStyle name="Moneda 8 2 3 2 2 2" xfId="2481" xr:uid="{00000000-0005-0000-0000-00003E0A0000}"/>
    <cellStyle name="Moneda 8 2 3 2 2 2 2" xfId="2482" xr:uid="{00000000-0005-0000-0000-00003F0A0000}"/>
    <cellStyle name="Moneda 8 2 3 2 2 3" xfId="2483" xr:uid="{00000000-0005-0000-0000-0000400A0000}"/>
    <cellStyle name="Moneda 8 2 3 2 2 3 2" xfId="2484" xr:uid="{00000000-0005-0000-0000-0000410A0000}"/>
    <cellStyle name="Moneda 8 2 3 2 2 4" xfId="2485" xr:uid="{00000000-0005-0000-0000-0000420A0000}"/>
    <cellStyle name="Moneda 8 2 3 2 2 4 2" xfId="2486" xr:uid="{00000000-0005-0000-0000-0000430A0000}"/>
    <cellStyle name="Moneda 8 2 3 2 2 5" xfId="2487" xr:uid="{00000000-0005-0000-0000-0000440A0000}"/>
    <cellStyle name="Moneda 8 2 3 2 3" xfId="2488" xr:uid="{00000000-0005-0000-0000-0000450A0000}"/>
    <cellStyle name="Moneda 8 2 3 2 3 2" xfId="2489" xr:uid="{00000000-0005-0000-0000-0000460A0000}"/>
    <cellStyle name="Moneda 8 2 3 2 4" xfId="2490" xr:uid="{00000000-0005-0000-0000-0000470A0000}"/>
    <cellStyle name="Moneda 8 2 3 2 4 2" xfId="2491" xr:uid="{00000000-0005-0000-0000-0000480A0000}"/>
    <cellStyle name="Moneda 8 2 3 2 5" xfId="2492" xr:uid="{00000000-0005-0000-0000-0000490A0000}"/>
    <cellStyle name="Moneda 8 2 3 2 5 2" xfId="2493" xr:uid="{00000000-0005-0000-0000-00004A0A0000}"/>
    <cellStyle name="Moneda 8 2 3 2 6" xfId="2494" xr:uid="{00000000-0005-0000-0000-00004B0A0000}"/>
    <cellStyle name="Moneda 8 2 3 3" xfId="2495" xr:uid="{00000000-0005-0000-0000-00004C0A0000}"/>
    <cellStyle name="Moneda 8 2 3 3 2" xfId="2496" xr:uid="{00000000-0005-0000-0000-00004D0A0000}"/>
    <cellStyle name="Moneda 8 2 3 3 2 2" xfId="2497" xr:uid="{00000000-0005-0000-0000-00004E0A0000}"/>
    <cellStyle name="Moneda 8 2 3 3 3" xfId="2498" xr:uid="{00000000-0005-0000-0000-00004F0A0000}"/>
    <cellStyle name="Moneda 8 2 3 3 3 2" xfId="2499" xr:uid="{00000000-0005-0000-0000-0000500A0000}"/>
    <cellStyle name="Moneda 8 2 3 3 4" xfId="2500" xr:uid="{00000000-0005-0000-0000-0000510A0000}"/>
    <cellStyle name="Moneda 8 2 3 3 4 2" xfId="2501" xr:uid="{00000000-0005-0000-0000-0000520A0000}"/>
    <cellStyle name="Moneda 8 2 3 3 5" xfId="2502" xr:uid="{00000000-0005-0000-0000-0000530A0000}"/>
    <cellStyle name="Moneda 8 2 3 4" xfId="2503" xr:uid="{00000000-0005-0000-0000-0000540A0000}"/>
    <cellStyle name="Moneda 8 2 3 4 2" xfId="2504" xr:uid="{00000000-0005-0000-0000-0000550A0000}"/>
    <cellStyle name="Moneda 8 2 3 5" xfId="2505" xr:uid="{00000000-0005-0000-0000-0000560A0000}"/>
    <cellStyle name="Moneda 8 2 3 5 2" xfId="2506" xr:uid="{00000000-0005-0000-0000-0000570A0000}"/>
    <cellStyle name="Moneda 8 2 3 6" xfId="2507" xr:uid="{00000000-0005-0000-0000-0000580A0000}"/>
    <cellStyle name="Moneda 8 2 3 6 2" xfId="2508" xr:uid="{00000000-0005-0000-0000-0000590A0000}"/>
    <cellStyle name="Moneda 8 2 3 7" xfId="2509" xr:uid="{00000000-0005-0000-0000-00005A0A0000}"/>
    <cellStyle name="Moneda 8 2 4" xfId="2510" xr:uid="{00000000-0005-0000-0000-00005B0A0000}"/>
    <cellStyle name="Moneda 8 2 4 2" xfId="2511" xr:uid="{00000000-0005-0000-0000-00005C0A0000}"/>
    <cellStyle name="Moneda 8 2 4 2 2" xfId="2512" xr:uid="{00000000-0005-0000-0000-00005D0A0000}"/>
    <cellStyle name="Moneda 8 2 4 2 2 2" xfId="2513" xr:uid="{00000000-0005-0000-0000-00005E0A0000}"/>
    <cellStyle name="Moneda 8 2 4 2 2 2 2" xfId="2514" xr:uid="{00000000-0005-0000-0000-00005F0A0000}"/>
    <cellStyle name="Moneda 8 2 4 2 2 3" xfId="2515" xr:uid="{00000000-0005-0000-0000-0000600A0000}"/>
    <cellStyle name="Moneda 8 2 4 2 2 3 2" xfId="2516" xr:uid="{00000000-0005-0000-0000-0000610A0000}"/>
    <cellStyle name="Moneda 8 2 4 2 2 4" xfId="2517" xr:uid="{00000000-0005-0000-0000-0000620A0000}"/>
    <cellStyle name="Moneda 8 2 4 2 2 4 2" xfId="2518" xr:uid="{00000000-0005-0000-0000-0000630A0000}"/>
    <cellStyle name="Moneda 8 2 4 2 2 5" xfId="2519" xr:uid="{00000000-0005-0000-0000-0000640A0000}"/>
    <cellStyle name="Moneda 8 2 4 2 3" xfId="2520" xr:uid="{00000000-0005-0000-0000-0000650A0000}"/>
    <cellStyle name="Moneda 8 2 4 2 3 2" xfId="2521" xr:uid="{00000000-0005-0000-0000-0000660A0000}"/>
    <cellStyle name="Moneda 8 2 4 2 4" xfId="2522" xr:uid="{00000000-0005-0000-0000-0000670A0000}"/>
    <cellStyle name="Moneda 8 2 4 2 4 2" xfId="2523" xr:uid="{00000000-0005-0000-0000-0000680A0000}"/>
    <cellStyle name="Moneda 8 2 4 2 5" xfId="2524" xr:uid="{00000000-0005-0000-0000-0000690A0000}"/>
    <cellStyle name="Moneda 8 2 4 2 5 2" xfId="2525" xr:uid="{00000000-0005-0000-0000-00006A0A0000}"/>
    <cellStyle name="Moneda 8 2 4 2 6" xfId="2526" xr:uid="{00000000-0005-0000-0000-00006B0A0000}"/>
    <cellStyle name="Moneda 8 2 4 3" xfId="2527" xr:uid="{00000000-0005-0000-0000-00006C0A0000}"/>
    <cellStyle name="Moneda 8 2 4 3 2" xfId="2528" xr:uid="{00000000-0005-0000-0000-00006D0A0000}"/>
    <cellStyle name="Moneda 8 2 4 3 2 2" xfId="2529" xr:uid="{00000000-0005-0000-0000-00006E0A0000}"/>
    <cellStyle name="Moneda 8 2 4 3 3" xfId="2530" xr:uid="{00000000-0005-0000-0000-00006F0A0000}"/>
    <cellStyle name="Moneda 8 2 4 3 3 2" xfId="2531" xr:uid="{00000000-0005-0000-0000-0000700A0000}"/>
    <cellStyle name="Moneda 8 2 4 3 4" xfId="2532" xr:uid="{00000000-0005-0000-0000-0000710A0000}"/>
    <cellStyle name="Moneda 8 2 4 3 4 2" xfId="2533" xr:uid="{00000000-0005-0000-0000-0000720A0000}"/>
    <cellStyle name="Moneda 8 2 4 3 5" xfId="2534" xr:uid="{00000000-0005-0000-0000-0000730A0000}"/>
    <cellStyle name="Moneda 8 2 4 4" xfId="2535" xr:uid="{00000000-0005-0000-0000-0000740A0000}"/>
    <cellStyle name="Moneda 8 2 4 4 2" xfId="2536" xr:uid="{00000000-0005-0000-0000-0000750A0000}"/>
    <cellStyle name="Moneda 8 2 4 5" xfId="2537" xr:uid="{00000000-0005-0000-0000-0000760A0000}"/>
    <cellStyle name="Moneda 8 2 4 5 2" xfId="2538" xr:uid="{00000000-0005-0000-0000-0000770A0000}"/>
    <cellStyle name="Moneda 8 2 4 6" xfId="2539" xr:uid="{00000000-0005-0000-0000-0000780A0000}"/>
    <cellStyle name="Moneda 8 2 4 6 2" xfId="2540" xr:uid="{00000000-0005-0000-0000-0000790A0000}"/>
    <cellStyle name="Moneda 8 2 4 7" xfId="2541" xr:uid="{00000000-0005-0000-0000-00007A0A0000}"/>
    <cellStyle name="Moneda 8 2 5" xfId="2542" xr:uid="{00000000-0005-0000-0000-00007B0A0000}"/>
    <cellStyle name="Moneda 8 2 5 2" xfId="2543" xr:uid="{00000000-0005-0000-0000-00007C0A0000}"/>
    <cellStyle name="Moneda 8 2 5 2 2" xfId="2544" xr:uid="{00000000-0005-0000-0000-00007D0A0000}"/>
    <cellStyle name="Moneda 8 2 5 2 2 2" xfId="2545" xr:uid="{00000000-0005-0000-0000-00007E0A0000}"/>
    <cellStyle name="Moneda 8 2 5 2 3" xfId="2546" xr:uid="{00000000-0005-0000-0000-00007F0A0000}"/>
    <cellStyle name="Moneda 8 2 5 2 3 2" xfId="2547" xr:uid="{00000000-0005-0000-0000-0000800A0000}"/>
    <cellStyle name="Moneda 8 2 5 2 4" xfId="2548" xr:uid="{00000000-0005-0000-0000-0000810A0000}"/>
    <cellStyle name="Moneda 8 2 5 2 4 2" xfId="2549" xr:uid="{00000000-0005-0000-0000-0000820A0000}"/>
    <cellStyle name="Moneda 8 2 5 2 5" xfId="2550" xr:uid="{00000000-0005-0000-0000-0000830A0000}"/>
    <cellStyle name="Moneda 8 2 5 3" xfId="2551" xr:uid="{00000000-0005-0000-0000-0000840A0000}"/>
    <cellStyle name="Moneda 8 2 5 3 2" xfId="2552" xr:uid="{00000000-0005-0000-0000-0000850A0000}"/>
    <cellStyle name="Moneda 8 2 5 4" xfId="2553" xr:uid="{00000000-0005-0000-0000-0000860A0000}"/>
    <cellStyle name="Moneda 8 2 5 4 2" xfId="2554" xr:uid="{00000000-0005-0000-0000-0000870A0000}"/>
    <cellStyle name="Moneda 8 2 5 5" xfId="2555" xr:uid="{00000000-0005-0000-0000-0000880A0000}"/>
    <cellStyle name="Moneda 8 2 5 5 2" xfId="2556" xr:uid="{00000000-0005-0000-0000-0000890A0000}"/>
    <cellStyle name="Moneda 8 2 5 6" xfId="2557" xr:uid="{00000000-0005-0000-0000-00008A0A0000}"/>
    <cellStyle name="Moneda 8 2 6" xfId="2558" xr:uid="{00000000-0005-0000-0000-00008B0A0000}"/>
    <cellStyle name="Moneda 8 2 6 2" xfId="2559" xr:uid="{00000000-0005-0000-0000-00008C0A0000}"/>
    <cellStyle name="Moneda 8 2 6 2 2" xfId="2560" xr:uid="{00000000-0005-0000-0000-00008D0A0000}"/>
    <cellStyle name="Moneda 8 2 6 3" xfId="2561" xr:uid="{00000000-0005-0000-0000-00008E0A0000}"/>
    <cellStyle name="Moneda 8 2 6 3 2" xfId="2562" xr:uid="{00000000-0005-0000-0000-00008F0A0000}"/>
    <cellStyle name="Moneda 8 2 6 4" xfId="2563" xr:uid="{00000000-0005-0000-0000-0000900A0000}"/>
    <cellStyle name="Moneda 8 2 6 4 2" xfId="2564" xr:uid="{00000000-0005-0000-0000-0000910A0000}"/>
    <cellStyle name="Moneda 8 2 6 5" xfId="2565" xr:uid="{00000000-0005-0000-0000-0000920A0000}"/>
    <cellStyle name="Moneda 8 2 7" xfId="2566" xr:uid="{00000000-0005-0000-0000-0000930A0000}"/>
    <cellStyle name="Moneda 8 2 7 2" xfId="2567" xr:uid="{00000000-0005-0000-0000-0000940A0000}"/>
    <cellStyle name="Moneda 8 2 8" xfId="2568" xr:uid="{00000000-0005-0000-0000-0000950A0000}"/>
    <cellStyle name="Moneda 8 2 8 2" xfId="2569" xr:uid="{00000000-0005-0000-0000-0000960A0000}"/>
    <cellStyle name="Moneda 8 2 9" xfId="2570" xr:uid="{00000000-0005-0000-0000-0000970A0000}"/>
    <cellStyle name="Moneda 8 2 9 2" xfId="2571" xr:uid="{00000000-0005-0000-0000-0000980A0000}"/>
    <cellStyle name="Moneda 8 3" xfId="2572" xr:uid="{00000000-0005-0000-0000-0000990A0000}"/>
    <cellStyle name="Moneda 8 3 2" xfId="2573" xr:uid="{00000000-0005-0000-0000-00009A0A0000}"/>
    <cellStyle name="Moneda 8 3 2 2" xfId="2574" xr:uid="{00000000-0005-0000-0000-00009B0A0000}"/>
    <cellStyle name="Moneda 8 3 2 2 2" xfId="2575" xr:uid="{00000000-0005-0000-0000-00009C0A0000}"/>
    <cellStyle name="Moneda 8 3 2 2 2 2" xfId="2576" xr:uid="{00000000-0005-0000-0000-00009D0A0000}"/>
    <cellStyle name="Moneda 8 3 2 2 3" xfId="2577" xr:uid="{00000000-0005-0000-0000-00009E0A0000}"/>
    <cellStyle name="Moneda 8 3 2 2 3 2" xfId="2578" xr:uid="{00000000-0005-0000-0000-00009F0A0000}"/>
    <cellStyle name="Moneda 8 3 2 2 4" xfId="2579" xr:uid="{00000000-0005-0000-0000-0000A00A0000}"/>
    <cellStyle name="Moneda 8 3 2 2 4 2" xfId="2580" xr:uid="{00000000-0005-0000-0000-0000A10A0000}"/>
    <cellStyle name="Moneda 8 3 2 2 5" xfId="2581" xr:uid="{00000000-0005-0000-0000-0000A20A0000}"/>
    <cellStyle name="Moneda 8 3 2 3" xfId="2582" xr:uid="{00000000-0005-0000-0000-0000A30A0000}"/>
    <cellStyle name="Moneda 8 3 2 3 2" xfId="2583" xr:uid="{00000000-0005-0000-0000-0000A40A0000}"/>
    <cellStyle name="Moneda 8 3 2 4" xfId="2584" xr:uid="{00000000-0005-0000-0000-0000A50A0000}"/>
    <cellStyle name="Moneda 8 3 2 4 2" xfId="2585" xr:uid="{00000000-0005-0000-0000-0000A60A0000}"/>
    <cellStyle name="Moneda 8 3 2 5" xfId="2586" xr:uid="{00000000-0005-0000-0000-0000A70A0000}"/>
    <cellStyle name="Moneda 8 3 2 5 2" xfId="2587" xr:uid="{00000000-0005-0000-0000-0000A80A0000}"/>
    <cellStyle name="Moneda 8 3 2 6" xfId="2588" xr:uid="{00000000-0005-0000-0000-0000A90A0000}"/>
    <cellStyle name="Moneda 8 3 3" xfId="2589" xr:uid="{00000000-0005-0000-0000-0000AA0A0000}"/>
    <cellStyle name="Moneda 8 3 3 2" xfId="2590" xr:uid="{00000000-0005-0000-0000-0000AB0A0000}"/>
    <cellStyle name="Moneda 8 3 3 2 2" xfId="2591" xr:uid="{00000000-0005-0000-0000-0000AC0A0000}"/>
    <cellStyle name="Moneda 8 3 3 3" xfId="2592" xr:uid="{00000000-0005-0000-0000-0000AD0A0000}"/>
    <cellStyle name="Moneda 8 3 3 3 2" xfId="2593" xr:uid="{00000000-0005-0000-0000-0000AE0A0000}"/>
    <cellStyle name="Moneda 8 3 3 4" xfId="2594" xr:uid="{00000000-0005-0000-0000-0000AF0A0000}"/>
    <cellStyle name="Moneda 8 3 3 4 2" xfId="2595" xr:uid="{00000000-0005-0000-0000-0000B00A0000}"/>
    <cellStyle name="Moneda 8 3 3 5" xfId="2596" xr:uid="{00000000-0005-0000-0000-0000B10A0000}"/>
    <cellStyle name="Moneda 8 3 4" xfId="2597" xr:uid="{00000000-0005-0000-0000-0000B20A0000}"/>
    <cellStyle name="Moneda 8 3 4 2" xfId="2598" xr:uid="{00000000-0005-0000-0000-0000B30A0000}"/>
    <cellStyle name="Moneda 8 3 5" xfId="2599" xr:uid="{00000000-0005-0000-0000-0000B40A0000}"/>
    <cellStyle name="Moneda 8 3 5 2" xfId="2600" xr:uid="{00000000-0005-0000-0000-0000B50A0000}"/>
    <cellStyle name="Moneda 8 3 6" xfId="2601" xr:uid="{00000000-0005-0000-0000-0000B60A0000}"/>
    <cellStyle name="Moneda 8 3 6 2" xfId="2602" xr:uid="{00000000-0005-0000-0000-0000B70A0000}"/>
    <cellStyle name="Moneda 8 3 7" xfId="2603" xr:uid="{00000000-0005-0000-0000-0000B80A0000}"/>
    <cellStyle name="Moneda 8 4" xfId="2604" xr:uid="{00000000-0005-0000-0000-0000B90A0000}"/>
    <cellStyle name="Moneda 8 4 2" xfId="2605" xr:uid="{00000000-0005-0000-0000-0000BA0A0000}"/>
    <cellStyle name="Moneda 8 4 2 2" xfId="2606" xr:uid="{00000000-0005-0000-0000-0000BB0A0000}"/>
    <cellStyle name="Moneda 8 4 2 2 2" xfId="2607" xr:uid="{00000000-0005-0000-0000-0000BC0A0000}"/>
    <cellStyle name="Moneda 8 4 2 2 2 2" xfId="2608" xr:uid="{00000000-0005-0000-0000-0000BD0A0000}"/>
    <cellStyle name="Moneda 8 4 2 2 3" xfId="2609" xr:uid="{00000000-0005-0000-0000-0000BE0A0000}"/>
    <cellStyle name="Moneda 8 4 2 2 3 2" xfId="2610" xr:uid="{00000000-0005-0000-0000-0000BF0A0000}"/>
    <cellStyle name="Moneda 8 4 2 2 4" xfId="2611" xr:uid="{00000000-0005-0000-0000-0000C00A0000}"/>
    <cellStyle name="Moneda 8 4 2 2 4 2" xfId="2612" xr:uid="{00000000-0005-0000-0000-0000C10A0000}"/>
    <cellStyle name="Moneda 8 4 2 2 5" xfId="2613" xr:uid="{00000000-0005-0000-0000-0000C20A0000}"/>
    <cellStyle name="Moneda 8 4 2 3" xfId="2614" xr:uid="{00000000-0005-0000-0000-0000C30A0000}"/>
    <cellStyle name="Moneda 8 4 2 3 2" xfId="2615" xr:uid="{00000000-0005-0000-0000-0000C40A0000}"/>
    <cellStyle name="Moneda 8 4 2 4" xfId="2616" xr:uid="{00000000-0005-0000-0000-0000C50A0000}"/>
    <cellStyle name="Moneda 8 4 2 4 2" xfId="2617" xr:uid="{00000000-0005-0000-0000-0000C60A0000}"/>
    <cellStyle name="Moneda 8 4 2 5" xfId="2618" xr:uid="{00000000-0005-0000-0000-0000C70A0000}"/>
    <cellStyle name="Moneda 8 4 2 5 2" xfId="2619" xr:uid="{00000000-0005-0000-0000-0000C80A0000}"/>
    <cellStyle name="Moneda 8 4 2 6" xfId="2620" xr:uid="{00000000-0005-0000-0000-0000C90A0000}"/>
    <cellStyle name="Moneda 8 4 3" xfId="2621" xr:uid="{00000000-0005-0000-0000-0000CA0A0000}"/>
    <cellStyle name="Moneda 8 4 3 2" xfId="2622" xr:uid="{00000000-0005-0000-0000-0000CB0A0000}"/>
    <cellStyle name="Moneda 8 4 3 2 2" xfId="2623" xr:uid="{00000000-0005-0000-0000-0000CC0A0000}"/>
    <cellStyle name="Moneda 8 4 3 3" xfId="2624" xr:uid="{00000000-0005-0000-0000-0000CD0A0000}"/>
    <cellStyle name="Moneda 8 4 3 3 2" xfId="2625" xr:uid="{00000000-0005-0000-0000-0000CE0A0000}"/>
    <cellStyle name="Moneda 8 4 3 4" xfId="2626" xr:uid="{00000000-0005-0000-0000-0000CF0A0000}"/>
    <cellStyle name="Moneda 8 4 3 4 2" xfId="2627" xr:uid="{00000000-0005-0000-0000-0000D00A0000}"/>
    <cellStyle name="Moneda 8 4 3 5" xfId="2628" xr:uid="{00000000-0005-0000-0000-0000D10A0000}"/>
    <cellStyle name="Moneda 8 4 4" xfId="2629" xr:uid="{00000000-0005-0000-0000-0000D20A0000}"/>
    <cellStyle name="Moneda 8 4 4 2" xfId="2630" xr:uid="{00000000-0005-0000-0000-0000D30A0000}"/>
    <cellStyle name="Moneda 8 4 5" xfId="2631" xr:uid="{00000000-0005-0000-0000-0000D40A0000}"/>
    <cellStyle name="Moneda 8 4 5 2" xfId="2632" xr:uid="{00000000-0005-0000-0000-0000D50A0000}"/>
    <cellStyle name="Moneda 8 4 6" xfId="2633" xr:uid="{00000000-0005-0000-0000-0000D60A0000}"/>
    <cellStyle name="Moneda 8 4 6 2" xfId="2634" xr:uid="{00000000-0005-0000-0000-0000D70A0000}"/>
    <cellStyle name="Moneda 8 4 7" xfId="2635" xr:uid="{00000000-0005-0000-0000-0000D80A0000}"/>
    <cellStyle name="Moneda 8 5" xfId="2636" xr:uid="{00000000-0005-0000-0000-0000D90A0000}"/>
    <cellStyle name="Moneda 8 5 2" xfId="2637" xr:uid="{00000000-0005-0000-0000-0000DA0A0000}"/>
    <cellStyle name="Moneda 8 5 2 2" xfId="2638" xr:uid="{00000000-0005-0000-0000-0000DB0A0000}"/>
    <cellStyle name="Moneda 8 5 2 2 2" xfId="2639" xr:uid="{00000000-0005-0000-0000-0000DC0A0000}"/>
    <cellStyle name="Moneda 8 5 2 2 2 2" xfId="2640" xr:uid="{00000000-0005-0000-0000-0000DD0A0000}"/>
    <cellStyle name="Moneda 8 5 2 2 3" xfId="2641" xr:uid="{00000000-0005-0000-0000-0000DE0A0000}"/>
    <cellStyle name="Moneda 8 5 2 2 3 2" xfId="2642" xr:uid="{00000000-0005-0000-0000-0000DF0A0000}"/>
    <cellStyle name="Moneda 8 5 2 2 4" xfId="2643" xr:uid="{00000000-0005-0000-0000-0000E00A0000}"/>
    <cellStyle name="Moneda 8 5 2 2 4 2" xfId="2644" xr:uid="{00000000-0005-0000-0000-0000E10A0000}"/>
    <cellStyle name="Moneda 8 5 2 2 5" xfId="2645" xr:uid="{00000000-0005-0000-0000-0000E20A0000}"/>
    <cellStyle name="Moneda 8 5 2 3" xfId="2646" xr:uid="{00000000-0005-0000-0000-0000E30A0000}"/>
    <cellStyle name="Moneda 8 5 2 3 2" xfId="2647" xr:uid="{00000000-0005-0000-0000-0000E40A0000}"/>
    <cellStyle name="Moneda 8 5 2 4" xfId="2648" xr:uid="{00000000-0005-0000-0000-0000E50A0000}"/>
    <cellStyle name="Moneda 8 5 2 4 2" xfId="2649" xr:uid="{00000000-0005-0000-0000-0000E60A0000}"/>
    <cellStyle name="Moneda 8 5 2 5" xfId="2650" xr:uid="{00000000-0005-0000-0000-0000E70A0000}"/>
    <cellStyle name="Moneda 8 5 2 5 2" xfId="2651" xr:uid="{00000000-0005-0000-0000-0000E80A0000}"/>
    <cellStyle name="Moneda 8 5 2 6" xfId="2652" xr:uid="{00000000-0005-0000-0000-0000E90A0000}"/>
    <cellStyle name="Moneda 8 5 3" xfId="2653" xr:uid="{00000000-0005-0000-0000-0000EA0A0000}"/>
    <cellStyle name="Moneda 8 5 3 2" xfId="2654" xr:uid="{00000000-0005-0000-0000-0000EB0A0000}"/>
    <cellStyle name="Moneda 8 5 3 2 2" xfId="2655" xr:uid="{00000000-0005-0000-0000-0000EC0A0000}"/>
    <cellStyle name="Moneda 8 5 3 3" xfId="2656" xr:uid="{00000000-0005-0000-0000-0000ED0A0000}"/>
    <cellStyle name="Moneda 8 5 3 3 2" xfId="2657" xr:uid="{00000000-0005-0000-0000-0000EE0A0000}"/>
    <cellStyle name="Moneda 8 5 3 4" xfId="2658" xr:uid="{00000000-0005-0000-0000-0000EF0A0000}"/>
    <cellStyle name="Moneda 8 5 3 4 2" xfId="2659" xr:uid="{00000000-0005-0000-0000-0000F00A0000}"/>
    <cellStyle name="Moneda 8 5 3 5" xfId="2660" xr:uid="{00000000-0005-0000-0000-0000F10A0000}"/>
    <cellStyle name="Moneda 8 5 4" xfId="2661" xr:uid="{00000000-0005-0000-0000-0000F20A0000}"/>
    <cellStyle name="Moneda 8 5 4 2" xfId="2662" xr:uid="{00000000-0005-0000-0000-0000F30A0000}"/>
    <cellStyle name="Moneda 8 5 5" xfId="2663" xr:uid="{00000000-0005-0000-0000-0000F40A0000}"/>
    <cellStyle name="Moneda 8 5 5 2" xfId="2664" xr:uid="{00000000-0005-0000-0000-0000F50A0000}"/>
    <cellStyle name="Moneda 8 5 6" xfId="2665" xr:uid="{00000000-0005-0000-0000-0000F60A0000}"/>
    <cellStyle name="Moneda 8 5 6 2" xfId="2666" xr:uid="{00000000-0005-0000-0000-0000F70A0000}"/>
    <cellStyle name="Moneda 8 5 7" xfId="2667" xr:uid="{00000000-0005-0000-0000-0000F80A0000}"/>
    <cellStyle name="Moneda 8 6" xfId="2668" xr:uid="{00000000-0005-0000-0000-0000F90A0000}"/>
    <cellStyle name="Moneda 8 6 2" xfId="2669" xr:uid="{00000000-0005-0000-0000-0000FA0A0000}"/>
    <cellStyle name="Moneda 8 6 2 2" xfId="2670" xr:uid="{00000000-0005-0000-0000-0000FB0A0000}"/>
    <cellStyle name="Moneda 8 6 2 2 2" xfId="2671" xr:uid="{00000000-0005-0000-0000-0000FC0A0000}"/>
    <cellStyle name="Moneda 8 6 2 3" xfId="2672" xr:uid="{00000000-0005-0000-0000-0000FD0A0000}"/>
    <cellStyle name="Moneda 8 6 2 3 2" xfId="2673" xr:uid="{00000000-0005-0000-0000-0000FE0A0000}"/>
    <cellStyle name="Moneda 8 6 2 4" xfId="2674" xr:uid="{00000000-0005-0000-0000-0000FF0A0000}"/>
    <cellStyle name="Moneda 8 6 2 4 2" xfId="2675" xr:uid="{00000000-0005-0000-0000-0000000B0000}"/>
    <cellStyle name="Moneda 8 6 2 5" xfId="2676" xr:uid="{00000000-0005-0000-0000-0000010B0000}"/>
    <cellStyle name="Moneda 8 6 3" xfId="2677" xr:uid="{00000000-0005-0000-0000-0000020B0000}"/>
    <cellStyle name="Moneda 8 6 3 2" xfId="2678" xr:uid="{00000000-0005-0000-0000-0000030B0000}"/>
    <cellStyle name="Moneda 8 6 4" xfId="2679" xr:uid="{00000000-0005-0000-0000-0000040B0000}"/>
    <cellStyle name="Moneda 8 6 4 2" xfId="2680" xr:uid="{00000000-0005-0000-0000-0000050B0000}"/>
    <cellStyle name="Moneda 8 6 5" xfId="2681" xr:uid="{00000000-0005-0000-0000-0000060B0000}"/>
    <cellStyle name="Moneda 8 6 5 2" xfId="2682" xr:uid="{00000000-0005-0000-0000-0000070B0000}"/>
    <cellStyle name="Moneda 8 6 6" xfId="2683" xr:uid="{00000000-0005-0000-0000-0000080B0000}"/>
    <cellStyle name="Moneda 8 7" xfId="2684" xr:uid="{00000000-0005-0000-0000-0000090B0000}"/>
    <cellStyle name="Moneda 8 7 2" xfId="2685" xr:uid="{00000000-0005-0000-0000-00000A0B0000}"/>
    <cellStyle name="Moneda 8 7 2 2" xfId="2686" xr:uid="{00000000-0005-0000-0000-00000B0B0000}"/>
    <cellStyle name="Moneda 8 7 3" xfId="2687" xr:uid="{00000000-0005-0000-0000-00000C0B0000}"/>
    <cellStyle name="Moneda 8 7 3 2" xfId="2688" xr:uid="{00000000-0005-0000-0000-00000D0B0000}"/>
    <cellStyle name="Moneda 8 7 4" xfId="2689" xr:uid="{00000000-0005-0000-0000-00000E0B0000}"/>
    <cellStyle name="Moneda 8 7 4 2" xfId="2690" xr:uid="{00000000-0005-0000-0000-00000F0B0000}"/>
    <cellStyle name="Moneda 8 7 5" xfId="2691" xr:uid="{00000000-0005-0000-0000-0000100B0000}"/>
    <cellStyle name="Moneda 8 8" xfId="2692" xr:uid="{00000000-0005-0000-0000-0000110B0000}"/>
    <cellStyle name="Moneda 8 8 2" xfId="2693" xr:uid="{00000000-0005-0000-0000-0000120B0000}"/>
    <cellStyle name="Moneda 8 8 2 2" xfId="2694" xr:uid="{00000000-0005-0000-0000-0000130B0000}"/>
    <cellStyle name="Moneda 8 8 3" xfId="2695" xr:uid="{00000000-0005-0000-0000-0000140B0000}"/>
    <cellStyle name="Moneda 8 8 3 2" xfId="2696" xr:uid="{00000000-0005-0000-0000-0000150B0000}"/>
    <cellStyle name="Moneda 8 8 4" xfId="2697" xr:uid="{00000000-0005-0000-0000-0000160B0000}"/>
    <cellStyle name="Moneda 8 8 4 2" xfId="2698" xr:uid="{00000000-0005-0000-0000-0000170B0000}"/>
    <cellStyle name="Moneda 8 8 5" xfId="2699" xr:uid="{00000000-0005-0000-0000-0000180B0000}"/>
    <cellStyle name="Moneda 8 9" xfId="2700" xr:uid="{00000000-0005-0000-0000-0000190B0000}"/>
    <cellStyle name="Moneda 8 9 2" xfId="2701" xr:uid="{00000000-0005-0000-0000-00001A0B0000}"/>
    <cellStyle name="Moneda 9" xfId="2702" xr:uid="{00000000-0005-0000-0000-00001B0B0000}"/>
    <cellStyle name="Moneda 9 10" xfId="2703" xr:uid="{00000000-0005-0000-0000-00001C0B0000}"/>
    <cellStyle name="Moneda 9 11" xfId="2704" xr:uid="{00000000-0005-0000-0000-00001D0B0000}"/>
    <cellStyle name="Moneda 9 2" xfId="2705" xr:uid="{00000000-0005-0000-0000-00001E0B0000}"/>
    <cellStyle name="Moneda 9 2 2" xfId="2706" xr:uid="{00000000-0005-0000-0000-00001F0B0000}"/>
    <cellStyle name="Moneda 9 2 2 2" xfId="2707" xr:uid="{00000000-0005-0000-0000-0000200B0000}"/>
    <cellStyle name="Moneda 9 2 2 2 2" xfId="2708" xr:uid="{00000000-0005-0000-0000-0000210B0000}"/>
    <cellStyle name="Moneda 9 2 2 2 2 2" xfId="2709" xr:uid="{00000000-0005-0000-0000-0000220B0000}"/>
    <cellStyle name="Moneda 9 2 2 2 3" xfId="2710" xr:uid="{00000000-0005-0000-0000-0000230B0000}"/>
    <cellStyle name="Moneda 9 2 2 2 3 2" xfId="2711" xr:uid="{00000000-0005-0000-0000-0000240B0000}"/>
    <cellStyle name="Moneda 9 2 2 2 4" xfId="2712" xr:uid="{00000000-0005-0000-0000-0000250B0000}"/>
    <cellStyle name="Moneda 9 2 2 2 4 2" xfId="2713" xr:uid="{00000000-0005-0000-0000-0000260B0000}"/>
    <cellStyle name="Moneda 9 2 2 2 5" xfId="2714" xr:uid="{00000000-0005-0000-0000-0000270B0000}"/>
    <cellStyle name="Moneda 9 2 2 3" xfId="2715" xr:uid="{00000000-0005-0000-0000-0000280B0000}"/>
    <cellStyle name="Moneda 9 2 2 3 2" xfId="2716" xr:uid="{00000000-0005-0000-0000-0000290B0000}"/>
    <cellStyle name="Moneda 9 2 2 4" xfId="2717" xr:uid="{00000000-0005-0000-0000-00002A0B0000}"/>
    <cellStyle name="Moneda 9 2 2 4 2" xfId="2718" xr:uid="{00000000-0005-0000-0000-00002B0B0000}"/>
    <cellStyle name="Moneda 9 2 2 5" xfId="2719" xr:uid="{00000000-0005-0000-0000-00002C0B0000}"/>
    <cellStyle name="Moneda 9 2 2 5 2" xfId="2720" xr:uid="{00000000-0005-0000-0000-00002D0B0000}"/>
    <cellStyle name="Moneda 9 2 2 6" xfId="2721" xr:uid="{00000000-0005-0000-0000-00002E0B0000}"/>
    <cellStyle name="Moneda 9 2 3" xfId="2722" xr:uid="{00000000-0005-0000-0000-00002F0B0000}"/>
    <cellStyle name="Moneda 9 2 3 2" xfId="2723" xr:uid="{00000000-0005-0000-0000-0000300B0000}"/>
    <cellStyle name="Moneda 9 2 3 2 2" xfId="2724" xr:uid="{00000000-0005-0000-0000-0000310B0000}"/>
    <cellStyle name="Moneda 9 2 3 3" xfId="2725" xr:uid="{00000000-0005-0000-0000-0000320B0000}"/>
    <cellStyle name="Moneda 9 2 3 3 2" xfId="2726" xr:uid="{00000000-0005-0000-0000-0000330B0000}"/>
    <cellStyle name="Moneda 9 2 3 4" xfId="2727" xr:uid="{00000000-0005-0000-0000-0000340B0000}"/>
    <cellStyle name="Moneda 9 2 3 4 2" xfId="2728" xr:uid="{00000000-0005-0000-0000-0000350B0000}"/>
    <cellStyle name="Moneda 9 2 3 5" xfId="2729" xr:uid="{00000000-0005-0000-0000-0000360B0000}"/>
    <cellStyle name="Moneda 9 2 4" xfId="2730" xr:uid="{00000000-0005-0000-0000-0000370B0000}"/>
    <cellStyle name="Moneda 9 2 4 2" xfId="2731" xr:uid="{00000000-0005-0000-0000-0000380B0000}"/>
    <cellStyle name="Moneda 9 2 5" xfId="2732" xr:uid="{00000000-0005-0000-0000-0000390B0000}"/>
    <cellStyle name="Moneda 9 2 5 2" xfId="2733" xr:uid="{00000000-0005-0000-0000-00003A0B0000}"/>
    <cellStyle name="Moneda 9 2 6" xfId="2734" xr:uid="{00000000-0005-0000-0000-00003B0B0000}"/>
    <cellStyle name="Moneda 9 2 6 2" xfId="2735" xr:uid="{00000000-0005-0000-0000-00003C0B0000}"/>
    <cellStyle name="Moneda 9 2 7" xfId="2736" xr:uid="{00000000-0005-0000-0000-00003D0B0000}"/>
    <cellStyle name="Moneda 9 2 8" xfId="2737" xr:uid="{00000000-0005-0000-0000-00003E0B0000}"/>
    <cellStyle name="Moneda 9 3" xfId="2738" xr:uid="{00000000-0005-0000-0000-00003F0B0000}"/>
    <cellStyle name="Moneda 9 3 2" xfId="2739" xr:uid="{00000000-0005-0000-0000-0000400B0000}"/>
    <cellStyle name="Moneda 9 3 2 2" xfId="2740" xr:uid="{00000000-0005-0000-0000-0000410B0000}"/>
    <cellStyle name="Moneda 9 3 2 2 2" xfId="2741" xr:uid="{00000000-0005-0000-0000-0000420B0000}"/>
    <cellStyle name="Moneda 9 3 2 2 2 2" xfId="2742" xr:uid="{00000000-0005-0000-0000-0000430B0000}"/>
    <cellStyle name="Moneda 9 3 2 2 3" xfId="2743" xr:uid="{00000000-0005-0000-0000-0000440B0000}"/>
    <cellStyle name="Moneda 9 3 2 2 3 2" xfId="2744" xr:uid="{00000000-0005-0000-0000-0000450B0000}"/>
    <cellStyle name="Moneda 9 3 2 2 4" xfId="2745" xr:uid="{00000000-0005-0000-0000-0000460B0000}"/>
    <cellStyle name="Moneda 9 3 2 2 4 2" xfId="2746" xr:uid="{00000000-0005-0000-0000-0000470B0000}"/>
    <cellStyle name="Moneda 9 3 2 2 5" xfId="2747" xr:uid="{00000000-0005-0000-0000-0000480B0000}"/>
    <cellStyle name="Moneda 9 3 2 3" xfId="2748" xr:uid="{00000000-0005-0000-0000-0000490B0000}"/>
    <cellStyle name="Moneda 9 3 2 3 2" xfId="2749" xr:uid="{00000000-0005-0000-0000-00004A0B0000}"/>
    <cellStyle name="Moneda 9 3 2 4" xfId="2750" xr:uid="{00000000-0005-0000-0000-00004B0B0000}"/>
    <cellStyle name="Moneda 9 3 2 4 2" xfId="2751" xr:uid="{00000000-0005-0000-0000-00004C0B0000}"/>
    <cellStyle name="Moneda 9 3 2 5" xfId="2752" xr:uid="{00000000-0005-0000-0000-00004D0B0000}"/>
    <cellStyle name="Moneda 9 3 2 5 2" xfId="2753" xr:uid="{00000000-0005-0000-0000-00004E0B0000}"/>
    <cellStyle name="Moneda 9 3 2 6" xfId="2754" xr:uid="{00000000-0005-0000-0000-00004F0B0000}"/>
    <cellStyle name="Moneda 9 3 3" xfId="2755" xr:uid="{00000000-0005-0000-0000-0000500B0000}"/>
    <cellStyle name="Moneda 9 3 3 2" xfId="2756" xr:uid="{00000000-0005-0000-0000-0000510B0000}"/>
    <cellStyle name="Moneda 9 3 3 2 2" xfId="2757" xr:uid="{00000000-0005-0000-0000-0000520B0000}"/>
    <cellStyle name="Moneda 9 3 3 3" xfId="2758" xr:uid="{00000000-0005-0000-0000-0000530B0000}"/>
    <cellStyle name="Moneda 9 3 3 3 2" xfId="2759" xr:uid="{00000000-0005-0000-0000-0000540B0000}"/>
    <cellStyle name="Moneda 9 3 3 4" xfId="2760" xr:uid="{00000000-0005-0000-0000-0000550B0000}"/>
    <cellStyle name="Moneda 9 3 3 4 2" xfId="2761" xr:uid="{00000000-0005-0000-0000-0000560B0000}"/>
    <cellStyle name="Moneda 9 3 3 5" xfId="2762" xr:uid="{00000000-0005-0000-0000-0000570B0000}"/>
    <cellStyle name="Moneda 9 3 4" xfId="2763" xr:uid="{00000000-0005-0000-0000-0000580B0000}"/>
    <cellStyle name="Moneda 9 3 4 2" xfId="2764" xr:uid="{00000000-0005-0000-0000-0000590B0000}"/>
    <cellStyle name="Moneda 9 3 5" xfId="2765" xr:uid="{00000000-0005-0000-0000-00005A0B0000}"/>
    <cellStyle name="Moneda 9 3 5 2" xfId="2766" xr:uid="{00000000-0005-0000-0000-00005B0B0000}"/>
    <cellStyle name="Moneda 9 3 6" xfId="2767" xr:uid="{00000000-0005-0000-0000-00005C0B0000}"/>
    <cellStyle name="Moneda 9 3 6 2" xfId="2768" xr:uid="{00000000-0005-0000-0000-00005D0B0000}"/>
    <cellStyle name="Moneda 9 3 7" xfId="2769" xr:uid="{00000000-0005-0000-0000-00005E0B0000}"/>
    <cellStyle name="Moneda 9 4" xfId="2770" xr:uid="{00000000-0005-0000-0000-00005F0B0000}"/>
    <cellStyle name="Moneda 9 4 2" xfId="2771" xr:uid="{00000000-0005-0000-0000-0000600B0000}"/>
    <cellStyle name="Moneda 9 4 2 2" xfId="2772" xr:uid="{00000000-0005-0000-0000-0000610B0000}"/>
    <cellStyle name="Moneda 9 4 2 2 2" xfId="2773" xr:uid="{00000000-0005-0000-0000-0000620B0000}"/>
    <cellStyle name="Moneda 9 4 2 2 2 2" xfId="2774" xr:uid="{00000000-0005-0000-0000-0000630B0000}"/>
    <cellStyle name="Moneda 9 4 2 2 3" xfId="2775" xr:uid="{00000000-0005-0000-0000-0000640B0000}"/>
    <cellStyle name="Moneda 9 4 2 2 3 2" xfId="2776" xr:uid="{00000000-0005-0000-0000-0000650B0000}"/>
    <cellStyle name="Moneda 9 4 2 2 4" xfId="2777" xr:uid="{00000000-0005-0000-0000-0000660B0000}"/>
    <cellStyle name="Moneda 9 4 2 2 4 2" xfId="2778" xr:uid="{00000000-0005-0000-0000-0000670B0000}"/>
    <cellStyle name="Moneda 9 4 2 2 5" xfId="2779" xr:uid="{00000000-0005-0000-0000-0000680B0000}"/>
    <cellStyle name="Moneda 9 4 2 3" xfId="2780" xr:uid="{00000000-0005-0000-0000-0000690B0000}"/>
    <cellStyle name="Moneda 9 4 2 3 2" xfId="2781" xr:uid="{00000000-0005-0000-0000-00006A0B0000}"/>
    <cellStyle name="Moneda 9 4 2 4" xfId="2782" xr:uid="{00000000-0005-0000-0000-00006B0B0000}"/>
    <cellStyle name="Moneda 9 4 2 4 2" xfId="2783" xr:uid="{00000000-0005-0000-0000-00006C0B0000}"/>
    <cellStyle name="Moneda 9 4 2 5" xfId="2784" xr:uid="{00000000-0005-0000-0000-00006D0B0000}"/>
    <cellStyle name="Moneda 9 4 2 5 2" xfId="2785" xr:uid="{00000000-0005-0000-0000-00006E0B0000}"/>
    <cellStyle name="Moneda 9 4 2 6" xfId="2786" xr:uid="{00000000-0005-0000-0000-00006F0B0000}"/>
    <cellStyle name="Moneda 9 4 3" xfId="2787" xr:uid="{00000000-0005-0000-0000-0000700B0000}"/>
    <cellStyle name="Moneda 9 4 3 2" xfId="2788" xr:uid="{00000000-0005-0000-0000-0000710B0000}"/>
    <cellStyle name="Moneda 9 4 3 2 2" xfId="2789" xr:uid="{00000000-0005-0000-0000-0000720B0000}"/>
    <cellStyle name="Moneda 9 4 3 3" xfId="2790" xr:uid="{00000000-0005-0000-0000-0000730B0000}"/>
    <cellStyle name="Moneda 9 4 3 3 2" xfId="2791" xr:uid="{00000000-0005-0000-0000-0000740B0000}"/>
    <cellStyle name="Moneda 9 4 3 4" xfId="2792" xr:uid="{00000000-0005-0000-0000-0000750B0000}"/>
    <cellStyle name="Moneda 9 4 3 4 2" xfId="2793" xr:uid="{00000000-0005-0000-0000-0000760B0000}"/>
    <cellStyle name="Moneda 9 4 3 5" xfId="2794" xr:uid="{00000000-0005-0000-0000-0000770B0000}"/>
    <cellStyle name="Moneda 9 4 4" xfId="2795" xr:uid="{00000000-0005-0000-0000-0000780B0000}"/>
    <cellStyle name="Moneda 9 4 4 2" xfId="2796" xr:uid="{00000000-0005-0000-0000-0000790B0000}"/>
    <cellStyle name="Moneda 9 4 5" xfId="2797" xr:uid="{00000000-0005-0000-0000-00007A0B0000}"/>
    <cellStyle name="Moneda 9 4 5 2" xfId="2798" xr:uid="{00000000-0005-0000-0000-00007B0B0000}"/>
    <cellStyle name="Moneda 9 4 6" xfId="2799" xr:uid="{00000000-0005-0000-0000-00007C0B0000}"/>
    <cellStyle name="Moneda 9 4 6 2" xfId="2800" xr:uid="{00000000-0005-0000-0000-00007D0B0000}"/>
    <cellStyle name="Moneda 9 4 7" xfId="2801" xr:uid="{00000000-0005-0000-0000-00007E0B0000}"/>
    <cellStyle name="Moneda 9 5" xfId="2802" xr:uid="{00000000-0005-0000-0000-00007F0B0000}"/>
    <cellStyle name="Moneda 9 5 2" xfId="2803" xr:uid="{00000000-0005-0000-0000-0000800B0000}"/>
    <cellStyle name="Moneda 9 5 2 2" xfId="2804" xr:uid="{00000000-0005-0000-0000-0000810B0000}"/>
    <cellStyle name="Moneda 9 5 2 2 2" xfId="2805" xr:uid="{00000000-0005-0000-0000-0000820B0000}"/>
    <cellStyle name="Moneda 9 5 2 3" xfId="2806" xr:uid="{00000000-0005-0000-0000-0000830B0000}"/>
    <cellStyle name="Moneda 9 5 2 3 2" xfId="2807" xr:uid="{00000000-0005-0000-0000-0000840B0000}"/>
    <cellStyle name="Moneda 9 5 2 4" xfId="2808" xr:uid="{00000000-0005-0000-0000-0000850B0000}"/>
    <cellStyle name="Moneda 9 5 2 4 2" xfId="2809" xr:uid="{00000000-0005-0000-0000-0000860B0000}"/>
    <cellStyle name="Moneda 9 5 2 5" xfId="2810" xr:uid="{00000000-0005-0000-0000-0000870B0000}"/>
    <cellStyle name="Moneda 9 5 3" xfId="2811" xr:uid="{00000000-0005-0000-0000-0000880B0000}"/>
    <cellStyle name="Moneda 9 5 3 2" xfId="2812" xr:uid="{00000000-0005-0000-0000-0000890B0000}"/>
    <cellStyle name="Moneda 9 5 4" xfId="2813" xr:uid="{00000000-0005-0000-0000-00008A0B0000}"/>
    <cellStyle name="Moneda 9 5 4 2" xfId="2814" xr:uid="{00000000-0005-0000-0000-00008B0B0000}"/>
    <cellStyle name="Moneda 9 5 5" xfId="2815" xr:uid="{00000000-0005-0000-0000-00008C0B0000}"/>
    <cellStyle name="Moneda 9 5 5 2" xfId="2816" xr:uid="{00000000-0005-0000-0000-00008D0B0000}"/>
    <cellStyle name="Moneda 9 5 6" xfId="2817" xr:uid="{00000000-0005-0000-0000-00008E0B0000}"/>
    <cellStyle name="Moneda 9 6" xfId="2818" xr:uid="{00000000-0005-0000-0000-00008F0B0000}"/>
    <cellStyle name="Moneda 9 6 2" xfId="2819" xr:uid="{00000000-0005-0000-0000-0000900B0000}"/>
    <cellStyle name="Moneda 9 6 2 2" xfId="2820" xr:uid="{00000000-0005-0000-0000-0000910B0000}"/>
    <cellStyle name="Moneda 9 6 3" xfId="2821" xr:uid="{00000000-0005-0000-0000-0000920B0000}"/>
    <cellStyle name="Moneda 9 6 3 2" xfId="2822" xr:uid="{00000000-0005-0000-0000-0000930B0000}"/>
    <cellStyle name="Moneda 9 6 4" xfId="2823" xr:uid="{00000000-0005-0000-0000-0000940B0000}"/>
    <cellStyle name="Moneda 9 6 4 2" xfId="2824" xr:uid="{00000000-0005-0000-0000-0000950B0000}"/>
    <cellStyle name="Moneda 9 6 5" xfId="2825" xr:uid="{00000000-0005-0000-0000-0000960B0000}"/>
    <cellStyle name="Moneda 9 7" xfId="2826" xr:uid="{00000000-0005-0000-0000-0000970B0000}"/>
    <cellStyle name="Moneda 9 7 2" xfId="2827" xr:uid="{00000000-0005-0000-0000-0000980B0000}"/>
    <cellStyle name="Moneda 9 8" xfId="2828" xr:uid="{00000000-0005-0000-0000-0000990B0000}"/>
    <cellStyle name="Moneda 9 8 2" xfId="2829" xr:uid="{00000000-0005-0000-0000-00009A0B0000}"/>
    <cellStyle name="Moneda 9 9" xfId="2830" xr:uid="{00000000-0005-0000-0000-00009B0B0000}"/>
    <cellStyle name="Moneda 9 9 2" xfId="2831" xr:uid="{00000000-0005-0000-0000-00009C0B0000}"/>
    <cellStyle name="Neutral 2" xfId="2832" xr:uid="{00000000-0005-0000-0000-00009D0B0000}"/>
    <cellStyle name="Normal" xfId="0" builtinId="0"/>
    <cellStyle name="Normal 2" xfId="16" xr:uid="{00000000-0005-0000-0000-00009F0B0000}"/>
    <cellStyle name="Normal 2 10" xfId="17" xr:uid="{00000000-0005-0000-0000-0000A00B0000}"/>
    <cellStyle name="Normal 2 2" xfId="2833" xr:uid="{00000000-0005-0000-0000-0000A10B0000}"/>
    <cellStyle name="Normal 2 2 2" xfId="2834" xr:uid="{00000000-0005-0000-0000-0000A20B0000}"/>
    <cellStyle name="Normal 2 3" xfId="2835" xr:uid="{00000000-0005-0000-0000-0000A30B0000}"/>
    <cellStyle name="Normal 2 3 2" xfId="2836" xr:uid="{00000000-0005-0000-0000-0000A40B0000}"/>
    <cellStyle name="Normal 2 4" xfId="2837" xr:uid="{00000000-0005-0000-0000-0000A50B0000}"/>
    <cellStyle name="Normal 3" xfId="18" xr:uid="{00000000-0005-0000-0000-0000A60B0000}"/>
    <cellStyle name="Normal 3 2" xfId="19" xr:uid="{00000000-0005-0000-0000-0000A70B0000}"/>
    <cellStyle name="Normal 3 2 2" xfId="2838" xr:uid="{00000000-0005-0000-0000-0000A80B0000}"/>
    <cellStyle name="Normal 3 2 2 2" xfId="2839" xr:uid="{00000000-0005-0000-0000-0000A90B0000}"/>
    <cellStyle name="Normal 3 2 3" xfId="2840" xr:uid="{00000000-0005-0000-0000-0000AA0B0000}"/>
    <cellStyle name="Normal 3 3" xfId="2841" xr:uid="{00000000-0005-0000-0000-0000AB0B0000}"/>
    <cellStyle name="Normal 3 4" xfId="2842" xr:uid="{00000000-0005-0000-0000-0000AC0B0000}"/>
    <cellStyle name="Normal 3 5" xfId="2843" xr:uid="{00000000-0005-0000-0000-0000AD0B0000}"/>
    <cellStyle name="Normal 3_CADENA DE VALOR" xfId="27" xr:uid="{00000000-0005-0000-0000-0000AE0B0000}"/>
    <cellStyle name="Normal 4" xfId="2844" xr:uid="{00000000-0005-0000-0000-0000AF0B0000}"/>
    <cellStyle name="Normal 4 2" xfId="20" xr:uid="{00000000-0005-0000-0000-0000B00B0000}"/>
    <cellStyle name="Normal 5" xfId="2845" xr:uid="{00000000-0005-0000-0000-0000B10B0000}"/>
    <cellStyle name="Normal 6 2" xfId="2846" xr:uid="{00000000-0005-0000-0000-0000B20B0000}"/>
    <cellStyle name="Normal_CADENA DE VALOR" xfId="2866" xr:uid="{00000000-0005-0000-0000-0000B30B0000}"/>
    <cellStyle name="Numeric" xfId="2847" xr:uid="{00000000-0005-0000-0000-0000B40B0000}"/>
    <cellStyle name="NumericWithBorder" xfId="2848" xr:uid="{00000000-0005-0000-0000-0000B50B0000}"/>
    <cellStyle name="NumericWithBorder 2" xfId="2849" xr:uid="{00000000-0005-0000-0000-0000B60B0000}"/>
    <cellStyle name="NumericWithBorder 2 2" xfId="2850" xr:uid="{00000000-0005-0000-0000-0000B70B0000}"/>
    <cellStyle name="NumericWithBorder 2 3" xfId="2851" xr:uid="{00000000-0005-0000-0000-0000B80B0000}"/>
    <cellStyle name="NumericWithBorder 2 4" xfId="2852" xr:uid="{00000000-0005-0000-0000-0000B90B0000}"/>
    <cellStyle name="NumericWithBorder 3" xfId="2853" xr:uid="{00000000-0005-0000-0000-0000BA0B0000}"/>
    <cellStyle name="NumericWithBorder 4" xfId="2854" xr:uid="{00000000-0005-0000-0000-0000BB0B0000}"/>
    <cellStyle name="NumericWithBorder 5" xfId="2855" xr:uid="{00000000-0005-0000-0000-0000BC0B0000}"/>
    <cellStyle name="Percent" xfId="2856" xr:uid="{00000000-0005-0000-0000-0000BD0B0000}"/>
    <cellStyle name="Percent 2" xfId="2857" xr:uid="{00000000-0005-0000-0000-0000BE0B0000}"/>
    <cellStyle name="Percent 2 2" xfId="2858" xr:uid="{00000000-0005-0000-0000-0000BF0B0000}"/>
    <cellStyle name="Porcentaje" xfId="21" builtinId="5"/>
    <cellStyle name="Porcentaje 2" xfId="24" xr:uid="{00000000-0005-0000-0000-0000C10B0000}"/>
    <cellStyle name="Porcentaje 2 2" xfId="2859" xr:uid="{00000000-0005-0000-0000-0000C20B0000}"/>
    <cellStyle name="Porcentaje 3" xfId="25" xr:uid="{00000000-0005-0000-0000-0000C30B0000}"/>
    <cellStyle name="Porcentaje 3 2" xfId="2860" xr:uid="{00000000-0005-0000-0000-0000C40B0000}"/>
    <cellStyle name="Porcentaje 4" xfId="26" xr:uid="{00000000-0005-0000-0000-0000C50B0000}"/>
    <cellStyle name="Porcentual 2" xfId="22" xr:uid="{00000000-0005-0000-0000-0000C60B0000}"/>
    <cellStyle name="Porcentual 2 2" xfId="23" xr:uid="{00000000-0005-0000-0000-0000C70B0000}"/>
    <cellStyle name="Porcentual 2 2 2" xfId="2861" xr:uid="{00000000-0005-0000-0000-0000C80B0000}"/>
    <cellStyle name="Porcentual 2 3" xfId="2862" xr:uid="{00000000-0005-0000-0000-0000C90B0000}"/>
    <cellStyle name="Porcentual 2 3 2" xfId="2863" xr:uid="{00000000-0005-0000-0000-0000CA0B0000}"/>
    <cellStyle name="Porcentual 3" xfId="2864" xr:uid="{00000000-0005-0000-0000-0000CB0B0000}"/>
  </cellStyles>
  <dxfs count="0"/>
  <tableStyles count="0" defaultTableStyle="TableStyleMedium9" defaultPivotStyle="PivotStyleLight16"/>
  <colors>
    <mruColors>
      <color rgb="FF0AF0F6"/>
      <color rgb="FF00FF00"/>
      <color rgb="FF0099FF"/>
      <color rgb="FFFF2600"/>
      <color rgb="FF75DBFF"/>
      <color rgb="FF0096FF"/>
      <color rgb="FF7BB800"/>
      <color rgb="FF0066FF"/>
      <color rgb="FF669900"/>
      <color rgb="FF00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jp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3.jp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593766</xdr:rowOff>
    </xdr:from>
    <xdr:to>
      <xdr:col>3</xdr:col>
      <xdr:colOff>1018728</xdr:colOff>
      <xdr:row>2</xdr:row>
      <xdr:rowOff>187563</xdr:rowOff>
    </xdr:to>
    <xdr:pic>
      <xdr:nvPicPr>
        <xdr:cNvPr id="2" name="Imagen 1">
          <a:extLst>
            <a:ext uri="{FF2B5EF4-FFF2-40B4-BE49-F238E27FC236}">
              <a16:creationId xmlns:a16="http://schemas.microsoft.com/office/drawing/2014/main" id="{064E8D03-A405-00B0-F04E-0BE715887F4F}"/>
            </a:ext>
          </a:extLst>
        </xdr:cNvPr>
        <xdr:cNvPicPr>
          <a:picLocks noChangeAspect="1"/>
        </xdr:cNvPicPr>
      </xdr:nvPicPr>
      <xdr:blipFill>
        <a:blip xmlns:r="http://schemas.openxmlformats.org/officeDocument/2006/relationships" r:embed="rId1"/>
        <a:stretch>
          <a:fillRect/>
        </a:stretch>
      </xdr:blipFill>
      <xdr:spPr>
        <a:xfrm>
          <a:off x="0" y="593766"/>
          <a:ext cx="3407959" cy="67671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xdr:colOff>
      <xdr:row>0</xdr:row>
      <xdr:rowOff>50132</xdr:rowOff>
    </xdr:from>
    <xdr:to>
      <xdr:col>4</xdr:col>
      <xdr:colOff>384343</xdr:colOff>
      <xdr:row>1</xdr:row>
      <xdr:rowOff>403250</xdr:rowOff>
    </xdr:to>
    <xdr:pic>
      <xdr:nvPicPr>
        <xdr:cNvPr id="2" name="Imagen 1">
          <a:extLst>
            <a:ext uri="{FF2B5EF4-FFF2-40B4-BE49-F238E27FC236}">
              <a16:creationId xmlns:a16="http://schemas.microsoft.com/office/drawing/2014/main" id="{11A22490-22A7-F2E7-5BD0-29D05000828B}"/>
            </a:ext>
          </a:extLst>
        </xdr:cNvPr>
        <xdr:cNvPicPr>
          <a:picLocks noChangeAspect="1"/>
        </xdr:cNvPicPr>
      </xdr:nvPicPr>
      <xdr:blipFill>
        <a:blip xmlns:r="http://schemas.openxmlformats.org/officeDocument/2006/relationships" r:embed="rId1"/>
        <a:stretch>
          <a:fillRect/>
        </a:stretch>
      </xdr:blipFill>
      <xdr:spPr>
        <a:xfrm>
          <a:off x="1" y="50132"/>
          <a:ext cx="3124868" cy="67061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0</xdr:col>
      <xdr:colOff>0</xdr:colOff>
      <xdr:row>1</xdr:row>
      <xdr:rowOff>110434</xdr:rowOff>
    </xdr:from>
    <xdr:ext cx="3406748" cy="673776"/>
    <xdr:pic>
      <xdr:nvPicPr>
        <xdr:cNvPr id="2" name="image1.jpg">
          <a:extLst>
            <a:ext uri="{FF2B5EF4-FFF2-40B4-BE49-F238E27FC236}">
              <a16:creationId xmlns:a16="http://schemas.microsoft.com/office/drawing/2014/main" id="{B4B07EAE-C240-42A0-B78E-510BA422998D}"/>
            </a:ext>
          </a:extLst>
        </xdr:cNvPr>
        <xdr:cNvPicPr preferRelativeResize="0"/>
      </xdr:nvPicPr>
      <xdr:blipFill>
        <a:blip xmlns:r="http://schemas.openxmlformats.org/officeDocument/2006/relationships" r:embed="rId1" cstate="print"/>
        <a:stretch>
          <a:fillRect/>
        </a:stretch>
      </xdr:blipFill>
      <xdr:spPr>
        <a:xfrm>
          <a:off x="0" y="455543"/>
          <a:ext cx="3406748" cy="673776"/>
        </a:xfrm>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1360084</xdr:colOff>
      <xdr:row>2</xdr:row>
      <xdr:rowOff>67368</xdr:rowOff>
    </xdr:to>
    <xdr:pic>
      <xdr:nvPicPr>
        <xdr:cNvPr id="2" name="Imagen 1">
          <a:extLst>
            <a:ext uri="{FF2B5EF4-FFF2-40B4-BE49-F238E27FC236}">
              <a16:creationId xmlns:a16="http://schemas.microsoft.com/office/drawing/2014/main" id="{E7DC02DE-C339-6062-4781-EC7C55142CD8}"/>
            </a:ext>
          </a:extLst>
        </xdr:cNvPr>
        <xdr:cNvPicPr>
          <a:picLocks noChangeAspect="1"/>
        </xdr:cNvPicPr>
      </xdr:nvPicPr>
      <xdr:blipFill>
        <a:blip xmlns:r="http://schemas.openxmlformats.org/officeDocument/2006/relationships" r:embed="rId1"/>
        <a:stretch>
          <a:fillRect/>
        </a:stretch>
      </xdr:blipFill>
      <xdr:spPr>
        <a:xfrm>
          <a:off x="0" y="0"/>
          <a:ext cx="3407959" cy="67061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oneCellAnchor>
    <xdr:from>
      <xdr:col>0</xdr:col>
      <xdr:colOff>0</xdr:colOff>
      <xdr:row>0</xdr:row>
      <xdr:rowOff>0</xdr:rowOff>
    </xdr:from>
    <xdr:ext cx="3406748" cy="673776"/>
    <xdr:pic>
      <xdr:nvPicPr>
        <xdr:cNvPr id="2" name="image1.jpg">
          <a:extLst>
            <a:ext uri="{FF2B5EF4-FFF2-40B4-BE49-F238E27FC236}">
              <a16:creationId xmlns:a16="http://schemas.microsoft.com/office/drawing/2014/main" id="{9D262494-C79D-4C72-8446-5ECCF6F0047F}"/>
            </a:ext>
          </a:extLst>
        </xdr:cNvPr>
        <xdr:cNvPicPr preferRelativeResize="0"/>
      </xdr:nvPicPr>
      <xdr:blipFill>
        <a:blip xmlns:r="http://schemas.openxmlformats.org/officeDocument/2006/relationships" r:embed="rId1" cstate="print"/>
        <a:stretch>
          <a:fillRect/>
        </a:stretch>
      </xdr:blipFill>
      <xdr:spPr>
        <a:xfrm>
          <a:off x="0" y="0"/>
          <a:ext cx="3406748" cy="673776"/>
        </a:xfrm>
        <a:prstGeom prst="rect">
          <a:avLst/>
        </a:prstGeom>
        <a:noFill/>
      </xdr:spPr>
    </xdr:pic>
    <xdr:clientData fLocksWithSheet="0"/>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carolinanino/Documents/SDA-2020/Plan%20de%20Accio&#769;n%20NCSA/12161BA7/285_V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carolinanino/Documents/SDA%202023/7778/plan%20de%20accio&#769;n/mayo/5-PA-7778-MAYO-2023-SCAAV.OK.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1_Trabajo\3_SDA_Proyectos\Actividades2023\24_Enero2024_1642\7_Formatos%20Val%20Terri_Diciembre\PA_Yulied\12-PA-7778-DICIEMBRE-2023_AF.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ariables"/>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VERSIÓN"/>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ESTIÓN"/>
      <sheetName val="INVERSIÓN"/>
      <sheetName val="ACTIVIDADES"/>
      <sheetName val="TERRITORIALIZACION"/>
      <sheetName val="SPI "/>
    </sheetNames>
    <sheetDataSet>
      <sheetData sheetId="0" refreshError="1"/>
      <sheetData sheetId="1" refreshError="1">
        <row r="10">
          <cell r="DL10">
            <v>1</v>
          </cell>
          <cell r="DM10">
            <v>1</v>
          </cell>
        </row>
        <row r="11">
          <cell r="DL11">
            <v>1587830354</v>
          </cell>
          <cell r="DM11">
            <v>1581509471</v>
          </cell>
        </row>
        <row r="13">
          <cell r="DL13">
            <v>0</v>
          </cell>
          <cell r="DM13">
            <v>0</v>
          </cell>
        </row>
        <row r="14">
          <cell r="DL14">
            <v>983011126</v>
          </cell>
          <cell r="DM14">
            <v>954962946</v>
          </cell>
        </row>
        <row r="15">
          <cell r="DL15">
            <v>1</v>
          </cell>
          <cell r="DM15">
            <v>1</v>
          </cell>
        </row>
        <row r="16">
          <cell r="DL16">
            <v>2570841480</v>
          </cell>
          <cell r="DM16">
            <v>2536472417</v>
          </cell>
        </row>
        <row r="17">
          <cell r="DL17">
            <v>7</v>
          </cell>
          <cell r="DM17">
            <v>7</v>
          </cell>
        </row>
        <row r="18">
          <cell r="DL18">
            <v>2943746700</v>
          </cell>
          <cell r="DM18">
            <v>2316950923</v>
          </cell>
        </row>
        <row r="20">
          <cell r="DL20">
            <v>1</v>
          </cell>
          <cell r="DM20">
            <v>1</v>
          </cell>
        </row>
        <row r="21">
          <cell r="DL21">
            <v>755284081</v>
          </cell>
          <cell r="DM21">
            <v>741664281</v>
          </cell>
        </row>
        <row r="22">
          <cell r="DL22">
            <v>8</v>
          </cell>
          <cell r="DM22">
            <v>8</v>
          </cell>
        </row>
        <row r="23">
          <cell r="DL23">
            <v>3699030781</v>
          </cell>
          <cell r="DM23">
            <v>3058615204</v>
          </cell>
        </row>
        <row r="24">
          <cell r="DL24">
            <v>1.9999999999999998</v>
          </cell>
          <cell r="DM24">
            <v>1.9999999999999998</v>
          </cell>
        </row>
        <row r="25">
          <cell r="DL25">
            <v>3019226595</v>
          </cell>
          <cell r="DM25">
            <v>3013503988</v>
          </cell>
        </row>
        <row r="27">
          <cell r="DL27">
            <v>0</v>
          </cell>
          <cell r="DM27">
            <v>0</v>
          </cell>
        </row>
        <row r="28">
          <cell r="DL28">
            <v>735299321.33333325</v>
          </cell>
          <cell r="DM28">
            <v>733154803</v>
          </cell>
        </row>
        <row r="29">
          <cell r="DL29">
            <v>1.9999999999999998</v>
          </cell>
          <cell r="DM29">
            <v>1.9999999999999998</v>
          </cell>
        </row>
        <row r="30">
          <cell r="DL30">
            <v>3754525916.333333</v>
          </cell>
          <cell r="DM30">
            <v>3746658791</v>
          </cell>
        </row>
        <row r="31">
          <cell r="DL31">
            <v>1585</v>
          </cell>
          <cell r="DM31">
            <v>1481</v>
          </cell>
        </row>
        <row r="32">
          <cell r="DL32">
            <v>1223986699</v>
          </cell>
          <cell r="DM32">
            <v>1222018466</v>
          </cell>
        </row>
        <row r="34">
          <cell r="DL34">
            <v>0</v>
          </cell>
          <cell r="DM34">
            <v>0</v>
          </cell>
        </row>
        <row r="35">
          <cell r="DL35">
            <v>550078477.66666663</v>
          </cell>
          <cell r="DM35">
            <v>550078477</v>
          </cell>
        </row>
        <row r="36">
          <cell r="DL36">
            <v>1585</v>
          </cell>
          <cell r="DM36">
            <v>1481</v>
          </cell>
        </row>
        <row r="37">
          <cell r="DL37">
            <v>1774065176.6666665</v>
          </cell>
          <cell r="DM37">
            <v>1772096943</v>
          </cell>
        </row>
        <row r="38">
          <cell r="DL38">
            <v>1</v>
          </cell>
          <cell r="DM38">
            <v>1</v>
          </cell>
        </row>
        <row r="39">
          <cell r="DL39">
            <v>550281167</v>
          </cell>
          <cell r="DM39">
            <v>538000786</v>
          </cell>
        </row>
        <row r="41">
          <cell r="DL41">
            <v>0</v>
          </cell>
          <cell r="DM41">
            <v>0</v>
          </cell>
        </row>
        <row r="42">
          <cell r="DL42">
            <v>423906195</v>
          </cell>
          <cell r="DM42">
            <v>422078481</v>
          </cell>
        </row>
        <row r="43">
          <cell r="DL43">
            <v>1</v>
          </cell>
          <cell r="DM43">
            <v>1</v>
          </cell>
        </row>
        <row r="44">
          <cell r="DL44">
            <v>974187362</v>
          </cell>
          <cell r="DM44">
            <v>960079267</v>
          </cell>
        </row>
        <row r="45">
          <cell r="DL45">
            <v>1193</v>
          </cell>
          <cell r="DM45">
            <v>1193</v>
          </cell>
        </row>
        <row r="46">
          <cell r="DL46">
            <v>1625097832</v>
          </cell>
          <cell r="DM46">
            <v>1616580500</v>
          </cell>
        </row>
        <row r="48">
          <cell r="DL48">
            <v>0</v>
          </cell>
          <cell r="DM48">
            <v>0</v>
          </cell>
        </row>
        <row r="49">
          <cell r="DL49">
            <v>390034033</v>
          </cell>
          <cell r="DM49">
            <v>339522932</v>
          </cell>
        </row>
        <row r="50">
          <cell r="DL50">
            <v>1193</v>
          </cell>
          <cell r="DM50">
            <v>1193</v>
          </cell>
        </row>
        <row r="51">
          <cell r="DL51">
            <v>2015131865</v>
          </cell>
          <cell r="DM51">
            <v>1956103432</v>
          </cell>
        </row>
        <row r="52">
          <cell r="DL52">
            <v>1</v>
          </cell>
          <cell r="DM52">
            <v>1</v>
          </cell>
        </row>
        <row r="53">
          <cell r="DL53">
            <v>785712653</v>
          </cell>
          <cell r="DM53">
            <v>785712653</v>
          </cell>
        </row>
        <row r="55">
          <cell r="DL55">
            <v>0</v>
          </cell>
          <cell r="DM55">
            <v>0</v>
          </cell>
        </row>
        <row r="56">
          <cell r="DL56">
            <v>34323500</v>
          </cell>
          <cell r="DM56">
            <v>31313500</v>
          </cell>
        </row>
        <row r="57">
          <cell r="DL57">
            <v>1</v>
          </cell>
          <cell r="DM57">
            <v>1</v>
          </cell>
        </row>
        <row r="58">
          <cell r="DL58">
            <v>820036153</v>
          </cell>
          <cell r="DM58">
            <v>817026153</v>
          </cell>
        </row>
        <row r="59">
          <cell r="DL59">
            <v>11735882000</v>
          </cell>
          <cell r="DM59">
            <v>11074276787</v>
          </cell>
        </row>
        <row r="60">
          <cell r="DL60">
            <v>3871936733.9999995</v>
          </cell>
          <cell r="DM60">
            <v>3772775420</v>
          </cell>
        </row>
        <row r="61">
          <cell r="DL61">
            <v>15607818734</v>
          </cell>
          <cell r="DM61">
            <v>14847052207</v>
          </cell>
        </row>
      </sheetData>
      <sheetData sheetId="2" refreshError="1"/>
      <sheetData sheetId="3" refreshError="1"/>
      <sheetData sheetId="4"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drive.google.com/drive/folders/1JV0NJ5GHWYIOwH7O1D4dLZZ-_q03dcCo" TargetMode="External"/><Relationship Id="rId7" Type="http://schemas.openxmlformats.org/officeDocument/2006/relationships/drawing" Target="../drawings/drawing1.xml"/><Relationship Id="rId2" Type="http://schemas.openxmlformats.org/officeDocument/2006/relationships/hyperlink" Target="https://drive.google.com/drive/folders/1JV0NJ5GHWYIOwH7O1D4dLZZ-_q03dcCo" TargetMode="External"/><Relationship Id="rId1" Type="http://schemas.openxmlformats.org/officeDocument/2006/relationships/hyperlink" Target="http://rmcab.ambientebogota.gov.co/" TargetMode="External"/><Relationship Id="rId6" Type="http://schemas.openxmlformats.org/officeDocument/2006/relationships/printerSettings" Target="../printerSettings/printerSettings1.bin"/><Relationship Id="rId5" Type="http://schemas.openxmlformats.org/officeDocument/2006/relationships/hyperlink" Target="http://rmcab.ambientebogota.gov.co/" TargetMode="External"/><Relationship Id="rId4" Type="http://schemas.openxmlformats.org/officeDocument/2006/relationships/hyperlink" Target="https://drive.google.com/drive/folders/1JV0NJ5GHWYIOwH7O1D4dLZZ-_q03dcCo"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C24"/>
  <sheetViews>
    <sheetView showGridLines="0" tabSelected="1" zoomScale="62" zoomScaleNormal="62" workbookViewId="0">
      <selection activeCell="ET14" sqref="ET14"/>
    </sheetView>
  </sheetViews>
  <sheetFormatPr baseColWidth="10" defaultColWidth="9.140625" defaultRowHeight="48" customHeight="1"/>
  <cols>
    <col min="1" max="1" width="12.5703125" customWidth="1"/>
    <col min="2" max="2" width="14.140625" customWidth="1"/>
    <col min="4" max="4" width="31.85546875" customWidth="1"/>
    <col min="6" max="6" width="27.85546875" customWidth="1"/>
    <col min="7" max="7" width="10.28515625" customWidth="1"/>
    <col min="8" max="8" width="13.42578125" customWidth="1"/>
    <col min="9" max="9" width="10.7109375" style="10" customWidth="1"/>
    <col min="10" max="10" width="21.85546875" style="10" hidden="1" customWidth="1"/>
    <col min="11" max="24" width="9.140625" style="10" hidden="1" customWidth="1"/>
    <col min="25" max="27" width="18" style="10" hidden="1" customWidth="1"/>
    <col min="28" max="29" width="21.85546875" style="10" customWidth="1"/>
    <col min="30" max="54" width="9.140625" style="10" hidden="1" customWidth="1"/>
    <col min="55" max="57" width="16.140625" style="10" hidden="1" customWidth="1"/>
    <col min="58" max="59" width="21.85546875" style="10" customWidth="1"/>
    <col min="60" max="60" width="15.42578125" style="10" hidden="1" customWidth="1"/>
    <col min="61" max="84" width="9.140625" style="10" hidden="1" customWidth="1"/>
    <col min="85" max="87" width="16.140625" style="10" hidden="1" customWidth="1"/>
    <col min="88" max="89" width="21.85546875" style="10" customWidth="1"/>
    <col min="90" max="90" width="22.7109375" style="10" customWidth="1"/>
    <col min="91" max="106" width="16.85546875" style="10" customWidth="1"/>
    <col min="107" max="109" width="12.42578125" style="10" customWidth="1"/>
    <col min="110" max="114" width="16.85546875" style="10" customWidth="1"/>
    <col min="115" max="119" width="22.85546875" style="10" customWidth="1"/>
    <col min="120" max="120" width="21.7109375" style="10" customWidth="1"/>
    <col min="121" max="149" width="9.140625" style="10" hidden="1" customWidth="1"/>
    <col min="150" max="150" width="25.140625" customWidth="1"/>
    <col min="151" max="151" width="24.140625" customWidth="1"/>
    <col min="152" max="152" width="24.7109375" customWidth="1"/>
    <col min="153" max="153" width="26" customWidth="1"/>
    <col min="154" max="154" width="20.85546875" customWidth="1"/>
    <col min="155" max="155" width="53.140625" customWidth="1"/>
    <col min="156" max="157" width="19.42578125" customWidth="1"/>
    <col min="158" max="158" width="59.85546875" customWidth="1"/>
    <col min="159" max="159" width="32.28515625" customWidth="1"/>
  </cols>
  <sheetData>
    <row r="1" spans="1:159" s="15" customFormat="1" ht="39.75" customHeight="1">
      <c r="A1" s="602"/>
      <c r="B1" s="603"/>
      <c r="C1" s="603"/>
      <c r="D1" s="603"/>
      <c r="E1" s="603"/>
      <c r="F1" s="603"/>
      <c r="G1" s="606" t="s">
        <v>38</v>
      </c>
      <c r="H1" s="606"/>
      <c r="I1" s="606"/>
      <c r="J1" s="606"/>
      <c r="K1" s="606"/>
      <c r="L1" s="606"/>
      <c r="M1" s="606"/>
      <c r="N1" s="606"/>
      <c r="O1" s="606"/>
      <c r="P1" s="606"/>
      <c r="Q1" s="606"/>
      <c r="R1" s="606"/>
      <c r="S1" s="606"/>
      <c r="T1" s="606"/>
      <c r="U1" s="606"/>
      <c r="V1" s="606"/>
      <c r="W1" s="606"/>
      <c r="X1" s="606"/>
      <c r="Y1" s="606"/>
      <c r="Z1" s="606"/>
      <c r="AA1" s="606"/>
      <c r="AB1" s="606"/>
      <c r="AC1" s="606"/>
      <c r="AD1" s="606"/>
      <c r="AE1" s="606"/>
      <c r="AF1" s="606"/>
      <c r="AG1" s="606"/>
      <c r="AH1" s="606"/>
      <c r="AI1" s="606"/>
      <c r="AJ1" s="606"/>
      <c r="AK1" s="606"/>
      <c r="AL1" s="606"/>
      <c r="AM1" s="606"/>
      <c r="AN1" s="606"/>
      <c r="AO1" s="606"/>
      <c r="AP1" s="606"/>
      <c r="AQ1" s="606"/>
      <c r="AR1" s="606"/>
      <c r="AS1" s="606"/>
      <c r="AT1" s="606"/>
      <c r="AU1" s="606"/>
      <c r="AV1" s="606"/>
      <c r="AW1" s="606"/>
      <c r="AX1" s="606"/>
      <c r="AY1" s="606"/>
      <c r="AZ1" s="606"/>
      <c r="BA1" s="606"/>
      <c r="BB1" s="606"/>
      <c r="BC1" s="606"/>
      <c r="BD1" s="606"/>
      <c r="BE1" s="606"/>
      <c r="BF1" s="606"/>
      <c r="BG1" s="606"/>
      <c r="BH1" s="606"/>
      <c r="BI1" s="606"/>
      <c r="BJ1" s="606"/>
      <c r="BK1" s="606"/>
      <c r="BL1" s="606"/>
      <c r="BM1" s="606"/>
      <c r="BN1" s="606"/>
      <c r="BO1" s="606"/>
      <c r="BP1" s="606"/>
      <c r="BQ1" s="606"/>
      <c r="BR1" s="606"/>
      <c r="BS1" s="606"/>
      <c r="BT1" s="606"/>
      <c r="BU1" s="606"/>
      <c r="BV1" s="606"/>
      <c r="BW1" s="606"/>
      <c r="BX1" s="606"/>
      <c r="BY1" s="606"/>
      <c r="BZ1" s="606"/>
      <c r="CA1" s="606"/>
      <c r="CB1" s="606"/>
      <c r="CC1" s="606"/>
      <c r="CD1" s="606"/>
      <c r="CE1" s="606"/>
      <c r="CF1" s="606"/>
      <c r="CG1" s="606"/>
      <c r="CH1" s="606"/>
      <c r="CI1" s="606"/>
      <c r="CJ1" s="606"/>
      <c r="CK1" s="606"/>
      <c r="CL1" s="606"/>
      <c r="CM1" s="606"/>
      <c r="CN1" s="606"/>
      <c r="CO1" s="606"/>
      <c r="CP1" s="606"/>
      <c r="CQ1" s="606"/>
      <c r="CR1" s="606"/>
      <c r="CS1" s="606"/>
      <c r="CT1" s="606"/>
      <c r="CU1" s="606"/>
      <c r="CV1" s="606"/>
      <c r="CW1" s="606"/>
      <c r="CX1" s="606"/>
      <c r="CY1" s="606"/>
      <c r="CZ1" s="606"/>
      <c r="DA1" s="606"/>
      <c r="DB1" s="606"/>
      <c r="DC1" s="606"/>
      <c r="DD1" s="606"/>
      <c r="DE1" s="606"/>
      <c r="DF1" s="606"/>
      <c r="DG1" s="606"/>
      <c r="DH1" s="606"/>
      <c r="DI1" s="606"/>
      <c r="DJ1" s="606"/>
      <c r="DK1" s="606"/>
      <c r="DL1" s="606"/>
      <c r="DM1" s="606"/>
      <c r="DN1" s="606"/>
      <c r="DO1" s="606"/>
      <c r="DP1" s="606"/>
      <c r="DQ1" s="606"/>
      <c r="DR1" s="606"/>
      <c r="DS1" s="606"/>
      <c r="DT1" s="606"/>
      <c r="DU1" s="606"/>
      <c r="DV1" s="606"/>
      <c r="DW1" s="606"/>
      <c r="DX1" s="606"/>
      <c r="DY1" s="606"/>
      <c r="DZ1" s="606"/>
      <c r="EA1" s="606"/>
      <c r="EB1" s="606"/>
      <c r="EC1" s="606"/>
      <c r="ED1" s="606"/>
      <c r="EE1" s="606"/>
      <c r="EF1" s="606"/>
      <c r="EG1" s="606"/>
      <c r="EH1" s="606"/>
      <c r="EI1" s="606"/>
      <c r="EJ1" s="606"/>
      <c r="EK1" s="606"/>
      <c r="EL1" s="606"/>
      <c r="EM1" s="606"/>
      <c r="EN1" s="606"/>
      <c r="EO1" s="606"/>
      <c r="EP1" s="606"/>
      <c r="EQ1" s="606"/>
      <c r="ER1" s="606"/>
      <c r="ES1" s="606"/>
      <c r="ET1" s="606"/>
      <c r="EU1" s="606"/>
      <c r="EV1" s="606"/>
      <c r="EW1" s="606"/>
      <c r="EX1" s="606"/>
      <c r="EY1" s="606"/>
      <c r="EZ1" s="606"/>
      <c r="FA1" s="606"/>
      <c r="FB1" s="606"/>
      <c r="FC1" s="607"/>
    </row>
    <row r="2" spans="1:159" s="15" customFormat="1" ht="39.75" customHeight="1">
      <c r="A2" s="604"/>
      <c r="B2" s="605"/>
      <c r="C2" s="605"/>
      <c r="D2" s="605"/>
      <c r="E2" s="605"/>
      <c r="F2" s="605"/>
      <c r="G2" s="608" t="s">
        <v>243</v>
      </c>
      <c r="H2" s="608"/>
      <c r="I2" s="608"/>
      <c r="J2" s="608"/>
      <c r="K2" s="608"/>
      <c r="L2" s="608"/>
      <c r="M2" s="608"/>
      <c r="N2" s="608"/>
      <c r="O2" s="608"/>
      <c r="P2" s="608"/>
      <c r="Q2" s="608"/>
      <c r="R2" s="608"/>
      <c r="S2" s="608"/>
      <c r="T2" s="608"/>
      <c r="U2" s="608"/>
      <c r="V2" s="608"/>
      <c r="W2" s="608"/>
      <c r="X2" s="608"/>
      <c r="Y2" s="608"/>
      <c r="Z2" s="608"/>
      <c r="AA2" s="608"/>
      <c r="AB2" s="608"/>
      <c r="AC2" s="608"/>
      <c r="AD2" s="608"/>
      <c r="AE2" s="608"/>
      <c r="AF2" s="608"/>
      <c r="AG2" s="608"/>
      <c r="AH2" s="608"/>
      <c r="AI2" s="608"/>
      <c r="AJ2" s="608"/>
      <c r="AK2" s="608"/>
      <c r="AL2" s="608"/>
      <c r="AM2" s="608"/>
      <c r="AN2" s="608"/>
      <c r="AO2" s="608"/>
      <c r="AP2" s="608"/>
      <c r="AQ2" s="608"/>
      <c r="AR2" s="608"/>
      <c r="AS2" s="608"/>
      <c r="AT2" s="608"/>
      <c r="AU2" s="608"/>
      <c r="AV2" s="608"/>
      <c r="AW2" s="608"/>
      <c r="AX2" s="608"/>
      <c r="AY2" s="608"/>
      <c r="AZ2" s="608"/>
      <c r="BA2" s="608"/>
      <c r="BB2" s="608"/>
      <c r="BC2" s="608"/>
      <c r="BD2" s="608"/>
      <c r="BE2" s="608"/>
      <c r="BF2" s="608"/>
      <c r="BG2" s="608"/>
      <c r="BH2" s="608"/>
      <c r="BI2" s="608"/>
      <c r="BJ2" s="608"/>
      <c r="BK2" s="608"/>
      <c r="BL2" s="608"/>
      <c r="BM2" s="608"/>
      <c r="BN2" s="608"/>
      <c r="BO2" s="608"/>
      <c r="BP2" s="608"/>
      <c r="BQ2" s="608"/>
      <c r="BR2" s="608"/>
      <c r="BS2" s="608"/>
      <c r="BT2" s="608"/>
      <c r="BU2" s="608"/>
      <c r="BV2" s="608"/>
      <c r="BW2" s="608"/>
      <c r="BX2" s="608"/>
      <c r="BY2" s="608"/>
      <c r="BZ2" s="608"/>
      <c r="CA2" s="608"/>
      <c r="CB2" s="608"/>
      <c r="CC2" s="608"/>
      <c r="CD2" s="608"/>
      <c r="CE2" s="608"/>
      <c r="CF2" s="608"/>
      <c r="CG2" s="608"/>
      <c r="CH2" s="608"/>
      <c r="CI2" s="608"/>
      <c r="CJ2" s="608"/>
      <c r="CK2" s="608"/>
      <c r="CL2" s="608"/>
      <c r="CM2" s="608"/>
      <c r="CN2" s="608"/>
      <c r="CO2" s="608"/>
      <c r="CP2" s="608"/>
      <c r="CQ2" s="608"/>
      <c r="CR2" s="608"/>
      <c r="CS2" s="608"/>
      <c r="CT2" s="608"/>
      <c r="CU2" s="608"/>
      <c r="CV2" s="608"/>
      <c r="CW2" s="608"/>
      <c r="CX2" s="608"/>
      <c r="CY2" s="608"/>
      <c r="CZ2" s="608"/>
      <c r="DA2" s="608"/>
      <c r="DB2" s="608"/>
      <c r="DC2" s="608"/>
      <c r="DD2" s="608"/>
      <c r="DE2" s="608"/>
      <c r="DF2" s="608"/>
      <c r="DG2" s="608"/>
      <c r="DH2" s="608"/>
      <c r="DI2" s="608"/>
      <c r="DJ2" s="608"/>
      <c r="DK2" s="608"/>
      <c r="DL2" s="608"/>
      <c r="DM2" s="608"/>
      <c r="DN2" s="608"/>
      <c r="DO2" s="608"/>
      <c r="DP2" s="608"/>
      <c r="DQ2" s="608"/>
      <c r="DR2" s="608"/>
      <c r="DS2" s="608"/>
      <c r="DT2" s="608"/>
      <c r="DU2" s="608"/>
      <c r="DV2" s="608"/>
      <c r="DW2" s="608"/>
      <c r="DX2" s="608"/>
      <c r="DY2" s="608"/>
      <c r="DZ2" s="608"/>
      <c r="EA2" s="608"/>
      <c r="EB2" s="608"/>
      <c r="EC2" s="608"/>
      <c r="ED2" s="608"/>
      <c r="EE2" s="608"/>
      <c r="EF2" s="608"/>
      <c r="EG2" s="608"/>
      <c r="EH2" s="608"/>
      <c r="EI2" s="608"/>
      <c r="EJ2" s="608"/>
      <c r="EK2" s="608"/>
      <c r="EL2" s="608"/>
      <c r="EM2" s="608"/>
      <c r="EN2" s="608"/>
      <c r="EO2" s="608"/>
      <c r="EP2" s="608"/>
      <c r="EQ2" s="608"/>
      <c r="ER2" s="608"/>
      <c r="ES2" s="608"/>
      <c r="ET2" s="608"/>
      <c r="EU2" s="608"/>
      <c r="EV2" s="608"/>
      <c r="EW2" s="608"/>
      <c r="EX2" s="608"/>
      <c r="EY2" s="608"/>
      <c r="EZ2" s="608"/>
      <c r="FA2" s="608"/>
      <c r="FB2" s="608"/>
      <c r="FC2" s="609"/>
    </row>
    <row r="3" spans="1:159" s="14" customFormat="1" ht="39.75" customHeight="1">
      <c r="A3" s="604"/>
      <c r="B3" s="605"/>
      <c r="C3" s="605"/>
      <c r="D3" s="605"/>
      <c r="E3" s="605"/>
      <c r="F3" s="605"/>
      <c r="G3" s="610" t="s">
        <v>47</v>
      </c>
      <c r="H3" s="610"/>
      <c r="I3" s="610"/>
      <c r="J3" s="610"/>
      <c r="K3" s="610"/>
      <c r="L3" s="610"/>
      <c r="M3" s="610"/>
      <c r="N3" s="610"/>
      <c r="O3" s="610"/>
      <c r="P3" s="610"/>
      <c r="Q3" s="610"/>
      <c r="R3" s="610"/>
      <c r="S3" s="610"/>
      <c r="T3" s="610"/>
      <c r="U3" s="610"/>
      <c r="V3" s="610"/>
      <c r="W3" s="610"/>
      <c r="X3" s="610"/>
      <c r="Y3" s="610"/>
      <c r="Z3" s="610"/>
      <c r="AA3" s="610"/>
      <c r="AB3" s="610"/>
      <c r="AC3" s="610"/>
      <c r="AD3" s="610"/>
      <c r="AE3" s="610"/>
      <c r="AF3" s="610"/>
      <c r="AG3" s="610"/>
      <c r="AH3" s="610"/>
      <c r="AI3" s="610"/>
      <c r="AJ3" s="610"/>
      <c r="AK3" s="610"/>
      <c r="AL3" s="610"/>
      <c r="AM3" s="610"/>
      <c r="AN3" s="610"/>
      <c r="AO3" s="610"/>
      <c r="AP3" s="610"/>
      <c r="AQ3" s="610"/>
      <c r="AR3" s="610"/>
      <c r="AS3" s="610"/>
      <c r="AT3" s="610"/>
      <c r="AU3" s="610"/>
      <c r="AV3" s="610"/>
      <c r="AW3" s="610"/>
      <c r="AX3" s="610"/>
      <c r="AY3" s="610"/>
      <c r="AZ3" s="610"/>
      <c r="BA3" s="610"/>
      <c r="BB3" s="610"/>
      <c r="BC3" s="610"/>
      <c r="BD3" s="610"/>
      <c r="BE3" s="610"/>
      <c r="BF3" s="610"/>
      <c r="BG3" s="610"/>
      <c r="BH3" s="610"/>
      <c r="BI3" s="610"/>
      <c r="BJ3" s="610"/>
      <c r="BK3" s="610"/>
      <c r="BL3" s="610"/>
      <c r="BM3" s="610"/>
      <c r="BN3" s="610"/>
      <c r="BO3" s="610"/>
      <c r="BP3" s="610"/>
      <c r="BQ3" s="610"/>
      <c r="BR3" s="610"/>
      <c r="BS3" s="610"/>
      <c r="BT3" s="610"/>
      <c r="BU3" s="610"/>
      <c r="BV3" s="610"/>
      <c r="BW3" s="610"/>
      <c r="BX3" s="610"/>
      <c r="BY3" s="610"/>
      <c r="BZ3" s="610"/>
      <c r="CA3" s="610"/>
      <c r="CB3" s="610"/>
      <c r="CC3" s="610"/>
      <c r="CD3" s="610"/>
      <c r="CE3" s="610"/>
      <c r="CF3" s="610"/>
      <c r="CG3" s="610"/>
      <c r="CH3" s="610"/>
      <c r="CI3" s="610"/>
      <c r="CJ3" s="610"/>
      <c r="CK3" s="610"/>
      <c r="CL3" s="610"/>
      <c r="CM3" s="610"/>
      <c r="CN3" s="610"/>
      <c r="CO3" s="610"/>
      <c r="CP3" s="610"/>
      <c r="CQ3" s="610"/>
      <c r="CR3" s="610"/>
      <c r="CS3" s="610"/>
      <c r="CT3" s="610"/>
      <c r="CU3" s="610"/>
      <c r="CV3" s="610"/>
      <c r="CW3" s="610"/>
      <c r="CX3" s="610"/>
      <c r="CY3" s="610"/>
      <c r="CZ3" s="610"/>
      <c r="DA3" s="610"/>
      <c r="DB3" s="610"/>
      <c r="DC3" s="610"/>
      <c r="DD3" s="610"/>
      <c r="DE3" s="610"/>
      <c r="DF3" s="610"/>
      <c r="DG3" s="610"/>
      <c r="DH3" s="610"/>
      <c r="DI3" s="610"/>
      <c r="DJ3" s="610"/>
      <c r="DK3" s="610"/>
      <c r="DL3" s="610"/>
      <c r="DM3" s="610"/>
      <c r="DN3" s="610"/>
      <c r="DO3" s="610"/>
      <c r="DP3" s="610"/>
      <c r="DQ3" s="610"/>
      <c r="DR3" s="610"/>
      <c r="DS3" s="610"/>
      <c r="DT3" s="610"/>
      <c r="DU3" s="610"/>
      <c r="DV3" s="610"/>
      <c r="DW3" s="610"/>
      <c r="DX3" s="610"/>
      <c r="DY3" s="610"/>
      <c r="DZ3" s="610"/>
      <c r="EA3" s="610"/>
      <c r="EB3" s="610"/>
      <c r="EC3" s="610"/>
      <c r="ED3" s="610"/>
      <c r="EE3" s="610"/>
      <c r="EF3" s="610"/>
      <c r="EG3" s="610"/>
      <c r="EH3" s="610"/>
      <c r="EI3" s="610"/>
      <c r="EJ3" s="610"/>
      <c r="EK3" s="610"/>
      <c r="EL3" s="610"/>
      <c r="EM3" s="610"/>
      <c r="EN3" s="610"/>
      <c r="EO3" s="610"/>
      <c r="EP3" s="610"/>
      <c r="EQ3" s="610"/>
      <c r="ER3" s="610"/>
      <c r="ES3" s="610"/>
      <c r="ET3" s="611" t="s">
        <v>229</v>
      </c>
      <c r="EU3" s="611"/>
      <c r="EV3" s="611"/>
      <c r="EW3" s="611"/>
      <c r="EX3" s="611"/>
      <c r="EY3" s="611"/>
      <c r="EZ3" s="611"/>
      <c r="FA3" s="611"/>
      <c r="FB3" s="611"/>
      <c r="FC3" s="612"/>
    </row>
    <row r="4" spans="1:159" ht="39.75" customHeight="1">
      <c r="A4" s="594" t="s">
        <v>0</v>
      </c>
      <c r="B4" s="595"/>
      <c r="C4" s="595"/>
      <c r="D4" s="595"/>
      <c r="E4" s="595"/>
      <c r="F4" s="595"/>
      <c r="G4" s="596" t="s">
        <v>248</v>
      </c>
      <c r="H4" s="596"/>
      <c r="I4" s="596"/>
      <c r="J4" s="596"/>
      <c r="K4" s="596"/>
      <c r="L4" s="596"/>
      <c r="M4" s="596"/>
      <c r="N4" s="596"/>
      <c r="O4" s="596"/>
      <c r="P4" s="596"/>
      <c r="Q4" s="596"/>
      <c r="R4" s="596"/>
      <c r="S4" s="596"/>
      <c r="T4" s="596"/>
      <c r="U4" s="596"/>
      <c r="V4" s="596"/>
      <c r="W4" s="596"/>
      <c r="X4" s="596"/>
      <c r="Y4" s="596"/>
      <c r="Z4" s="596"/>
      <c r="AA4" s="596"/>
      <c r="AB4" s="596"/>
      <c r="AC4" s="596"/>
      <c r="AD4" s="596"/>
      <c r="AE4" s="596"/>
      <c r="AF4" s="596"/>
      <c r="AG4" s="596"/>
      <c r="AH4" s="596"/>
      <c r="AI4" s="596"/>
      <c r="AJ4" s="596"/>
      <c r="AK4" s="596"/>
      <c r="AL4" s="596"/>
      <c r="AM4" s="596"/>
      <c r="AN4" s="596"/>
      <c r="AO4" s="596"/>
      <c r="AP4" s="596"/>
      <c r="AQ4" s="596"/>
      <c r="AR4" s="596"/>
      <c r="AS4" s="596"/>
      <c r="AT4" s="596"/>
      <c r="AU4" s="596"/>
      <c r="AV4" s="596"/>
      <c r="AW4" s="596"/>
      <c r="AX4" s="596"/>
      <c r="AY4" s="596"/>
      <c r="AZ4" s="596"/>
      <c r="BA4" s="596"/>
      <c r="BB4" s="596"/>
      <c r="BC4" s="596"/>
      <c r="BD4" s="596"/>
      <c r="BE4" s="596"/>
      <c r="BF4" s="596"/>
      <c r="BG4" s="596"/>
      <c r="BH4" s="596"/>
      <c r="BI4" s="596"/>
      <c r="BJ4" s="596"/>
      <c r="BK4" s="596"/>
      <c r="BL4" s="596"/>
      <c r="BM4" s="596"/>
      <c r="BN4" s="596"/>
      <c r="BO4" s="596"/>
      <c r="BP4" s="596"/>
      <c r="BQ4" s="596"/>
      <c r="BR4" s="596"/>
      <c r="BS4" s="596"/>
      <c r="BT4" s="596"/>
      <c r="BU4" s="596"/>
      <c r="BV4" s="596"/>
      <c r="BW4" s="596"/>
      <c r="BX4" s="596"/>
      <c r="BY4" s="596"/>
      <c r="BZ4" s="596"/>
      <c r="CA4" s="596"/>
      <c r="CB4" s="596"/>
      <c r="CC4" s="596"/>
      <c r="CD4" s="596"/>
      <c r="CE4" s="596"/>
      <c r="CF4" s="596"/>
      <c r="CG4" s="596"/>
      <c r="CH4" s="596"/>
      <c r="CI4" s="596"/>
      <c r="CJ4" s="596"/>
      <c r="CK4" s="596"/>
      <c r="CL4" s="596"/>
      <c r="CM4" s="596"/>
      <c r="CN4" s="596"/>
      <c r="CO4" s="596"/>
      <c r="CP4" s="596"/>
      <c r="CQ4" s="596"/>
      <c r="CR4" s="596"/>
      <c r="CS4" s="596"/>
      <c r="CT4" s="596"/>
      <c r="CU4" s="596"/>
      <c r="CV4" s="596"/>
      <c r="CW4" s="596"/>
      <c r="CX4" s="596"/>
      <c r="CY4" s="596"/>
      <c r="CZ4" s="596"/>
      <c r="DA4" s="596"/>
      <c r="DB4" s="596"/>
      <c r="DC4" s="596"/>
      <c r="DD4" s="596"/>
      <c r="DE4" s="596"/>
      <c r="DF4" s="596"/>
      <c r="DG4" s="596"/>
      <c r="DH4" s="596"/>
      <c r="DI4" s="596"/>
      <c r="DJ4" s="596"/>
      <c r="DK4" s="596"/>
      <c r="DL4" s="596"/>
      <c r="DM4" s="596"/>
      <c r="DN4" s="596"/>
      <c r="DO4" s="596"/>
      <c r="DP4" s="596"/>
      <c r="DQ4" s="596"/>
      <c r="DR4" s="596"/>
      <c r="DS4" s="596"/>
      <c r="DT4" s="596"/>
      <c r="DU4" s="596"/>
      <c r="DV4" s="596"/>
      <c r="DW4" s="596"/>
      <c r="DX4" s="596"/>
      <c r="DY4" s="596"/>
      <c r="DZ4" s="596"/>
      <c r="EA4" s="596"/>
      <c r="EB4" s="596"/>
      <c r="EC4" s="596"/>
      <c r="ED4" s="596"/>
      <c r="EE4" s="596"/>
      <c r="EF4" s="596"/>
      <c r="EG4" s="596"/>
      <c r="EH4" s="596"/>
      <c r="EI4" s="596"/>
      <c r="EJ4" s="596"/>
      <c r="EK4" s="596"/>
      <c r="EL4" s="596"/>
      <c r="EM4" s="596"/>
      <c r="EN4" s="596"/>
      <c r="EO4" s="596"/>
      <c r="EP4" s="596"/>
      <c r="EQ4" s="596"/>
      <c r="ER4" s="596"/>
      <c r="ES4" s="596"/>
      <c r="ET4" s="596"/>
      <c r="EU4" s="596"/>
      <c r="EV4" s="596"/>
      <c r="EW4" s="596"/>
      <c r="EX4" s="596"/>
      <c r="EY4" s="596"/>
      <c r="EZ4" s="596"/>
      <c r="FA4" s="596"/>
      <c r="FB4" s="596"/>
      <c r="FC4" s="597"/>
    </row>
    <row r="5" spans="1:159" ht="39.75" customHeight="1">
      <c r="A5" s="594" t="s">
        <v>2</v>
      </c>
      <c r="B5" s="595"/>
      <c r="C5" s="595"/>
      <c r="D5" s="595"/>
      <c r="E5" s="595"/>
      <c r="F5" s="595"/>
      <c r="G5" s="596" t="s">
        <v>249</v>
      </c>
      <c r="H5" s="596"/>
      <c r="I5" s="596"/>
      <c r="J5" s="596"/>
      <c r="K5" s="596"/>
      <c r="L5" s="596"/>
      <c r="M5" s="596"/>
      <c r="N5" s="596"/>
      <c r="O5" s="596"/>
      <c r="P5" s="596"/>
      <c r="Q5" s="596"/>
      <c r="R5" s="596"/>
      <c r="S5" s="596"/>
      <c r="T5" s="596"/>
      <c r="U5" s="596"/>
      <c r="V5" s="596"/>
      <c r="W5" s="596"/>
      <c r="X5" s="596"/>
      <c r="Y5" s="596"/>
      <c r="Z5" s="596"/>
      <c r="AA5" s="596"/>
      <c r="AB5" s="596"/>
      <c r="AC5" s="596"/>
      <c r="AD5" s="596"/>
      <c r="AE5" s="596"/>
      <c r="AF5" s="596"/>
      <c r="AG5" s="596"/>
      <c r="AH5" s="596"/>
      <c r="AI5" s="596"/>
      <c r="AJ5" s="596"/>
      <c r="AK5" s="596"/>
      <c r="AL5" s="596"/>
      <c r="AM5" s="596"/>
      <c r="AN5" s="596"/>
      <c r="AO5" s="596"/>
      <c r="AP5" s="596"/>
      <c r="AQ5" s="596"/>
      <c r="AR5" s="596"/>
      <c r="AS5" s="596"/>
      <c r="AT5" s="596"/>
      <c r="AU5" s="596"/>
      <c r="AV5" s="596"/>
      <c r="AW5" s="596"/>
      <c r="AX5" s="596"/>
      <c r="AY5" s="596"/>
      <c r="AZ5" s="596"/>
      <c r="BA5" s="596"/>
      <c r="BB5" s="596"/>
      <c r="BC5" s="596"/>
      <c r="BD5" s="596"/>
      <c r="BE5" s="596"/>
      <c r="BF5" s="596"/>
      <c r="BG5" s="596"/>
      <c r="BH5" s="596"/>
      <c r="BI5" s="596"/>
      <c r="BJ5" s="596"/>
      <c r="BK5" s="596"/>
      <c r="BL5" s="596"/>
      <c r="BM5" s="596"/>
      <c r="BN5" s="596"/>
      <c r="BO5" s="596"/>
      <c r="BP5" s="596"/>
      <c r="BQ5" s="596"/>
      <c r="BR5" s="596"/>
      <c r="BS5" s="596"/>
      <c r="BT5" s="596"/>
      <c r="BU5" s="596"/>
      <c r="BV5" s="596"/>
      <c r="BW5" s="596"/>
      <c r="BX5" s="596"/>
      <c r="BY5" s="596"/>
      <c r="BZ5" s="596"/>
      <c r="CA5" s="596"/>
      <c r="CB5" s="596"/>
      <c r="CC5" s="596"/>
      <c r="CD5" s="596"/>
      <c r="CE5" s="596"/>
      <c r="CF5" s="596"/>
      <c r="CG5" s="596"/>
      <c r="CH5" s="596"/>
      <c r="CI5" s="596"/>
      <c r="CJ5" s="596"/>
      <c r="CK5" s="596"/>
      <c r="CL5" s="596"/>
      <c r="CM5" s="596"/>
      <c r="CN5" s="596"/>
      <c r="CO5" s="596"/>
      <c r="CP5" s="596"/>
      <c r="CQ5" s="596"/>
      <c r="CR5" s="596"/>
      <c r="CS5" s="596"/>
      <c r="CT5" s="596"/>
      <c r="CU5" s="596"/>
      <c r="CV5" s="596"/>
      <c r="CW5" s="596"/>
      <c r="CX5" s="596"/>
      <c r="CY5" s="596"/>
      <c r="CZ5" s="596"/>
      <c r="DA5" s="596"/>
      <c r="DB5" s="596"/>
      <c r="DC5" s="596"/>
      <c r="DD5" s="596"/>
      <c r="DE5" s="596"/>
      <c r="DF5" s="596"/>
      <c r="DG5" s="596"/>
      <c r="DH5" s="596"/>
      <c r="DI5" s="596"/>
      <c r="DJ5" s="596"/>
      <c r="DK5" s="596"/>
      <c r="DL5" s="596"/>
      <c r="DM5" s="596"/>
      <c r="DN5" s="596"/>
      <c r="DO5" s="596"/>
      <c r="DP5" s="596"/>
      <c r="DQ5" s="596"/>
      <c r="DR5" s="596"/>
      <c r="DS5" s="596"/>
      <c r="DT5" s="596"/>
      <c r="DU5" s="596"/>
      <c r="DV5" s="596"/>
      <c r="DW5" s="596"/>
      <c r="DX5" s="596"/>
      <c r="DY5" s="596"/>
      <c r="DZ5" s="596"/>
      <c r="EA5" s="596"/>
      <c r="EB5" s="596"/>
      <c r="EC5" s="596"/>
      <c r="ED5" s="596"/>
      <c r="EE5" s="596"/>
      <c r="EF5" s="596"/>
      <c r="EG5" s="596"/>
      <c r="EH5" s="596"/>
      <c r="EI5" s="596"/>
      <c r="EJ5" s="596"/>
      <c r="EK5" s="596"/>
      <c r="EL5" s="596"/>
      <c r="EM5" s="596"/>
      <c r="EN5" s="596"/>
      <c r="EO5" s="596"/>
      <c r="EP5" s="596"/>
      <c r="EQ5" s="596"/>
      <c r="ER5" s="596"/>
      <c r="ES5" s="596"/>
      <c r="ET5" s="596"/>
      <c r="EU5" s="596"/>
      <c r="EV5" s="596"/>
      <c r="EW5" s="596"/>
      <c r="EX5" s="596"/>
      <c r="EY5" s="596"/>
      <c r="EZ5" s="596"/>
      <c r="FA5" s="596"/>
      <c r="FB5" s="596"/>
      <c r="FC5" s="597"/>
    </row>
    <row r="6" spans="1:159" ht="39.75" customHeight="1">
      <c r="A6" s="594" t="s">
        <v>55</v>
      </c>
      <c r="B6" s="595"/>
      <c r="C6" s="595"/>
      <c r="D6" s="595"/>
      <c r="E6" s="595"/>
      <c r="F6" s="595"/>
      <c r="G6" s="596" t="s">
        <v>250</v>
      </c>
      <c r="H6" s="596"/>
      <c r="I6" s="596"/>
      <c r="J6" s="596"/>
      <c r="K6" s="596"/>
      <c r="L6" s="596"/>
      <c r="M6" s="596"/>
      <c r="N6" s="596"/>
      <c r="O6" s="596"/>
      <c r="P6" s="596"/>
      <c r="Q6" s="596"/>
      <c r="R6" s="596"/>
      <c r="S6" s="596"/>
      <c r="T6" s="596"/>
      <c r="U6" s="596"/>
      <c r="V6" s="596"/>
      <c r="W6" s="596"/>
      <c r="X6" s="596"/>
      <c r="Y6" s="596"/>
      <c r="Z6" s="596"/>
      <c r="AA6" s="596"/>
      <c r="AB6" s="596"/>
      <c r="AC6" s="596"/>
      <c r="AD6" s="596"/>
      <c r="AE6" s="596"/>
      <c r="AF6" s="596"/>
      <c r="AG6" s="596"/>
      <c r="AH6" s="596"/>
      <c r="AI6" s="596"/>
      <c r="AJ6" s="596"/>
      <c r="AK6" s="596"/>
      <c r="AL6" s="596"/>
      <c r="AM6" s="596"/>
      <c r="AN6" s="596"/>
      <c r="AO6" s="596"/>
      <c r="AP6" s="596"/>
      <c r="AQ6" s="596"/>
      <c r="AR6" s="596"/>
      <c r="AS6" s="596"/>
      <c r="AT6" s="596"/>
      <c r="AU6" s="596"/>
      <c r="AV6" s="596"/>
      <c r="AW6" s="596"/>
      <c r="AX6" s="596"/>
      <c r="AY6" s="596"/>
      <c r="AZ6" s="596"/>
      <c r="BA6" s="596"/>
      <c r="BB6" s="596"/>
      <c r="BC6" s="596"/>
      <c r="BD6" s="596"/>
      <c r="BE6" s="596"/>
      <c r="BF6" s="596"/>
      <c r="BG6" s="596"/>
      <c r="BH6" s="596"/>
      <c r="BI6" s="596"/>
      <c r="BJ6" s="596"/>
      <c r="BK6" s="596"/>
      <c r="BL6" s="596"/>
      <c r="BM6" s="596"/>
      <c r="BN6" s="596"/>
      <c r="BO6" s="596"/>
      <c r="BP6" s="596"/>
      <c r="BQ6" s="596"/>
      <c r="BR6" s="596"/>
      <c r="BS6" s="596"/>
      <c r="BT6" s="596"/>
      <c r="BU6" s="596"/>
      <c r="BV6" s="596"/>
      <c r="BW6" s="596"/>
      <c r="BX6" s="596"/>
      <c r="BY6" s="596"/>
      <c r="BZ6" s="596"/>
      <c r="CA6" s="596"/>
      <c r="CB6" s="596"/>
      <c r="CC6" s="596"/>
      <c r="CD6" s="596"/>
      <c r="CE6" s="596"/>
      <c r="CF6" s="596"/>
      <c r="CG6" s="596"/>
      <c r="CH6" s="596"/>
      <c r="CI6" s="596"/>
      <c r="CJ6" s="596"/>
      <c r="CK6" s="596"/>
      <c r="CL6" s="596"/>
      <c r="CM6" s="596"/>
      <c r="CN6" s="596"/>
      <c r="CO6" s="596"/>
      <c r="CP6" s="596"/>
      <c r="CQ6" s="596"/>
      <c r="CR6" s="596"/>
      <c r="CS6" s="596"/>
      <c r="CT6" s="596"/>
      <c r="CU6" s="596"/>
      <c r="CV6" s="596"/>
      <c r="CW6" s="596"/>
      <c r="CX6" s="596"/>
      <c r="CY6" s="596"/>
      <c r="CZ6" s="596"/>
      <c r="DA6" s="596"/>
      <c r="DB6" s="596"/>
      <c r="DC6" s="596"/>
      <c r="DD6" s="596"/>
      <c r="DE6" s="596"/>
      <c r="DF6" s="596"/>
      <c r="DG6" s="596"/>
      <c r="DH6" s="596"/>
      <c r="DI6" s="596"/>
      <c r="DJ6" s="596"/>
      <c r="DK6" s="596"/>
      <c r="DL6" s="596"/>
      <c r="DM6" s="596"/>
      <c r="DN6" s="596"/>
      <c r="DO6" s="596"/>
      <c r="DP6" s="596"/>
      <c r="DQ6" s="596"/>
      <c r="DR6" s="596"/>
      <c r="DS6" s="596"/>
      <c r="DT6" s="596"/>
      <c r="DU6" s="596"/>
      <c r="DV6" s="596"/>
      <c r="DW6" s="596"/>
      <c r="DX6" s="596"/>
      <c r="DY6" s="596"/>
      <c r="DZ6" s="596"/>
      <c r="EA6" s="596"/>
      <c r="EB6" s="596"/>
      <c r="EC6" s="596"/>
      <c r="ED6" s="596"/>
      <c r="EE6" s="596"/>
      <c r="EF6" s="596"/>
      <c r="EG6" s="596"/>
      <c r="EH6" s="596"/>
      <c r="EI6" s="596"/>
      <c r="EJ6" s="596"/>
      <c r="EK6" s="596"/>
      <c r="EL6" s="596"/>
      <c r="EM6" s="596"/>
      <c r="EN6" s="596"/>
      <c r="EO6" s="596"/>
      <c r="EP6" s="596"/>
      <c r="EQ6" s="596"/>
      <c r="ER6" s="596"/>
      <c r="ES6" s="596"/>
      <c r="ET6" s="596"/>
      <c r="EU6" s="596"/>
      <c r="EV6" s="596"/>
      <c r="EW6" s="596"/>
      <c r="EX6" s="596"/>
      <c r="EY6" s="596"/>
      <c r="EZ6" s="596"/>
      <c r="FA6" s="596"/>
      <c r="FB6" s="596"/>
      <c r="FC6" s="597"/>
    </row>
    <row r="7" spans="1:159" ht="39.75" customHeight="1" thickBot="1">
      <c r="A7" s="598" t="s">
        <v>1</v>
      </c>
      <c r="B7" s="599"/>
      <c r="C7" s="599"/>
      <c r="D7" s="599"/>
      <c r="E7" s="599"/>
      <c r="F7" s="599"/>
      <c r="G7" s="600" t="s">
        <v>251</v>
      </c>
      <c r="H7" s="600"/>
      <c r="I7" s="600"/>
      <c r="J7" s="600"/>
      <c r="K7" s="600"/>
      <c r="L7" s="600"/>
      <c r="M7" s="600"/>
      <c r="N7" s="600"/>
      <c r="O7" s="600"/>
      <c r="P7" s="600"/>
      <c r="Q7" s="600"/>
      <c r="R7" s="600"/>
      <c r="S7" s="600"/>
      <c r="T7" s="600"/>
      <c r="U7" s="600"/>
      <c r="V7" s="600"/>
      <c r="W7" s="600"/>
      <c r="X7" s="600"/>
      <c r="Y7" s="600"/>
      <c r="Z7" s="600"/>
      <c r="AA7" s="600"/>
      <c r="AB7" s="600"/>
      <c r="AC7" s="600"/>
      <c r="AD7" s="600"/>
      <c r="AE7" s="600"/>
      <c r="AF7" s="600"/>
      <c r="AG7" s="600"/>
      <c r="AH7" s="600"/>
      <c r="AI7" s="600"/>
      <c r="AJ7" s="600"/>
      <c r="AK7" s="600"/>
      <c r="AL7" s="600"/>
      <c r="AM7" s="600"/>
      <c r="AN7" s="600"/>
      <c r="AO7" s="600"/>
      <c r="AP7" s="600"/>
      <c r="AQ7" s="600"/>
      <c r="AR7" s="600"/>
      <c r="AS7" s="600"/>
      <c r="AT7" s="600"/>
      <c r="AU7" s="600"/>
      <c r="AV7" s="600"/>
      <c r="AW7" s="600"/>
      <c r="AX7" s="600"/>
      <c r="AY7" s="600"/>
      <c r="AZ7" s="600"/>
      <c r="BA7" s="600"/>
      <c r="BB7" s="600"/>
      <c r="BC7" s="600"/>
      <c r="BD7" s="600"/>
      <c r="BE7" s="600"/>
      <c r="BF7" s="600"/>
      <c r="BG7" s="600"/>
      <c r="BH7" s="600"/>
      <c r="BI7" s="600"/>
      <c r="BJ7" s="600"/>
      <c r="BK7" s="600"/>
      <c r="BL7" s="600"/>
      <c r="BM7" s="600"/>
      <c r="BN7" s="600"/>
      <c r="BO7" s="600"/>
      <c r="BP7" s="600"/>
      <c r="BQ7" s="600"/>
      <c r="BR7" s="600"/>
      <c r="BS7" s="600"/>
      <c r="BT7" s="600"/>
      <c r="BU7" s="600"/>
      <c r="BV7" s="600"/>
      <c r="BW7" s="600"/>
      <c r="BX7" s="600"/>
      <c r="BY7" s="600"/>
      <c r="BZ7" s="600"/>
      <c r="CA7" s="600"/>
      <c r="CB7" s="600"/>
      <c r="CC7" s="600"/>
      <c r="CD7" s="600"/>
      <c r="CE7" s="600"/>
      <c r="CF7" s="600"/>
      <c r="CG7" s="600"/>
      <c r="CH7" s="600"/>
      <c r="CI7" s="600"/>
      <c r="CJ7" s="600"/>
      <c r="CK7" s="600"/>
      <c r="CL7" s="600"/>
      <c r="CM7" s="600"/>
      <c r="CN7" s="600"/>
      <c r="CO7" s="600"/>
      <c r="CP7" s="600"/>
      <c r="CQ7" s="600"/>
      <c r="CR7" s="600"/>
      <c r="CS7" s="600"/>
      <c r="CT7" s="600"/>
      <c r="CU7" s="600"/>
      <c r="CV7" s="600"/>
      <c r="CW7" s="600"/>
      <c r="CX7" s="600"/>
      <c r="CY7" s="600"/>
      <c r="CZ7" s="600"/>
      <c r="DA7" s="600"/>
      <c r="DB7" s="600"/>
      <c r="DC7" s="600"/>
      <c r="DD7" s="600"/>
      <c r="DE7" s="600"/>
      <c r="DF7" s="600"/>
      <c r="DG7" s="600"/>
      <c r="DH7" s="600"/>
      <c r="DI7" s="600"/>
      <c r="DJ7" s="600"/>
      <c r="DK7" s="600"/>
      <c r="DL7" s="600"/>
      <c r="DM7" s="600"/>
      <c r="DN7" s="600"/>
      <c r="DO7" s="600"/>
      <c r="DP7" s="600"/>
      <c r="DQ7" s="600"/>
      <c r="DR7" s="600"/>
      <c r="DS7" s="600"/>
      <c r="DT7" s="600"/>
      <c r="DU7" s="600"/>
      <c r="DV7" s="600"/>
      <c r="DW7" s="600"/>
      <c r="DX7" s="600"/>
      <c r="DY7" s="600"/>
      <c r="DZ7" s="600"/>
      <c r="EA7" s="600"/>
      <c r="EB7" s="600"/>
      <c r="EC7" s="600"/>
      <c r="ED7" s="600"/>
      <c r="EE7" s="600"/>
      <c r="EF7" s="600"/>
      <c r="EG7" s="600"/>
      <c r="EH7" s="600"/>
      <c r="EI7" s="600"/>
      <c r="EJ7" s="600"/>
      <c r="EK7" s="600"/>
      <c r="EL7" s="600"/>
      <c r="EM7" s="600"/>
      <c r="EN7" s="600"/>
      <c r="EO7" s="600"/>
      <c r="EP7" s="600"/>
      <c r="EQ7" s="600"/>
      <c r="ER7" s="600"/>
      <c r="ES7" s="600"/>
      <c r="ET7" s="600"/>
      <c r="EU7" s="600"/>
      <c r="EV7" s="600"/>
      <c r="EW7" s="600"/>
      <c r="EX7" s="600"/>
      <c r="EY7" s="600"/>
      <c r="EZ7" s="600"/>
      <c r="FA7" s="600"/>
      <c r="FB7" s="600"/>
      <c r="FC7" s="601"/>
    </row>
    <row r="8" spans="1:159" ht="48" customHeight="1" thickBot="1">
      <c r="A8" s="28"/>
      <c r="B8" s="27"/>
      <c r="C8" s="27"/>
      <c r="D8" s="27"/>
      <c r="E8" s="27"/>
      <c r="F8" s="27"/>
      <c r="G8" s="27"/>
      <c r="H8" s="27"/>
      <c r="I8" s="27"/>
      <c r="J8" s="27"/>
      <c r="K8" s="27"/>
      <c r="L8" s="27"/>
      <c r="M8" s="27"/>
      <c r="N8" s="27"/>
      <c r="O8" s="27"/>
      <c r="P8" s="27"/>
      <c r="Q8" s="27"/>
      <c r="R8" s="27"/>
      <c r="S8" s="27"/>
      <c r="T8" s="27"/>
      <c r="U8" s="121"/>
      <c r="V8" s="27"/>
      <c r="W8" s="27"/>
      <c r="X8" s="27"/>
      <c r="Y8" s="121"/>
      <c r="Z8" s="27"/>
      <c r="AA8" s="27"/>
      <c r="AB8" s="27"/>
      <c r="AC8" s="27"/>
      <c r="AD8" s="27"/>
      <c r="AE8" s="27"/>
      <c r="AF8" s="27"/>
      <c r="AG8" s="27"/>
      <c r="AH8" s="27"/>
      <c r="AI8" s="27"/>
      <c r="AJ8" s="27"/>
      <c r="AK8" s="27"/>
      <c r="AL8" s="27"/>
      <c r="AM8" s="27"/>
      <c r="AN8" s="27"/>
      <c r="AO8" s="27"/>
      <c r="AP8" s="122"/>
      <c r="AQ8" s="27"/>
      <c r="AR8" s="27"/>
      <c r="AS8" s="27"/>
      <c r="AT8" s="27"/>
      <c r="AU8" s="27"/>
      <c r="AV8" s="27"/>
      <c r="AW8" s="27"/>
      <c r="AX8" s="27"/>
      <c r="AY8" s="27"/>
      <c r="AZ8" s="27"/>
      <c r="BA8" s="27"/>
      <c r="BB8" s="27"/>
      <c r="BC8" s="27"/>
      <c r="BD8" s="27"/>
      <c r="BE8" s="27"/>
      <c r="BF8" s="27"/>
      <c r="BG8" s="27"/>
      <c r="BH8" s="27"/>
      <c r="BI8" s="27"/>
      <c r="BJ8" s="27"/>
      <c r="BK8" s="27"/>
      <c r="BL8" s="27"/>
      <c r="BM8" s="27"/>
      <c r="BN8" s="27"/>
      <c r="BO8" s="27"/>
      <c r="BP8" s="27"/>
      <c r="BQ8" s="27"/>
      <c r="BR8" s="27"/>
      <c r="BS8" s="27"/>
      <c r="BT8" s="27"/>
      <c r="BU8" s="27"/>
      <c r="BV8" s="27"/>
      <c r="BW8" s="27"/>
      <c r="BX8" s="27"/>
      <c r="BY8" s="27"/>
      <c r="BZ8" s="27"/>
      <c r="CA8" s="27"/>
      <c r="CB8" s="27"/>
      <c r="CC8" s="27"/>
      <c r="CD8" s="27"/>
      <c r="CE8" s="27"/>
      <c r="CF8" s="27"/>
      <c r="CG8" s="27"/>
      <c r="CH8" s="27"/>
      <c r="CI8" s="27"/>
      <c r="CJ8" s="27"/>
      <c r="CK8" s="27"/>
      <c r="CL8" s="27"/>
      <c r="CM8" s="27"/>
      <c r="CN8" s="27"/>
      <c r="CO8" s="27"/>
      <c r="CP8" s="27"/>
      <c r="CQ8" s="27"/>
      <c r="CR8" s="27"/>
      <c r="CS8" s="27"/>
      <c r="CT8" s="27"/>
      <c r="CU8" s="27"/>
      <c r="CV8" s="27"/>
      <c r="CW8" s="27"/>
      <c r="CX8" s="27"/>
      <c r="CY8" s="27"/>
      <c r="CZ8" s="27"/>
      <c r="DA8" s="27"/>
      <c r="DB8" s="27"/>
      <c r="DC8" s="27"/>
      <c r="DD8" s="27"/>
      <c r="DE8" s="27"/>
      <c r="DF8" s="27"/>
      <c r="DG8" s="27"/>
      <c r="DH8" s="27"/>
      <c r="DI8" s="27"/>
      <c r="DJ8" s="27"/>
      <c r="DK8" s="27"/>
      <c r="DL8" s="27"/>
      <c r="DM8" s="27"/>
      <c r="DN8" s="27"/>
      <c r="DO8" s="27"/>
      <c r="DP8" s="27"/>
      <c r="DQ8" s="27"/>
      <c r="DR8" s="27"/>
      <c r="DS8" s="27"/>
      <c r="DT8" s="27"/>
      <c r="DU8" s="27"/>
      <c r="DV8" s="27"/>
      <c r="DW8" s="27"/>
      <c r="DX8" s="27"/>
      <c r="DY8" s="27"/>
      <c r="DZ8" s="27"/>
      <c r="EA8" s="27"/>
      <c r="EB8" s="27"/>
      <c r="EC8" s="27"/>
      <c r="ED8" s="27"/>
      <c r="EE8" s="27"/>
      <c r="EF8" s="27"/>
      <c r="EG8" s="27"/>
      <c r="EH8" s="27"/>
      <c r="EI8" s="27"/>
      <c r="EJ8" s="27"/>
      <c r="EK8" s="27"/>
      <c r="EL8" s="27"/>
      <c r="EM8" s="27"/>
      <c r="EN8" s="27"/>
      <c r="EO8" s="27"/>
      <c r="EP8" s="27"/>
      <c r="EQ8" s="27"/>
      <c r="ER8" s="27"/>
      <c r="ES8" s="27"/>
      <c r="ET8" s="27"/>
      <c r="EU8" s="27"/>
      <c r="EV8" s="27"/>
      <c r="EW8" s="27"/>
      <c r="EX8" s="27"/>
      <c r="EY8" s="27"/>
      <c r="EZ8" s="27"/>
      <c r="FA8" s="27"/>
      <c r="FB8" s="27"/>
      <c r="FC8" s="27"/>
    </row>
    <row r="9" spans="1:159" s="1" customFormat="1" ht="48" customHeight="1" thickBot="1">
      <c r="A9" s="578" t="s">
        <v>69</v>
      </c>
      <c r="B9" s="579"/>
      <c r="C9" s="579"/>
      <c r="D9" s="579"/>
      <c r="E9" s="579"/>
      <c r="F9" s="579"/>
      <c r="G9" s="579"/>
      <c r="H9" s="579"/>
      <c r="I9" s="580"/>
      <c r="J9" s="579" t="s">
        <v>217</v>
      </c>
      <c r="K9" s="579"/>
      <c r="L9" s="579"/>
      <c r="M9" s="579"/>
      <c r="N9" s="579"/>
      <c r="O9" s="579"/>
      <c r="P9" s="579"/>
      <c r="Q9" s="579"/>
      <c r="R9" s="579"/>
      <c r="S9" s="579"/>
      <c r="T9" s="579"/>
      <c r="U9" s="579"/>
      <c r="V9" s="579"/>
      <c r="W9" s="579"/>
      <c r="X9" s="579"/>
      <c r="Y9" s="579"/>
      <c r="Z9" s="579"/>
      <c r="AA9" s="579"/>
      <c r="AB9" s="579"/>
      <c r="AC9" s="579"/>
      <c r="AD9" s="579"/>
      <c r="AE9" s="579"/>
      <c r="AF9" s="579"/>
      <c r="AG9" s="579"/>
      <c r="AH9" s="579"/>
      <c r="AI9" s="579"/>
      <c r="AJ9" s="579"/>
      <c r="AK9" s="579"/>
      <c r="AL9" s="579"/>
      <c r="AM9" s="579"/>
      <c r="AN9" s="579"/>
      <c r="AO9" s="579"/>
      <c r="AP9" s="579"/>
      <c r="AQ9" s="579"/>
      <c r="AR9" s="579"/>
      <c r="AS9" s="579"/>
      <c r="AT9" s="579"/>
      <c r="AU9" s="579"/>
      <c r="AV9" s="579"/>
      <c r="AW9" s="579"/>
      <c r="AX9" s="579"/>
      <c r="AY9" s="579"/>
      <c r="AZ9" s="579"/>
      <c r="BA9" s="579"/>
      <c r="BB9" s="579"/>
      <c r="BC9" s="579"/>
      <c r="BD9" s="579"/>
      <c r="BE9" s="579"/>
      <c r="BF9" s="579"/>
      <c r="BG9" s="579"/>
      <c r="BH9" s="579"/>
      <c r="BI9" s="579"/>
      <c r="BJ9" s="579"/>
      <c r="BK9" s="579"/>
      <c r="BL9" s="579"/>
      <c r="BM9" s="579"/>
      <c r="BN9" s="579"/>
      <c r="BO9" s="579"/>
      <c r="BP9" s="579"/>
      <c r="BQ9" s="579"/>
      <c r="BR9" s="579"/>
      <c r="BS9" s="579"/>
      <c r="BT9" s="579"/>
      <c r="BU9" s="579"/>
      <c r="BV9" s="579"/>
      <c r="BW9" s="579"/>
      <c r="BX9" s="579"/>
      <c r="BY9" s="579"/>
      <c r="BZ9" s="579"/>
      <c r="CA9" s="579"/>
      <c r="CB9" s="579"/>
      <c r="CC9" s="579"/>
      <c r="CD9" s="579"/>
      <c r="CE9" s="579"/>
      <c r="CF9" s="579"/>
      <c r="CG9" s="579"/>
      <c r="CH9" s="579"/>
      <c r="CI9" s="579"/>
      <c r="CJ9" s="579"/>
      <c r="CK9" s="579"/>
      <c r="CL9" s="579"/>
      <c r="CM9" s="579"/>
      <c r="CN9" s="579"/>
      <c r="CO9" s="579"/>
      <c r="CP9" s="579"/>
      <c r="CQ9" s="579"/>
      <c r="CR9" s="579"/>
      <c r="CS9" s="579"/>
      <c r="CT9" s="579"/>
      <c r="CU9" s="579"/>
      <c r="CV9" s="579"/>
      <c r="CW9" s="579"/>
      <c r="CX9" s="579"/>
      <c r="CY9" s="579"/>
      <c r="CZ9" s="579"/>
      <c r="DA9" s="579"/>
      <c r="DB9" s="579"/>
      <c r="DC9" s="579"/>
      <c r="DD9" s="579"/>
      <c r="DE9" s="579"/>
      <c r="DF9" s="579"/>
      <c r="DG9" s="579"/>
      <c r="DH9" s="579"/>
      <c r="DI9" s="579"/>
      <c r="DJ9" s="579"/>
      <c r="DK9" s="579"/>
      <c r="DL9" s="579"/>
      <c r="DM9" s="579"/>
      <c r="DN9" s="579"/>
      <c r="DO9" s="579"/>
      <c r="DP9" s="579"/>
      <c r="DQ9" s="579"/>
      <c r="DR9" s="579"/>
      <c r="DS9" s="579"/>
      <c r="DT9" s="579"/>
      <c r="DU9" s="579"/>
      <c r="DV9" s="579"/>
      <c r="DW9" s="579"/>
      <c r="DX9" s="579"/>
      <c r="DY9" s="579"/>
      <c r="DZ9" s="579"/>
      <c r="EA9" s="579"/>
      <c r="EB9" s="579"/>
      <c r="EC9" s="579"/>
      <c r="ED9" s="579"/>
      <c r="EE9" s="579"/>
      <c r="EF9" s="579"/>
      <c r="EG9" s="579"/>
      <c r="EH9" s="579"/>
      <c r="EI9" s="579"/>
      <c r="EJ9" s="579"/>
      <c r="EK9" s="579"/>
      <c r="EL9" s="579"/>
      <c r="EM9" s="579"/>
      <c r="EN9" s="579"/>
      <c r="EO9" s="579"/>
      <c r="EP9" s="579"/>
      <c r="EQ9" s="579"/>
      <c r="ER9" s="579"/>
      <c r="ES9" s="580"/>
      <c r="ET9" s="581" t="s">
        <v>209</v>
      </c>
      <c r="EU9" s="581" t="s">
        <v>210</v>
      </c>
      <c r="EV9" s="583" t="s">
        <v>211</v>
      </c>
      <c r="EW9" s="585" t="s">
        <v>705</v>
      </c>
      <c r="EX9" s="583" t="s">
        <v>233</v>
      </c>
      <c r="EY9" s="588" t="s">
        <v>234</v>
      </c>
      <c r="EZ9" s="591" t="s">
        <v>235</v>
      </c>
      <c r="FA9" s="591" t="s">
        <v>236</v>
      </c>
      <c r="FB9" s="591" t="s">
        <v>238</v>
      </c>
      <c r="FC9" s="575" t="s">
        <v>237</v>
      </c>
    </row>
    <row r="10" spans="1:159" s="1" customFormat="1" ht="48" customHeight="1" thickBot="1">
      <c r="A10" s="578" t="s">
        <v>79</v>
      </c>
      <c r="B10" s="579"/>
      <c r="C10" s="579"/>
      <c r="D10" s="579"/>
      <c r="E10" s="579"/>
      <c r="F10" s="579"/>
      <c r="G10" s="579"/>
      <c r="H10" s="579"/>
      <c r="I10" s="580"/>
      <c r="J10" s="568" t="s">
        <v>48</v>
      </c>
      <c r="K10" s="567"/>
      <c r="L10" s="567"/>
      <c r="M10" s="567"/>
      <c r="N10" s="567"/>
      <c r="O10" s="567"/>
      <c r="P10" s="567"/>
      <c r="Q10" s="567"/>
      <c r="R10" s="567"/>
      <c r="S10" s="567"/>
      <c r="T10" s="567"/>
      <c r="U10" s="567"/>
      <c r="V10" s="567"/>
      <c r="W10" s="567"/>
      <c r="X10" s="567"/>
      <c r="Y10" s="567"/>
      <c r="Z10" s="567"/>
      <c r="AA10" s="567"/>
      <c r="AB10" s="567"/>
      <c r="AC10" s="587"/>
      <c r="AD10" s="568" t="s">
        <v>49</v>
      </c>
      <c r="AE10" s="567"/>
      <c r="AF10" s="567"/>
      <c r="AG10" s="567"/>
      <c r="AH10" s="567"/>
      <c r="AI10" s="567"/>
      <c r="AJ10" s="567"/>
      <c r="AK10" s="567"/>
      <c r="AL10" s="567"/>
      <c r="AM10" s="567"/>
      <c r="AN10" s="567"/>
      <c r="AO10" s="567"/>
      <c r="AP10" s="567"/>
      <c r="AQ10" s="567"/>
      <c r="AR10" s="567"/>
      <c r="AS10" s="567"/>
      <c r="AT10" s="567"/>
      <c r="AU10" s="567"/>
      <c r="AV10" s="567"/>
      <c r="AW10" s="567"/>
      <c r="AX10" s="567"/>
      <c r="AY10" s="567"/>
      <c r="AZ10" s="567"/>
      <c r="BA10" s="567"/>
      <c r="BB10" s="567"/>
      <c r="BC10" s="567"/>
      <c r="BD10" s="567"/>
      <c r="BE10" s="567"/>
      <c r="BF10" s="567"/>
      <c r="BG10" s="587"/>
      <c r="BH10" s="568" t="s">
        <v>61</v>
      </c>
      <c r="BI10" s="567"/>
      <c r="BJ10" s="567"/>
      <c r="BK10" s="567"/>
      <c r="BL10" s="567"/>
      <c r="BM10" s="567"/>
      <c r="BN10" s="567"/>
      <c r="BO10" s="567"/>
      <c r="BP10" s="567"/>
      <c r="BQ10" s="567"/>
      <c r="BR10" s="567"/>
      <c r="BS10" s="567"/>
      <c r="BT10" s="567"/>
      <c r="BU10" s="567"/>
      <c r="BV10" s="567"/>
      <c r="BW10" s="567"/>
      <c r="BX10" s="567"/>
      <c r="BY10" s="567"/>
      <c r="BZ10" s="567"/>
      <c r="CA10" s="567"/>
      <c r="CB10" s="567"/>
      <c r="CC10" s="567"/>
      <c r="CD10" s="567"/>
      <c r="CE10" s="567"/>
      <c r="CF10" s="567"/>
      <c r="CG10" s="567"/>
      <c r="CH10" s="567"/>
      <c r="CI10" s="567"/>
      <c r="CJ10" s="567"/>
      <c r="CK10" s="587"/>
      <c r="CL10" s="567" t="s">
        <v>62</v>
      </c>
      <c r="CM10" s="567"/>
      <c r="CN10" s="567"/>
      <c r="CO10" s="567"/>
      <c r="CP10" s="567"/>
      <c r="CQ10" s="567"/>
      <c r="CR10" s="567"/>
      <c r="CS10" s="567"/>
      <c r="CT10" s="567"/>
      <c r="CU10" s="567"/>
      <c r="CV10" s="567"/>
      <c r="CW10" s="567"/>
      <c r="CX10" s="567"/>
      <c r="CY10" s="567"/>
      <c r="CZ10" s="567"/>
      <c r="DA10" s="567"/>
      <c r="DB10" s="567"/>
      <c r="DC10" s="567"/>
      <c r="DD10" s="567"/>
      <c r="DE10" s="567"/>
      <c r="DF10" s="567"/>
      <c r="DG10" s="567"/>
      <c r="DH10" s="567"/>
      <c r="DI10" s="567"/>
      <c r="DJ10" s="567"/>
      <c r="DK10" s="567"/>
      <c r="DL10" s="567"/>
      <c r="DM10" s="567"/>
      <c r="DN10" s="567"/>
      <c r="DO10" s="567"/>
      <c r="DP10" s="568" t="s">
        <v>63</v>
      </c>
      <c r="DQ10" s="567"/>
      <c r="DR10" s="567"/>
      <c r="DS10" s="567"/>
      <c r="DT10" s="567"/>
      <c r="DU10" s="567"/>
      <c r="DV10" s="567"/>
      <c r="DW10" s="567"/>
      <c r="DX10" s="567"/>
      <c r="DY10" s="567"/>
      <c r="DZ10" s="567"/>
      <c r="EA10" s="567"/>
      <c r="EB10" s="567"/>
      <c r="EC10" s="567"/>
      <c r="ED10" s="567"/>
      <c r="EE10" s="567"/>
      <c r="EF10" s="567"/>
      <c r="EG10" s="567"/>
      <c r="EH10" s="567"/>
      <c r="EI10" s="567"/>
      <c r="EJ10" s="567"/>
      <c r="EK10" s="567"/>
      <c r="EL10" s="567"/>
      <c r="EM10" s="567"/>
      <c r="EN10" s="567"/>
      <c r="EO10" s="567"/>
      <c r="EP10" s="567"/>
      <c r="EQ10" s="567"/>
      <c r="ER10" s="567"/>
      <c r="ES10" s="567"/>
      <c r="ET10" s="582"/>
      <c r="EU10" s="582"/>
      <c r="EV10" s="584"/>
      <c r="EW10" s="586"/>
      <c r="EX10" s="584"/>
      <c r="EY10" s="589"/>
      <c r="EZ10" s="592"/>
      <c r="FA10" s="592"/>
      <c r="FB10" s="592"/>
      <c r="FC10" s="576"/>
    </row>
    <row r="11" spans="1:159" s="1" customFormat="1" ht="69.75" customHeight="1">
      <c r="A11" s="435" t="s">
        <v>70</v>
      </c>
      <c r="B11" s="435" t="s">
        <v>71</v>
      </c>
      <c r="C11" s="436" t="s">
        <v>72</v>
      </c>
      <c r="D11" s="436" t="s">
        <v>73</v>
      </c>
      <c r="E11" s="436" t="s">
        <v>74</v>
      </c>
      <c r="F11" s="436" t="s">
        <v>75</v>
      </c>
      <c r="G11" s="436" t="s">
        <v>76</v>
      </c>
      <c r="H11" s="436" t="s">
        <v>77</v>
      </c>
      <c r="I11" s="437" t="s">
        <v>78</v>
      </c>
      <c r="J11" s="438" t="s">
        <v>226</v>
      </c>
      <c r="K11" s="439" t="s">
        <v>198</v>
      </c>
      <c r="L11" s="440" t="s">
        <v>207</v>
      </c>
      <c r="M11" s="439" t="s">
        <v>199</v>
      </c>
      <c r="N11" s="440" t="s">
        <v>57</v>
      </c>
      <c r="O11" s="439" t="s">
        <v>200</v>
      </c>
      <c r="P11" s="440" t="s">
        <v>58</v>
      </c>
      <c r="Q11" s="439" t="s">
        <v>201</v>
      </c>
      <c r="R11" s="440" t="s">
        <v>59</v>
      </c>
      <c r="S11" s="439" t="s">
        <v>202</v>
      </c>
      <c r="T11" s="440" t="s">
        <v>60</v>
      </c>
      <c r="U11" s="439" t="s">
        <v>203</v>
      </c>
      <c r="V11" s="440" t="s">
        <v>50</v>
      </c>
      <c r="W11" s="439" t="s">
        <v>204</v>
      </c>
      <c r="X11" s="441" t="s">
        <v>208</v>
      </c>
      <c r="Y11" s="442" t="s">
        <v>206</v>
      </c>
      <c r="Z11" s="443" t="s">
        <v>239</v>
      </c>
      <c r="AA11" s="444" t="s">
        <v>240</v>
      </c>
      <c r="AB11" s="445" t="s">
        <v>241</v>
      </c>
      <c r="AC11" s="444" t="s">
        <v>242</v>
      </c>
      <c r="AD11" s="438" t="s">
        <v>226</v>
      </c>
      <c r="AE11" s="439" t="s">
        <v>193</v>
      </c>
      <c r="AF11" s="440" t="s">
        <v>51</v>
      </c>
      <c r="AG11" s="439" t="s">
        <v>194</v>
      </c>
      <c r="AH11" s="440" t="s">
        <v>52</v>
      </c>
      <c r="AI11" s="439" t="s">
        <v>195</v>
      </c>
      <c r="AJ11" s="440" t="s">
        <v>53</v>
      </c>
      <c r="AK11" s="439" t="s">
        <v>196</v>
      </c>
      <c r="AL11" s="440" t="s">
        <v>54</v>
      </c>
      <c r="AM11" s="439" t="s">
        <v>197</v>
      </c>
      <c r="AN11" s="440" t="s">
        <v>56</v>
      </c>
      <c r="AO11" s="439" t="s">
        <v>198</v>
      </c>
      <c r="AP11" s="440" t="s">
        <v>207</v>
      </c>
      <c r="AQ11" s="439" t="s">
        <v>199</v>
      </c>
      <c r="AR11" s="440" t="s">
        <v>57</v>
      </c>
      <c r="AS11" s="439" t="s">
        <v>200</v>
      </c>
      <c r="AT11" s="440" t="s">
        <v>58</v>
      </c>
      <c r="AU11" s="439" t="s">
        <v>201</v>
      </c>
      <c r="AV11" s="440" t="s">
        <v>59</v>
      </c>
      <c r="AW11" s="439" t="s">
        <v>202</v>
      </c>
      <c r="AX11" s="440" t="s">
        <v>60</v>
      </c>
      <c r="AY11" s="439" t="s">
        <v>203</v>
      </c>
      <c r="AZ11" s="440" t="s">
        <v>50</v>
      </c>
      <c r="BA11" s="439" t="s">
        <v>204</v>
      </c>
      <c r="BB11" s="441" t="s">
        <v>208</v>
      </c>
      <c r="BC11" s="442" t="s">
        <v>206</v>
      </c>
      <c r="BD11" s="446" t="s">
        <v>232</v>
      </c>
      <c r="BE11" s="444" t="s">
        <v>231</v>
      </c>
      <c r="BF11" s="445" t="s">
        <v>230</v>
      </c>
      <c r="BG11" s="444" t="s">
        <v>675</v>
      </c>
      <c r="BH11" s="438" t="s">
        <v>226</v>
      </c>
      <c r="BI11" s="439" t="s">
        <v>193</v>
      </c>
      <c r="BJ11" s="440" t="s">
        <v>51</v>
      </c>
      <c r="BK11" s="439" t="s">
        <v>194</v>
      </c>
      <c r="BL11" s="440" t="s">
        <v>52</v>
      </c>
      <c r="BM11" s="439" t="s">
        <v>195</v>
      </c>
      <c r="BN11" s="440" t="s">
        <v>53</v>
      </c>
      <c r="BO11" s="439" t="s">
        <v>196</v>
      </c>
      <c r="BP11" s="440" t="s">
        <v>54</v>
      </c>
      <c r="BQ11" s="439" t="s">
        <v>197</v>
      </c>
      <c r="BR11" s="440" t="s">
        <v>56</v>
      </c>
      <c r="BS11" s="439" t="s">
        <v>198</v>
      </c>
      <c r="BT11" s="440" t="s">
        <v>207</v>
      </c>
      <c r="BU11" s="439" t="s">
        <v>199</v>
      </c>
      <c r="BV11" s="440" t="s">
        <v>57</v>
      </c>
      <c r="BW11" s="439" t="s">
        <v>200</v>
      </c>
      <c r="BX11" s="440" t="s">
        <v>58</v>
      </c>
      <c r="BY11" s="439" t="s">
        <v>201</v>
      </c>
      <c r="BZ11" s="440" t="s">
        <v>59</v>
      </c>
      <c r="CA11" s="439" t="s">
        <v>202</v>
      </c>
      <c r="CB11" s="440" t="s">
        <v>60</v>
      </c>
      <c r="CC11" s="439" t="s">
        <v>203</v>
      </c>
      <c r="CD11" s="440" t="s">
        <v>50</v>
      </c>
      <c r="CE11" s="439" t="s">
        <v>204</v>
      </c>
      <c r="CF11" s="441" t="s">
        <v>208</v>
      </c>
      <c r="CG11" s="442" t="s">
        <v>206</v>
      </c>
      <c r="CH11" s="445" t="s">
        <v>212</v>
      </c>
      <c r="CI11" s="444" t="s">
        <v>213</v>
      </c>
      <c r="CJ11" s="445" t="s">
        <v>214</v>
      </c>
      <c r="CK11" s="444" t="s">
        <v>215</v>
      </c>
      <c r="CL11" s="447" t="s">
        <v>226</v>
      </c>
      <c r="CM11" s="439" t="s">
        <v>193</v>
      </c>
      <c r="CN11" s="440" t="s">
        <v>51</v>
      </c>
      <c r="CO11" s="439" t="s">
        <v>194</v>
      </c>
      <c r="CP11" s="440" t="s">
        <v>52</v>
      </c>
      <c r="CQ11" s="439" t="s">
        <v>195</v>
      </c>
      <c r="CR11" s="440" t="s">
        <v>53</v>
      </c>
      <c r="CS11" s="439" t="s">
        <v>196</v>
      </c>
      <c r="CT11" s="440" t="s">
        <v>54</v>
      </c>
      <c r="CU11" s="439" t="s">
        <v>197</v>
      </c>
      <c r="CV11" s="440" t="s">
        <v>56</v>
      </c>
      <c r="CW11" s="439" t="s">
        <v>198</v>
      </c>
      <c r="CX11" s="440" t="s">
        <v>207</v>
      </c>
      <c r="CY11" s="439" t="s">
        <v>199</v>
      </c>
      <c r="CZ11" s="440" t="s">
        <v>57</v>
      </c>
      <c r="DA11" s="439" t="s">
        <v>200</v>
      </c>
      <c r="DB11" s="440" t="s">
        <v>58</v>
      </c>
      <c r="DC11" s="439" t="s">
        <v>201</v>
      </c>
      <c r="DD11" s="440" t="s">
        <v>59</v>
      </c>
      <c r="DE11" s="439" t="s">
        <v>202</v>
      </c>
      <c r="DF11" s="440" t="s">
        <v>60</v>
      </c>
      <c r="DG11" s="439" t="s">
        <v>203</v>
      </c>
      <c r="DH11" s="440" t="s">
        <v>50</v>
      </c>
      <c r="DI11" s="439" t="s">
        <v>204</v>
      </c>
      <c r="DJ11" s="441" t="s">
        <v>208</v>
      </c>
      <c r="DK11" s="442" t="s">
        <v>206</v>
      </c>
      <c r="DL11" s="448" t="s">
        <v>218</v>
      </c>
      <c r="DM11" s="449" t="s">
        <v>219</v>
      </c>
      <c r="DN11" s="450" t="s">
        <v>220</v>
      </c>
      <c r="DO11" s="449" t="s">
        <v>221</v>
      </c>
      <c r="DP11" s="447" t="s">
        <v>226</v>
      </c>
      <c r="DQ11" s="439" t="s">
        <v>193</v>
      </c>
      <c r="DR11" s="440" t="s">
        <v>51</v>
      </c>
      <c r="DS11" s="439" t="s">
        <v>194</v>
      </c>
      <c r="DT11" s="440" t="s">
        <v>52</v>
      </c>
      <c r="DU11" s="439" t="s">
        <v>195</v>
      </c>
      <c r="DV11" s="440" t="s">
        <v>53</v>
      </c>
      <c r="DW11" s="439" t="s">
        <v>196</v>
      </c>
      <c r="DX11" s="440" t="s">
        <v>54</v>
      </c>
      <c r="DY11" s="439" t="s">
        <v>197</v>
      </c>
      <c r="DZ11" s="440" t="s">
        <v>56</v>
      </c>
      <c r="EA11" s="439" t="s">
        <v>198</v>
      </c>
      <c r="EB11" s="440" t="s">
        <v>207</v>
      </c>
      <c r="EC11" s="439" t="s">
        <v>199</v>
      </c>
      <c r="ED11" s="440" t="s">
        <v>57</v>
      </c>
      <c r="EE11" s="439" t="s">
        <v>200</v>
      </c>
      <c r="EF11" s="440" t="s">
        <v>58</v>
      </c>
      <c r="EG11" s="439" t="s">
        <v>201</v>
      </c>
      <c r="EH11" s="440" t="s">
        <v>59</v>
      </c>
      <c r="EI11" s="439" t="s">
        <v>202</v>
      </c>
      <c r="EJ11" s="440" t="s">
        <v>60</v>
      </c>
      <c r="EK11" s="439" t="s">
        <v>203</v>
      </c>
      <c r="EL11" s="440" t="s">
        <v>50</v>
      </c>
      <c r="EM11" s="439" t="s">
        <v>204</v>
      </c>
      <c r="EN11" s="441" t="s">
        <v>208</v>
      </c>
      <c r="EO11" s="442" t="s">
        <v>206</v>
      </c>
      <c r="EP11" s="448" t="s">
        <v>222</v>
      </c>
      <c r="EQ11" s="449" t="s">
        <v>223</v>
      </c>
      <c r="ER11" s="450" t="s">
        <v>224</v>
      </c>
      <c r="ES11" s="451" t="s">
        <v>225</v>
      </c>
      <c r="ET11" s="582"/>
      <c r="EU11" s="582"/>
      <c r="EV11" s="584"/>
      <c r="EW11" s="586"/>
      <c r="EX11" s="584"/>
      <c r="EY11" s="590"/>
      <c r="EZ11" s="593"/>
      <c r="FA11" s="593"/>
      <c r="FB11" s="593"/>
      <c r="FC11" s="577"/>
    </row>
    <row r="12" spans="1:159" s="71" customFormat="1" ht="99.75" customHeight="1">
      <c r="A12" s="489">
        <v>2</v>
      </c>
      <c r="B12" s="489">
        <v>35</v>
      </c>
      <c r="C12" s="489">
        <v>268</v>
      </c>
      <c r="D12" s="497" t="s">
        <v>252</v>
      </c>
      <c r="E12" s="489">
        <v>285</v>
      </c>
      <c r="F12" s="506" t="s">
        <v>253</v>
      </c>
      <c r="G12" s="489" t="s">
        <v>254</v>
      </c>
      <c r="H12" s="489" t="s">
        <v>255</v>
      </c>
      <c r="I12" s="161">
        <f>+AC12+BG12+CK12+CL12+DP12</f>
        <v>3956</v>
      </c>
      <c r="J12" s="161">
        <v>234</v>
      </c>
      <c r="K12" s="161"/>
      <c r="L12" s="161"/>
      <c r="M12" s="161"/>
      <c r="N12" s="161"/>
      <c r="O12" s="161"/>
      <c r="P12" s="161"/>
      <c r="Q12" s="161"/>
      <c r="R12" s="161"/>
      <c r="S12" s="161"/>
      <c r="T12" s="161"/>
      <c r="U12" s="161"/>
      <c r="V12" s="161"/>
      <c r="W12" s="161">
        <f>234</f>
        <v>234</v>
      </c>
      <c r="X12" s="161">
        <v>195</v>
      </c>
      <c r="Y12" s="490">
        <v>234</v>
      </c>
      <c r="Z12" s="370">
        <v>234</v>
      </c>
      <c r="AA12" s="370">
        <v>195</v>
      </c>
      <c r="AB12" s="370">
        <v>195</v>
      </c>
      <c r="AC12" s="370">
        <v>195</v>
      </c>
      <c r="AD12" s="161">
        <v>798</v>
      </c>
      <c r="AE12" s="161">
        <v>37</v>
      </c>
      <c r="AF12" s="491">
        <v>38</v>
      </c>
      <c r="AG12" s="162">
        <v>65</v>
      </c>
      <c r="AH12" s="491">
        <v>10</v>
      </c>
      <c r="AI12" s="161">
        <v>69</v>
      </c>
      <c r="AJ12" s="491">
        <v>33</v>
      </c>
      <c r="AK12" s="161">
        <v>72</v>
      </c>
      <c r="AL12" s="491">
        <v>44</v>
      </c>
      <c r="AM12" s="161">
        <v>72</v>
      </c>
      <c r="AN12" s="489">
        <v>58</v>
      </c>
      <c r="AO12" s="161">
        <v>104</v>
      </c>
      <c r="AP12" s="489">
        <v>93</v>
      </c>
      <c r="AQ12" s="161">
        <v>62</v>
      </c>
      <c r="AR12" s="491">
        <v>229</v>
      </c>
      <c r="AS12" s="161">
        <v>72</v>
      </c>
      <c r="AT12" s="161">
        <v>110</v>
      </c>
      <c r="AU12" s="161">
        <v>71</v>
      </c>
      <c r="AV12" s="161">
        <v>54</v>
      </c>
      <c r="AW12" s="161">
        <v>70</v>
      </c>
      <c r="AX12" s="161">
        <v>70</v>
      </c>
      <c r="AY12" s="161">
        <v>65</v>
      </c>
      <c r="AZ12" s="161">
        <v>24</v>
      </c>
      <c r="BA12" s="161">
        <v>39</v>
      </c>
      <c r="BB12" s="161">
        <v>31</v>
      </c>
      <c r="BC12" s="492">
        <f>BA12+AY12+AW12+AU12+AS12+AQ12+AO12+AM12+AK12+AI12+AG12+AE12</f>
        <v>798</v>
      </c>
      <c r="BD12" s="492">
        <f>+AE12+AG12+AI12+AK12+AM12+AO12+AQ12+AS12+AU12+AW12+AY12+BA12</f>
        <v>798</v>
      </c>
      <c r="BE12" s="492">
        <f>+AF12+AH12+AJ12+AL12+AN12+AP12+AR12+AT12+AV12+AX12+AZ12+BB12</f>
        <v>794</v>
      </c>
      <c r="BF12" s="492">
        <f>BA12+AY12+AW12+AU12+AS12+AQ12+AO12+AM12+AK12+AI12+AG12+AE12</f>
        <v>798</v>
      </c>
      <c r="BG12" s="492">
        <f>AF12+AH12+AJ12+AL12+AN12+AP12+AR12+AT12+AV12+AX12+AZ12+BB12</f>
        <v>794</v>
      </c>
      <c r="BH12" s="161">
        <f>1097+4</f>
        <v>1101</v>
      </c>
      <c r="BI12" s="161">
        <f>67+4</f>
        <v>71</v>
      </c>
      <c r="BJ12" s="491">
        <v>0</v>
      </c>
      <c r="BK12" s="161">
        <v>92</v>
      </c>
      <c r="BL12" s="491">
        <v>49</v>
      </c>
      <c r="BM12" s="161">
        <v>97</v>
      </c>
      <c r="BN12" s="491">
        <v>60</v>
      </c>
      <c r="BO12" s="491">
        <v>102</v>
      </c>
      <c r="BP12" s="491">
        <v>92</v>
      </c>
      <c r="BQ12" s="161">
        <v>102</v>
      </c>
      <c r="BR12" s="491">
        <v>93</v>
      </c>
      <c r="BS12" s="161">
        <v>92</v>
      </c>
      <c r="BT12" s="491">
        <v>93</v>
      </c>
      <c r="BU12" s="161">
        <v>63</v>
      </c>
      <c r="BV12" s="491">
        <v>120</v>
      </c>
      <c r="BW12" s="161">
        <v>88</v>
      </c>
      <c r="BX12" s="491">
        <v>164</v>
      </c>
      <c r="BY12" s="161">
        <v>102</v>
      </c>
      <c r="BZ12" s="491">
        <v>242</v>
      </c>
      <c r="CA12" s="161">
        <v>102</v>
      </c>
      <c r="CB12" s="489">
        <v>126</v>
      </c>
      <c r="CC12" s="161">
        <v>102</v>
      </c>
      <c r="CD12" s="489">
        <v>113</v>
      </c>
      <c r="CE12" s="161">
        <f>88+133</f>
        <v>221</v>
      </c>
      <c r="CF12" s="489">
        <v>82</v>
      </c>
      <c r="CG12" s="161">
        <f>BI12+BK12+BM12+BO12+BQ12+BS12+BU12+BW12+BY12+CA12+CC12+CE12</f>
        <v>1234</v>
      </c>
      <c r="CH12" s="161">
        <f>+BI12+BK12+BM12+BO12+BQ12+BS12+BU12+BW12+BY12+CA12+CC12+CE12</f>
        <v>1234</v>
      </c>
      <c r="CI12" s="161">
        <f>+BJ12+BL12+BN12+BP12+BR12+BT12+BV12+BX12+BZ12+CB12+CD12+CF12</f>
        <v>1234</v>
      </c>
      <c r="CJ12" s="161">
        <f>BI12+BK12+BM12+BO12+BQ12+BS12+BU12+BW12+BY12+CA12+CC12+CE12</f>
        <v>1234</v>
      </c>
      <c r="CK12" s="161">
        <f>BJ12+BL12+BN12+BP12+BR12+BT12+BV12+BX12+BZ12+CB12+CD12+CF12</f>
        <v>1234</v>
      </c>
      <c r="CL12" s="161">
        <v>1428</v>
      </c>
      <c r="CM12" s="492">
        <v>29</v>
      </c>
      <c r="CN12" s="491">
        <v>29</v>
      </c>
      <c r="CO12" s="492">
        <v>8</v>
      </c>
      <c r="CP12" s="491">
        <v>8</v>
      </c>
      <c r="CQ12" s="492">
        <v>161</v>
      </c>
      <c r="CR12" s="491">
        <v>161</v>
      </c>
      <c r="CS12" s="161">
        <f>132+15</f>
        <v>147</v>
      </c>
      <c r="CT12" s="161">
        <v>174</v>
      </c>
      <c r="CU12" s="161">
        <f>134+15</f>
        <v>149</v>
      </c>
      <c r="CV12" s="493">
        <v>86</v>
      </c>
      <c r="CW12" s="161">
        <f>122+15</f>
        <v>137</v>
      </c>
      <c r="CX12" s="493">
        <v>209</v>
      </c>
      <c r="CY12" s="161">
        <f>104+15</f>
        <v>119</v>
      </c>
      <c r="CZ12" s="493">
        <v>80</v>
      </c>
      <c r="DA12" s="161">
        <f>122+15</f>
        <v>137</v>
      </c>
      <c r="DB12" s="493">
        <v>112</v>
      </c>
      <c r="DC12" s="161">
        <f>133+15</f>
        <v>148</v>
      </c>
      <c r="DD12" s="493">
        <v>107</v>
      </c>
      <c r="DE12" s="161">
        <f>129+15</f>
        <v>144</v>
      </c>
      <c r="DF12" s="493">
        <v>208</v>
      </c>
      <c r="DG12" s="161">
        <f>129+15</f>
        <v>144</v>
      </c>
      <c r="DH12" s="493">
        <v>141</v>
      </c>
      <c r="DI12" s="161">
        <f>92+13+44</f>
        <v>149</v>
      </c>
      <c r="DJ12" s="493">
        <v>157</v>
      </c>
      <c r="DK12" s="161">
        <f>CM12+CO12+CQ12+CS12+CU12+CW12+CY12+DA12+DC12+DE12+DG12+DI12</f>
        <v>1472</v>
      </c>
      <c r="DL12" s="161">
        <f>CM12+CO12+CQ12+CS12+CU12+CW12+CY12+DA12+DC12+DE12+DG12+DI12</f>
        <v>1472</v>
      </c>
      <c r="DM12" s="161">
        <f>CN12+CP12+CR12+CT12+CV12+CX12+CZ12+DB12+DD12+DF12+DH12+DJ12</f>
        <v>1472</v>
      </c>
      <c r="DN12" s="161">
        <f>CM12+CO12+CQ12+CS12+CU12+CW12+CY12+DA12+DC12+DE12+DG12+DI12</f>
        <v>1472</v>
      </c>
      <c r="DO12" s="161">
        <f>CN12+CP12+CR12+CT12+CV12+CX12+CZ12+DB12+DD12+DF12+DH12+DJ12</f>
        <v>1472</v>
      </c>
      <c r="DP12" s="492">
        <f>349-44</f>
        <v>305</v>
      </c>
      <c r="DQ12" s="494"/>
      <c r="DR12" s="494"/>
      <c r="DS12" s="494"/>
      <c r="DT12" s="494"/>
      <c r="DU12" s="494"/>
      <c r="DV12" s="494"/>
      <c r="DW12" s="494"/>
      <c r="DX12" s="494"/>
      <c r="DY12" s="494"/>
      <c r="DZ12" s="494"/>
      <c r="EA12" s="494"/>
      <c r="EB12" s="494"/>
      <c r="EC12" s="494"/>
      <c r="ED12" s="494"/>
      <c r="EE12" s="494"/>
      <c r="EF12" s="494"/>
      <c r="EG12" s="494"/>
      <c r="EH12" s="494"/>
      <c r="EI12" s="494"/>
      <c r="EJ12" s="494"/>
      <c r="EK12" s="494"/>
      <c r="EL12" s="494"/>
      <c r="EM12" s="494"/>
      <c r="EN12" s="494"/>
      <c r="EO12" s="494"/>
      <c r="EP12" s="494"/>
      <c r="EQ12" s="494"/>
      <c r="ER12" s="494"/>
      <c r="ES12" s="494"/>
      <c r="ET12" s="365">
        <f>DJ12/DI12</f>
        <v>1.0536912751677852</v>
      </c>
      <c r="EU12" s="365">
        <f>DM12/DL12</f>
        <v>1</v>
      </c>
      <c r="EV12" s="366">
        <f>DO12/DN12</f>
        <v>1</v>
      </c>
      <c r="EW12" s="367">
        <f>+(AC12+BG12+CK12+DM12)/(AB12+BF12+CJ12+DL12)</f>
        <v>0.99891862665585296</v>
      </c>
      <c r="EX12" s="367">
        <f>+(AC12+BG12+CK12+DO12)/I12</f>
        <v>0.93402426693629925</v>
      </c>
      <c r="EY12" s="495" t="s">
        <v>748</v>
      </c>
      <c r="EZ12" s="496" t="s">
        <v>548</v>
      </c>
      <c r="FA12" s="496" t="s">
        <v>548</v>
      </c>
      <c r="FB12" s="497" t="s">
        <v>321</v>
      </c>
      <c r="FC12" s="498" t="s">
        <v>695</v>
      </c>
    </row>
    <row r="13" spans="1:159" s="71" customFormat="1" ht="99.75" customHeight="1">
      <c r="A13" s="489">
        <v>2</v>
      </c>
      <c r="B13" s="489">
        <v>35</v>
      </c>
      <c r="C13" s="489">
        <v>269</v>
      </c>
      <c r="D13" s="497" t="s">
        <v>538</v>
      </c>
      <c r="E13" s="489">
        <v>286</v>
      </c>
      <c r="F13" s="506" t="s">
        <v>253</v>
      </c>
      <c r="G13" s="489" t="s">
        <v>254</v>
      </c>
      <c r="H13" s="489" t="s">
        <v>255</v>
      </c>
      <c r="I13" s="161">
        <f>+AC13+BG13+CK13+CL13+DP13</f>
        <v>4700</v>
      </c>
      <c r="J13" s="161">
        <v>426</v>
      </c>
      <c r="K13" s="161"/>
      <c r="L13" s="161"/>
      <c r="M13" s="161"/>
      <c r="N13" s="161"/>
      <c r="O13" s="161"/>
      <c r="P13" s="161"/>
      <c r="Q13" s="161"/>
      <c r="R13" s="161"/>
      <c r="S13" s="161"/>
      <c r="T13" s="161"/>
      <c r="U13" s="161"/>
      <c r="V13" s="161"/>
      <c r="W13" s="161">
        <f>426+65</f>
        <v>491</v>
      </c>
      <c r="X13" s="161">
        <v>491</v>
      </c>
      <c r="Y13" s="490">
        <v>491</v>
      </c>
      <c r="Z13" s="370">
        <v>491</v>
      </c>
      <c r="AA13" s="370">
        <v>491</v>
      </c>
      <c r="AB13" s="370">
        <v>491</v>
      </c>
      <c r="AC13" s="370">
        <v>491</v>
      </c>
      <c r="AD13" s="161">
        <v>893</v>
      </c>
      <c r="AE13" s="161">
        <v>15</v>
      </c>
      <c r="AF13" s="491">
        <v>36</v>
      </c>
      <c r="AG13" s="162">
        <v>18</v>
      </c>
      <c r="AH13" s="491">
        <v>16</v>
      </c>
      <c r="AI13" s="161">
        <v>90</v>
      </c>
      <c r="AJ13" s="491">
        <v>104</v>
      </c>
      <c r="AK13" s="161">
        <v>97</v>
      </c>
      <c r="AL13" s="491">
        <v>116</v>
      </c>
      <c r="AM13" s="161">
        <v>97</v>
      </c>
      <c r="AN13" s="489">
        <v>76</v>
      </c>
      <c r="AO13" s="161">
        <v>97</v>
      </c>
      <c r="AP13" s="489">
        <v>115</v>
      </c>
      <c r="AQ13" s="161">
        <v>97</v>
      </c>
      <c r="AR13" s="491">
        <v>96</v>
      </c>
      <c r="AS13" s="161">
        <v>97</v>
      </c>
      <c r="AT13" s="161">
        <v>102</v>
      </c>
      <c r="AU13" s="161">
        <v>97</v>
      </c>
      <c r="AV13" s="161">
        <v>96</v>
      </c>
      <c r="AW13" s="161">
        <v>97</v>
      </c>
      <c r="AX13" s="161">
        <v>69</v>
      </c>
      <c r="AY13" s="161">
        <v>91</v>
      </c>
      <c r="AZ13" s="161">
        <v>65</v>
      </c>
      <c r="BA13" s="161">
        <v>4</v>
      </c>
      <c r="BB13" s="161">
        <v>6</v>
      </c>
      <c r="BC13" s="492">
        <f>BA13+AY13+AW13+AU13+AS13+AQ13+AO13+AM13+AK13+AI13+AG13+AE13</f>
        <v>897</v>
      </c>
      <c r="BD13" s="492">
        <f>+AE13+AG13+AI13+AK13+AM13+AO13+AQ13+AS13+AU13+AW13+AY13+BA13</f>
        <v>897</v>
      </c>
      <c r="BE13" s="492">
        <f>+AF13+AH13+AJ13+AL13+AN13+AP13+AR13+AT13+AV13+AX13+AZ13+BB13</f>
        <v>897</v>
      </c>
      <c r="BF13" s="492">
        <f>BA13+AY13+AW13+AU13+AS13+AQ13+AO13+AM13+AK13+AI13+AG13+AE13</f>
        <v>897</v>
      </c>
      <c r="BG13" s="492">
        <f>AF13+AH13+AJ13+AL13+AN13+AP13+AR13+AT13+AV13+AX13+AZ13+BB13</f>
        <v>897</v>
      </c>
      <c r="BH13" s="161">
        <v>1272</v>
      </c>
      <c r="BI13" s="492">
        <v>0</v>
      </c>
      <c r="BJ13" s="492">
        <v>11</v>
      </c>
      <c r="BK13" s="492">
        <v>102</v>
      </c>
      <c r="BL13" s="492">
        <v>129</v>
      </c>
      <c r="BM13" s="492">
        <v>130</v>
      </c>
      <c r="BN13" s="492">
        <v>109</v>
      </c>
      <c r="BO13" s="492">
        <v>130</v>
      </c>
      <c r="BP13" s="492">
        <v>115</v>
      </c>
      <c r="BQ13" s="492">
        <v>130</v>
      </c>
      <c r="BR13" s="492">
        <v>194</v>
      </c>
      <c r="BS13" s="492">
        <v>130</v>
      </c>
      <c r="BT13" s="492">
        <v>127</v>
      </c>
      <c r="BU13" s="492">
        <v>130</v>
      </c>
      <c r="BV13" s="492">
        <v>138</v>
      </c>
      <c r="BW13" s="492">
        <v>130</v>
      </c>
      <c r="BX13" s="492">
        <v>117</v>
      </c>
      <c r="BY13" s="492">
        <v>130</v>
      </c>
      <c r="BZ13" s="492">
        <v>142</v>
      </c>
      <c r="CA13" s="492">
        <v>130</v>
      </c>
      <c r="CB13" s="492">
        <v>121</v>
      </c>
      <c r="CC13" s="492">
        <v>130</v>
      </c>
      <c r="CD13" s="492">
        <v>137</v>
      </c>
      <c r="CE13" s="161">
        <v>146</v>
      </c>
      <c r="CF13" s="492">
        <v>78</v>
      </c>
      <c r="CG13" s="161">
        <f>BI13+BK13+BM13+BO13+BQ13+BS13+BU13+BW13+BY13+CA13+CC13+CE13</f>
        <v>1418</v>
      </c>
      <c r="CH13" s="161">
        <f>+BI13+BK13+BM13+BO13+BQ13+BS13+BU13+BW13+BY13+CA13+CC13+CE13</f>
        <v>1418</v>
      </c>
      <c r="CI13" s="161">
        <f>+BJ13+BL13+BN13+BP13+BR13+BT13+BV13+BX13+BZ13+CB13+CD13+CF13</f>
        <v>1418</v>
      </c>
      <c r="CJ13" s="161">
        <f>BI13+BK13+BM13+BO13+BQ13+BS13+BU13+BW13+BY13+CA13+CC13+CE13</f>
        <v>1418</v>
      </c>
      <c r="CK13" s="161">
        <f>BJ13+BL13+BN13+BP13+BR13+BT13+BV13+BX13+BZ13+CB13+CD13+CF13</f>
        <v>1418</v>
      </c>
      <c r="CL13" s="161">
        <v>1585</v>
      </c>
      <c r="CM13" s="492">
        <v>62</v>
      </c>
      <c r="CN13" s="491">
        <v>62</v>
      </c>
      <c r="CO13" s="492">
        <v>77</v>
      </c>
      <c r="CP13" s="491">
        <v>77</v>
      </c>
      <c r="CQ13" s="492">
        <v>102</v>
      </c>
      <c r="CR13" s="491">
        <v>102</v>
      </c>
      <c r="CS13" s="492">
        <v>168</v>
      </c>
      <c r="CT13" s="491">
        <v>120</v>
      </c>
      <c r="CU13" s="492">
        <v>168</v>
      </c>
      <c r="CV13" s="499">
        <v>139</v>
      </c>
      <c r="CW13" s="492">
        <v>168</v>
      </c>
      <c r="CX13" s="499">
        <v>131</v>
      </c>
      <c r="CY13" s="492">
        <v>168</v>
      </c>
      <c r="CZ13" s="500">
        <v>143</v>
      </c>
      <c r="DA13" s="492">
        <v>168</v>
      </c>
      <c r="DB13" s="500">
        <v>167</v>
      </c>
      <c r="DC13" s="492">
        <v>168</v>
      </c>
      <c r="DD13" s="500">
        <v>117</v>
      </c>
      <c r="DE13" s="492">
        <v>168</v>
      </c>
      <c r="DF13" s="500">
        <v>167</v>
      </c>
      <c r="DG13" s="492">
        <v>96</v>
      </c>
      <c r="DH13" s="500">
        <v>143</v>
      </c>
      <c r="DI13" s="492">
        <v>72</v>
      </c>
      <c r="DJ13" s="500">
        <v>113</v>
      </c>
      <c r="DK13" s="161">
        <f>CM13+CO13+CQ13+CS13+CU13+CW13+CY13+DA13+DC13+DE13+DG13+DI13</f>
        <v>1585</v>
      </c>
      <c r="DL13" s="161">
        <f>CM13+CO13+CQ13+CS13+CU13+CW13+CY13+DA13+DC13+DE13+DG13+DI13</f>
        <v>1585</v>
      </c>
      <c r="DM13" s="161">
        <f>CN13+CP13+CR13+CT13+CV13+CX13+CZ13+DB13+DD13+DF13+DH13+DJ13</f>
        <v>1481</v>
      </c>
      <c r="DN13" s="161">
        <f>CM13+CO13+CQ13+CS13+CU13+CW13+CY13+DA13+DC13+DE13+DG13+DI13</f>
        <v>1585</v>
      </c>
      <c r="DO13" s="161">
        <f>CN13+CP13+CR13+CT13+CV13+CX13+CZ13+DB13+DD13+DF13+DH13+DJ13</f>
        <v>1481</v>
      </c>
      <c r="DP13" s="492">
        <f>455-146</f>
        <v>309</v>
      </c>
      <c r="DQ13" s="494"/>
      <c r="DR13" s="494"/>
      <c r="DS13" s="494"/>
      <c r="DT13" s="494"/>
      <c r="DU13" s="494"/>
      <c r="DV13" s="494"/>
      <c r="DW13" s="494"/>
      <c r="DX13" s="494"/>
      <c r="DY13" s="494"/>
      <c r="DZ13" s="494"/>
      <c r="EA13" s="494"/>
      <c r="EB13" s="494"/>
      <c r="EC13" s="494"/>
      <c r="ED13" s="494"/>
      <c r="EE13" s="494"/>
      <c r="EF13" s="494"/>
      <c r="EG13" s="494"/>
      <c r="EH13" s="494"/>
      <c r="EI13" s="494"/>
      <c r="EJ13" s="494"/>
      <c r="EK13" s="494"/>
      <c r="EL13" s="494"/>
      <c r="EM13" s="494"/>
      <c r="EN13" s="494"/>
      <c r="EO13" s="494"/>
      <c r="EP13" s="494"/>
      <c r="EQ13" s="494"/>
      <c r="ER13" s="494"/>
      <c r="ES13" s="494"/>
      <c r="ET13" s="365">
        <f>DJ13/DI13</f>
        <v>1.5694444444444444</v>
      </c>
      <c r="EU13" s="365">
        <f>DM13/DL13</f>
        <v>0.93438485804416405</v>
      </c>
      <c r="EV13" s="366">
        <f>DO13/DN13</f>
        <v>0.93438485804416405</v>
      </c>
      <c r="EW13" s="367">
        <f>+(AC13+BG13+CK13+DM13)/(AB13+BF13+CJ13+DL13)</f>
        <v>0.97631519016169432</v>
      </c>
      <c r="EX13" s="367">
        <f>+(AC13+BG13+CK13+DO13)/I13</f>
        <v>0.91212765957446806</v>
      </c>
      <c r="EY13" s="495" t="s">
        <v>779</v>
      </c>
      <c r="EZ13" s="496" t="s">
        <v>780</v>
      </c>
      <c r="FA13" s="496" t="s">
        <v>781</v>
      </c>
      <c r="FB13" s="497" t="s">
        <v>322</v>
      </c>
      <c r="FC13" s="498" t="s">
        <v>696</v>
      </c>
    </row>
    <row r="14" spans="1:159" s="71" customFormat="1" ht="99.75" customHeight="1">
      <c r="A14" s="489">
        <v>2</v>
      </c>
      <c r="B14" s="489">
        <v>35</v>
      </c>
      <c r="C14" s="489">
        <v>270</v>
      </c>
      <c r="D14" s="497" t="s">
        <v>257</v>
      </c>
      <c r="E14" s="489">
        <v>287</v>
      </c>
      <c r="F14" s="506" t="s">
        <v>258</v>
      </c>
      <c r="G14" s="489" t="s">
        <v>259</v>
      </c>
      <c r="H14" s="489" t="s">
        <v>260</v>
      </c>
      <c r="I14" s="163">
        <f>+J14</f>
        <v>1</v>
      </c>
      <c r="J14" s="163">
        <v>1</v>
      </c>
      <c r="K14" s="163"/>
      <c r="L14" s="163"/>
      <c r="M14" s="163"/>
      <c r="N14" s="163"/>
      <c r="O14" s="163"/>
      <c r="P14" s="163"/>
      <c r="Q14" s="163"/>
      <c r="R14" s="163"/>
      <c r="S14" s="163"/>
      <c r="T14" s="163"/>
      <c r="U14" s="163"/>
      <c r="V14" s="163"/>
      <c r="W14" s="163">
        <v>1</v>
      </c>
      <c r="X14" s="163">
        <v>1</v>
      </c>
      <c r="Y14" s="501">
        <v>1</v>
      </c>
      <c r="Z14" s="501">
        <v>1</v>
      </c>
      <c r="AA14" s="501">
        <v>1</v>
      </c>
      <c r="AB14" s="501">
        <v>1</v>
      </c>
      <c r="AC14" s="501">
        <v>1</v>
      </c>
      <c r="AD14" s="163">
        <v>1</v>
      </c>
      <c r="AE14" s="163">
        <v>1</v>
      </c>
      <c r="AF14" s="163">
        <v>1</v>
      </c>
      <c r="AG14" s="163">
        <v>1</v>
      </c>
      <c r="AH14" s="163">
        <v>1</v>
      </c>
      <c r="AI14" s="163">
        <v>1</v>
      </c>
      <c r="AJ14" s="163">
        <v>1</v>
      </c>
      <c r="AK14" s="163">
        <v>1</v>
      </c>
      <c r="AL14" s="163">
        <v>1</v>
      </c>
      <c r="AM14" s="163">
        <v>1</v>
      </c>
      <c r="AN14" s="163">
        <v>1</v>
      </c>
      <c r="AO14" s="163">
        <v>1</v>
      </c>
      <c r="AP14" s="163">
        <v>1</v>
      </c>
      <c r="AQ14" s="163">
        <v>1</v>
      </c>
      <c r="AR14" s="371">
        <v>1</v>
      </c>
      <c r="AS14" s="163">
        <v>1</v>
      </c>
      <c r="AT14" s="371">
        <v>1</v>
      </c>
      <c r="AU14" s="163">
        <v>1</v>
      </c>
      <c r="AV14" s="371">
        <v>1</v>
      </c>
      <c r="AW14" s="163">
        <v>1</v>
      </c>
      <c r="AX14" s="371">
        <v>1</v>
      </c>
      <c r="AY14" s="163">
        <v>1</v>
      </c>
      <c r="AZ14" s="371">
        <v>1</v>
      </c>
      <c r="BA14" s="163">
        <v>1</v>
      </c>
      <c r="BB14" s="371">
        <v>1</v>
      </c>
      <c r="BC14" s="372">
        <f>+AD14</f>
        <v>1</v>
      </c>
      <c r="BD14" s="372">
        <f>+BA14</f>
        <v>1</v>
      </c>
      <c r="BE14" s="372">
        <f>+BB14</f>
        <v>1</v>
      </c>
      <c r="BF14" s="372">
        <f>+AD14</f>
        <v>1</v>
      </c>
      <c r="BG14" s="372">
        <f>+BB14</f>
        <v>1</v>
      </c>
      <c r="BH14" s="163">
        <v>1</v>
      </c>
      <c r="BI14" s="163">
        <v>1</v>
      </c>
      <c r="BJ14" s="163">
        <v>1</v>
      </c>
      <c r="BK14" s="163">
        <v>1</v>
      </c>
      <c r="BL14" s="163">
        <v>1</v>
      </c>
      <c r="BM14" s="163">
        <v>1</v>
      </c>
      <c r="BN14" s="163">
        <v>1</v>
      </c>
      <c r="BO14" s="163">
        <v>1</v>
      </c>
      <c r="BP14" s="163">
        <v>1</v>
      </c>
      <c r="BQ14" s="163">
        <v>1</v>
      </c>
      <c r="BR14" s="163">
        <v>1</v>
      </c>
      <c r="BS14" s="163">
        <v>1</v>
      </c>
      <c r="BT14" s="163">
        <v>1</v>
      </c>
      <c r="BU14" s="163">
        <v>1</v>
      </c>
      <c r="BV14" s="163">
        <v>1</v>
      </c>
      <c r="BW14" s="163">
        <v>1</v>
      </c>
      <c r="BX14" s="163">
        <v>1</v>
      </c>
      <c r="BY14" s="163">
        <v>1</v>
      </c>
      <c r="BZ14" s="163">
        <v>1</v>
      </c>
      <c r="CA14" s="163">
        <v>1</v>
      </c>
      <c r="CB14" s="163">
        <v>1</v>
      </c>
      <c r="CC14" s="163">
        <v>1</v>
      </c>
      <c r="CD14" s="163">
        <v>1</v>
      </c>
      <c r="CE14" s="163">
        <v>1</v>
      </c>
      <c r="CF14" s="163">
        <v>1</v>
      </c>
      <c r="CG14" s="163">
        <f>BH14</f>
        <v>1</v>
      </c>
      <c r="CH14" s="163">
        <f>+CC14</f>
        <v>1</v>
      </c>
      <c r="CI14" s="163">
        <f>+CD14</f>
        <v>1</v>
      </c>
      <c r="CJ14" s="163">
        <f>+BH14</f>
        <v>1</v>
      </c>
      <c r="CK14" s="163">
        <f>+CD14</f>
        <v>1</v>
      </c>
      <c r="CL14" s="163">
        <v>1</v>
      </c>
      <c r="CM14" s="163">
        <v>1</v>
      </c>
      <c r="CN14" s="163">
        <v>1</v>
      </c>
      <c r="CO14" s="163">
        <v>1</v>
      </c>
      <c r="CP14" s="163">
        <v>1</v>
      </c>
      <c r="CQ14" s="163">
        <v>1</v>
      </c>
      <c r="CR14" s="163">
        <v>1</v>
      </c>
      <c r="CS14" s="163">
        <v>1</v>
      </c>
      <c r="CT14" s="163">
        <v>1</v>
      </c>
      <c r="CU14" s="163">
        <v>1</v>
      </c>
      <c r="CV14" s="368">
        <v>1</v>
      </c>
      <c r="CW14" s="163">
        <v>1</v>
      </c>
      <c r="CX14" s="368">
        <v>1</v>
      </c>
      <c r="CY14" s="163">
        <v>1</v>
      </c>
      <c r="CZ14" s="368">
        <v>1</v>
      </c>
      <c r="DA14" s="163">
        <v>1</v>
      </c>
      <c r="DB14" s="368">
        <v>1</v>
      </c>
      <c r="DC14" s="163">
        <v>1</v>
      </c>
      <c r="DD14" s="368">
        <v>1</v>
      </c>
      <c r="DE14" s="163">
        <v>1</v>
      </c>
      <c r="DF14" s="368">
        <v>1</v>
      </c>
      <c r="DG14" s="163">
        <v>1</v>
      </c>
      <c r="DH14" s="368">
        <v>1</v>
      </c>
      <c r="DI14" s="163">
        <v>1</v>
      </c>
      <c r="DJ14" s="368">
        <v>1</v>
      </c>
      <c r="DK14" s="163">
        <f>DA14</f>
        <v>1</v>
      </c>
      <c r="DL14" s="163">
        <f t="shared" ref="DL14:DM16" si="0">DI14</f>
        <v>1</v>
      </c>
      <c r="DM14" s="163">
        <f t="shared" si="0"/>
        <v>1</v>
      </c>
      <c r="DN14" s="163">
        <f t="shared" ref="DN14" si="1">+CS14</f>
        <v>1</v>
      </c>
      <c r="DO14" s="163">
        <f>DF14</f>
        <v>1</v>
      </c>
      <c r="DP14" s="163">
        <v>1</v>
      </c>
      <c r="DQ14" s="502"/>
      <c r="DR14" s="502"/>
      <c r="DS14" s="502"/>
      <c r="DT14" s="502"/>
      <c r="DU14" s="502"/>
      <c r="DV14" s="502"/>
      <c r="DW14" s="502"/>
      <c r="DX14" s="502"/>
      <c r="DY14" s="502"/>
      <c r="DZ14" s="502"/>
      <c r="EA14" s="502"/>
      <c r="EB14" s="502"/>
      <c r="EC14" s="502"/>
      <c r="ED14" s="502"/>
      <c r="EE14" s="502"/>
      <c r="EF14" s="502"/>
      <c r="EG14" s="502"/>
      <c r="EH14" s="502"/>
      <c r="EI14" s="494"/>
      <c r="EJ14" s="494"/>
      <c r="EK14" s="494"/>
      <c r="EL14" s="494"/>
      <c r="EM14" s="494"/>
      <c r="EN14" s="494"/>
      <c r="EO14" s="494"/>
      <c r="EP14" s="494"/>
      <c r="EQ14" s="494"/>
      <c r="ER14" s="494"/>
      <c r="ES14" s="494"/>
      <c r="ET14" s="365">
        <f>DJ14/DI14</f>
        <v>1</v>
      </c>
      <c r="EU14" s="365">
        <f>DM14/DL14</f>
        <v>1</v>
      </c>
      <c r="EV14" s="366">
        <f>DO14/DN14</f>
        <v>1</v>
      </c>
      <c r="EW14" s="367">
        <f>+(AC14+BG14+CK14+DM14)/(AB14+BF14+CJ14+DL14)</f>
        <v>1</v>
      </c>
      <c r="EX14" s="367">
        <f>+(AC14+BG14+CK14+DO14)/500%</f>
        <v>0.8</v>
      </c>
      <c r="EY14" s="495" t="s">
        <v>775</v>
      </c>
      <c r="EZ14" s="496" t="s">
        <v>548</v>
      </c>
      <c r="FA14" s="496" t="s">
        <v>548</v>
      </c>
      <c r="FB14" s="497" t="s">
        <v>323</v>
      </c>
      <c r="FC14" s="498" t="s">
        <v>697</v>
      </c>
    </row>
    <row r="15" spans="1:159" s="71" customFormat="1" ht="99.75" customHeight="1">
      <c r="A15" s="489">
        <v>2</v>
      </c>
      <c r="B15" s="489">
        <v>35</v>
      </c>
      <c r="C15" s="489">
        <v>272</v>
      </c>
      <c r="D15" s="497" t="s">
        <v>539</v>
      </c>
      <c r="E15" s="489">
        <v>289</v>
      </c>
      <c r="F15" s="506" t="s">
        <v>262</v>
      </c>
      <c r="G15" s="489" t="s">
        <v>263</v>
      </c>
      <c r="H15" s="164" t="s">
        <v>264</v>
      </c>
      <c r="I15" s="164">
        <v>33.9</v>
      </c>
      <c r="J15" s="163" t="s">
        <v>266</v>
      </c>
      <c r="K15" s="165"/>
      <c r="L15" s="165"/>
      <c r="M15" s="165"/>
      <c r="N15" s="165"/>
      <c r="O15" s="165"/>
      <c r="P15" s="165"/>
      <c r="Q15" s="165"/>
      <c r="R15" s="165"/>
      <c r="S15" s="165"/>
      <c r="T15" s="165"/>
      <c r="U15" s="165"/>
      <c r="V15" s="165"/>
      <c r="W15" s="165"/>
      <c r="X15" s="165" t="s">
        <v>265</v>
      </c>
      <c r="Y15" s="163" t="s">
        <v>266</v>
      </c>
      <c r="Z15" s="163" t="s">
        <v>266</v>
      </c>
      <c r="AA15" s="163" t="s">
        <v>266</v>
      </c>
      <c r="AB15" s="163" t="s">
        <v>266</v>
      </c>
      <c r="AC15" s="163" t="s">
        <v>266</v>
      </c>
      <c r="AD15" s="165">
        <v>37.799999999999997</v>
      </c>
      <c r="AE15" s="165">
        <v>37.799999999999997</v>
      </c>
      <c r="AF15" s="165">
        <v>37</v>
      </c>
      <c r="AG15" s="165">
        <v>37.799999999999997</v>
      </c>
      <c r="AH15" s="165">
        <v>36</v>
      </c>
      <c r="AI15" s="165">
        <v>37.799999999999997</v>
      </c>
      <c r="AJ15" s="165">
        <v>34</v>
      </c>
      <c r="AK15" s="165">
        <v>37.799999999999997</v>
      </c>
      <c r="AL15" s="166">
        <v>34</v>
      </c>
      <c r="AM15" s="165">
        <v>37.799999999999997</v>
      </c>
      <c r="AN15" s="374">
        <v>34.4</v>
      </c>
      <c r="AO15" s="165">
        <v>37.799999999999997</v>
      </c>
      <c r="AP15" s="374">
        <v>34.4</v>
      </c>
      <c r="AQ15" s="165">
        <v>37.799999999999997</v>
      </c>
      <c r="AR15" s="375">
        <v>34.5</v>
      </c>
      <c r="AS15" s="165">
        <v>37.799999999999997</v>
      </c>
      <c r="AT15" s="375">
        <v>34.4</v>
      </c>
      <c r="AU15" s="165">
        <v>37.799999999999997</v>
      </c>
      <c r="AV15" s="375">
        <v>34.4</v>
      </c>
      <c r="AW15" s="165">
        <v>37.799999999999997</v>
      </c>
      <c r="AX15" s="375">
        <v>34.700000000000003</v>
      </c>
      <c r="AY15" s="165">
        <v>37.799999999999997</v>
      </c>
      <c r="AZ15" s="375">
        <v>34.700000000000003</v>
      </c>
      <c r="BA15" s="165">
        <v>37.799999999999997</v>
      </c>
      <c r="BB15" s="375">
        <v>35.4</v>
      </c>
      <c r="BC15" s="376">
        <f>+AD15</f>
        <v>37.799999999999997</v>
      </c>
      <c r="BD15" s="165">
        <v>35.4</v>
      </c>
      <c r="BE15" s="376">
        <f>+BB15</f>
        <v>35.4</v>
      </c>
      <c r="BF15" s="376">
        <f>+AD15</f>
        <v>37.799999999999997</v>
      </c>
      <c r="BG15" s="376">
        <f>+BB15</f>
        <v>35.4</v>
      </c>
      <c r="BH15" s="165">
        <v>36.9</v>
      </c>
      <c r="BI15" s="165">
        <v>36.9</v>
      </c>
      <c r="BJ15" s="165">
        <v>35.799999999999997</v>
      </c>
      <c r="BK15" s="165">
        <v>36.9</v>
      </c>
      <c r="BL15" s="165">
        <v>35.799999999999997</v>
      </c>
      <c r="BM15" s="165">
        <v>36.9</v>
      </c>
      <c r="BN15" s="165">
        <v>35.6</v>
      </c>
      <c r="BO15" s="165">
        <v>36.9</v>
      </c>
      <c r="BP15" s="165">
        <v>35.700000000000003</v>
      </c>
      <c r="BQ15" s="165">
        <v>36.9</v>
      </c>
      <c r="BR15" s="165">
        <v>36.200000000000003</v>
      </c>
      <c r="BS15" s="165">
        <v>36.9</v>
      </c>
      <c r="BT15" s="165">
        <v>36.6</v>
      </c>
      <c r="BU15" s="165">
        <v>36.9</v>
      </c>
      <c r="BV15" s="165">
        <v>37.1</v>
      </c>
      <c r="BW15" s="165">
        <v>36.9</v>
      </c>
      <c r="BX15" s="165">
        <v>37.299999999999997</v>
      </c>
      <c r="BY15" s="165">
        <v>36.9</v>
      </c>
      <c r="BZ15" s="165">
        <v>37.700000000000003</v>
      </c>
      <c r="CA15" s="165">
        <v>36.9</v>
      </c>
      <c r="CB15" s="165">
        <v>37.6</v>
      </c>
      <c r="CC15" s="165">
        <v>36.9</v>
      </c>
      <c r="CD15" s="165">
        <v>37.5</v>
      </c>
      <c r="CE15" s="165">
        <v>36.9</v>
      </c>
      <c r="CF15" s="165">
        <v>37.1</v>
      </c>
      <c r="CG15" s="164">
        <f>BH15</f>
        <v>36.9</v>
      </c>
      <c r="CH15" s="164">
        <f>+CE15</f>
        <v>36.9</v>
      </c>
      <c r="CI15" s="164">
        <f>+CF15</f>
        <v>37.1</v>
      </c>
      <c r="CJ15" s="164">
        <f>+BH15</f>
        <v>36.9</v>
      </c>
      <c r="CK15" s="164">
        <f>+CF15</f>
        <v>37.1</v>
      </c>
      <c r="CL15" s="165">
        <v>34.700000000000003</v>
      </c>
      <c r="CM15" s="165">
        <v>34.700000000000003</v>
      </c>
      <c r="CN15" s="165">
        <v>36.700000000000003</v>
      </c>
      <c r="CO15" s="165">
        <v>34.700000000000003</v>
      </c>
      <c r="CP15" s="165">
        <v>37.200000000000003</v>
      </c>
      <c r="CQ15" s="165">
        <v>34.700000000000003</v>
      </c>
      <c r="CR15" s="165">
        <v>37.5</v>
      </c>
      <c r="CS15" s="165">
        <v>34.700000000000003</v>
      </c>
      <c r="CT15" s="165">
        <v>37.799999999999997</v>
      </c>
      <c r="CU15" s="165">
        <v>34.700000000000003</v>
      </c>
      <c r="CV15" s="503">
        <v>37.700000000000003</v>
      </c>
      <c r="CW15" s="165">
        <v>34.700000000000003</v>
      </c>
      <c r="CX15" s="503">
        <v>36.6</v>
      </c>
      <c r="CY15" s="165">
        <v>34.700000000000003</v>
      </c>
      <c r="CZ15" s="503">
        <v>36</v>
      </c>
      <c r="DA15" s="165">
        <v>34.700000000000003</v>
      </c>
      <c r="DB15" s="503">
        <v>35.700000000000003</v>
      </c>
      <c r="DC15" s="165">
        <v>34.700000000000003</v>
      </c>
      <c r="DD15" s="503">
        <v>35.700000000000003</v>
      </c>
      <c r="DE15" s="165">
        <v>34.700000000000003</v>
      </c>
      <c r="DF15" s="503">
        <v>35.200000000000003</v>
      </c>
      <c r="DG15" s="165">
        <v>34.700000000000003</v>
      </c>
      <c r="DH15" s="503">
        <v>35.299999999999997</v>
      </c>
      <c r="DI15" s="165">
        <v>34.700000000000003</v>
      </c>
      <c r="DJ15" s="503">
        <v>34.9</v>
      </c>
      <c r="DK15" s="164">
        <f>CL15</f>
        <v>34.700000000000003</v>
      </c>
      <c r="DL15" s="164">
        <f t="shared" si="0"/>
        <v>34.700000000000003</v>
      </c>
      <c r="DM15" s="164">
        <f>DJ15</f>
        <v>34.9</v>
      </c>
      <c r="DN15" s="164">
        <f>CL15</f>
        <v>34.700000000000003</v>
      </c>
      <c r="DO15" s="164">
        <f>DJ15</f>
        <v>34.9</v>
      </c>
      <c r="DP15" s="165">
        <v>33.9</v>
      </c>
      <c r="DQ15" s="377"/>
      <c r="DR15" s="377"/>
      <c r="DS15" s="377"/>
      <c r="DT15" s="377"/>
      <c r="DU15" s="377"/>
      <c r="DV15" s="377"/>
      <c r="DW15" s="377"/>
      <c r="DX15" s="377"/>
      <c r="DY15" s="377"/>
      <c r="DZ15" s="377"/>
      <c r="EA15" s="377"/>
      <c r="EB15" s="377"/>
      <c r="EC15" s="377"/>
      <c r="ED15" s="377"/>
      <c r="EE15" s="377"/>
      <c r="EF15" s="377"/>
      <c r="EG15" s="377"/>
      <c r="EH15" s="377"/>
      <c r="EI15" s="377"/>
      <c r="EJ15" s="377"/>
      <c r="EK15" s="377"/>
      <c r="EL15" s="377"/>
      <c r="EM15" s="377"/>
      <c r="EN15" s="377"/>
      <c r="EO15" s="377"/>
      <c r="EP15" s="377"/>
      <c r="EQ15" s="377"/>
      <c r="ER15" s="377"/>
      <c r="ES15" s="377"/>
      <c r="ET15" s="365">
        <f>DJ15/DI15</f>
        <v>1.0057636887608068</v>
      </c>
      <c r="EU15" s="365">
        <f>DM15/DL15</f>
        <v>1.0057636887608068</v>
      </c>
      <c r="EV15" s="365">
        <f>(38.3-DO15)/(38.3-DN15)</f>
        <v>0.94444444444444553</v>
      </c>
      <c r="EW15" s="365">
        <f>(38.3-DM15)/(38.3-DL15)</f>
        <v>0.94444444444444553</v>
      </c>
      <c r="EX15" s="365">
        <f>(38.3-DO15)/(38.3-I15)</f>
        <v>0.77272727272727271</v>
      </c>
      <c r="EY15" s="495" t="s">
        <v>759</v>
      </c>
      <c r="EZ15" s="496" t="s">
        <v>548</v>
      </c>
      <c r="FA15" s="496" t="s">
        <v>548</v>
      </c>
      <c r="FB15" s="497" t="s">
        <v>324</v>
      </c>
      <c r="FC15" s="504" t="s">
        <v>694</v>
      </c>
    </row>
    <row r="16" spans="1:159" s="71" customFormat="1" ht="99.75" customHeight="1">
      <c r="A16" s="489">
        <v>2</v>
      </c>
      <c r="B16" s="489">
        <v>35</v>
      </c>
      <c r="C16" s="489">
        <v>272</v>
      </c>
      <c r="D16" s="497" t="s">
        <v>261</v>
      </c>
      <c r="E16" s="489">
        <v>661</v>
      </c>
      <c r="F16" s="506" t="s">
        <v>561</v>
      </c>
      <c r="G16" s="489" t="s">
        <v>263</v>
      </c>
      <c r="H16" s="164" t="s">
        <v>264</v>
      </c>
      <c r="I16" s="164">
        <v>17.3</v>
      </c>
      <c r="J16" s="163" t="s">
        <v>266</v>
      </c>
      <c r="K16" s="165"/>
      <c r="L16" s="165"/>
      <c r="M16" s="165"/>
      <c r="N16" s="165"/>
      <c r="O16" s="165"/>
      <c r="P16" s="165"/>
      <c r="Q16" s="165"/>
      <c r="R16" s="165"/>
      <c r="S16" s="165"/>
      <c r="T16" s="165"/>
      <c r="U16" s="165"/>
      <c r="V16" s="165"/>
      <c r="W16" s="165"/>
      <c r="X16" s="165" t="s">
        <v>265</v>
      </c>
      <c r="Y16" s="163" t="s">
        <v>266</v>
      </c>
      <c r="Z16" s="163" t="s">
        <v>266</v>
      </c>
      <c r="AA16" s="163" t="s">
        <v>266</v>
      </c>
      <c r="AB16" s="163" t="s">
        <v>266</v>
      </c>
      <c r="AC16" s="163" t="s">
        <v>266</v>
      </c>
      <c r="AD16" s="165">
        <v>19.5</v>
      </c>
      <c r="AE16" s="165">
        <v>19.5</v>
      </c>
      <c r="AF16" s="165">
        <v>16</v>
      </c>
      <c r="AG16" s="165">
        <v>19.5</v>
      </c>
      <c r="AH16" s="165">
        <v>18</v>
      </c>
      <c r="AI16" s="165">
        <v>19.5</v>
      </c>
      <c r="AJ16" s="165">
        <v>17</v>
      </c>
      <c r="AK16" s="165">
        <v>19.5</v>
      </c>
      <c r="AL16" s="166">
        <v>17</v>
      </c>
      <c r="AM16" s="165">
        <v>19.5</v>
      </c>
      <c r="AN16" s="489">
        <v>17</v>
      </c>
      <c r="AO16" s="165">
        <v>19.5</v>
      </c>
      <c r="AP16" s="489">
        <v>17.3</v>
      </c>
      <c r="AQ16" s="165">
        <v>19.5</v>
      </c>
      <c r="AR16" s="505">
        <v>17.3</v>
      </c>
      <c r="AS16" s="165">
        <v>19.5</v>
      </c>
      <c r="AT16" s="491">
        <v>17.5</v>
      </c>
      <c r="AU16" s="165">
        <v>19.5</v>
      </c>
      <c r="AV16" s="491">
        <v>17.600000000000001</v>
      </c>
      <c r="AW16" s="165">
        <v>19.5</v>
      </c>
      <c r="AX16" s="491">
        <v>18.100000000000001</v>
      </c>
      <c r="AY16" s="165">
        <v>19.5</v>
      </c>
      <c r="AZ16" s="491">
        <v>18.100000000000001</v>
      </c>
      <c r="BA16" s="165">
        <v>19.5</v>
      </c>
      <c r="BB16" s="491">
        <v>18.3</v>
      </c>
      <c r="BC16" s="376">
        <f>+AD16</f>
        <v>19.5</v>
      </c>
      <c r="BD16" s="165">
        <v>18.3</v>
      </c>
      <c r="BE16" s="376">
        <f>+BB16</f>
        <v>18.3</v>
      </c>
      <c r="BF16" s="376">
        <f>+AD16</f>
        <v>19.5</v>
      </c>
      <c r="BG16" s="376">
        <f>+BB16</f>
        <v>18.3</v>
      </c>
      <c r="BH16" s="165">
        <v>19</v>
      </c>
      <c r="BI16" s="165">
        <v>19</v>
      </c>
      <c r="BJ16" s="165">
        <v>18.5</v>
      </c>
      <c r="BK16" s="165">
        <v>19</v>
      </c>
      <c r="BL16" s="165">
        <v>18.7</v>
      </c>
      <c r="BM16" s="165">
        <v>19</v>
      </c>
      <c r="BN16" s="165">
        <v>18.5</v>
      </c>
      <c r="BO16" s="165">
        <v>19</v>
      </c>
      <c r="BP16" s="165">
        <v>18.600000000000001</v>
      </c>
      <c r="BQ16" s="165">
        <v>19</v>
      </c>
      <c r="BR16" s="165">
        <v>18.7</v>
      </c>
      <c r="BS16" s="165">
        <v>19</v>
      </c>
      <c r="BT16" s="165">
        <v>18.8</v>
      </c>
      <c r="BU16" s="165">
        <v>19</v>
      </c>
      <c r="BV16" s="165">
        <v>19</v>
      </c>
      <c r="BW16" s="165">
        <v>19</v>
      </c>
      <c r="BX16" s="165">
        <v>19</v>
      </c>
      <c r="BY16" s="165">
        <v>19</v>
      </c>
      <c r="BZ16" s="165">
        <v>19.399999999999999</v>
      </c>
      <c r="CA16" s="165">
        <v>19</v>
      </c>
      <c r="CB16" s="165">
        <v>19.3</v>
      </c>
      <c r="CC16" s="165">
        <v>19</v>
      </c>
      <c r="CD16" s="165">
        <v>19.100000000000001</v>
      </c>
      <c r="CE16" s="165">
        <v>19</v>
      </c>
      <c r="CF16" s="165">
        <v>19.100000000000001</v>
      </c>
      <c r="CG16" s="164">
        <f>BH16</f>
        <v>19</v>
      </c>
      <c r="CH16" s="164">
        <f>+CE16</f>
        <v>19</v>
      </c>
      <c r="CI16" s="164">
        <f>+CF16</f>
        <v>19.100000000000001</v>
      </c>
      <c r="CJ16" s="164">
        <f>+BH16</f>
        <v>19</v>
      </c>
      <c r="CK16" s="164">
        <f>+CF16</f>
        <v>19.100000000000001</v>
      </c>
      <c r="CL16" s="165">
        <v>17.8</v>
      </c>
      <c r="CM16" s="165">
        <v>17.8</v>
      </c>
      <c r="CN16" s="165">
        <v>19.2</v>
      </c>
      <c r="CO16" s="165">
        <v>17.8</v>
      </c>
      <c r="CP16" s="165">
        <v>19.399999999999999</v>
      </c>
      <c r="CQ16" s="165">
        <v>17.8</v>
      </c>
      <c r="CR16" s="165">
        <v>19.7</v>
      </c>
      <c r="CS16" s="165">
        <v>17.8</v>
      </c>
      <c r="CT16" s="165">
        <v>19.8</v>
      </c>
      <c r="CU16" s="165">
        <v>17.8</v>
      </c>
      <c r="CV16" s="503">
        <v>19.7</v>
      </c>
      <c r="CW16" s="165">
        <v>17.8</v>
      </c>
      <c r="CX16" s="503">
        <v>19.3</v>
      </c>
      <c r="CY16" s="165">
        <v>17.8</v>
      </c>
      <c r="CZ16" s="503">
        <v>19</v>
      </c>
      <c r="DA16" s="165">
        <v>17.8</v>
      </c>
      <c r="DB16" s="503">
        <v>18.8</v>
      </c>
      <c r="DC16" s="165">
        <v>17.8</v>
      </c>
      <c r="DD16" s="503">
        <v>18.8</v>
      </c>
      <c r="DE16" s="165">
        <v>17.8</v>
      </c>
      <c r="DF16" s="503">
        <v>18.3</v>
      </c>
      <c r="DG16" s="165">
        <v>17.8</v>
      </c>
      <c r="DH16" s="503">
        <v>18.399999999999999</v>
      </c>
      <c r="DI16" s="165">
        <v>17.8</v>
      </c>
      <c r="DJ16" s="503">
        <v>17.899999999999999</v>
      </c>
      <c r="DK16" s="164">
        <f>CL16</f>
        <v>17.8</v>
      </c>
      <c r="DL16" s="164">
        <f t="shared" si="0"/>
        <v>17.8</v>
      </c>
      <c r="DM16" s="164">
        <f t="shared" si="0"/>
        <v>17.899999999999999</v>
      </c>
      <c r="DN16" s="164">
        <f>CL16</f>
        <v>17.8</v>
      </c>
      <c r="DO16" s="164">
        <f>DJ16</f>
        <v>17.899999999999999</v>
      </c>
      <c r="DP16" s="165">
        <v>17.3</v>
      </c>
      <c r="DQ16" s="491"/>
      <c r="DR16" s="491"/>
      <c r="DS16" s="491"/>
      <c r="DT16" s="491"/>
      <c r="DU16" s="491"/>
      <c r="DV16" s="491"/>
      <c r="DW16" s="491"/>
      <c r="DX16" s="491"/>
      <c r="DY16" s="491"/>
      <c r="DZ16" s="491"/>
      <c r="EA16" s="491"/>
      <c r="EB16" s="491"/>
      <c r="EC16" s="491"/>
      <c r="ED16" s="491"/>
      <c r="EE16" s="491"/>
      <c r="EF16" s="491"/>
      <c r="EG16" s="491"/>
      <c r="EH16" s="491"/>
      <c r="EI16" s="491"/>
      <c r="EJ16" s="491"/>
      <c r="EK16" s="491"/>
      <c r="EL16" s="491"/>
      <c r="EM16" s="491"/>
      <c r="EN16" s="491"/>
      <c r="EO16" s="491"/>
      <c r="EP16" s="491"/>
      <c r="EQ16" s="491"/>
      <c r="ER16" s="491"/>
      <c r="ES16" s="491"/>
      <c r="ET16" s="365">
        <f>DJ16/DI16</f>
        <v>1.0056179775280898</v>
      </c>
      <c r="EU16" s="365">
        <f>DM16/DL16</f>
        <v>1.0056179775280898</v>
      </c>
      <c r="EV16" s="365">
        <f>(19.7-DO16)/(19.7-DN16)</f>
        <v>0.94736842105263264</v>
      </c>
      <c r="EW16" s="365">
        <f>(19.7-DM16)/(19.7-DL16)</f>
        <v>0.94736842105263264</v>
      </c>
      <c r="EX16" s="365">
        <f>(19.7-DO16)/(19.7-I16)</f>
        <v>0.75000000000000078</v>
      </c>
      <c r="EY16" s="495" t="s">
        <v>760</v>
      </c>
      <c r="EZ16" s="496" t="s">
        <v>548</v>
      </c>
      <c r="FA16" s="496" t="s">
        <v>548</v>
      </c>
      <c r="FB16" s="497" t="s">
        <v>324</v>
      </c>
      <c r="FC16" s="504" t="s">
        <v>694</v>
      </c>
    </row>
    <row r="17" spans="1:159" s="71" customFormat="1" ht="48" customHeight="1">
      <c r="A17" s="151"/>
      <c r="B17" s="151"/>
      <c r="C17" s="151"/>
      <c r="D17" s="152"/>
      <c r="E17" s="151"/>
      <c r="F17" s="152"/>
      <c r="G17" s="151"/>
      <c r="H17" s="153"/>
      <c r="I17" s="153"/>
      <c r="J17" s="154"/>
      <c r="K17" s="155"/>
      <c r="L17" s="155"/>
      <c r="M17" s="155"/>
      <c r="N17" s="155"/>
      <c r="O17" s="155"/>
      <c r="P17" s="155"/>
      <c r="Q17" s="155"/>
      <c r="R17" s="155"/>
      <c r="S17" s="155"/>
      <c r="T17" s="155"/>
      <c r="U17" s="155"/>
      <c r="V17" s="155"/>
      <c r="W17" s="155"/>
      <c r="X17" s="155"/>
      <c r="Y17" s="154"/>
      <c r="Z17" s="154"/>
      <c r="AA17" s="154"/>
      <c r="AB17" s="154"/>
      <c r="AC17" s="154"/>
      <c r="AD17" s="155"/>
      <c r="AE17" s="155"/>
      <c r="AF17" s="155"/>
      <c r="AG17" s="155"/>
      <c r="AH17" s="155"/>
      <c r="AI17" s="155"/>
      <c r="AJ17" s="155"/>
      <c r="AK17" s="155"/>
      <c r="AL17" s="156"/>
      <c r="AM17" s="155"/>
      <c r="AN17" s="151"/>
      <c r="AO17" s="155"/>
      <c r="AP17" s="151"/>
      <c r="AQ17" s="155"/>
      <c r="AR17" s="157"/>
      <c r="AS17" s="155"/>
      <c r="AU17" s="155"/>
      <c r="AW17" s="155"/>
      <c r="AY17" s="155"/>
      <c r="BA17" s="155"/>
      <c r="BC17" s="414"/>
      <c r="BD17" s="155"/>
      <c r="BE17" s="414"/>
      <c r="BF17" s="414"/>
      <c r="BG17" s="414"/>
      <c r="BH17" s="155"/>
      <c r="BI17" s="155"/>
      <c r="BJ17" s="155"/>
      <c r="BK17" s="155"/>
      <c r="BL17" s="155"/>
      <c r="BM17" s="155"/>
      <c r="BN17" s="155"/>
      <c r="BO17" s="155"/>
      <c r="BP17" s="155"/>
      <c r="BQ17" s="155"/>
      <c r="BR17" s="155"/>
      <c r="BS17" s="155"/>
      <c r="BT17" s="155"/>
      <c r="BU17" s="155"/>
      <c r="BV17" s="155"/>
      <c r="BW17" s="155"/>
      <c r="BX17" s="155"/>
      <c r="BY17" s="155"/>
      <c r="BZ17" s="155"/>
      <c r="CA17" s="155"/>
      <c r="CB17" s="155"/>
      <c r="CC17" s="155"/>
      <c r="CD17" s="155"/>
      <c r="CE17" s="155"/>
      <c r="CF17" s="155"/>
      <c r="CG17" s="153"/>
      <c r="CH17" s="153"/>
      <c r="CI17" s="153"/>
      <c r="CJ17" s="153"/>
      <c r="CK17" s="153"/>
      <c r="CL17" s="155"/>
      <c r="CM17" s="155"/>
      <c r="CN17" s="155"/>
      <c r="CO17" s="155"/>
      <c r="CP17" s="155"/>
      <c r="CQ17" s="155"/>
      <c r="CR17" s="155"/>
      <c r="CS17" s="155"/>
      <c r="CT17" s="155"/>
      <c r="CU17" s="155"/>
      <c r="CV17" s="155"/>
      <c r="CW17" s="155"/>
      <c r="CX17" s="155"/>
      <c r="CY17" s="155"/>
      <c r="CZ17" s="155"/>
      <c r="DA17" s="155"/>
      <c r="DB17" s="155"/>
      <c r="DC17" s="155"/>
      <c r="DD17" s="155"/>
      <c r="DE17" s="155"/>
      <c r="DF17" s="155"/>
      <c r="DG17" s="155"/>
      <c r="DH17" s="155"/>
      <c r="DI17" s="155"/>
      <c r="DJ17" s="155"/>
      <c r="DK17" s="153"/>
      <c r="DL17" s="153"/>
      <c r="DM17" s="153"/>
      <c r="DN17" s="153"/>
      <c r="DO17" s="153"/>
      <c r="DP17" s="155"/>
      <c r="ET17" s="415"/>
      <c r="EU17" s="415"/>
      <c r="EV17" s="416"/>
      <c r="EW17" s="417"/>
      <c r="EX17" s="417"/>
      <c r="EY17" s="158"/>
      <c r="EZ17" s="152"/>
      <c r="FA17" s="152"/>
      <c r="FB17" s="152"/>
      <c r="FC17" s="159"/>
    </row>
    <row r="18" spans="1:159" s="26" customFormat="1" ht="48" customHeight="1">
      <c r="A18" s="51"/>
      <c r="B18" s="51"/>
      <c r="C18" s="52"/>
      <c r="D18" s="53"/>
      <c r="F18" s="54"/>
      <c r="G18" s="55"/>
      <c r="H18" s="418"/>
      <c r="I18" s="52"/>
      <c r="J18" s="52"/>
      <c r="K18" s="52"/>
      <c r="L18" s="52"/>
      <c r="M18" s="52"/>
      <c r="N18" s="52"/>
      <c r="O18" s="52"/>
      <c r="P18" s="52"/>
      <c r="Q18" s="52"/>
      <c r="R18" s="52"/>
      <c r="S18" s="52"/>
      <c r="T18" s="52"/>
      <c r="U18" s="52"/>
      <c r="V18" s="56"/>
      <c r="W18" s="52"/>
      <c r="X18" s="56"/>
      <c r="Y18" s="52"/>
      <c r="Z18" s="52"/>
      <c r="AA18" s="52"/>
      <c r="AB18" s="52"/>
      <c r="AC18" s="56"/>
      <c r="AD18" s="52"/>
      <c r="AE18" s="52"/>
      <c r="AF18" s="52"/>
      <c r="AG18" s="52"/>
      <c r="AH18" s="52"/>
      <c r="AI18" s="52"/>
      <c r="AJ18" s="52"/>
      <c r="AK18" s="52"/>
      <c r="AL18" s="52"/>
      <c r="AM18" s="52"/>
      <c r="AN18" s="52"/>
      <c r="AO18" s="52"/>
      <c r="AP18" s="52"/>
      <c r="AQ18" s="52"/>
      <c r="AR18" s="52"/>
      <c r="AS18" s="52"/>
      <c r="AT18" s="52"/>
      <c r="AU18" s="52"/>
      <c r="AV18" s="52"/>
      <c r="AW18" s="52"/>
      <c r="AX18" s="52"/>
      <c r="AY18" s="52"/>
      <c r="AZ18" s="52"/>
      <c r="BA18" s="52"/>
      <c r="BB18" s="52"/>
      <c r="BC18" s="62"/>
      <c r="BD18" s="62"/>
      <c r="BE18" s="62"/>
      <c r="BF18" s="62"/>
      <c r="BG18" s="56"/>
      <c r="BH18" s="63"/>
      <c r="BI18" s="56"/>
      <c r="BJ18" s="56"/>
      <c r="BK18" s="56"/>
      <c r="BL18" s="56"/>
      <c r="BM18" s="56"/>
      <c r="BN18" s="56"/>
      <c r="BO18" s="56"/>
      <c r="BP18" s="56"/>
      <c r="BQ18" s="56"/>
      <c r="BR18" s="56"/>
      <c r="BS18" s="56"/>
      <c r="BT18" s="56"/>
      <c r="BU18" s="56"/>
      <c r="BV18" s="56"/>
      <c r="BW18" s="56"/>
      <c r="BX18" s="56"/>
      <c r="BY18" s="56"/>
      <c r="BZ18" s="56"/>
      <c r="CA18" s="56"/>
      <c r="CB18" s="56"/>
      <c r="CC18" s="56"/>
      <c r="CD18" s="56"/>
      <c r="CE18" s="56"/>
      <c r="CF18" s="56"/>
      <c r="CG18" s="56"/>
      <c r="CH18" s="56"/>
      <c r="CI18" s="56"/>
      <c r="CJ18" s="56"/>
      <c r="CK18" s="56"/>
      <c r="CL18" s="57"/>
      <c r="CM18" s="52"/>
      <c r="CN18" s="52"/>
      <c r="CO18" s="52"/>
      <c r="CP18" s="52"/>
      <c r="CQ18" s="52"/>
      <c r="CR18" s="52"/>
      <c r="CS18" s="52"/>
      <c r="CT18" s="52"/>
      <c r="CU18" s="52"/>
      <c r="CV18" s="52"/>
      <c r="CW18" s="52"/>
      <c r="CX18" s="52"/>
      <c r="CY18" s="52"/>
      <c r="CZ18" s="52"/>
      <c r="DA18" s="52"/>
      <c r="DB18" s="52"/>
      <c r="DC18" s="52"/>
      <c r="DD18" s="52"/>
      <c r="DE18" s="52"/>
      <c r="DF18" s="52"/>
      <c r="DG18" s="52"/>
      <c r="DH18" s="52"/>
      <c r="DI18" s="52"/>
      <c r="DJ18" s="52"/>
      <c r="DK18" s="52"/>
      <c r="DL18" s="52"/>
      <c r="DM18" s="465"/>
      <c r="DN18" s="52"/>
      <c r="DO18" s="52"/>
      <c r="DP18" s="57"/>
      <c r="DQ18" s="52"/>
      <c r="DR18" s="52"/>
      <c r="DS18" s="52"/>
      <c r="DT18" s="52"/>
      <c r="DU18" s="52"/>
      <c r="DV18" s="52"/>
      <c r="DW18" s="52"/>
      <c r="DX18" s="52"/>
      <c r="DY18" s="52"/>
      <c r="DZ18" s="52"/>
      <c r="EA18" s="52"/>
      <c r="EB18" s="52"/>
      <c r="EC18" s="52"/>
      <c r="ED18" s="52"/>
      <c r="EE18" s="52"/>
      <c r="EF18" s="52"/>
      <c r="EG18" s="52"/>
      <c r="EH18" s="52"/>
      <c r="EI18" s="52"/>
      <c r="EJ18" s="52"/>
      <c r="EK18" s="52"/>
      <c r="EL18" s="52"/>
      <c r="EM18" s="52"/>
      <c r="EN18" s="52"/>
      <c r="EO18" s="52"/>
      <c r="EP18" s="52"/>
      <c r="EQ18" s="52"/>
      <c r="ER18" s="52"/>
      <c r="ES18" s="52"/>
      <c r="ET18" s="419"/>
      <c r="EU18" s="419"/>
      <c r="EV18" s="420"/>
      <c r="EW18" s="421"/>
      <c r="EX18" s="421"/>
      <c r="EY18" s="58"/>
      <c r="EZ18" s="59"/>
      <c r="FA18" s="59"/>
      <c r="FB18" s="60"/>
      <c r="FC18" s="61"/>
    </row>
    <row r="19" spans="1:159" s="6" customFormat="1" ht="48" customHeight="1">
      <c r="A19" s="8"/>
      <c r="B19" s="22" t="s">
        <v>34</v>
      </c>
      <c r="C19" s="20"/>
      <c r="D19" s="20"/>
      <c r="E19" s="21"/>
      <c r="F19" s="39"/>
      <c r="G19" s="21"/>
      <c r="H19" s="21"/>
      <c r="I19" s="21"/>
      <c r="J19" s="21"/>
      <c r="K19" s="21"/>
      <c r="L19" s="21"/>
      <c r="M19" s="21"/>
      <c r="N19" s="21"/>
      <c r="O19" s="21"/>
      <c r="P19" s="21"/>
      <c r="Q19" s="9"/>
      <c r="R19" s="9"/>
      <c r="S19" s="9"/>
      <c r="T19" s="9"/>
      <c r="U19" s="9"/>
      <c r="V19" s="34"/>
      <c r="W19" s="8"/>
      <c r="X19" s="8"/>
      <c r="BF19" s="150"/>
      <c r="BG19" s="147"/>
    </row>
    <row r="20" spans="1:159" s="6" customFormat="1" ht="48" customHeight="1">
      <c r="B20" s="134" t="s">
        <v>35</v>
      </c>
      <c r="C20" s="569" t="s">
        <v>36</v>
      </c>
      <c r="D20" s="570"/>
      <c r="E20" s="570"/>
      <c r="F20" s="570"/>
      <c r="G20" s="570"/>
      <c r="H20" s="570"/>
      <c r="I20" s="571"/>
      <c r="J20" s="572" t="s">
        <v>37</v>
      </c>
      <c r="K20" s="573"/>
      <c r="L20" s="573"/>
      <c r="M20" s="573"/>
      <c r="N20" s="573"/>
      <c r="O20" s="573"/>
      <c r="P20" s="574"/>
      <c r="Q20" s="9"/>
      <c r="R20" s="9"/>
      <c r="S20" s="9"/>
      <c r="T20" s="9"/>
      <c r="U20" s="9"/>
      <c r="V20" s="34"/>
      <c r="W20" s="8"/>
      <c r="X20" s="8"/>
      <c r="BF20" s="150"/>
      <c r="BG20" s="147"/>
      <c r="CF20" s="422"/>
    </row>
    <row r="21" spans="1:159" s="6" customFormat="1" ht="48" customHeight="1">
      <c r="A21" s="8"/>
      <c r="B21" s="135">
        <v>13</v>
      </c>
      <c r="C21" s="565" t="s">
        <v>89</v>
      </c>
      <c r="D21" s="565"/>
      <c r="E21" s="565"/>
      <c r="F21" s="565"/>
      <c r="G21" s="565"/>
      <c r="H21" s="565"/>
      <c r="I21" s="565"/>
      <c r="J21" s="565" t="s">
        <v>80</v>
      </c>
      <c r="K21" s="565"/>
      <c r="L21" s="565"/>
      <c r="M21" s="565"/>
      <c r="N21" s="565"/>
      <c r="O21" s="565"/>
      <c r="P21" s="565"/>
      <c r="Q21" s="9"/>
      <c r="R21" s="9"/>
      <c r="S21" s="9"/>
      <c r="T21" s="9"/>
      <c r="U21" s="9"/>
      <c r="V21" s="34"/>
      <c r="W21" s="8"/>
      <c r="X21" s="8"/>
      <c r="CF21" s="422"/>
    </row>
    <row r="22" spans="1:159" s="6" customFormat="1" ht="48" customHeight="1">
      <c r="A22" s="8"/>
      <c r="B22" s="135">
        <v>14</v>
      </c>
      <c r="C22" s="565" t="s">
        <v>247</v>
      </c>
      <c r="D22" s="565"/>
      <c r="E22" s="565"/>
      <c r="F22" s="565"/>
      <c r="G22" s="565"/>
      <c r="H22" s="565"/>
      <c r="I22" s="565"/>
      <c r="J22" s="566" t="s">
        <v>509</v>
      </c>
      <c r="K22" s="566"/>
      <c r="L22" s="566"/>
      <c r="M22" s="566"/>
      <c r="N22" s="566"/>
      <c r="O22" s="566"/>
      <c r="P22" s="566"/>
      <c r="Q22" s="9"/>
      <c r="R22" s="9"/>
      <c r="S22" s="9"/>
      <c r="T22" s="9"/>
      <c r="U22" s="9"/>
      <c r="V22" s="34"/>
      <c r="W22" s="8"/>
      <c r="X22" s="8"/>
    </row>
    <row r="23" spans="1:159" ht="48" customHeight="1">
      <c r="AC23" s="48"/>
    </row>
    <row r="24" spans="1:159" ht="48" customHeight="1">
      <c r="AB24" s="48"/>
    </row>
  </sheetData>
  <sheetProtection formatCells="0" formatColumns="0" formatRows="0" insertHyperlinks="0" sort="0" autoFilter="0" pivotTables="0"/>
  <mergeCells count="37">
    <mergeCell ref="A4:F4"/>
    <mergeCell ref="G4:FC4"/>
    <mergeCell ref="A1:F3"/>
    <mergeCell ref="G1:FC1"/>
    <mergeCell ref="G2:FC2"/>
    <mergeCell ref="G3:ES3"/>
    <mergeCell ref="ET3:FC3"/>
    <mergeCell ref="A5:F5"/>
    <mergeCell ref="G5:FC5"/>
    <mergeCell ref="A6:F6"/>
    <mergeCell ref="G6:FC6"/>
    <mergeCell ref="A7:F7"/>
    <mergeCell ref="G7:FC7"/>
    <mergeCell ref="FC9:FC11"/>
    <mergeCell ref="A9:I9"/>
    <mergeCell ref="J9:ES9"/>
    <mergeCell ref="ET9:ET11"/>
    <mergeCell ref="EU9:EU11"/>
    <mergeCell ref="EV9:EV11"/>
    <mergeCell ref="EW9:EW11"/>
    <mergeCell ref="A10:I10"/>
    <mergeCell ref="J10:AC10"/>
    <mergeCell ref="AD10:BG10"/>
    <mergeCell ref="BH10:CK10"/>
    <mergeCell ref="EX9:EX11"/>
    <mergeCell ref="EY9:EY11"/>
    <mergeCell ref="EZ9:EZ11"/>
    <mergeCell ref="FA9:FA11"/>
    <mergeCell ref="FB9:FB11"/>
    <mergeCell ref="C22:I22"/>
    <mergeCell ref="J22:P22"/>
    <mergeCell ref="CL10:DO10"/>
    <mergeCell ref="DP10:ES10"/>
    <mergeCell ref="C20:I20"/>
    <mergeCell ref="J20:P20"/>
    <mergeCell ref="C21:I21"/>
    <mergeCell ref="J21:P21"/>
  </mergeCells>
  <dataValidations count="3">
    <dataValidation type="textLength" operator="lessThanOrEqual" showInputMessage="1" showErrorMessage="1" sqref="EZ12:FA16" xr:uid="{00000000-0002-0000-0000-000000000000}">
      <formula1>500</formula1>
    </dataValidation>
    <dataValidation type="textLength" operator="lessThanOrEqual" showInputMessage="1" showErrorMessage="1" sqref="EY12:EY16" xr:uid="{00000000-0002-0000-0000-000001000000}">
      <formula1>3000</formula1>
    </dataValidation>
    <dataValidation type="list" allowBlank="1" showInputMessage="1" showErrorMessage="1" sqref="H12:H17" xr:uid="{00000000-0002-0000-0000-000002000000}">
      <formula1>#REF!</formula1>
    </dataValidation>
  </dataValidations>
  <hyperlinks>
    <hyperlink ref="FC15" r:id="rId1" display="http://rmcab.ambientebogota.gov.co" xr:uid="{00000000-0004-0000-0000-000000000000}"/>
    <hyperlink ref="FC12" r:id="rId2" display="https://drive.google.com/drive/folders/1JV0NJ5GHWYIOwH7O1D4dLZZ-_q03dcCo" xr:uid="{00000000-0004-0000-0000-000001000000}"/>
    <hyperlink ref="FC13" r:id="rId3" display="https://drive.google.com/drive/folders/1JV0NJ5GHWYIOwH7O1D4dLZZ-_q03dcCo" xr:uid="{00000000-0004-0000-0000-000002000000}"/>
    <hyperlink ref="FC14" r:id="rId4" display="https://drive.google.com/drive/folders/1JV0NJ5GHWYIOwH7O1D4dLZZ-_q03dcCo" xr:uid="{00000000-0004-0000-0000-000003000000}"/>
    <hyperlink ref="FC16" r:id="rId5" display="http://rmcab.ambientebogota.gov.co" xr:uid="{00000000-0004-0000-0000-000004000000}"/>
  </hyperlinks>
  <pageMargins left="0.7" right="0.7" top="0.75" bottom="0.75" header="0.3" footer="0.3"/>
  <pageSetup orientation="portrait" r:id="rId6"/>
  <drawing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C80"/>
  <sheetViews>
    <sheetView showGridLines="0" zoomScale="57" zoomScaleNormal="57" zoomScaleSheetLayoutView="40" zoomScalePageLayoutView="73" workbookViewId="0">
      <selection activeCell="G61" sqref="G61"/>
    </sheetView>
  </sheetViews>
  <sheetFormatPr baseColWidth="10" defaultColWidth="10.7109375" defaultRowHeight="48" customHeight="1"/>
  <cols>
    <col min="1" max="1" width="8.85546875" style="140" customWidth="1"/>
    <col min="2" max="2" width="4" style="140" customWidth="1"/>
    <col min="3" max="3" width="21.140625" style="140" customWidth="1"/>
    <col min="4" max="4" width="7.28515625" style="4" customWidth="1"/>
    <col min="5" max="5" width="11.42578125" style="4" customWidth="1"/>
    <col min="6" max="6" width="11.42578125" style="13" customWidth="1"/>
    <col min="7" max="7" width="21.42578125" style="5" customWidth="1"/>
    <col min="8" max="8" width="15.42578125" style="5" hidden="1" customWidth="1"/>
    <col min="9" max="25" width="12.140625" style="5" hidden="1" customWidth="1"/>
    <col min="26" max="27" width="21.85546875" style="5" customWidth="1"/>
    <col min="28" max="28" width="20.7109375" style="5" hidden="1" customWidth="1"/>
    <col min="29" max="51" width="24.140625" style="5" hidden="1" customWidth="1"/>
    <col min="52" max="52" width="21.42578125" style="5" hidden="1" customWidth="1"/>
    <col min="53" max="55" width="20.7109375" style="5" hidden="1" customWidth="1"/>
    <col min="56" max="57" width="21.85546875" style="5" customWidth="1"/>
    <col min="58" max="58" width="21.7109375" style="5" hidden="1" customWidth="1"/>
    <col min="59" max="85" width="20.7109375" style="5" hidden="1" customWidth="1"/>
    <col min="86" max="88" width="25.7109375" style="5" customWidth="1"/>
    <col min="89" max="92" width="17.7109375" style="5" customWidth="1"/>
    <col min="93" max="108" width="18" style="5" customWidth="1"/>
    <col min="109" max="109" width="16.42578125" style="5" customWidth="1"/>
    <col min="110" max="110" width="17" style="5" customWidth="1"/>
    <col min="111" max="111" width="18.28515625" style="5" customWidth="1"/>
    <col min="112" max="113" width="21.85546875" style="5" customWidth="1"/>
    <col min="114" max="117" width="25.140625" style="5" customWidth="1"/>
    <col min="118" max="118" width="20.140625" style="5" customWidth="1"/>
    <col min="119" max="142" width="27.28515625" style="5" hidden="1" customWidth="1"/>
    <col min="143" max="147" width="15.7109375" style="5" hidden="1" customWidth="1"/>
    <col min="148" max="149" width="19.28515625" style="10" customWidth="1"/>
    <col min="150" max="151" width="19.28515625" customWidth="1"/>
    <col min="152" max="152" width="13.7109375" customWidth="1"/>
    <col min="153" max="153" width="42.5703125" style="131" customWidth="1"/>
    <col min="154" max="155" width="21.7109375" customWidth="1"/>
    <col min="156" max="156" width="38.42578125" customWidth="1"/>
    <col min="157" max="157" width="42.7109375" customWidth="1"/>
    <col min="158" max="158" width="6" bestFit="1" customWidth="1"/>
    <col min="159" max="160" width="10.7109375" customWidth="1"/>
  </cols>
  <sheetData>
    <row r="1" spans="1:159" s="74" customFormat="1" ht="24.75" customHeight="1">
      <c r="A1" s="630"/>
      <c r="B1" s="631"/>
      <c r="C1" s="631"/>
      <c r="D1" s="631"/>
      <c r="E1" s="631"/>
      <c r="F1" s="640" t="s">
        <v>38</v>
      </c>
      <c r="G1" s="640"/>
      <c r="H1" s="640"/>
      <c r="I1" s="640"/>
      <c r="J1" s="640"/>
      <c r="K1" s="640"/>
      <c r="L1" s="640"/>
      <c r="M1" s="640"/>
      <c r="N1" s="640"/>
      <c r="O1" s="640"/>
      <c r="P1" s="640"/>
      <c r="Q1" s="640"/>
      <c r="R1" s="640"/>
      <c r="S1" s="640"/>
      <c r="T1" s="640"/>
      <c r="U1" s="640"/>
      <c r="V1" s="640"/>
      <c r="W1" s="640"/>
      <c r="X1" s="640"/>
      <c r="Y1" s="640"/>
      <c r="Z1" s="640"/>
      <c r="AA1" s="640"/>
      <c r="AB1" s="640"/>
      <c r="AC1" s="640"/>
      <c r="AD1" s="640"/>
      <c r="AE1" s="640"/>
      <c r="AF1" s="640"/>
      <c r="AG1" s="640"/>
      <c r="AH1" s="640"/>
      <c r="AI1" s="640"/>
      <c r="AJ1" s="640"/>
      <c r="AK1" s="640"/>
      <c r="AL1" s="640"/>
      <c r="AM1" s="640"/>
      <c r="AN1" s="640"/>
      <c r="AO1" s="640"/>
      <c r="AP1" s="640"/>
      <c r="AQ1" s="640"/>
      <c r="AR1" s="640"/>
      <c r="AS1" s="640"/>
      <c r="AT1" s="640"/>
      <c r="AU1" s="640"/>
      <c r="AV1" s="640"/>
      <c r="AW1" s="640"/>
      <c r="AX1" s="640"/>
      <c r="AY1" s="640"/>
      <c r="AZ1" s="640"/>
      <c r="BA1" s="640"/>
      <c r="BB1" s="640"/>
      <c r="BC1" s="640"/>
      <c r="BD1" s="640"/>
      <c r="BE1" s="640"/>
      <c r="BF1" s="640"/>
      <c r="BG1" s="640"/>
      <c r="BH1" s="640"/>
      <c r="BI1" s="640"/>
      <c r="BJ1" s="640"/>
      <c r="BK1" s="640"/>
      <c r="BL1" s="640"/>
      <c r="BM1" s="640"/>
      <c r="BN1" s="640"/>
      <c r="BO1" s="640"/>
      <c r="BP1" s="640"/>
      <c r="BQ1" s="640"/>
      <c r="BR1" s="640"/>
      <c r="BS1" s="640"/>
      <c r="BT1" s="640"/>
      <c r="BU1" s="640"/>
      <c r="BV1" s="640"/>
      <c r="BW1" s="640"/>
      <c r="BX1" s="640"/>
      <c r="BY1" s="640"/>
      <c r="BZ1" s="640"/>
      <c r="CA1" s="640"/>
      <c r="CB1" s="640"/>
      <c r="CC1" s="640"/>
      <c r="CD1" s="640"/>
      <c r="CE1" s="640"/>
      <c r="CF1" s="640"/>
      <c r="CG1" s="640"/>
      <c r="CH1" s="640"/>
      <c r="CI1" s="640"/>
      <c r="CJ1" s="640"/>
      <c r="CK1" s="640"/>
      <c r="CL1" s="640"/>
      <c r="CM1" s="640"/>
      <c r="CN1" s="640"/>
      <c r="CO1" s="640"/>
      <c r="CP1" s="640"/>
      <c r="CQ1" s="640"/>
      <c r="CR1" s="640"/>
      <c r="CS1" s="640"/>
      <c r="CT1" s="640"/>
      <c r="CU1" s="640"/>
      <c r="CV1" s="640"/>
      <c r="CW1" s="640"/>
      <c r="CX1" s="640"/>
      <c r="CY1" s="640"/>
      <c r="CZ1" s="640"/>
      <c r="DA1" s="640"/>
      <c r="DB1" s="640"/>
      <c r="DC1" s="640"/>
      <c r="DD1" s="640"/>
      <c r="DE1" s="640"/>
      <c r="DF1" s="640"/>
      <c r="DG1" s="640"/>
      <c r="DH1" s="640"/>
      <c r="DI1" s="640"/>
      <c r="DJ1" s="640"/>
      <c r="DK1" s="640"/>
      <c r="DL1" s="640"/>
      <c r="DM1" s="640"/>
      <c r="DN1" s="640"/>
      <c r="DO1" s="640"/>
      <c r="DP1" s="640"/>
      <c r="DQ1" s="640"/>
      <c r="DR1" s="640"/>
      <c r="DS1" s="640"/>
      <c r="DT1" s="640"/>
      <c r="DU1" s="640"/>
      <c r="DV1" s="640"/>
      <c r="DW1" s="640"/>
      <c r="DX1" s="640"/>
      <c r="DY1" s="640"/>
      <c r="DZ1" s="640"/>
      <c r="EA1" s="640"/>
      <c r="EB1" s="640"/>
      <c r="EC1" s="640"/>
      <c r="ED1" s="640"/>
      <c r="EE1" s="640"/>
      <c r="EF1" s="640"/>
      <c r="EG1" s="640"/>
      <c r="EH1" s="640"/>
      <c r="EI1" s="640"/>
      <c r="EJ1" s="640"/>
      <c r="EK1" s="640"/>
      <c r="EL1" s="640"/>
      <c r="EM1" s="640"/>
      <c r="EN1" s="640"/>
      <c r="EO1" s="640"/>
      <c r="EP1" s="640"/>
      <c r="EQ1" s="640"/>
      <c r="ER1" s="640"/>
      <c r="ES1" s="640"/>
      <c r="ET1" s="640"/>
      <c r="EU1" s="640"/>
      <c r="EV1" s="640"/>
      <c r="EW1" s="640"/>
      <c r="EX1" s="640"/>
      <c r="EY1" s="640"/>
      <c r="EZ1" s="640"/>
      <c r="FA1" s="641"/>
    </row>
    <row r="2" spans="1:159" s="74" customFormat="1" ht="33" customHeight="1">
      <c r="A2" s="632"/>
      <c r="B2" s="633"/>
      <c r="C2" s="633"/>
      <c r="D2" s="633"/>
      <c r="E2" s="633"/>
      <c r="F2" s="642" t="s">
        <v>244</v>
      </c>
      <c r="G2" s="642"/>
      <c r="H2" s="642"/>
      <c r="I2" s="642"/>
      <c r="J2" s="642"/>
      <c r="K2" s="642"/>
      <c r="L2" s="642"/>
      <c r="M2" s="642"/>
      <c r="N2" s="642"/>
      <c r="O2" s="642"/>
      <c r="P2" s="642"/>
      <c r="Q2" s="642"/>
      <c r="R2" s="642"/>
      <c r="S2" s="642"/>
      <c r="T2" s="642"/>
      <c r="U2" s="642"/>
      <c r="V2" s="642"/>
      <c r="W2" s="642"/>
      <c r="X2" s="642"/>
      <c r="Y2" s="642"/>
      <c r="Z2" s="642"/>
      <c r="AA2" s="642"/>
      <c r="AB2" s="642"/>
      <c r="AC2" s="642"/>
      <c r="AD2" s="642"/>
      <c r="AE2" s="642"/>
      <c r="AF2" s="642"/>
      <c r="AG2" s="642"/>
      <c r="AH2" s="642"/>
      <c r="AI2" s="642"/>
      <c r="AJ2" s="642"/>
      <c r="AK2" s="642"/>
      <c r="AL2" s="642"/>
      <c r="AM2" s="642"/>
      <c r="AN2" s="642"/>
      <c r="AO2" s="642"/>
      <c r="AP2" s="642"/>
      <c r="AQ2" s="642"/>
      <c r="AR2" s="642"/>
      <c r="AS2" s="642"/>
      <c r="AT2" s="642"/>
      <c r="AU2" s="642"/>
      <c r="AV2" s="642"/>
      <c r="AW2" s="642"/>
      <c r="AX2" s="642"/>
      <c r="AY2" s="642"/>
      <c r="AZ2" s="642"/>
      <c r="BA2" s="642"/>
      <c r="BB2" s="642"/>
      <c r="BC2" s="642"/>
      <c r="BD2" s="642"/>
      <c r="BE2" s="642"/>
      <c r="BF2" s="642"/>
      <c r="BG2" s="642"/>
      <c r="BH2" s="642"/>
      <c r="BI2" s="642"/>
      <c r="BJ2" s="642"/>
      <c r="BK2" s="642"/>
      <c r="BL2" s="642"/>
      <c r="BM2" s="642"/>
      <c r="BN2" s="642"/>
      <c r="BO2" s="642"/>
      <c r="BP2" s="642"/>
      <c r="BQ2" s="642"/>
      <c r="BR2" s="642"/>
      <c r="BS2" s="642"/>
      <c r="BT2" s="642"/>
      <c r="BU2" s="642"/>
      <c r="BV2" s="642"/>
      <c r="BW2" s="642"/>
      <c r="BX2" s="642"/>
      <c r="BY2" s="642"/>
      <c r="BZ2" s="642"/>
      <c r="CA2" s="642"/>
      <c r="CB2" s="642"/>
      <c r="CC2" s="642"/>
      <c r="CD2" s="642"/>
      <c r="CE2" s="642"/>
      <c r="CF2" s="642"/>
      <c r="CG2" s="642"/>
      <c r="CH2" s="642"/>
      <c r="CI2" s="642"/>
      <c r="CJ2" s="642"/>
      <c r="CK2" s="642"/>
      <c r="CL2" s="642"/>
      <c r="CM2" s="642"/>
      <c r="CN2" s="642"/>
      <c r="CO2" s="642"/>
      <c r="CP2" s="642"/>
      <c r="CQ2" s="642"/>
      <c r="CR2" s="642"/>
      <c r="CS2" s="642"/>
      <c r="CT2" s="642"/>
      <c r="CU2" s="642"/>
      <c r="CV2" s="642"/>
      <c r="CW2" s="642"/>
      <c r="CX2" s="642"/>
      <c r="CY2" s="642"/>
      <c r="CZ2" s="642"/>
      <c r="DA2" s="642"/>
      <c r="DB2" s="642"/>
      <c r="DC2" s="642"/>
      <c r="DD2" s="642"/>
      <c r="DE2" s="642"/>
      <c r="DF2" s="642"/>
      <c r="DG2" s="642"/>
      <c r="DH2" s="642"/>
      <c r="DI2" s="642"/>
      <c r="DJ2" s="642"/>
      <c r="DK2" s="642"/>
      <c r="DL2" s="642"/>
      <c r="DM2" s="642"/>
      <c r="DN2" s="642"/>
      <c r="DO2" s="642"/>
      <c r="DP2" s="642"/>
      <c r="DQ2" s="642"/>
      <c r="DR2" s="642"/>
      <c r="DS2" s="642"/>
      <c r="DT2" s="642"/>
      <c r="DU2" s="642"/>
      <c r="DV2" s="642"/>
      <c r="DW2" s="642"/>
      <c r="DX2" s="642"/>
      <c r="DY2" s="642"/>
      <c r="DZ2" s="642"/>
      <c r="EA2" s="642"/>
      <c r="EB2" s="642"/>
      <c r="EC2" s="642"/>
      <c r="ED2" s="642"/>
      <c r="EE2" s="642"/>
      <c r="EF2" s="642"/>
      <c r="EG2" s="642"/>
      <c r="EH2" s="642"/>
      <c r="EI2" s="642"/>
      <c r="EJ2" s="642"/>
      <c r="EK2" s="642"/>
      <c r="EL2" s="642"/>
      <c r="EM2" s="642"/>
      <c r="EN2" s="642"/>
      <c r="EO2" s="642"/>
      <c r="EP2" s="642"/>
      <c r="EQ2" s="642"/>
      <c r="ER2" s="642"/>
      <c r="ES2" s="642"/>
      <c r="ET2" s="642"/>
      <c r="EU2" s="642"/>
      <c r="EV2" s="642"/>
      <c r="EW2" s="642"/>
      <c r="EX2" s="642"/>
      <c r="EY2" s="642"/>
      <c r="EZ2" s="642"/>
      <c r="FA2" s="643"/>
    </row>
    <row r="3" spans="1:159" s="14" customFormat="1" ht="18.75" customHeight="1">
      <c r="A3" s="632"/>
      <c r="B3" s="633"/>
      <c r="C3" s="633"/>
      <c r="D3" s="633"/>
      <c r="E3" s="633"/>
      <c r="F3" s="644" t="s">
        <v>47</v>
      </c>
      <c r="G3" s="644"/>
      <c r="H3" s="644"/>
      <c r="I3" s="644"/>
      <c r="J3" s="644"/>
      <c r="K3" s="644"/>
      <c r="L3" s="644"/>
      <c r="M3" s="644"/>
      <c r="N3" s="644"/>
      <c r="O3" s="644"/>
      <c r="P3" s="644"/>
      <c r="Q3" s="644"/>
      <c r="R3" s="644"/>
      <c r="S3" s="644"/>
      <c r="T3" s="644"/>
      <c r="U3" s="644"/>
      <c r="V3" s="644"/>
      <c r="W3" s="644"/>
      <c r="X3" s="644"/>
      <c r="Y3" s="644"/>
      <c r="Z3" s="644"/>
      <c r="AA3" s="644"/>
      <c r="AB3" s="644"/>
      <c r="AC3" s="644"/>
      <c r="AD3" s="644"/>
      <c r="AE3" s="644"/>
      <c r="AF3" s="644"/>
      <c r="AG3" s="644"/>
      <c r="AH3" s="644"/>
      <c r="AI3" s="644"/>
      <c r="AJ3" s="644"/>
      <c r="AK3" s="644"/>
      <c r="AL3" s="644"/>
      <c r="AM3" s="644"/>
      <c r="AN3" s="644"/>
      <c r="AO3" s="644"/>
      <c r="AP3" s="644"/>
      <c r="AQ3" s="644"/>
      <c r="AR3" s="644"/>
      <c r="AS3" s="644"/>
      <c r="AT3" s="644"/>
      <c r="AU3" s="644"/>
      <c r="AV3" s="644"/>
      <c r="AW3" s="644"/>
      <c r="AX3" s="644"/>
      <c r="AY3" s="644"/>
      <c r="AZ3" s="644"/>
      <c r="BA3" s="644"/>
      <c r="BB3" s="644"/>
      <c r="BC3" s="644"/>
      <c r="BD3" s="644"/>
      <c r="BE3" s="644"/>
      <c r="BF3" s="644"/>
      <c r="BG3" s="644"/>
      <c r="BH3" s="644"/>
      <c r="BI3" s="644"/>
      <c r="BJ3" s="644"/>
      <c r="BK3" s="644"/>
      <c r="BL3" s="644"/>
      <c r="BM3" s="644"/>
      <c r="BN3" s="644"/>
      <c r="BO3" s="644"/>
      <c r="BP3" s="644"/>
      <c r="BQ3" s="644"/>
      <c r="BR3" s="644"/>
      <c r="BS3" s="644"/>
      <c r="BT3" s="644"/>
      <c r="BU3" s="644"/>
      <c r="BV3" s="644"/>
      <c r="BW3" s="644"/>
      <c r="BX3" s="644"/>
      <c r="BY3" s="644"/>
      <c r="BZ3" s="644"/>
      <c r="CA3" s="644"/>
      <c r="CB3" s="644"/>
      <c r="CC3" s="644"/>
      <c r="CD3" s="644"/>
      <c r="CE3" s="644"/>
      <c r="CF3" s="644"/>
      <c r="CG3" s="644"/>
      <c r="CH3" s="644"/>
      <c r="CI3" s="644"/>
      <c r="CJ3" s="644"/>
      <c r="CK3" s="644"/>
      <c r="CL3" s="644"/>
      <c r="CM3" s="644"/>
      <c r="CN3" s="644"/>
      <c r="CO3" s="644"/>
      <c r="CP3" s="644"/>
      <c r="CQ3" s="644"/>
      <c r="CR3" s="644"/>
      <c r="CS3" s="644"/>
      <c r="CT3" s="644"/>
      <c r="CU3" s="644"/>
      <c r="CV3" s="644"/>
      <c r="CW3" s="644"/>
      <c r="CX3" s="644"/>
      <c r="CY3" s="644"/>
      <c r="CZ3" s="644"/>
      <c r="DA3" s="644"/>
      <c r="DB3" s="644"/>
      <c r="DC3" s="644"/>
      <c r="DD3" s="644"/>
      <c r="DE3" s="644"/>
      <c r="DF3" s="644"/>
      <c r="DG3" s="644"/>
      <c r="DH3" s="644"/>
      <c r="DI3" s="644"/>
      <c r="DJ3" s="644"/>
      <c r="DK3" s="644"/>
      <c r="DL3" s="644"/>
      <c r="DM3" s="644"/>
      <c r="DN3" s="644"/>
      <c r="DO3" s="644"/>
      <c r="DP3" s="644"/>
      <c r="DQ3" s="644"/>
      <c r="DR3" s="644"/>
      <c r="DS3" s="644"/>
      <c r="DT3" s="644"/>
      <c r="DU3" s="644"/>
      <c r="DV3" s="644"/>
      <c r="DW3" s="644"/>
      <c r="DX3" s="644"/>
      <c r="DY3" s="644"/>
      <c r="DZ3" s="644"/>
      <c r="EA3" s="644"/>
      <c r="EB3" s="644"/>
      <c r="EC3" s="644"/>
      <c r="ED3" s="644"/>
      <c r="EE3" s="644"/>
      <c r="EF3" s="644"/>
      <c r="EG3" s="644"/>
      <c r="EH3" s="644"/>
      <c r="EI3" s="644"/>
      <c r="EJ3" s="644"/>
      <c r="EK3" s="644"/>
      <c r="EL3" s="644"/>
      <c r="EM3" s="644"/>
      <c r="EN3" s="644"/>
      <c r="EO3" s="644"/>
      <c r="EP3" s="644"/>
      <c r="EQ3" s="644"/>
      <c r="ER3" s="644" t="s">
        <v>228</v>
      </c>
      <c r="ES3" s="644"/>
      <c r="ET3" s="644"/>
      <c r="EU3" s="644"/>
      <c r="EV3" s="644"/>
      <c r="EW3" s="644"/>
      <c r="EX3" s="644"/>
      <c r="EY3" s="644"/>
      <c r="EZ3" s="644"/>
      <c r="FA3" s="647"/>
    </row>
    <row r="4" spans="1:159" ht="17.25" customHeight="1">
      <c r="A4" s="634" t="s">
        <v>0</v>
      </c>
      <c r="B4" s="635"/>
      <c r="C4" s="635"/>
      <c r="D4" s="635"/>
      <c r="E4" s="635"/>
      <c r="F4" s="651" t="s">
        <v>248</v>
      </c>
      <c r="G4" s="652"/>
      <c r="H4" s="652"/>
      <c r="I4" s="652"/>
      <c r="J4" s="652"/>
      <c r="K4" s="652"/>
      <c r="L4" s="652"/>
      <c r="M4" s="652"/>
      <c r="N4" s="652"/>
      <c r="O4" s="652"/>
      <c r="P4" s="652"/>
      <c r="Q4" s="652"/>
      <c r="R4" s="652"/>
      <c r="S4" s="652"/>
      <c r="T4" s="652"/>
      <c r="U4" s="652"/>
      <c r="V4" s="652"/>
      <c r="W4" s="652"/>
      <c r="X4" s="652"/>
      <c r="Y4" s="652"/>
      <c r="Z4" s="652"/>
      <c r="AA4" s="652"/>
      <c r="AB4" s="652"/>
      <c r="AC4" s="652"/>
      <c r="AD4" s="652"/>
      <c r="AE4" s="652"/>
      <c r="AF4" s="652"/>
      <c r="AG4" s="652"/>
      <c r="AH4" s="652"/>
      <c r="AI4" s="652"/>
      <c r="AJ4" s="652"/>
      <c r="AK4" s="652"/>
      <c r="AL4" s="652"/>
      <c r="AM4" s="652"/>
      <c r="AN4" s="652"/>
      <c r="AO4" s="652"/>
      <c r="AP4" s="652"/>
      <c r="AQ4" s="652"/>
      <c r="AR4" s="652"/>
      <c r="AS4" s="652"/>
      <c r="AT4" s="652"/>
      <c r="AU4" s="652"/>
      <c r="AV4" s="652"/>
      <c r="AW4" s="652"/>
      <c r="AX4" s="652"/>
      <c r="AY4" s="652"/>
      <c r="AZ4" s="652"/>
      <c r="BA4" s="652"/>
      <c r="BB4" s="652"/>
      <c r="BC4" s="652"/>
      <c r="BD4" s="652"/>
      <c r="BE4" s="652"/>
      <c r="BF4" s="652"/>
      <c r="BG4" s="652"/>
      <c r="BH4" s="652"/>
      <c r="BI4" s="652"/>
      <c r="BJ4" s="652"/>
      <c r="BK4" s="652"/>
      <c r="BL4" s="652"/>
      <c r="BM4" s="652"/>
      <c r="BN4" s="652"/>
      <c r="BO4" s="652"/>
      <c r="BP4" s="652"/>
      <c r="BQ4" s="652"/>
      <c r="BR4" s="652"/>
      <c r="BS4" s="652"/>
      <c r="BT4" s="652"/>
      <c r="BU4" s="652"/>
      <c r="BV4" s="652"/>
      <c r="BW4" s="652"/>
      <c r="BX4" s="652"/>
      <c r="BY4" s="652"/>
      <c r="BZ4" s="652"/>
      <c r="CA4" s="652"/>
      <c r="CB4" s="652"/>
      <c r="CC4" s="652"/>
      <c r="CD4" s="652"/>
      <c r="CE4" s="652"/>
      <c r="CF4" s="652"/>
      <c r="CG4" s="652"/>
      <c r="CH4" s="652"/>
      <c r="CI4" s="652"/>
      <c r="CJ4" s="652"/>
      <c r="CK4" s="652"/>
      <c r="CL4" s="652"/>
      <c r="CM4" s="652"/>
      <c r="CN4" s="652"/>
      <c r="CO4" s="652"/>
      <c r="CP4" s="652"/>
      <c r="CQ4" s="652"/>
      <c r="CR4" s="652"/>
      <c r="CS4" s="652"/>
      <c r="CT4" s="652"/>
      <c r="CU4" s="652"/>
      <c r="CV4" s="652"/>
      <c r="CW4" s="652"/>
      <c r="CX4" s="652"/>
      <c r="CY4" s="652"/>
      <c r="CZ4" s="652"/>
      <c r="DA4" s="652"/>
      <c r="DB4" s="652"/>
      <c r="DC4" s="652"/>
      <c r="DD4" s="652"/>
      <c r="DE4" s="652"/>
      <c r="DF4" s="652"/>
      <c r="DG4" s="652"/>
      <c r="DH4" s="652"/>
      <c r="DI4" s="652"/>
      <c r="DJ4" s="652"/>
      <c r="DK4" s="652"/>
      <c r="DL4" s="652"/>
      <c r="DM4" s="652"/>
      <c r="DN4" s="652"/>
      <c r="DO4" s="652"/>
      <c r="DP4" s="652"/>
      <c r="DQ4" s="652"/>
      <c r="DR4" s="652"/>
      <c r="DS4" s="652"/>
      <c r="DT4" s="652"/>
      <c r="DU4" s="652"/>
      <c r="DV4" s="652"/>
      <c r="DW4" s="652"/>
      <c r="DX4" s="652"/>
      <c r="DY4" s="652"/>
      <c r="DZ4" s="652"/>
      <c r="EA4" s="652"/>
      <c r="EB4" s="652"/>
      <c r="EC4" s="652"/>
      <c r="ED4" s="652"/>
      <c r="EE4" s="652"/>
      <c r="EF4" s="652"/>
      <c r="EG4" s="652"/>
      <c r="EH4" s="652"/>
      <c r="EI4" s="652"/>
      <c r="EJ4" s="652"/>
      <c r="EK4" s="652"/>
      <c r="EL4" s="652"/>
      <c r="EM4" s="652"/>
      <c r="EN4" s="652"/>
      <c r="EO4" s="652"/>
      <c r="EP4" s="652"/>
      <c r="EQ4" s="652"/>
      <c r="ER4" s="652"/>
      <c r="ES4" s="652"/>
      <c r="ET4" s="652"/>
      <c r="EU4" s="652"/>
      <c r="EV4" s="652"/>
      <c r="EW4" s="652"/>
      <c r="EX4" s="652"/>
      <c r="EY4" s="652"/>
      <c r="EZ4" s="652"/>
      <c r="FA4" s="653"/>
      <c r="FB4" s="73"/>
    </row>
    <row r="5" spans="1:159" ht="29.25" customHeight="1" thickBot="1">
      <c r="A5" s="636" t="s">
        <v>2</v>
      </c>
      <c r="B5" s="637"/>
      <c r="C5" s="637"/>
      <c r="D5" s="637"/>
      <c r="E5" s="637"/>
      <c r="F5" s="648" t="s">
        <v>249</v>
      </c>
      <c r="G5" s="649"/>
      <c r="H5" s="649"/>
      <c r="I5" s="649"/>
      <c r="J5" s="649"/>
      <c r="K5" s="649"/>
      <c r="L5" s="649"/>
      <c r="M5" s="649"/>
      <c r="N5" s="649"/>
      <c r="O5" s="649"/>
      <c r="P5" s="649"/>
      <c r="Q5" s="649"/>
      <c r="R5" s="649"/>
      <c r="S5" s="649"/>
      <c r="T5" s="649"/>
      <c r="U5" s="649"/>
      <c r="V5" s="649"/>
      <c r="W5" s="649"/>
      <c r="X5" s="649"/>
      <c r="Y5" s="649"/>
      <c r="Z5" s="649"/>
      <c r="AA5" s="649"/>
      <c r="AB5" s="649"/>
      <c r="AC5" s="649"/>
      <c r="AD5" s="649"/>
      <c r="AE5" s="649"/>
      <c r="AF5" s="649"/>
      <c r="AG5" s="649"/>
      <c r="AH5" s="649"/>
      <c r="AI5" s="649"/>
      <c r="AJ5" s="649"/>
      <c r="AK5" s="649"/>
      <c r="AL5" s="649"/>
      <c r="AM5" s="649"/>
      <c r="AN5" s="649"/>
      <c r="AO5" s="649"/>
      <c r="AP5" s="649"/>
      <c r="AQ5" s="649"/>
      <c r="AR5" s="649"/>
      <c r="AS5" s="649"/>
      <c r="AT5" s="649"/>
      <c r="AU5" s="649"/>
      <c r="AV5" s="649"/>
      <c r="AW5" s="649"/>
      <c r="AX5" s="649"/>
      <c r="AY5" s="649"/>
      <c r="AZ5" s="649"/>
      <c r="BA5" s="649"/>
      <c r="BB5" s="649"/>
      <c r="BC5" s="649"/>
      <c r="BD5" s="649"/>
      <c r="BE5" s="649"/>
      <c r="BF5" s="649"/>
      <c r="BG5" s="649"/>
      <c r="BH5" s="649"/>
      <c r="BI5" s="649"/>
      <c r="BJ5" s="649"/>
      <c r="BK5" s="649"/>
      <c r="BL5" s="649"/>
      <c r="BM5" s="649"/>
      <c r="BN5" s="649"/>
      <c r="BO5" s="649"/>
      <c r="BP5" s="649"/>
      <c r="BQ5" s="649"/>
      <c r="BR5" s="649"/>
      <c r="BS5" s="649"/>
      <c r="BT5" s="649"/>
      <c r="BU5" s="649"/>
      <c r="BV5" s="649"/>
      <c r="BW5" s="649"/>
      <c r="BX5" s="649"/>
      <c r="BY5" s="649"/>
      <c r="BZ5" s="649"/>
      <c r="CA5" s="649"/>
      <c r="CB5" s="649"/>
      <c r="CC5" s="649"/>
      <c r="CD5" s="649"/>
      <c r="CE5" s="649"/>
      <c r="CF5" s="649"/>
      <c r="CG5" s="649"/>
      <c r="CH5" s="649"/>
      <c r="CI5" s="649"/>
      <c r="CJ5" s="649"/>
      <c r="CK5" s="649"/>
      <c r="CL5" s="649"/>
      <c r="CM5" s="649"/>
      <c r="CN5" s="649"/>
      <c r="CO5" s="649"/>
      <c r="CP5" s="649"/>
      <c r="CQ5" s="649"/>
      <c r="CR5" s="649"/>
      <c r="CS5" s="649"/>
      <c r="CT5" s="649"/>
      <c r="CU5" s="649"/>
      <c r="CV5" s="649"/>
      <c r="CW5" s="649"/>
      <c r="CX5" s="649"/>
      <c r="CY5" s="649"/>
      <c r="CZ5" s="649"/>
      <c r="DA5" s="649"/>
      <c r="DB5" s="649"/>
      <c r="DC5" s="649"/>
      <c r="DD5" s="649"/>
      <c r="DE5" s="649"/>
      <c r="DF5" s="649"/>
      <c r="DG5" s="649"/>
      <c r="DH5" s="649"/>
      <c r="DI5" s="649"/>
      <c r="DJ5" s="649"/>
      <c r="DK5" s="649"/>
      <c r="DL5" s="649"/>
      <c r="DM5" s="649"/>
      <c r="DN5" s="649"/>
      <c r="DO5" s="649"/>
      <c r="DP5" s="649"/>
      <c r="DQ5" s="649"/>
      <c r="DR5" s="649"/>
      <c r="DS5" s="649"/>
      <c r="DT5" s="649"/>
      <c r="DU5" s="649"/>
      <c r="DV5" s="649"/>
      <c r="DW5" s="649"/>
      <c r="DX5" s="649"/>
      <c r="DY5" s="649"/>
      <c r="DZ5" s="649"/>
      <c r="EA5" s="649"/>
      <c r="EB5" s="649"/>
      <c r="EC5" s="649"/>
      <c r="ED5" s="649"/>
      <c r="EE5" s="649"/>
      <c r="EF5" s="649"/>
      <c r="EG5" s="649"/>
      <c r="EH5" s="649"/>
      <c r="EI5" s="649"/>
      <c r="EJ5" s="649"/>
      <c r="EK5" s="649"/>
      <c r="EL5" s="649"/>
      <c r="EM5" s="649"/>
      <c r="EN5" s="649"/>
      <c r="EO5" s="649"/>
      <c r="EP5" s="649"/>
      <c r="EQ5" s="649"/>
      <c r="ER5" s="649"/>
      <c r="ES5" s="649"/>
      <c r="ET5" s="649"/>
      <c r="EU5" s="649"/>
      <c r="EV5" s="649"/>
      <c r="EW5" s="649"/>
      <c r="EX5" s="649"/>
      <c r="EY5" s="649"/>
      <c r="EZ5" s="649"/>
      <c r="FA5" s="650"/>
      <c r="FB5" s="73"/>
    </row>
    <row r="6" spans="1:159" ht="43.5" customHeight="1" thickBot="1">
      <c r="A6" s="139"/>
      <c r="B6" s="139"/>
      <c r="C6" s="139"/>
      <c r="D6" s="16"/>
      <c r="E6" s="16"/>
      <c r="F6" s="17"/>
      <c r="G6" s="18"/>
      <c r="H6" s="18"/>
      <c r="I6" s="18"/>
      <c r="J6" s="18"/>
      <c r="K6" s="18"/>
      <c r="L6" s="18"/>
      <c r="M6" s="18"/>
      <c r="N6" s="18"/>
      <c r="O6" s="18"/>
      <c r="P6" s="18"/>
      <c r="Q6" s="18"/>
      <c r="R6" s="18"/>
      <c r="S6" s="18"/>
      <c r="T6" s="18"/>
      <c r="U6" s="18"/>
      <c r="V6" s="18"/>
      <c r="W6" s="18"/>
      <c r="X6" s="18"/>
      <c r="Y6" s="18"/>
      <c r="Z6" s="18"/>
      <c r="AA6" s="18"/>
      <c r="AB6" s="18"/>
      <c r="AC6" s="18"/>
      <c r="AD6" s="18"/>
      <c r="AE6" s="18"/>
      <c r="AF6" s="18"/>
      <c r="AG6" s="18"/>
      <c r="AH6" s="18"/>
      <c r="AI6" s="18"/>
      <c r="AJ6" s="18"/>
      <c r="AK6" s="18"/>
      <c r="AL6" s="18"/>
      <c r="AM6" s="18"/>
      <c r="AN6" s="18"/>
      <c r="AO6" s="18"/>
      <c r="AP6" s="18"/>
      <c r="AQ6" s="18"/>
      <c r="AR6" s="18"/>
      <c r="AS6" s="18"/>
      <c r="AT6" s="18"/>
      <c r="AU6" s="18"/>
      <c r="AV6" s="18"/>
      <c r="AW6" s="18"/>
      <c r="AX6" s="18"/>
      <c r="AY6" s="18"/>
      <c r="AZ6" s="18"/>
      <c r="BA6" s="102"/>
      <c r="BB6" s="102">
        <f>BA25-BB25</f>
        <v>0</v>
      </c>
      <c r="BC6" s="102"/>
      <c r="BD6" s="18"/>
      <c r="BE6" s="18"/>
      <c r="BF6" s="18"/>
      <c r="BG6" s="18"/>
      <c r="BH6" s="18"/>
      <c r="BI6" s="18"/>
      <c r="BJ6" s="18"/>
      <c r="BK6" s="18"/>
      <c r="BL6" s="18"/>
      <c r="BM6" s="18"/>
      <c r="BN6" s="18"/>
      <c r="BO6" s="18"/>
      <c r="BP6" s="18"/>
      <c r="BQ6" s="18"/>
      <c r="BR6" s="18"/>
      <c r="BS6" s="18"/>
      <c r="BT6" s="18"/>
      <c r="BU6" s="18"/>
      <c r="BV6" s="18"/>
      <c r="BW6" s="18"/>
      <c r="BX6" s="18"/>
      <c r="BY6" s="18"/>
      <c r="BZ6" s="18"/>
      <c r="CA6" s="18"/>
      <c r="CB6" s="18"/>
      <c r="CC6" s="18"/>
      <c r="CD6" s="18"/>
      <c r="CE6" s="18"/>
      <c r="CF6" s="18"/>
      <c r="CG6" s="18"/>
      <c r="CH6" s="18"/>
      <c r="CI6" s="18"/>
      <c r="CJ6" s="18"/>
      <c r="CK6" s="18"/>
      <c r="CL6" s="18"/>
      <c r="CM6" s="18"/>
      <c r="CN6" s="18"/>
      <c r="CO6" s="18"/>
      <c r="CP6" s="18"/>
      <c r="CQ6" s="18"/>
      <c r="CR6" s="18"/>
      <c r="CS6" s="18"/>
      <c r="CT6" s="18"/>
      <c r="CU6" s="18"/>
      <c r="CV6" s="18"/>
      <c r="CW6" s="18"/>
      <c r="CX6" s="18"/>
      <c r="CY6" s="18"/>
      <c r="CZ6" s="18"/>
      <c r="DA6" s="18"/>
      <c r="DB6" s="18"/>
      <c r="DC6" s="18"/>
      <c r="DD6" s="18"/>
      <c r="DE6" s="18"/>
      <c r="DF6" s="18"/>
      <c r="DG6" s="18"/>
      <c r="DH6" s="18"/>
      <c r="DI6" s="18"/>
      <c r="DJ6" s="18"/>
      <c r="DK6" s="18"/>
      <c r="DL6" s="18"/>
      <c r="DM6" s="18"/>
      <c r="DN6" s="18"/>
      <c r="DO6" s="18"/>
      <c r="DP6" s="18"/>
      <c r="DQ6" s="18"/>
      <c r="DR6" s="18"/>
      <c r="DS6" s="18"/>
      <c r="DT6" s="18"/>
      <c r="DU6" s="18"/>
      <c r="DV6" s="18"/>
      <c r="DW6" s="18"/>
      <c r="DX6" s="18"/>
      <c r="DY6" s="18"/>
      <c r="DZ6" s="18"/>
      <c r="EA6" s="18"/>
      <c r="EB6" s="18"/>
      <c r="EC6" s="18"/>
      <c r="ED6" s="18"/>
      <c r="EE6" s="18"/>
      <c r="EF6" s="18"/>
      <c r="EG6" s="18"/>
      <c r="EH6" s="18"/>
      <c r="EI6" s="18"/>
      <c r="EJ6" s="18"/>
      <c r="EK6" s="18"/>
      <c r="EL6" s="18"/>
      <c r="EM6" s="18"/>
      <c r="EN6" s="18"/>
      <c r="EO6" s="18"/>
      <c r="EP6" s="18"/>
      <c r="EQ6" s="18"/>
      <c r="ER6" s="19"/>
      <c r="ES6" s="19"/>
      <c r="ET6" s="2"/>
      <c r="EU6" s="2"/>
      <c r="EV6" s="2"/>
      <c r="EW6" s="130"/>
      <c r="EX6" s="2"/>
      <c r="EY6" s="2"/>
      <c r="EZ6" s="2"/>
      <c r="FA6" s="2"/>
    </row>
    <row r="7" spans="1:159" s="233" customFormat="1" ht="18.75" customHeight="1">
      <c r="A7" s="638" t="s">
        <v>88</v>
      </c>
      <c r="B7" s="639"/>
      <c r="C7" s="639"/>
      <c r="D7" s="639"/>
      <c r="E7" s="639"/>
      <c r="F7" s="639"/>
      <c r="G7" s="639"/>
      <c r="H7" s="645" t="s">
        <v>216</v>
      </c>
      <c r="I7" s="645"/>
      <c r="J7" s="645"/>
      <c r="K7" s="645"/>
      <c r="L7" s="645"/>
      <c r="M7" s="645"/>
      <c r="N7" s="645"/>
      <c r="O7" s="645"/>
      <c r="P7" s="645"/>
      <c r="Q7" s="645"/>
      <c r="R7" s="645"/>
      <c r="S7" s="645"/>
      <c r="T7" s="645"/>
      <c r="U7" s="645"/>
      <c r="V7" s="645"/>
      <c r="W7" s="645"/>
      <c r="X7" s="645"/>
      <c r="Y7" s="645"/>
      <c r="Z7" s="645"/>
      <c r="AA7" s="645"/>
      <c r="AB7" s="645"/>
      <c r="AC7" s="645"/>
      <c r="AD7" s="645"/>
      <c r="AE7" s="645"/>
      <c r="AF7" s="645"/>
      <c r="AG7" s="645"/>
      <c r="AH7" s="645"/>
      <c r="AI7" s="645"/>
      <c r="AJ7" s="645"/>
      <c r="AK7" s="645"/>
      <c r="AL7" s="645"/>
      <c r="AM7" s="645"/>
      <c r="AN7" s="645"/>
      <c r="AO7" s="645"/>
      <c r="AP7" s="645"/>
      <c r="AQ7" s="645"/>
      <c r="AR7" s="645"/>
      <c r="AS7" s="645"/>
      <c r="AT7" s="645"/>
      <c r="AU7" s="645"/>
      <c r="AV7" s="645"/>
      <c r="AW7" s="645"/>
      <c r="AX7" s="645"/>
      <c r="AY7" s="645"/>
      <c r="AZ7" s="645"/>
      <c r="BA7" s="645"/>
      <c r="BB7" s="645"/>
      <c r="BC7" s="645"/>
      <c r="BD7" s="645"/>
      <c r="BE7" s="645"/>
      <c r="BF7" s="645"/>
      <c r="BG7" s="645"/>
      <c r="BH7" s="645"/>
      <c r="BI7" s="645"/>
      <c r="BJ7" s="645"/>
      <c r="BK7" s="645"/>
      <c r="BL7" s="645"/>
      <c r="BM7" s="645"/>
      <c r="BN7" s="645"/>
      <c r="BO7" s="645"/>
      <c r="BP7" s="645"/>
      <c r="BQ7" s="645"/>
      <c r="BR7" s="645"/>
      <c r="BS7" s="645"/>
      <c r="BT7" s="645"/>
      <c r="BU7" s="645"/>
      <c r="BV7" s="645"/>
      <c r="BW7" s="645"/>
      <c r="BX7" s="645"/>
      <c r="BY7" s="645"/>
      <c r="BZ7" s="645"/>
      <c r="CA7" s="645"/>
      <c r="CB7" s="645"/>
      <c r="CC7" s="645"/>
      <c r="CD7" s="645"/>
      <c r="CE7" s="645"/>
      <c r="CF7" s="645"/>
      <c r="CG7" s="645"/>
      <c r="CH7" s="645"/>
      <c r="CI7" s="645"/>
      <c r="CJ7" s="645"/>
      <c r="CK7" s="645"/>
      <c r="CL7" s="645"/>
      <c r="CM7" s="645"/>
      <c r="CN7" s="645"/>
      <c r="CO7" s="645"/>
      <c r="CP7" s="645"/>
      <c r="CQ7" s="645"/>
      <c r="CR7" s="645"/>
      <c r="CS7" s="645"/>
      <c r="CT7" s="645"/>
      <c r="CU7" s="645"/>
      <c r="CV7" s="645"/>
      <c r="CW7" s="645"/>
      <c r="CX7" s="645"/>
      <c r="CY7" s="645"/>
      <c r="CZ7" s="645"/>
      <c r="DA7" s="645"/>
      <c r="DB7" s="645"/>
      <c r="DC7" s="645"/>
      <c r="DD7" s="645"/>
      <c r="DE7" s="645"/>
      <c r="DF7" s="645"/>
      <c r="DG7" s="645"/>
      <c r="DH7" s="645"/>
      <c r="DI7" s="645"/>
      <c r="DJ7" s="645"/>
      <c r="DK7" s="645"/>
      <c r="DL7" s="645"/>
      <c r="DM7" s="645"/>
      <c r="DN7" s="645"/>
      <c r="DO7" s="645"/>
      <c r="DP7" s="645"/>
      <c r="DQ7" s="645"/>
      <c r="DR7" s="645"/>
      <c r="DS7" s="645"/>
      <c r="DT7" s="645"/>
      <c r="DU7" s="645"/>
      <c r="DV7" s="645"/>
      <c r="DW7" s="645"/>
      <c r="DX7" s="645"/>
      <c r="DY7" s="645"/>
      <c r="DZ7" s="645"/>
      <c r="EA7" s="645"/>
      <c r="EB7" s="645"/>
      <c r="EC7" s="645"/>
      <c r="ED7" s="645"/>
      <c r="EE7" s="645"/>
      <c r="EF7" s="645"/>
      <c r="EG7" s="645"/>
      <c r="EH7" s="645"/>
      <c r="EI7" s="645"/>
      <c r="EJ7" s="645"/>
      <c r="EK7" s="645"/>
      <c r="EL7" s="645"/>
      <c r="EM7" s="645"/>
      <c r="EN7" s="645"/>
      <c r="EO7" s="645"/>
      <c r="EP7" s="645"/>
      <c r="EQ7" s="645"/>
      <c r="ER7" s="616" t="s">
        <v>209</v>
      </c>
      <c r="ES7" s="616" t="s">
        <v>210</v>
      </c>
      <c r="ET7" s="613" t="s">
        <v>211</v>
      </c>
      <c r="EU7" s="657" t="s">
        <v>529</v>
      </c>
      <c r="EV7" s="613" t="s">
        <v>233</v>
      </c>
      <c r="EW7" s="639" t="s">
        <v>234</v>
      </c>
      <c r="EX7" s="639" t="s">
        <v>235</v>
      </c>
      <c r="EY7" s="639" t="s">
        <v>236</v>
      </c>
      <c r="EZ7" s="639" t="s">
        <v>238</v>
      </c>
      <c r="FA7" s="654" t="s">
        <v>237</v>
      </c>
    </row>
    <row r="8" spans="1:159" s="233" customFormat="1" ht="18.75" customHeight="1">
      <c r="A8" s="634"/>
      <c r="B8" s="635"/>
      <c r="C8" s="635"/>
      <c r="D8" s="635"/>
      <c r="E8" s="635"/>
      <c r="F8" s="635"/>
      <c r="G8" s="635"/>
      <c r="H8" s="646" t="s">
        <v>64</v>
      </c>
      <c r="I8" s="646"/>
      <c r="J8" s="646"/>
      <c r="K8" s="646"/>
      <c r="L8" s="646"/>
      <c r="M8" s="646"/>
      <c r="N8" s="646"/>
      <c r="O8" s="646"/>
      <c r="P8" s="646"/>
      <c r="Q8" s="646"/>
      <c r="R8" s="646"/>
      <c r="S8" s="646"/>
      <c r="T8" s="646"/>
      <c r="U8" s="646"/>
      <c r="V8" s="646"/>
      <c r="W8" s="646"/>
      <c r="X8" s="646"/>
      <c r="Y8" s="646"/>
      <c r="Z8" s="646"/>
      <c r="AA8" s="646"/>
      <c r="AB8" s="646" t="s">
        <v>499</v>
      </c>
      <c r="AC8" s="646"/>
      <c r="AD8" s="646"/>
      <c r="AE8" s="646"/>
      <c r="AF8" s="646"/>
      <c r="AG8" s="646"/>
      <c r="AH8" s="646"/>
      <c r="AI8" s="646"/>
      <c r="AJ8" s="646"/>
      <c r="AK8" s="646"/>
      <c r="AL8" s="646"/>
      <c r="AM8" s="646"/>
      <c r="AN8" s="646"/>
      <c r="AO8" s="646"/>
      <c r="AP8" s="646"/>
      <c r="AQ8" s="646"/>
      <c r="AR8" s="646"/>
      <c r="AS8" s="646"/>
      <c r="AT8" s="646"/>
      <c r="AU8" s="646"/>
      <c r="AV8" s="646"/>
      <c r="AW8" s="646"/>
      <c r="AX8" s="646"/>
      <c r="AY8" s="646"/>
      <c r="AZ8" s="646"/>
      <c r="BA8" s="646"/>
      <c r="BB8" s="646"/>
      <c r="BC8" s="646"/>
      <c r="BD8" s="646"/>
      <c r="BE8" s="646"/>
      <c r="BF8" s="646" t="s">
        <v>61</v>
      </c>
      <c r="BG8" s="646"/>
      <c r="BH8" s="646"/>
      <c r="BI8" s="646"/>
      <c r="BJ8" s="646"/>
      <c r="BK8" s="646"/>
      <c r="BL8" s="646"/>
      <c r="BM8" s="646"/>
      <c r="BN8" s="646"/>
      <c r="BO8" s="646"/>
      <c r="BP8" s="646"/>
      <c r="BQ8" s="646"/>
      <c r="BR8" s="646"/>
      <c r="BS8" s="646"/>
      <c r="BT8" s="646"/>
      <c r="BU8" s="646"/>
      <c r="BV8" s="646"/>
      <c r="BW8" s="646"/>
      <c r="BX8" s="646"/>
      <c r="BY8" s="646"/>
      <c r="BZ8" s="646"/>
      <c r="CA8" s="646"/>
      <c r="CB8" s="646"/>
      <c r="CC8" s="646"/>
      <c r="CD8" s="646"/>
      <c r="CE8" s="646"/>
      <c r="CF8" s="646"/>
      <c r="CG8" s="646"/>
      <c r="CH8" s="646"/>
      <c r="CI8" s="646"/>
      <c r="CJ8" s="646" t="s">
        <v>62</v>
      </c>
      <c r="CK8" s="646"/>
      <c r="CL8" s="646"/>
      <c r="CM8" s="646"/>
      <c r="CN8" s="646"/>
      <c r="CO8" s="646"/>
      <c r="CP8" s="646"/>
      <c r="CQ8" s="646"/>
      <c r="CR8" s="646"/>
      <c r="CS8" s="646"/>
      <c r="CT8" s="646"/>
      <c r="CU8" s="646"/>
      <c r="CV8" s="646"/>
      <c r="CW8" s="646"/>
      <c r="CX8" s="646"/>
      <c r="CY8" s="646"/>
      <c r="CZ8" s="646"/>
      <c r="DA8" s="646"/>
      <c r="DB8" s="646"/>
      <c r="DC8" s="646"/>
      <c r="DD8" s="646"/>
      <c r="DE8" s="646"/>
      <c r="DF8" s="646"/>
      <c r="DG8" s="646"/>
      <c r="DH8" s="646"/>
      <c r="DI8" s="646"/>
      <c r="DJ8" s="646"/>
      <c r="DK8" s="646"/>
      <c r="DL8" s="646"/>
      <c r="DM8" s="646"/>
      <c r="DN8" s="646" t="s">
        <v>63</v>
      </c>
      <c r="DO8" s="646"/>
      <c r="DP8" s="646"/>
      <c r="DQ8" s="646"/>
      <c r="DR8" s="646"/>
      <c r="DS8" s="646"/>
      <c r="DT8" s="646"/>
      <c r="DU8" s="646"/>
      <c r="DV8" s="646"/>
      <c r="DW8" s="646"/>
      <c r="DX8" s="646"/>
      <c r="DY8" s="646"/>
      <c r="DZ8" s="646"/>
      <c r="EA8" s="646"/>
      <c r="EB8" s="646"/>
      <c r="EC8" s="646"/>
      <c r="ED8" s="646"/>
      <c r="EE8" s="646"/>
      <c r="EF8" s="646"/>
      <c r="EG8" s="646"/>
      <c r="EH8" s="646"/>
      <c r="EI8" s="646"/>
      <c r="EJ8" s="646"/>
      <c r="EK8" s="646"/>
      <c r="EL8" s="646"/>
      <c r="EM8" s="646"/>
      <c r="EN8" s="646"/>
      <c r="EO8" s="646"/>
      <c r="EP8" s="646"/>
      <c r="EQ8" s="646"/>
      <c r="ER8" s="617"/>
      <c r="ES8" s="617"/>
      <c r="ET8" s="614"/>
      <c r="EU8" s="658"/>
      <c r="EV8" s="614"/>
      <c r="EW8" s="635"/>
      <c r="EX8" s="635"/>
      <c r="EY8" s="635"/>
      <c r="EZ8" s="635"/>
      <c r="FA8" s="655"/>
    </row>
    <row r="9" spans="1:159" s="233" customFormat="1" ht="76.5" customHeight="1" thickBot="1">
      <c r="A9" s="358" t="s">
        <v>81</v>
      </c>
      <c r="B9" s="359" t="s">
        <v>82</v>
      </c>
      <c r="C9" s="359" t="s">
        <v>83</v>
      </c>
      <c r="D9" s="359" t="s">
        <v>84</v>
      </c>
      <c r="E9" s="359" t="s">
        <v>85</v>
      </c>
      <c r="F9" s="359" t="s">
        <v>86</v>
      </c>
      <c r="G9" s="360" t="s">
        <v>87</v>
      </c>
      <c r="H9" s="361" t="s">
        <v>267</v>
      </c>
      <c r="I9" s="362" t="s">
        <v>268</v>
      </c>
      <c r="J9" s="359" t="s">
        <v>269</v>
      </c>
      <c r="K9" s="362" t="s">
        <v>270</v>
      </c>
      <c r="L9" s="359" t="s">
        <v>271</v>
      </c>
      <c r="M9" s="362" t="s">
        <v>272</v>
      </c>
      <c r="N9" s="359" t="s">
        <v>273</v>
      </c>
      <c r="O9" s="362" t="s">
        <v>274</v>
      </c>
      <c r="P9" s="359" t="s">
        <v>275</v>
      </c>
      <c r="Q9" s="362" t="s">
        <v>276</v>
      </c>
      <c r="R9" s="359" t="s">
        <v>277</v>
      </c>
      <c r="S9" s="362" t="s">
        <v>278</v>
      </c>
      <c r="T9" s="359" t="s">
        <v>279</v>
      </c>
      <c r="U9" s="362" t="s">
        <v>280</v>
      </c>
      <c r="V9" s="359" t="s">
        <v>281</v>
      </c>
      <c r="W9" s="360" t="s">
        <v>206</v>
      </c>
      <c r="X9" s="363" t="s">
        <v>239</v>
      </c>
      <c r="Y9" s="359" t="s">
        <v>240</v>
      </c>
      <c r="Z9" s="362" t="s">
        <v>241</v>
      </c>
      <c r="AA9" s="359" t="s">
        <v>242</v>
      </c>
      <c r="AB9" s="361" t="s">
        <v>267</v>
      </c>
      <c r="AC9" s="362" t="s">
        <v>282</v>
      </c>
      <c r="AD9" s="359" t="s">
        <v>283</v>
      </c>
      <c r="AE9" s="362" t="s">
        <v>284</v>
      </c>
      <c r="AF9" s="359" t="s">
        <v>285</v>
      </c>
      <c r="AG9" s="362" t="s">
        <v>286</v>
      </c>
      <c r="AH9" s="359" t="s">
        <v>287</v>
      </c>
      <c r="AI9" s="362" t="s">
        <v>288</v>
      </c>
      <c r="AJ9" s="359" t="s">
        <v>289</v>
      </c>
      <c r="AK9" s="362" t="s">
        <v>290</v>
      </c>
      <c r="AL9" s="359" t="s">
        <v>291</v>
      </c>
      <c r="AM9" s="362" t="s">
        <v>268</v>
      </c>
      <c r="AN9" s="359" t="s">
        <v>269</v>
      </c>
      <c r="AO9" s="362" t="s">
        <v>270</v>
      </c>
      <c r="AP9" s="359" t="s">
        <v>271</v>
      </c>
      <c r="AQ9" s="362" t="s">
        <v>272</v>
      </c>
      <c r="AR9" s="359" t="s">
        <v>273</v>
      </c>
      <c r="AS9" s="362" t="s">
        <v>274</v>
      </c>
      <c r="AT9" s="359" t="s">
        <v>275</v>
      </c>
      <c r="AU9" s="362" t="s">
        <v>276</v>
      </c>
      <c r="AV9" s="359" t="s">
        <v>277</v>
      </c>
      <c r="AW9" s="362" t="s">
        <v>278</v>
      </c>
      <c r="AX9" s="359" t="s">
        <v>279</v>
      </c>
      <c r="AY9" s="362" t="s">
        <v>280</v>
      </c>
      <c r="AZ9" s="359" t="s">
        <v>281</v>
      </c>
      <c r="BA9" s="360" t="s">
        <v>206</v>
      </c>
      <c r="BB9" s="363" t="s">
        <v>498</v>
      </c>
      <c r="BC9" s="359" t="s">
        <v>497</v>
      </c>
      <c r="BD9" s="362" t="s">
        <v>496</v>
      </c>
      <c r="BE9" s="359" t="s">
        <v>495</v>
      </c>
      <c r="BF9" s="361" t="s">
        <v>267</v>
      </c>
      <c r="BG9" s="362" t="s">
        <v>282</v>
      </c>
      <c r="BH9" s="359" t="s">
        <v>283</v>
      </c>
      <c r="BI9" s="362" t="s">
        <v>284</v>
      </c>
      <c r="BJ9" s="359" t="s">
        <v>285</v>
      </c>
      <c r="BK9" s="362" t="s">
        <v>286</v>
      </c>
      <c r="BL9" s="359" t="s">
        <v>287</v>
      </c>
      <c r="BM9" s="362" t="s">
        <v>288</v>
      </c>
      <c r="BN9" s="359" t="s">
        <v>289</v>
      </c>
      <c r="BO9" s="362" t="s">
        <v>290</v>
      </c>
      <c r="BP9" s="359" t="s">
        <v>291</v>
      </c>
      <c r="BQ9" s="362" t="s">
        <v>268</v>
      </c>
      <c r="BR9" s="359" t="s">
        <v>269</v>
      </c>
      <c r="BS9" s="362" t="s">
        <v>270</v>
      </c>
      <c r="BT9" s="359" t="s">
        <v>271</v>
      </c>
      <c r="BU9" s="362" t="s">
        <v>272</v>
      </c>
      <c r="BV9" s="359" t="s">
        <v>273</v>
      </c>
      <c r="BW9" s="362" t="s">
        <v>274</v>
      </c>
      <c r="BX9" s="359" t="s">
        <v>275</v>
      </c>
      <c r="BY9" s="362" t="s">
        <v>276</v>
      </c>
      <c r="BZ9" s="359" t="s">
        <v>277</v>
      </c>
      <c r="CA9" s="362" t="s">
        <v>278</v>
      </c>
      <c r="CB9" s="359" t="s">
        <v>279</v>
      </c>
      <c r="CC9" s="362" t="s">
        <v>280</v>
      </c>
      <c r="CD9" s="359" t="s">
        <v>281</v>
      </c>
      <c r="CE9" s="360" t="s">
        <v>206</v>
      </c>
      <c r="CF9" s="363" t="s">
        <v>212</v>
      </c>
      <c r="CG9" s="359" t="s">
        <v>213</v>
      </c>
      <c r="CH9" s="362" t="s">
        <v>214</v>
      </c>
      <c r="CI9" s="359" t="s">
        <v>215</v>
      </c>
      <c r="CJ9" s="361" t="s">
        <v>267</v>
      </c>
      <c r="CK9" s="362" t="s">
        <v>282</v>
      </c>
      <c r="CL9" s="359" t="s">
        <v>283</v>
      </c>
      <c r="CM9" s="362" t="s">
        <v>284</v>
      </c>
      <c r="CN9" s="359" t="s">
        <v>285</v>
      </c>
      <c r="CO9" s="362" t="s">
        <v>286</v>
      </c>
      <c r="CP9" s="359" t="s">
        <v>287</v>
      </c>
      <c r="CQ9" s="362" t="s">
        <v>288</v>
      </c>
      <c r="CR9" s="359" t="s">
        <v>289</v>
      </c>
      <c r="CS9" s="362" t="s">
        <v>290</v>
      </c>
      <c r="CT9" s="359" t="s">
        <v>291</v>
      </c>
      <c r="CU9" s="362" t="s">
        <v>268</v>
      </c>
      <c r="CV9" s="359" t="s">
        <v>269</v>
      </c>
      <c r="CW9" s="362" t="s">
        <v>270</v>
      </c>
      <c r="CX9" s="359" t="s">
        <v>271</v>
      </c>
      <c r="CY9" s="362" t="s">
        <v>272</v>
      </c>
      <c r="CZ9" s="359" t="s">
        <v>273</v>
      </c>
      <c r="DA9" s="362" t="s">
        <v>274</v>
      </c>
      <c r="DB9" s="359" t="s">
        <v>275</v>
      </c>
      <c r="DC9" s="362" t="s">
        <v>276</v>
      </c>
      <c r="DD9" s="359" t="s">
        <v>277</v>
      </c>
      <c r="DE9" s="362" t="s">
        <v>278</v>
      </c>
      <c r="DF9" s="359" t="s">
        <v>279</v>
      </c>
      <c r="DG9" s="362" t="s">
        <v>280</v>
      </c>
      <c r="DH9" s="359" t="s">
        <v>281</v>
      </c>
      <c r="DI9" s="360" t="s">
        <v>206</v>
      </c>
      <c r="DJ9" s="363" t="s">
        <v>218</v>
      </c>
      <c r="DK9" s="359" t="s">
        <v>219</v>
      </c>
      <c r="DL9" s="363" t="s">
        <v>220</v>
      </c>
      <c r="DM9" s="359" t="s">
        <v>221</v>
      </c>
      <c r="DN9" s="361" t="s">
        <v>267</v>
      </c>
      <c r="DO9" s="362" t="s">
        <v>282</v>
      </c>
      <c r="DP9" s="359" t="s">
        <v>283</v>
      </c>
      <c r="DQ9" s="362" t="s">
        <v>284</v>
      </c>
      <c r="DR9" s="359" t="s">
        <v>285</v>
      </c>
      <c r="DS9" s="362" t="s">
        <v>286</v>
      </c>
      <c r="DT9" s="359" t="s">
        <v>287</v>
      </c>
      <c r="DU9" s="362" t="s">
        <v>288</v>
      </c>
      <c r="DV9" s="359" t="s">
        <v>289</v>
      </c>
      <c r="DW9" s="362" t="s">
        <v>290</v>
      </c>
      <c r="DX9" s="359" t="s">
        <v>291</v>
      </c>
      <c r="DY9" s="362" t="s">
        <v>268</v>
      </c>
      <c r="DZ9" s="359" t="s">
        <v>269</v>
      </c>
      <c r="EA9" s="362" t="s">
        <v>270</v>
      </c>
      <c r="EB9" s="359" t="s">
        <v>271</v>
      </c>
      <c r="EC9" s="362" t="s">
        <v>272</v>
      </c>
      <c r="ED9" s="359" t="s">
        <v>273</v>
      </c>
      <c r="EE9" s="362" t="s">
        <v>274</v>
      </c>
      <c r="EF9" s="359" t="s">
        <v>275</v>
      </c>
      <c r="EG9" s="362" t="s">
        <v>276</v>
      </c>
      <c r="EH9" s="359" t="s">
        <v>277</v>
      </c>
      <c r="EI9" s="362" t="s">
        <v>278</v>
      </c>
      <c r="EJ9" s="359" t="s">
        <v>279</v>
      </c>
      <c r="EK9" s="362" t="s">
        <v>280</v>
      </c>
      <c r="EL9" s="359" t="s">
        <v>281</v>
      </c>
      <c r="EM9" s="360" t="s">
        <v>206</v>
      </c>
      <c r="EN9" s="363" t="s">
        <v>222</v>
      </c>
      <c r="EO9" s="359" t="s">
        <v>223</v>
      </c>
      <c r="EP9" s="363" t="s">
        <v>224</v>
      </c>
      <c r="EQ9" s="359" t="s">
        <v>225</v>
      </c>
      <c r="ER9" s="618"/>
      <c r="ES9" s="618"/>
      <c r="ET9" s="615"/>
      <c r="EU9" s="659"/>
      <c r="EV9" s="615"/>
      <c r="EW9" s="637"/>
      <c r="EX9" s="637"/>
      <c r="EY9" s="637"/>
      <c r="EZ9" s="637"/>
      <c r="FA9" s="656"/>
    </row>
    <row r="10" spans="1:159" s="78" customFormat="1" ht="18.95" customHeight="1">
      <c r="A10" s="661" t="s">
        <v>292</v>
      </c>
      <c r="B10" s="661">
        <v>1</v>
      </c>
      <c r="C10" s="661" t="s">
        <v>296</v>
      </c>
      <c r="D10" s="661" t="s">
        <v>260</v>
      </c>
      <c r="E10" s="661">
        <v>272</v>
      </c>
      <c r="F10" s="334" t="s">
        <v>40</v>
      </c>
      <c r="G10" s="168">
        <v>1</v>
      </c>
      <c r="H10" s="168">
        <v>1</v>
      </c>
      <c r="I10" s="507"/>
      <c r="J10" s="507"/>
      <c r="K10" s="507"/>
      <c r="L10" s="507"/>
      <c r="M10" s="507"/>
      <c r="N10" s="508"/>
      <c r="O10" s="507"/>
      <c r="P10" s="508"/>
      <c r="Q10" s="507"/>
      <c r="R10" s="509"/>
      <c r="S10" s="507"/>
      <c r="T10" s="508"/>
      <c r="U10" s="507"/>
      <c r="V10" s="507"/>
      <c r="W10" s="203">
        <v>1</v>
      </c>
      <c r="X10" s="203">
        <v>1</v>
      </c>
      <c r="Y10" s="203">
        <v>1</v>
      </c>
      <c r="Z10" s="203">
        <v>1</v>
      </c>
      <c r="AA10" s="203">
        <v>1</v>
      </c>
      <c r="AB10" s="203">
        <v>1</v>
      </c>
      <c r="AC10" s="203">
        <v>1</v>
      </c>
      <c r="AD10" s="203">
        <v>0.86</v>
      </c>
      <c r="AE10" s="203">
        <v>1</v>
      </c>
      <c r="AF10" s="203">
        <v>0.75</v>
      </c>
      <c r="AG10" s="203">
        <v>1</v>
      </c>
      <c r="AH10" s="203">
        <v>0.8</v>
      </c>
      <c r="AI10" s="203">
        <v>1</v>
      </c>
      <c r="AJ10" s="203">
        <v>1</v>
      </c>
      <c r="AK10" s="203">
        <v>1</v>
      </c>
      <c r="AL10" s="203">
        <v>1</v>
      </c>
      <c r="AM10" s="203">
        <v>1</v>
      </c>
      <c r="AN10" s="203">
        <v>1</v>
      </c>
      <c r="AO10" s="203">
        <v>1</v>
      </c>
      <c r="AP10" s="203">
        <v>0.95</v>
      </c>
      <c r="AQ10" s="203">
        <v>1</v>
      </c>
      <c r="AR10" s="203">
        <v>0.95</v>
      </c>
      <c r="AS10" s="203">
        <v>1</v>
      </c>
      <c r="AT10" s="203">
        <v>0.98</v>
      </c>
      <c r="AU10" s="203">
        <v>1</v>
      </c>
      <c r="AV10" s="203">
        <v>1</v>
      </c>
      <c r="AW10" s="203">
        <v>1</v>
      </c>
      <c r="AX10" s="203">
        <v>1</v>
      </c>
      <c r="AY10" s="203">
        <v>1</v>
      </c>
      <c r="AZ10" s="203">
        <v>1</v>
      </c>
      <c r="BA10" s="203">
        <f>+AB10</f>
        <v>1</v>
      </c>
      <c r="BB10" s="203">
        <f>+AY10</f>
        <v>1</v>
      </c>
      <c r="BC10" s="203">
        <f>+AZ10</f>
        <v>1</v>
      </c>
      <c r="BD10" s="203">
        <f>+G10</f>
        <v>1</v>
      </c>
      <c r="BE10" s="203">
        <f>+AZ10</f>
        <v>1</v>
      </c>
      <c r="BF10" s="203">
        <v>1</v>
      </c>
      <c r="BG10" s="203">
        <v>1</v>
      </c>
      <c r="BH10" s="203">
        <v>1</v>
      </c>
      <c r="BI10" s="203">
        <v>1</v>
      </c>
      <c r="BJ10" s="203">
        <v>1</v>
      </c>
      <c r="BK10" s="203">
        <v>1</v>
      </c>
      <c r="BL10" s="203">
        <v>1</v>
      </c>
      <c r="BM10" s="203">
        <v>1</v>
      </c>
      <c r="BN10" s="203">
        <v>1</v>
      </c>
      <c r="BO10" s="203">
        <v>1</v>
      </c>
      <c r="BP10" s="203">
        <v>1</v>
      </c>
      <c r="BQ10" s="203">
        <v>1</v>
      </c>
      <c r="BR10" s="203">
        <v>1</v>
      </c>
      <c r="BS10" s="203">
        <v>1</v>
      </c>
      <c r="BT10" s="203">
        <v>1</v>
      </c>
      <c r="BU10" s="203">
        <v>1</v>
      </c>
      <c r="BV10" s="203">
        <v>1</v>
      </c>
      <c r="BW10" s="203">
        <v>1</v>
      </c>
      <c r="BX10" s="203">
        <v>1</v>
      </c>
      <c r="BY10" s="203">
        <v>1</v>
      </c>
      <c r="BZ10" s="203">
        <v>1</v>
      </c>
      <c r="CA10" s="203">
        <v>1</v>
      </c>
      <c r="CB10" s="203">
        <v>1</v>
      </c>
      <c r="CC10" s="203">
        <v>1</v>
      </c>
      <c r="CD10" s="203">
        <v>1</v>
      </c>
      <c r="CE10" s="203">
        <f>BF10</f>
        <v>1</v>
      </c>
      <c r="CF10" s="203">
        <f>+CC10</f>
        <v>1</v>
      </c>
      <c r="CG10" s="203">
        <f>+CD10</f>
        <v>1</v>
      </c>
      <c r="CH10" s="203">
        <f>+CC10</f>
        <v>1</v>
      </c>
      <c r="CI10" s="203">
        <f>+CD10</f>
        <v>1</v>
      </c>
      <c r="CJ10" s="168">
        <v>1</v>
      </c>
      <c r="CK10" s="168">
        <v>1</v>
      </c>
      <c r="CL10" s="203">
        <v>1</v>
      </c>
      <c r="CM10" s="168">
        <v>1</v>
      </c>
      <c r="CN10" s="203">
        <v>1</v>
      </c>
      <c r="CO10" s="168">
        <v>1</v>
      </c>
      <c r="CP10" s="203">
        <v>1</v>
      </c>
      <c r="CQ10" s="168">
        <v>1</v>
      </c>
      <c r="CR10" s="203">
        <v>1</v>
      </c>
      <c r="CS10" s="168">
        <v>1</v>
      </c>
      <c r="CT10" s="510">
        <v>1</v>
      </c>
      <c r="CU10" s="168">
        <v>1</v>
      </c>
      <c r="CV10" s="511">
        <v>1</v>
      </c>
      <c r="CW10" s="168">
        <v>1</v>
      </c>
      <c r="CX10" s="512">
        <v>1</v>
      </c>
      <c r="CY10" s="168">
        <v>1</v>
      </c>
      <c r="CZ10" s="511">
        <v>1</v>
      </c>
      <c r="DA10" s="168">
        <v>1</v>
      </c>
      <c r="DB10" s="511">
        <v>1</v>
      </c>
      <c r="DC10" s="168">
        <v>1</v>
      </c>
      <c r="DD10" s="511">
        <v>1</v>
      </c>
      <c r="DE10" s="168">
        <v>1</v>
      </c>
      <c r="DF10" s="511">
        <v>1</v>
      </c>
      <c r="DG10" s="168">
        <v>1</v>
      </c>
      <c r="DH10" s="511">
        <v>1</v>
      </c>
      <c r="DI10" s="203">
        <f>+CJ10</f>
        <v>1</v>
      </c>
      <c r="DJ10" s="203">
        <f>DG10</f>
        <v>1</v>
      </c>
      <c r="DK10" s="203">
        <f>DH10</f>
        <v>1</v>
      </c>
      <c r="DL10" s="203">
        <f>+CJ10</f>
        <v>1</v>
      </c>
      <c r="DM10" s="203">
        <f>DD10</f>
        <v>1</v>
      </c>
      <c r="DN10" s="203">
        <v>1</v>
      </c>
      <c r="DO10" s="508"/>
      <c r="DP10" s="508"/>
      <c r="DQ10" s="508"/>
      <c r="DR10" s="508"/>
      <c r="DS10" s="508"/>
      <c r="DT10" s="508"/>
      <c r="DU10" s="508"/>
      <c r="DV10" s="508"/>
      <c r="DW10" s="508"/>
      <c r="DX10" s="508"/>
      <c r="DY10" s="508"/>
      <c r="DZ10" s="508"/>
      <c r="EA10" s="508"/>
      <c r="EB10" s="508"/>
      <c r="EC10" s="508"/>
      <c r="ED10" s="508"/>
      <c r="EE10" s="508"/>
      <c r="EF10" s="508"/>
      <c r="EG10" s="507"/>
      <c r="EH10" s="507"/>
      <c r="EI10" s="507"/>
      <c r="EJ10" s="507"/>
      <c r="EK10" s="507"/>
      <c r="EL10" s="507"/>
      <c r="EM10" s="507">
        <f>EK10+EI10+EG10+EE10+EC10+EA10+DY10+DW10+DU10+DS10+DQ10+DO10</f>
        <v>0</v>
      </c>
      <c r="EN10" s="507">
        <f t="shared" ref="EN10:EN15" si="0">DO10+DQ10+DS10+DU10</f>
        <v>0</v>
      </c>
      <c r="EO10" s="507">
        <f t="shared" ref="EO10:EO15" si="1">DP10+DR10+DT10+DV10</f>
        <v>0</v>
      </c>
      <c r="EP10" s="177">
        <f>DQ10+DS10+DU10+DW10+DY10+EA10+EC10+EE10+EG10+EI10+EK10+DO10</f>
        <v>0</v>
      </c>
      <c r="EQ10" s="507">
        <f>DP10+DR10+DT10+DV10</f>
        <v>0</v>
      </c>
      <c r="ER10" s="178">
        <f>DH10/DG10</f>
        <v>1</v>
      </c>
      <c r="ES10" s="178">
        <f>+DK10/DJ10</f>
        <v>1</v>
      </c>
      <c r="ET10" s="351">
        <f>+DM10/DL10</f>
        <v>1</v>
      </c>
      <c r="EU10" s="351">
        <f>+(AA10+BE10+CI10+DK10)/(Z10+BD10+CH10+DJ10)</f>
        <v>1</v>
      </c>
      <c r="EV10" s="351">
        <f>+(AA10+BE10+CI10+DM10)/500%</f>
        <v>0.8</v>
      </c>
      <c r="EW10" s="662" t="s">
        <v>782</v>
      </c>
      <c r="EX10" s="627" t="s">
        <v>548</v>
      </c>
      <c r="EY10" s="627" t="s">
        <v>548</v>
      </c>
      <c r="EZ10" s="628" t="s">
        <v>513</v>
      </c>
      <c r="FA10" s="629" t="s">
        <v>698</v>
      </c>
      <c r="FB10" s="668"/>
      <c r="FC10" s="3"/>
    </row>
    <row r="11" spans="1:159" s="82" customFormat="1" ht="18.95" customHeight="1">
      <c r="A11" s="660"/>
      <c r="B11" s="660"/>
      <c r="C11" s="660"/>
      <c r="D11" s="660"/>
      <c r="E11" s="660"/>
      <c r="F11" s="243" t="s">
        <v>3</v>
      </c>
      <c r="G11" s="77">
        <f>+AA11+BE11+CI11+DL11+DN11</f>
        <v>9262777941</v>
      </c>
      <c r="H11" s="76">
        <v>775545944</v>
      </c>
      <c r="I11" s="77"/>
      <c r="J11" s="77"/>
      <c r="K11" s="77"/>
      <c r="L11" s="77"/>
      <c r="M11" s="77"/>
      <c r="N11" s="77"/>
      <c r="O11" s="77"/>
      <c r="P11" s="77"/>
      <c r="Q11" s="77"/>
      <c r="R11" s="77"/>
      <c r="S11" s="77"/>
      <c r="T11" s="76"/>
      <c r="U11" s="87"/>
      <c r="V11" s="87"/>
      <c r="W11" s="76">
        <v>775545944</v>
      </c>
      <c r="X11" s="76">
        <v>775545944</v>
      </c>
      <c r="Y11" s="77">
        <v>731213017</v>
      </c>
      <c r="Z11" s="76">
        <v>780545944</v>
      </c>
      <c r="AA11" s="77">
        <v>731213017</v>
      </c>
      <c r="AB11" s="76">
        <v>1564678000</v>
      </c>
      <c r="AC11" s="77">
        <v>0</v>
      </c>
      <c r="AD11" s="77">
        <v>0</v>
      </c>
      <c r="AE11" s="87">
        <v>188232000</v>
      </c>
      <c r="AF11" s="77">
        <f>188232000-AD11</f>
        <v>188232000</v>
      </c>
      <c r="AG11" s="77">
        <v>348992000</v>
      </c>
      <c r="AH11" s="77">
        <f>537224000-AF11-AD11</f>
        <v>348992000</v>
      </c>
      <c r="AI11" s="77">
        <v>127479857</v>
      </c>
      <c r="AJ11" s="77">
        <f>664703857-AH11-AF11-AD11</f>
        <v>127479857</v>
      </c>
      <c r="AK11" s="77">
        <v>0</v>
      </c>
      <c r="AL11" s="77">
        <f>664703857-AJ11-AH11-AF11-AD11</f>
        <v>0</v>
      </c>
      <c r="AM11" s="77">
        <v>206631757</v>
      </c>
      <c r="AN11" s="77">
        <v>206477896</v>
      </c>
      <c r="AO11" s="77">
        <v>0</v>
      </c>
      <c r="AP11" s="77">
        <v>0</v>
      </c>
      <c r="AQ11" s="77">
        <v>145468477</v>
      </c>
      <c r="AR11" s="77">
        <v>0</v>
      </c>
      <c r="AS11" s="77">
        <v>81311777</v>
      </c>
      <c r="AT11" s="77">
        <v>27640334</v>
      </c>
      <c r="AU11" s="77">
        <v>145468477</v>
      </c>
      <c r="AV11" s="77">
        <v>186104768</v>
      </c>
      <c r="AW11" s="77">
        <v>145468477</v>
      </c>
      <c r="AX11" s="77">
        <v>225682042</v>
      </c>
      <c r="AY11" s="77">
        <v>145468478</v>
      </c>
      <c r="AZ11" s="77">
        <v>185979723</v>
      </c>
      <c r="BA11" s="77">
        <f>AY11+AW11+AU11+AS11+AQ11+AO11+AM11+AK11+AI11+AG11+AE11+AC11</f>
        <v>1534521300</v>
      </c>
      <c r="BB11" s="77">
        <f>AC11+AE11+AG11+AI11+AK11+AM11+AO11+AQ11+AS11+AU11+AW11+AY11</f>
        <v>1534521300</v>
      </c>
      <c r="BC11" s="77">
        <f>AD11+AF11+AH11+AJ11+AL11+AN11+AP11+AR11+AT11+AV11+AX11+AZ11</f>
        <v>1496588620</v>
      </c>
      <c r="BD11" s="77">
        <f>AE11+AG11+AI11+AK11+AM11+AO11+AQ11+AS11+AU11+AW11+AY11+AC11</f>
        <v>1534521300</v>
      </c>
      <c r="BE11" s="77">
        <f>AD11+AF11+AH11+AJ11+AL11+AN11+AP11+AR11+AT11+AV11+AX11+AZ11</f>
        <v>1496588620</v>
      </c>
      <c r="BF11" s="86">
        <v>2219609000</v>
      </c>
      <c r="BG11" s="77">
        <v>1222024000</v>
      </c>
      <c r="BH11" s="77">
        <v>665963000</v>
      </c>
      <c r="BI11" s="77">
        <v>28000000</v>
      </c>
      <c r="BJ11" s="77">
        <v>0</v>
      </c>
      <c r="BK11" s="77">
        <v>744585000</v>
      </c>
      <c r="BL11" s="77">
        <v>0</v>
      </c>
      <c r="BM11" s="77">
        <v>0</v>
      </c>
      <c r="BN11" s="77">
        <v>0</v>
      </c>
      <c r="BO11" s="77">
        <v>20000000</v>
      </c>
      <c r="BP11" s="77">
        <v>112000000</v>
      </c>
      <c r="BQ11" s="77">
        <v>30000000</v>
      </c>
      <c r="BR11" s="77">
        <v>38000000</v>
      </c>
      <c r="BS11" s="77">
        <v>0</v>
      </c>
      <c r="BT11" s="77">
        <v>0</v>
      </c>
      <c r="BU11" s="77">
        <f>170000000-50000000</f>
        <v>120000000</v>
      </c>
      <c r="BV11" s="77">
        <v>0</v>
      </c>
      <c r="BW11" s="77">
        <v>-110510041</v>
      </c>
      <c r="BX11" s="77">
        <v>20312000</v>
      </c>
      <c r="BY11" s="77">
        <f>5000000+65639641</f>
        <v>70639641</v>
      </c>
      <c r="BZ11" s="77">
        <v>103978600</v>
      </c>
      <c r="CA11" s="77">
        <v>0</v>
      </c>
      <c r="CB11" s="77">
        <v>122485900</v>
      </c>
      <c r="CC11" s="77">
        <v>16000000</v>
      </c>
      <c r="CD11" s="77">
        <v>851512450</v>
      </c>
      <c r="CE11" s="77">
        <f>CC11+CA11+BY11+BW11+BU11+BS11+BQ11+BO11+BM11+BK11+BI11+BG11</f>
        <v>2140738600</v>
      </c>
      <c r="CF11" s="77">
        <f>+BG11+BI11+BK11+BM11+BO11+BQ11+BS11+BU11+BW11+BY11+CA11+CC11</f>
        <v>2140738600</v>
      </c>
      <c r="CG11" s="77">
        <f>+BH11+BJ11+BL11+BN11+BP11+BR11+BT11+BV11+BX11+BZ11+CB11+CD11</f>
        <v>1914251950</v>
      </c>
      <c r="CH11" s="76">
        <f>CC11+CA11+BY11+BW11+BU11+BS11+BQ11+BO11+BM11+BK11+BI11+BG11</f>
        <v>2140738600</v>
      </c>
      <c r="CI11" s="76">
        <f>+BH11+BJ11+BL11+BN11+BP11+BR11+BT11+BV11+BX11+BZ11+CB11+CD11</f>
        <v>1914251950</v>
      </c>
      <c r="CJ11" s="77">
        <v>1984184000</v>
      </c>
      <c r="CK11" s="77">
        <v>-261779500</v>
      </c>
      <c r="CL11" s="77">
        <v>46330000</v>
      </c>
      <c r="CM11" s="77">
        <v>100512817</v>
      </c>
      <c r="CN11" s="77">
        <v>400100000</v>
      </c>
      <c r="CO11" s="77">
        <f>104612817+12000000</f>
        <v>116612817</v>
      </c>
      <c r="CP11" s="77">
        <v>307183000</v>
      </c>
      <c r="CQ11" s="77">
        <v>104612817</v>
      </c>
      <c r="CR11" s="77">
        <v>136990000</v>
      </c>
      <c r="CS11" s="77">
        <v>104612817</v>
      </c>
      <c r="CT11" s="260">
        <v>31304000</v>
      </c>
      <c r="CU11" s="238">
        <f>104612817-1000000</f>
        <v>103612817</v>
      </c>
      <c r="CV11" s="238">
        <v>0</v>
      </c>
      <c r="CW11" s="238">
        <f>164612817+13672334</f>
        <v>178285151</v>
      </c>
      <c r="CX11" s="238">
        <v>0</v>
      </c>
      <c r="CY11" s="77">
        <v>104612817</v>
      </c>
      <c r="CZ11" s="238">
        <v>21000000</v>
      </c>
      <c r="DA11" s="238">
        <f>184612817+157028000</f>
        <v>341640817</v>
      </c>
      <c r="DB11" s="238">
        <v>142700000</v>
      </c>
      <c r="DC11" s="513">
        <f>104612817-288074680</f>
        <v>-183461863</v>
      </c>
      <c r="DD11" s="238">
        <v>0</v>
      </c>
      <c r="DE11" s="238">
        <f>24036817-19435800</f>
        <v>4601017</v>
      </c>
      <c r="DF11" s="238">
        <v>43771400</v>
      </c>
      <c r="DG11" s="238">
        <f>882731830-8764000</f>
        <v>873967830</v>
      </c>
      <c r="DH11" s="238">
        <v>452131071</v>
      </c>
      <c r="DI11" s="76">
        <f>DG11+DE11+DC11+DA11+CY11+CW11+CU11+CS11+CQ11+CO11+CM11+CK11</f>
        <v>1587830354</v>
      </c>
      <c r="DJ11" s="76">
        <f>CK11+CM11+CO11+CQ11+CS11+CU11+CW11+CY11+DA11+DC11+DE11+DG11</f>
        <v>1587830354</v>
      </c>
      <c r="DK11" s="76">
        <f>CL11+CN11+CP11+CR11+CT11+CV11+CX11+CZ11+DB11+DD11+DF11+DH11</f>
        <v>1581509471</v>
      </c>
      <c r="DL11" s="76">
        <f>CM11+CO11+CQ11+CS11+CU11+CW11+CY11+DA11+DC11+DE11+DG11+CK11</f>
        <v>1587830354</v>
      </c>
      <c r="DM11" s="76">
        <f>CN11+CP11+CR11+CT11+CV11+CX11+CZ11+DB11+DD11+DF11+DH11+CL11</f>
        <v>1581509471</v>
      </c>
      <c r="DN11" s="77">
        <v>3532894000</v>
      </c>
      <c r="DO11" s="79"/>
      <c r="DP11" s="79"/>
      <c r="DQ11" s="79"/>
      <c r="DR11" s="79"/>
      <c r="DS11" s="79"/>
      <c r="DT11" s="79"/>
      <c r="DU11" s="79"/>
      <c r="DV11" s="79"/>
      <c r="DW11" s="79"/>
      <c r="DX11" s="79"/>
      <c r="DY11" s="79"/>
      <c r="DZ11" s="79"/>
      <c r="EA11" s="79"/>
      <c r="EB11" s="79"/>
      <c r="EC11" s="79"/>
      <c r="ED11" s="79"/>
      <c r="EE11" s="79"/>
      <c r="EF11" s="79"/>
      <c r="EG11" s="79"/>
      <c r="EH11" s="79"/>
      <c r="EI11" s="79"/>
      <c r="EJ11" s="79"/>
      <c r="EK11" s="79"/>
      <c r="EL11" s="79"/>
      <c r="EM11" s="514">
        <f>EK11+EI11+EG11+EE11+EC11+EA11+DY11+DW11+DU11+DS11+DQ11+DO11</f>
        <v>0</v>
      </c>
      <c r="EN11" s="80">
        <f t="shared" si="0"/>
        <v>0</v>
      </c>
      <c r="EO11" s="80">
        <f t="shared" si="1"/>
        <v>0</v>
      </c>
      <c r="EP11" s="81">
        <f>DQ11+DS11+DU11+DW11+DY11+EA11+EC11+EE11+EG11+EI11+EK11+DO11</f>
        <v>0</v>
      </c>
      <c r="EQ11" s="80">
        <f>DP11+DR11+DT11+DV11</f>
        <v>0</v>
      </c>
      <c r="ER11" s="178">
        <f t="shared" ref="ER11:ER12" si="2">DH11/DG11</f>
        <v>0.5173314800385731</v>
      </c>
      <c r="ES11" s="143">
        <f>+DK11/DJ11</f>
        <v>0.99601916981617289</v>
      </c>
      <c r="ET11" s="344">
        <f>+DM11/DL11</f>
        <v>0.99601916981617289</v>
      </c>
      <c r="EU11" s="344">
        <f t="shared" ref="EU11:EU57" si="3">+(AA11+BE11+CI11+DK11)/(Z11+BD11+CH11+DJ11)</f>
        <v>0.94703964144864961</v>
      </c>
      <c r="EV11" s="344">
        <f t="shared" ref="EV11:EV56" si="4">+(AA11+BE11+CI11+DM11)/G11</f>
        <v>0.61790999357392451</v>
      </c>
      <c r="EW11" s="622"/>
      <c r="EX11" s="624" t="s">
        <v>548</v>
      </c>
      <c r="EY11" s="624" t="s">
        <v>548</v>
      </c>
      <c r="EZ11" s="621"/>
      <c r="FA11" s="620"/>
      <c r="FB11" s="668"/>
    </row>
    <row r="12" spans="1:159" s="82" customFormat="1" ht="18.95" customHeight="1">
      <c r="A12" s="660"/>
      <c r="B12" s="660"/>
      <c r="C12" s="660"/>
      <c r="D12" s="660"/>
      <c r="E12" s="660"/>
      <c r="F12" s="244" t="s">
        <v>205</v>
      </c>
      <c r="G12" s="77"/>
      <c r="H12" s="76">
        <v>0</v>
      </c>
      <c r="I12" s="77">
        <v>0</v>
      </c>
      <c r="J12" s="77">
        <v>0</v>
      </c>
      <c r="K12" s="77">
        <v>0</v>
      </c>
      <c r="L12" s="77">
        <v>0</v>
      </c>
      <c r="M12" s="77">
        <v>0</v>
      </c>
      <c r="N12" s="77">
        <v>0</v>
      </c>
      <c r="O12" s="77">
        <v>0</v>
      </c>
      <c r="P12" s="77">
        <v>0</v>
      </c>
      <c r="Q12" s="77">
        <v>0</v>
      </c>
      <c r="R12" s="77">
        <v>0</v>
      </c>
      <c r="S12" s="77">
        <v>0</v>
      </c>
      <c r="T12" s="76">
        <v>0</v>
      </c>
      <c r="U12" s="87">
        <v>0</v>
      </c>
      <c r="V12" s="87">
        <v>0</v>
      </c>
      <c r="W12" s="76">
        <v>0</v>
      </c>
      <c r="X12" s="76">
        <v>0</v>
      </c>
      <c r="Y12" s="76">
        <v>0</v>
      </c>
      <c r="Z12" s="76">
        <v>0</v>
      </c>
      <c r="AA12" s="77">
        <v>0</v>
      </c>
      <c r="AB12" s="76">
        <v>0</v>
      </c>
      <c r="AC12" s="87">
        <v>0</v>
      </c>
      <c r="AD12" s="77">
        <v>0</v>
      </c>
      <c r="AE12" s="77">
        <v>0</v>
      </c>
      <c r="AF12" s="77">
        <v>0</v>
      </c>
      <c r="AG12" s="77">
        <v>0</v>
      </c>
      <c r="AH12" s="77">
        <v>0</v>
      </c>
      <c r="AI12" s="77">
        <v>41026232</v>
      </c>
      <c r="AJ12" s="77">
        <v>41026232</v>
      </c>
      <c r="AK12" s="77">
        <v>77319714</v>
      </c>
      <c r="AL12" s="77">
        <f>118345946-AJ12</f>
        <v>77319714</v>
      </c>
      <c r="AM12" s="86">
        <f>+AL12+6000000</f>
        <v>83319714</v>
      </c>
      <c r="AN12" s="86">
        <v>90469225</v>
      </c>
      <c r="AO12" s="86">
        <f>+AM12+6000000</f>
        <v>89319714</v>
      </c>
      <c r="AP12" s="86">
        <v>75047610</v>
      </c>
      <c r="AQ12" s="86">
        <f>+AO12+6000000</f>
        <v>95319714</v>
      </c>
      <c r="AR12" s="86">
        <v>153699654</v>
      </c>
      <c r="AS12" s="86">
        <f>+AQ12+6000000</f>
        <v>101319714</v>
      </c>
      <c r="AT12" s="86">
        <v>91591256</v>
      </c>
      <c r="AU12" s="86">
        <f>+AS12+6000000</f>
        <v>107319714</v>
      </c>
      <c r="AV12" s="86">
        <v>87340509</v>
      </c>
      <c r="AW12" s="86">
        <f>+AU12+6000000</f>
        <v>113319714</v>
      </c>
      <c r="AX12" s="86">
        <v>175197762</v>
      </c>
      <c r="AY12" s="86">
        <f>+AW12+6000000</f>
        <v>119319714</v>
      </c>
      <c r="AZ12" s="86">
        <v>94410397</v>
      </c>
      <c r="BA12" s="77">
        <f>AY12+AW12+AU12+AS12+AQ12+AO12+AM12+AK12+AI12+AG12+AE12+AC12</f>
        <v>827583944</v>
      </c>
      <c r="BB12" s="77">
        <f>AC12+AE12+AG12+AI12+AK12+AM12+AO12+AQ12+AS12+AU12+AW12+AY12</f>
        <v>827583944</v>
      </c>
      <c r="BC12" s="77">
        <f>AD12+AF12+AH12+AJ12+AL12+AN12+AP12+AR12+AT12+AV12+AX12+AZ12</f>
        <v>886102359</v>
      </c>
      <c r="BD12" s="77">
        <f>AE12+AG12+AI12+AK12+AM12+AO12+AQ12+AS12+AU12+AW12+AY12+AC12</f>
        <v>827583944</v>
      </c>
      <c r="BE12" s="77">
        <f>AD12+AF12+AH12+AJ12+AL12+AN12+AP12+AR12+AT12+AV12+AX12+AZ12</f>
        <v>886102359</v>
      </c>
      <c r="BF12" s="77">
        <v>0</v>
      </c>
      <c r="BG12" s="77">
        <v>0</v>
      </c>
      <c r="BH12" s="77">
        <v>0</v>
      </c>
      <c r="BI12" s="77">
        <v>0</v>
      </c>
      <c r="BJ12" s="77">
        <v>14552866</v>
      </c>
      <c r="BK12" s="77">
        <v>0</v>
      </c>
      <c r="BL12" s="77">
        <v>68674033</v>
      </c>
      <c r="BM12" s="77">
        <v>0</v>
      </c>
      <c r="BN12" s="77">
        <v>78859000</v>
      </c>
      <c r="BO12" s="77">
        <v>0</v>
      </c>
      <c r="BP12" s="77">
        <v>74946000</v>
      </c>
      <c r="BQ12" s="77">
        <v>0</v>
      </c>
      <c r="BR12" s="77">
        <v>74946000</v>
      </c>
      <c r="BS12" s="77">
        <v>0</v>
      </c>
      <c r="BT12" s="77">
        <v>76437919</v>
      </c>
      <c r="BU12" s="77">
        <v>0</v>
      </c>
      <c r="BV12" s="77">
        <v>75471274</v>
      </c>
      <c r="BW12" s="77">
        <v>0</v>
      </c>
      <c r="BX12" s="77">
        <v>186183357</v>
      </c>
      <c r="BY12" s="77"/>
      <c r="BZ12" s="77">
        <v>77384356</v>
      </c>
      <c r="CA12" s="77">
        <v>0</v>
      </c>
      <c r="CB12" s="77">
        <v>70919924</v>
      </c>
      <c r="CC12" s="77">
        <v>0</v>
      </c>
      <c r="CD12" s="77">
        <v>127789651</v>
      </c>
      <c r="CE12" s="77">
        <f>CC12+CA12+BY12+BW12+BU12+BS12+BQ12+BO12+BM12+BK12+BI12+BG12</f>
        <v>0</v>
      </c>
      <c r="CF12" s="77">
        <f>+BG12+BI12+BK12+BM12+BO12+BQ12+BS12+BU12+BW12+BY12+CA12+CC12</f>
        <v>0</v>
      </c>
      <c r="CG12" s="77">
        <f>+BH12+BJ12+BL12+BN12+BP12+BR12+BT12+BV12+BX12+BZ12+CB12+CD12</f>
        <v>926164380</v>
      </c>
      <c r="CH12" s="76">
        <f>CC12+CA12+BY12+BW12+BU12+BS12+BQ12+BO12+BM12+BK12+BI12+BG12</f>
        <v>0</v>
      </c>
      <c r="CI12" s="76">
        <f>+BH12+BJ12+BL12+BN12+BP12+BR12+BT12+BV12+BX12+BZ12+CB12+CD12</f>
        <v>926164380</v>
      </c>
      <c r="CJ12" s="77">
        <v>1984184000</v>
      </c>
      <c r="CK12" s="77">
        <v>-261779500</v>
      </c>
      <c r="CL12" s="77">
        <v>0</v>
      </c>
      <c r="CM12" s="77">
        <v>100512817</v>
      </c>
      <c r="CN12" s="77">
        <v>0</v>
      </c>
      <c r="CO12" s="77">
        <f>104612817+12000000</f>
        <v>116612817</v>
      </c>
      <c r="CP12" s="77">
        <v>28638634</v>
      </c>
      <c r="CQ12" s="77">
        <v>104612817</v>
      </c>
      <c r="CR12" s="77">
        <v>81555841</v>
      </c>
      <c r="CS12" s="77">
        <v>104612817</v>
      </c>
      <c r="CT12" s="260">
        <v>89904746</v>
      </c>
      <c r="CU12" s="238">
        <f>104612817-1000000</f>
        <v>103612817</v>
      </c>
      <c r="CV12" s="238">
        <v>82279225</v>
      </c>
      <c r="CW12" s="238">
        <f>164612817+13672334</f>
        <v>178285151</v>
      </c>
      <c r="CX12" s="238">
        <v>98232381</v>
      </c>
      <c r="CY12" s="77">
        <v>104612817</v>
      </c>
      <c r="CZ12" s="238">
        <v>114947716</v>
      </c>
      <c r="DA12" s="238">
        <f>184612817+157028000</f>
        <v>341640817</v>
      </c>
      <c r="DB12" s="238">
        <v>96250478</v>
      </c>
      <c r="DC12" s="513">
        <f>104612817-288074680</f>
        <v>-183461863</v>
      </c>
      <c r="DD12" s="238">
        <v>94730527</v>
      </c>
      <c r="DE12" s="238">
        <f>24036817-19435800</f>
        <v>4601017</v>
      </c>
      <c r="DF12" s="238">
        <v>90861511</v>
      </c>
      <c r="DG12" s="238">
        <f>882731830-8764000</f>
        <v>873967830</v>
      </c>
      <c r="DH12" s="238">
        <v>144681722</v>
      </c>
      <c r="DI12" s="76">
        <f>DG12+DE12+DC12+DA12+CY12+CW12+CU12+CS12+CQ12+CO12+CM12+CK12</f>
        <v>1587830354</v>
      </c>
      <c r="DJ12" s="76">
        <f>CK12+CM12+CO12+CQ12+CS12+CU12+CW12+CY12+DA12+DC12+DE12+DG12</f>
        <v>1587830354</v>
      </c>
      <c r="DK12" s="76">
        <f>CL12+CN12+CP12+CR12+CT12+CV12+CX12+CZ12+DB12+DD12+DF12+DH12</f>
        <v>922082781</v>
      </c>
      <c r="DL12" s="76">
        <f>CM12+CO12+CQ12+CS12+CU12+CW12+CY12+DA12+DC12+DE12+DG12+CK12</f>
        <v>1587830354</v>
      </c>
      <c r="DM12" s="76">
        <f>CN12+CP12+CR12+CT12+CV12+CX12+CZ12+DB12+DD12+DF12+DH12+CL12</f>
        <v>922082781</v>
      </c>
      <c r="DN12" s="77"/>
      <c r="DO12" s="79"/>
      <c r="DP12" s="79"/>
      <c r="DQ12" s="79"/>
      <c r="DR12" s="79"/>
      <c r="DS12" s="79"/>
      <c r="DT12" s="79"/>
      <c r="DU12" s="79"/>
      <c r="DV12" s="79"/>
      <c r="DW12" s="79"/>
      <c r="DX12" s="79"/>
      <c r="DY12" s="79"/>
      <c r="DZ12" s="79"/>
      <c r="EA12" s="79"/>
      <c r="EB12" s="79"/>
      <c r="EC12" s="79"/>
      <c r="ED12" s="79"/>
      <c r="EE12" s="79"/>
      <c r="EF12" s="79"/>
      <c r="EG12" s="79"/>
      <c r="EH12" s="79"/>
      <c r="EI12" s="79"/>
      <c r="EJ12" s="79"/>
      <c r="EK12" s="79"/>
      <c r="EL12" s="79"/>
      <c r="EM12" s="514">
        <f>EI12+EG12+EE12+EC12+EA12+DY12+DW12+DU12+DS12+DQ12+DO12+EK12</f>
        <v>0</v>
      </c>
      <c r="EN12" s="80">
        <f t="shared" si="0"/>
        <v>0</v>
      </c>
      <c r="EO12" s="80">
        <f t="shared" si="1"/>
        <v>0</v>
      </c>
      <c r="EP12" s="76">
        <f>DQ12+DS12+DU12+DW12+DY12+EA12+EC12+EE12+EG12+EI12+EK12</f>
        <v>0</v>
      </c>
      <c r="EQ12" s="80">
        <f>DP12+DR12+DT12+DV12</f>
        <v>0</v>
      </c>
      <c r="ER12" s="178">
        <f t="shared" si="2"/>
        <v>0.16554582106300184</v>
      </c>
      <c r="ES12" s="143">
        <f t="shared" ref="ES12:ES57" si="5">+DK12/DJ12</f>
        <v>0.58071870126246494</v>
      </c>
      <c r="ET12" s="344">
        <f t="shared" ref="ET12:ET57" si="6">+DM12/DL12</f>
        <v>0.58071870126246494</v>
      </c>
      <c r="EU12" s="344">
        <f>+(AA12+BE12+CI12+DK12)/(Z12+BD12+CH12+DJ12)</f>
        <v>1.1320416221200988</v>
      </c>
      <c r="EV12" s="344">
        <f>IFERROR((AA12+BE12+CI12+DM12)/G12,0)</f>
        <v>0</v>
      </c>
      <c r="EW12" s="622"/>
      <c r="EX12" s="624" t="s">
        <v>548</v>
      </c>
      <c r="EY12" s="624" t="s">
        <v>548</v>
      </c>
      <c r="EZ12" s="621"/>
      <c r="FA12" s="620"/>
      <c r="FB12" s="668"/>
    </row>
    <row r="13" spans="1:159" s="78" customFormat="1" ht="18.95" customHeight="1">
      <c r="A13" s="660"/>
      <c r="B13" s="660"/>
      <c r="C13" s="660"/>
      <c r="D13" s="660"/>
      <c r="E13" s="660"/>
      <c r="F13" s="242" t="s">
        <v>41</v>
      </c>
      <c r="G13" s="75">
        <v>0</v>
      </c>
      <c r="H13" s="75">
        <v>0</v>
      </c>
      <c r="I13" s="514"/>
      <c r="J13" s="514"/>
      <c r="K13" s="514"/>
      <c r="L13" s="514"/>
      <c r="M13" s="514"/>
      <c r="N13" s="515"/>
      <c r="O13" s="514"/>
      <c r="P13" s="515"/>
      <c r="Q13" s="514"/>
      <c r="R13" s="516"/>
      <c r="S13" s="514"/>
      <c r="T13" s="515"/>
      <c r="U13" s="514"/>
      <c r="V13" s="514"/>
      <c r="W13" s="72">
        <v>0</v>
      </c>
      <c r="X13" s="72">
        <v>0</v>
      </c>
      <c r="Y13" s="72">
        <v>0</v>
      </c>
      <c r="Z13" s="72">
        <v>0</v>
      </c>
      <c r="AA13" s="72">
        <v>0</v>
      </c>
      <c r="AB13" s="72">
        <v>0</v>
      </c>
      <c r="AC13" s="72">
        <v>0</v>
      </c>
      <c r="AD13" s="72">
        <v>0</v>
      </c>
      <c r="AE13" s="72">
        <v>0</v>
      </c>
      <c r="AF13" s="72">
        <v>0</v>
      </c>
      <c r="AG13" s="72">
        <v>0</v>
      </c>
      <c r="AH13" s="72">
        <v>0</v>
      </c>
      <c r="AI13" s="72">
        <v>0</v>
      </c>
      <c r="AJ13" s="72">
        <v>0</v>
      </c>
      <c r="AK13" s="72">
        <v>0</v>
      </c>
      <c r="AL13" s="72">
        <v>0</v>
      </c>
      <c r="AM13" s="72">
        <v>0</v>
      </c>
      <c r="AN13" s="72">
        <v>0</v>
      </c>
      <c r="AO13" s="72">
        <v>0</v>
      </c>
      <c r="AP13" s="72">
        <v>0</v>
      </c>
      <c r="AQ13" s="72">
        <v>0</v>
      </c>
      <c r="AR13" s="72">
        <v>0</v>
      </c>
      <c r="AS13" s="72">
        <v>0</v>
      </c>
      <c r="AT13" s="72">
        <v>0</v>
      </c>
      <c r="AU13" s="72">
        <v>0</v>
      </c>
      <c r="AV13" s="72">
        <v>0</v>
      </c>
      <c r="AW13" s="72">
        <v>0</v>
      </c>
      <c r="AX13" s="72">
        <v>0</v>
      </c>
      <c r="AY13" s="72">
        <v>0</v>
      </c>
      <c r="AZ13" s="75">
        <v>0</v>
      </c>
      <c r="BA13" s="72">
        <f>+AB13</f>
        <v>0</v>
      </c>
      <c r="BB13" s="72">
        <f>+AY13</f>
        <v>0</v>
      </c>
      <c r="BC13" s="72">
        <f>+AZ13</f>
        <v>0</v>
      </c>
      <c r="BD13" s="72">
        <f>+G13</f>
        <v>0</v>
      </c>
      <c r="BE13" s="72">
        <f>+AZ13</f>
        <v>0</v>
      </c>
      <c r="BF13" s="72">
        <v>0</v>
      </c>
      <c r="BG13" s="72">
        <v>0</v>
      </c>
      <c r="BH13" s="72">
        <v>0</v>
      </c>
      <c r="BI13" s="72">
        <v>0</v>
      </c>
      <c r="BJ13" s="72">
        <v>0</v>
      </c>
      <c r="BK13" s="72">
        <v>0</v>
      </c>
      <c r="BL13" s="72">
        <v>0</v>
      </c>
      <c r="BM13" s="72">
        <v>0</v>
      </c>
      <c r="BN13" s="72">
        <v>0</v>
      </c>
      <c r="BO13" s="72">
        <v>0</v>
      </c>
      <c r="BP13" s="72">
        <v>0</v>
      </c>
      <c r="BQ13" s="72">
        <v>0</v>
      </c>
      <c r="BR13" s="72">
        <v>0</v>
      </c>
      <c r="BS13" s="72">
        <v>0</v>
      </c>
      <c r="BT13" s="72">
        <v>0</v>
      </c>
      <c r="BU13" s="72">
        <v>0</v>
      </c>
      <c r="BV13" s="72">
        <v>0</v>
      </c>
      <c r="BW13" s="72">
        <v>0</v>
      </c>
      <c r="BX13" s="72">
        <v>0</v>
      </c>
      <c r="BY13" s="72">
        <v>0</v>
      </c>
      <c r="BZ13" s="72">
        <v>0</v>
      </c>
      <c r="CA13" s="72">
        <v>0</v>
      </c>
      <c r="CB13" s="72">
        <v>0</v>
      </c>
      <c r="CC13" s="72">
        <v>0</v>
      </c>
      <c r="CD13" s="72">
        <v>0</v>
      </c>
      <c r="CE13" s="72">
        <f>BF13</f>
        <v>0</v>
      </c>
      <c r="CF13" s="72">
        <f>+CC13</f>
        <v>0</v>
      </c>
      <c r="CG13" s="72">
        <f>CD13</f>
        <v>0</v>
      </c>
      <c r="CH13" s="72">
        <f>+CC13</f>
        <v>0</v>
      </c>
      <c r="CI13" s="72">
        <f>+CD13</f>
        <v>0</v>
      </c>
      <c r="CJ13" s="72">
        <v>0</v>
      </c>
      <c r="CK13" s="72">
        <v>0</v>
      </c>
      <c r="CL13" s="72">
        <v>0</v>
      </c>
      <c r="CM13" s="72">
        <v>0</v>
      </c>
      <c r="CN13" s="72">
        <v>0</v>
      </c>
      <c r="CO13" s="72">
        <v>0</v>
      </c>
      <c r="CP13" s="72">
        <v>0</v>
      </c>
      <c r="CQ13" s="72">
        <v>0</v>
      </c>
      <c r="CR13" s="72">
        <v>0</v>
      </c>
      <c r="CS13" s="72">
        <v>0</v>
      </c>
      <c r="CT13" s="261">
        <v>0</v>
      </c>
      <c r="CU13" s="72">
        <v>0</v>
      </c>
      <c r="CV13" s="284">
        <v>0</v>
      </c>
      <c r="CW13" s="514">
        <v>0</v>
      </c>
      <c r="CX13" s="517">
        <v>0</v>
      </c>
      <c r="CY13" s="514">
        <v>0</v>
      </c>
      <c r="CZ13" s="284">
        <v>0</v>
      </c>
      <c r="DA13" s="514">
        <v>0</v>
      </c>
      <c r="DB13" s="284">
        <v>0</v>
      </c>
      <c r="DC13" s="514">
        <v>0</v>
      </c>
      <c r="DD13" s="284">
        <v>0</v>
      </c>
      <c r="DE13" s="72">
        <v>0</v>
      </c>
      <c r="DF13" s="284">
        <v>0</v>
      </c>
      <c r="DG13" s="514">
        <v>0</v>
      </c>
      <c r="DH13" s="284">
        <v>0</v>
      </c>
      <c r="DI13" s="72">
        <f>+CJ13</f>
        <v>0</v>
      </c>
      <c r="DJ13" s="76">
        <f>CK13+CM13+CO13+CQ13+CS13+CU13+CW13+CY13+DA13+DC13+DE13+DG13</f>
        <v>0</v>
      </c>
      <c r="DK13" s="72">
        <f>+CV13+CX13+CZ13+DB13+DD13+DF13+DH13</f>
        <v>0</v>
      </c>
      <c r="DL13" s="72">
        <f>+CK13+CM13+CO13+CQ13+CS13+CU13+CW13+CY13+DA13+DC13+DE13+DG13</f>
        <v>0</v>
      </c>
      <c r="DM13" s="72">
        <f>+CR13</f>
        <v>0</v>
      </c>
      <c r="DN13" s="72"/>
      <c r="DO13" s="518"/>
      <c r="DP13" s="518"/>
      <c r="DQ13" s="518"/>
      <c r="DR13" s="518"/>
      <c r="DS13" s="518"/>
      <c r="DT13" s="518"/>
      <c r="DU13" s="518"/>
      <c r="DV13" s="518"/>
      <c r="DW13" s="518"/>
      <c r="DX13" s="518"/>
      <c r="DY13" s="518"/>
      <c r="DZ13" s="518"/>
      <c r="EA13" s="518"/>
      <c r="EB13" s="518"/>
      <c r="EC13" s="518"/>
      <c r="ED13" s="518"/>
      <c r="EE13" s="518"/>
      <c r="EF13" s="518"/>
      <c r="EG13" s="518"/>
      <c r="EH13" s="518"/>
      <c r="EI13" s="518"/>
      <c r="EJ13" s="518"/>
      <c r="EK13" s="518"/>
      <c r="EL13" s="518"/>
      <c r="EM13" s="515">
        <f>EI13+EG13+EE13+EC13+EA13+DY13+DW13+DU13+DS13+DQ13+DO13+EK13</f>
        <v>0</v>
      </c>
      <c r="EN13" s="83">
        <f t="shared" si="0"/>
        <v>0</v>
      </c>
      <c r="EO13" s="83">
        <f t="shared" si="1"/>
        <v>0</v>
      </c>
      <c r="EP13" s="70">
        <f>DQ13+DS13+DU13+DW13+DY13+EA13+EC13+EE13+EG13+EI13+EK13</f>
        <v>0</v>
      </c>
      <c r="EQ13" s="515">
        <f>DP13+DR13+DT13+DV13</f>
        <v>0</v>
      </c>
      <c r="ER13" s="178">
        <f>IFERROR(DH13/DG13,0)</f>
        <v>0</v>
      </c>
      <c r="ES13" s="143">
        <f>IFERROR(+DK13/DJ13,0)</f>
        <v>0</v>
      </c>
      <c r="ET13" s="344">
        <f>IFERROR(+DM13/DL13,0)</f>
        <v>0</v>
      </c>
      <c r="EU13" s="344">
        <f>IFERROR((AA13+BE13+CI13+DK13)/(Z13+BD13+CH13+DJ13),0)</f>
        <v>0</v>
      </c>
      <c r="EV13" s="344">
        <f>IFERROR((AA13+BE13+CI13+DM13)/G13,0)</f>
        <v>0</v>
      </c>
      <c r="EW13" s="622"/>
      <c r="EX13" s="624" t="s">
        <v>548</v>
      </c>
      <c r="EY13" s="624" t="s">
        <v>548</v>
      </c>
      <c r="EZ13" s="621"/>
      <c r="FA13" s="620"/>
      <c r="FB13" s="668"/>
    </row>
    <row r="14" spans="1:159" s="78" customFormat="1" ht="18.95" customHeight="1">
      <c r="A14" s="660"/>
      <c r="B14" s="660"/>
      <c r="C14" s="660"/>
      <c r="D14" s="660"/>
      <c r="E14" s="660"/>
      <c r="F14" s="243" t="s">
        <v>4</v>
      </c>
      <c r="G14" s="77">
        <f>+AA14+BE14+CI14+DL14+DN14</f>
        <v>1856457960</v>
      </c>
      <c r="H14" s="76">
        <v>0</v>
      </c>
      <c r="I14" s="77"/>
      <c r="J14" s="77"/>
      <c r="K14" s="77"/>
      <c r="L14" s="77"/>
      <c r="M14" s="77"/>
      <c r="N14" s="77"/>
      <c r="O14" s="77"/>
      <c r="P14" s="77"/>
      <c r="Q14" s="77"/>
      <c r="R14" s="77"/>
      <c r="S14" s="77"/>
      <c r="T14" s="76"/>
      <c r="U14" s="87"/>
      <c r="V14" s="87"/>
      <c r="W14" s="76">
        <v>0</v>
      </c>
      <c r="X14" s="76">
        <v>0</v>
      </c>
      <c r="Y14" s="76">
        <v>0</v>
      </c>
      <c r="Z14" s="76">
        <v>0</v>
      </c>
      <c r="AA14" s="77">
        <v>0</v>
      </c>
      <c r="AB14" s="76">
        <v>349704142</v>
      </c>
      <c r="AC14" s="77">
        <v>62876122</v>
      </c>
      <c r="AD14" s="77">
        <v>62876122</v>
      </c>
      <c r="AE14" s="87">
        <v>54302358</v>
      </c>
      <c r="AF14" s="77">
        <f>117178480-AD14</f>
        <v>54302358</v>
      </c>
      <c r="AG14" s="77">
        <v>104432327</v>
      </c>
      <c r="AH14" s="77">
        <f>221610807-AF14-AD14</f>
        <v>104432327</v>
      </c>
      <c r="AI14" s="77">
        <v>5682842</v>
      </c>
      <c r="AJ14" s="77">
        <f>227293649-AH14-AF14-AD14</f>
        <v>5682842</v>
      </c>
      <c r="AK14" s="77">
        <v>80059278</v>
      </c>
      <c r="AL14" s="77">
        <f>307352927-AJ14-AH14-AF14-AD14</f>
        <v>80059278</v>
      </c>
      <c r="AM14" s="77">
        <v>16097586</v>
      </c>
      <c r="AN14" s="77">
        <v>19233596</v>
      </c>
      <c r="AO14" s="77">
        <v>0</v>
      </c>
      <c r="AP14" s="77">
        <v>0</v>
      </c>
      <c r="AQ14" s="77">
        <v>0</v>
      </c>
      <c r="AR14" s="77">
        <v>9064999</v>
      </c>
      <c r="AS14" s="77">
        <f>26253629-11970000</f>
        <v>14283629</v>
      </c>
      <c r="AT14" s="77">
        <v>755053</v>
      </c>
      <c r="AU14" s="77">
        <v>0</v>
      </c>
      <c r="AV14" s="77">
        <v>0</v>
      </c>
      <c r="AW14" s="77">
        <v>0</v>
      </c>
      <c r="AX14" s="77">
        <v>337959</v>
      </c>
      <c r="AY14" s="77">
        <v>0</v>
      </c>
      <c r="AZ14" s="77">
        <v>989608</v>
      </c>
      <c r="BA14" s="77">
        <f>AY14+AW14+AU14+AS14+AQ14+AO14+AM14+AK14+AI14+AG14+AE14+AC14</f>
        <v>337734142</v>
      </c>
      <c r="BB14" s="77">
        <f>AC14+AE14+AG14+AI14+AK14+AM14+AO14+AQ14+AS14+AU14+AW14+AY14</f>
        <v>337734142</v>
      </c>
      <c r="BC14" s="77">
        <f>AD14+AF14+AH14+AJ14+AL14+AN14+AP14+AR14+AT14+AV14+AX14+AZ14</f>
        <v>337734142</v>
      </c>
      <c r="BD14" s="77">
        <f>AE14+AG14+AI14+AK14+AM14+AO14+AQ14+AS14+AU14+AW14+AY14+AC14</f>
        <v>337734142</v>
      </c>
      <c r="BE14" s="77">
        <f>AD14+AF14+AH14+AJ14+AL14+AN14+AP14+AR14+AT14+AV14+AX14+AZ14</f>
        <v>337734142</v>
      </c>
      <c r="BF14" s="77">
        <v>557602926</v>
      </c>
      <c r="BG14" s="77">
        <v>14814800</v>
      </c>
      <c r="BH14" s="77"/>
      <c r="BI14" s="77">
        <v>86403771</v>
      </c>
      <c r="BJ14" s="77">
        <v>42955919</v>
      </c>
      <c r="BK14" s="77">
        <v>66341056</v>
      </c>
      <c r="BL14" s="77">
        <v>0</v>
      </c>
      <c r="BM14" s="77">
        <v>37348492</v>
      </c>
      <c r="BN14" s="77">
        <v>0</v>
      </c>
      <c r="BO14" s="77">
        <v>6178859</v>
      </c>
      <c r="BP14" s="77">
        <v>0</v>
      </c>
      <c r="BQ14" s="77">
        <f>121462820- 1161533</f>
        <v>120301287</v>
      </c>
      <c r="BR14" s="77">
        <v>0</v>
      </c>
      <c r="BS14" s="77">
        <f>216642665+1161533</f>
        <v>217804198</v>
      </c>
      <c r="BT14" s="77">
        <v>514647007</v>
      </c>
      <c r="BU14" s="77">
        <v>4010463</v>
      </c>
      <c r="BV14" s="77">
        <v>-1518487</v>
      </c>
      <c r="BW14" s="77">
        <f>2400000-1518491</f>
        <v>881509</v>
      </c>
      <c r="BX14" s="77">
        <v>-111746667</v>
      </c>
      <c r="BY14" s="77">
        <f>--2000000-6000000</f>
        <v>-4000000</v>
      </c>
      <c r="BZ14" s="77">
        <v>62056044</v>
      </c>
      <c r="CA14" s="77">
        <v>7518491</v>
      </c>
      <c r="CB14" s="77">
        <v>29318876</v>
      </c>
      <c r="CC14" s="77">
        <v>-7518491</v>
      </c>
      <c r="CD14" s="77">
        <v>0</v>
      </c>
      <c r="CE14" s="77">
        <f>CC14+CA14+BY14+BW14+BU14+BS14+BQ14+BO14+BM14+BK14+BI14+BG14</f>
        <v>550084435</v>
      </c>
      <c r="CF14" s="77">
        <f>+BG14+BI14+BK14+BM14+BO14+BQ14+BS14+BU14+BW14+BY14+CA14+CC14</f>
        <v>550084435</v>
      </c>
      <c r="CG14" s="77">
        <f>+BH14+BJ14+BL14+BN14+BP14+BR14+BT14+BV14+BX14+BZ14+CB14+CD14</f>
        <v>535712692</v>
      </c>
      <c r="CH14" s="76">
        <f>CC14+CA14+BY14+BW14+BU14+BS14+BQ14+BO14+BM14+BK14+BI14+BG14</f>
        <v>550084435</v>
      </c>
      <c r="CI14" s="76">
        <f>+BH14+BJ14+BL14+BN14+BP14+BR14+BT14+BV14+BX14+BZ14+CB14+CD14</f>
        <v>535712692</v>
      </c>
      <c r="CJ14" s="77">
        <v>988087570</v>
      </c>
      <c r="CK14" s="77">
        <v>21758150</v>
      </c>
      <c r="CL14" s="77">
        <v>26984507</v>
      </c>
      <c r="CM14" s="77">
        <v>118356562</v>
      </c>
      <c r="CN14" s="77">
        <v>56263467</v>
      </c>
      <c r="CO14" s="77">
        <v>120211583</v>
      </c>
      <c r="CP14" s="77">
        <v>65709409</v>
      </c>
      <c r="CQ14" s="77">
        <v>23286630</v>
      </c>
      <c r="CR14" s="77">
        <v>92786944</v>
      </c>
      <c r="CS14" s="77">
        <v>8376765</v>
      </c>
      <c r="CT14" s="260">
        <v>56768160</v>
      </c>
      <c r="CU14" s="238">
        <v>40032055</v>
      </c>
      <c r="CV14" s="238">
        <v>11168353</v>
      </c>
      <c r="CW14" s="238">
        <f>490136979-2782800</f>
        <v>487354179</v>
      </c>
      <c r="CX14" s="238">
        <v>3999670</v>
      </c>
      <c r="CY14" s="77">
        <v>6376765</v>
      </c>
      <c r="CZ14" s="238">
        <v>25273709</v>
      </c>
      <c r="DA14" s="238">
        <f>39626765-1963240</f>
        <v>37663525</v>
      </c>
      <c r="DB14" s="238">
        <v>87776000</v>
      </c>
      <c r="DC14" s="238">
        <f>37849516+202655747-202655748</f>
        <v>37849515</v>
      </c>
      <c r="DD14" s="238">
        <f>237839270-162493214</f>
        <v>75346056</v>
      </c>
      <c r="DE14" s="238">
        <v>37849516</v>
      </c>
      <c r="DF14" s="238">
        <v>219020089</v>
      </c>
      <c r="DG14" s="238">
        <f>44226284-330403</f>
        <v>43895881</v>
      </c>
      <c r="DH14" s="238">
        <v>233866582</v>
      </c>
      <c r="DI14" s="76">
        <f>DG14+DE14+DC14+DA14+CY14+CW14+CU14+CM14+CS14+CO14+CQ14+CK14</f>
        <v>983011126</v>
      </c>
      <c r="DJ14" s="76">
        <f>CK14+CM14+CO14+CQ14+CS14+CU14+CW14+CY14+DA14+DC14+DE14+DG14</f>
        <v>983011126</v>
      </c>
      <c r="DK14" s="76">
        <f>CL14+CN14+CP14+CR14+CT14+CV14+CX14+CZ14+DB14+DD14+DF14+DH14</f>
        <v>954962946</v>
      </c>
      <c r="DL14" s="76">
        <f>CM14+CO14+CQ14+CS14+CU14+CW14+CY14+DA14+DC14+DE14+DG14+CK14</f>
        <v>983011126</v>
      </c>
      <c r="DM14" s="76">
        <f>DK14</f>
        <v>954962946</v>
      </c>
      <c r="DN14" s="77"/>
      <c r="DO14" s="84"/>
      <c r="DP14" s="84"/>
      <c r="DQ14" s="84"/>
      <c r="DR14" s="84"/>
      <c r="DS14" s="84"/>
      <c r="DT14" s="84"/>
      <c r="DU14" s="84"/>
      <c r="DV14" s="84"/>
      <c r="DW14" s="84"/>
      <c r="DX14" s="84"/>
      <c r="DY14" s="84"/>
      <c r="DZ14" s="84"/>
      <c r="EA14" s="84"/>
      <c r="EB14" s="84"/>
      <c r="EC14" s="84"/>
      <c r="ED14" s="84"/>
      <c r="EE14" s="84"/>
      <c r="EF14" s="84"/>
      <c r="EG14" s="84"/>
      <c r="EH14" s="84"/>
      <c r="EI14" s="84"/>
      <c r="EJ14" s="84"/>
      <c r="EK14" s="84"/>
      <c r="EL14" s="84"/>
      <c r="EM14" s="515">
        <f>EI14+EG14+EE14+EC14+EA14+DY14+DW14+DU14+DS14+DQ14+DO14+EK14</f>
        <v>0</v>
      </c>
      <c r="EN14" s="80">
        <f t="shared" si="0"/>
        <v>0</v>
      </c>
      <c r="EO14" s="80">
        <f t="shared" si="1"/>
        <v>0</v>
      </c>
      <c r="EP14" s="76">
        <f>DQ14+DS14+DU14+DW14+DY14+EA14+EC14+EE14+EG14+EI14+EK14+DO14</f>
        <v>0</v>
      </c>
      <c r="EQ14" s="80">
        <f>DP14+DR14+DT14+DV14</f>
        <v>0</v>
      </c>
      <c r="ER14" s="178">
        <f t="shared" ref="ER14:ER58" si="7">IFERROR(DH14/DG14,0)</f>
        <v>5.3277568799678496</v>
      </c>
      <c r="ES14" s="143">
        <f>+DK14/DJ14</f>
        <v>0.97146707777954489</v>
      </c>
      <c r="ET14" s="344">
        <f t="shared" si="6"/>
        <v>0.97146707777954489</v>
      </c>
      <c r="EU14" s="344">
        <f t="shared" si="3"/>
        <v>0.97732560963086224</v>
      </c>
      <c r="EV14" s="344">
        <f t="shared" si="4"/>
        <v>0.98489156199367967</v>
      </c>
      <c r="EW14" s="622"/>
      <c r="EX14" s="624" t="s">
        <v>548</v>
      </c>
      <c r="EY14" s="624" t="s">
        <v>548</v>
      </c>
      <c r="EZ14" s="621"/>
      <c r="FA14" s="620"/>
      <c r="FB14" s="668"/>
    </row>
    <row r="15" spans="1:159" s="78" customFormat="1" ht="18.95" customHeight="1" thickBot="1">
      <c r="A15" s="660"/>
      <c r="B15" s="660"/>
      <c r="C15" s="660"/>
      <c r="D15" s="660"/>
      <c r="E15" s="660"/>
      <c r="F15" s="242" t="s">
        <v>42</v>
      </c>
      <c r="G15" s="170">
        <f>+G10+G13</f>
        <v>1</v>
      </c>
      <c r="H15" s="170">
        <f>+H10+H13</f>
        <v>1</v>
      </c>
      <c r="I15" s="519"/>
      <c r="J15" s="519"/>
      <c r="K15" s="519"/>
      <c r="L15" s="519"/>
      <c r="M15" s="519"/>
      <c r="N15" s="520"/>
      <c r="O15" s="519"/>
      <c r="P15" s="520"/>
      <c r="Q15" s="519"/>
      <c r="R15" s="521"/>
      <c r="S15" s="519"/>
      <c r="T15" s="520"/>
      <c r="U15" s="519"/>
      <c r="V15" s="519"/>
      <c r="W15" s="172">
        <f t="shared" ref="W15:AK15" si="8">+W10+W13</f>
        <v>1</v>
      </c>
      <c r="X15" s="172">
        <f t="shared" si="8"/>
        <v>1</v>
      </c>
      <c r="Y15" s="172">
        <f t="shared" si="8"/>
        <v>1</v>
      </c>
      <c r="Z15" s="172">
        <f t="shared" si="8"/>
        <v>1</v>
      </c>
      <c r="AA15" s="172">
        <f t="shared" si="8"/>
        <v>1</v>
      </c>
      <c r="AB15" s="172">
        <f t="shared" si="8"/>
        <v>1</v>
      </c>
      <c r="AC15" s="172">
        <f t="shared" si="8"/>
        <v>1</v>
      </c>
      <c r="AD15" s="172">
        <f t="shared" si="8"/>
        <v>0.86</v>
      </c>
      <c r="AE15" s="172">
        <f t="shared" si="8"/>
        <v>1</v>
      </c>
      <c r="AF15" s="172">
        <f t="shared" si="8"/>
        <v>0.75</v>
      </c>
      <c r="AG15" s="172">
        <f t="shared" si="8"/>
        <v>1</v>
      </c>
      <c r="AH15" s="172">
        <f t="shared" si="8"/>
        <v>0.8</v>
      </c>
      <c r="AI15" s="172">
        <f t="shared" si="8"/>
        <v>1</v>
      </c>
      <c r="AJ15" s="172">
        <f t="shared" si="8"/>
        <v>1</v>
      </c>
      <c r="AK15" s="172">
        <f t="shared" si="8"/>
        <v>1</v>
      </c>
      <c r="AL15" s="172">
        <f t="shared" ref="AL15:BJ15" si="9">+AL10+AL13</f>
        <v>1</v>
      </c>
      <c r="AM15" s="172">
        <f t="shared" si="9"/>
        <v>1</v>
      </c>
      <c r="AN15" s="172">
        <f t="shared" si="9"/>
        <v>1</v>
      </c>
      <c r="AO15" s="172">
        <f t="shared" si="9"/>
        <v>1</v>
      </c>
      <c r="AP15" s="172">
        <f t="shared" si="9"/>
        <v>0.95</v>
      </c>
      <c r="AQ15" s="172">
        <f t="shared" si="9"/>
        <v>1</v>
      </c>
      <c r="AR15" s="172">
        <f t="shared" si="9"/>
        <v>0.95</v>
      </c>
      <c r="AS15" s="172">
        <f t="shared" si="9"/>
        <v>1</v>
      </c>
      <c r="AT15" s="172">
        <f t="shared" si="9"/>
        <v>0.98</v>
      </c>
      <c r="AU15" s="172">
        <f t="shared" si="9"/>
        <v>1</v>
      </c>
      <c r="AV15" s="172">
        <f t="shared" si="9"/>
        <v>1</v>
      </c>
      <c r="AW15" s="172">
        <f t="shared" si="9"/>
        <v>1</v>
      </c>
      <c r="AX15" s="172">
        <f t="shared" si="9"/>
        <v>1</v>
      </c>
      <c r="AY15" s="172">
        <f t="shared" si="9"/>
        <v>1</v>
      </c>
      <c r="AZ15" s="172">
        <f t="shared" si="9"/>
        <v>1</v>
      </c>
      <c r="BA15" s="172">
        <f t="shared" si="9"/>
        <v>1</v>
      </c>
      <c r="BB15" s="172">
        <f t="shared" si="9"/>
        <v>1</v>
      </c>
      <c r="BC15" s="172">
        <f t="shared" si="9"/>
        <v>1</v>
      </c>
      <c r="BD15" s="172">
        <f t="shared" si="9"/>
        <v>1</v>
      </c>
      <c r="BE15" s="172">
        <f t="shared" si="9"/>
        <v>1</v>
      </c>
      <c r="BF15" s="172">
        <f t="shared" si="9"/>
        <v>1</v>
      </c>
      <c r="BG15" s="172">
        <f t="shared" si="9"/>
        <v>1</v>
      </c>
      <c r="BH15" s="172">
        <f t="shared" si="9"/>
        <v>1</v>
      </c>
      <c r="BI15" s="172">
        <f t="shared" si="9"/>
        <v>1</v>
      </c>
      <c r="BJ15" s="172">
        <f t="shared" si="9"/>
        <v>1</v>
      </c>
      <c r="BK15" s="172">
        <f t="shared" ref="BK15:CD15" si="10">+BK10+BK13</f>
        <v>1</v>
      </c>
      <c r="BL15" s="172">
        <f t="shared" si="10"/>
        <v>1</v>
      </c>
      <c r="BM15" s="172">
        <f t="shared" si="10"/>
        <v>1</v>
      </c>
      <c r="BN15" s="172">
        <f>+BN10+BN13</f>
        <v>1</v>
      </c>
      <c r="BO15" s="172">
        <f t="shared" si="10"/>
        <v>1</v>
      </c>
      <c r="BP15" s="172">
        <f t="shared" si="10"/>
        <v>1</v>
      </c>
      <c r="BQ15" s="172">
        <f t="shared" si="10"/>
        <v>1</v>
      </c>
      <c r="BR15" s="172">
        <f t="shared" si="10"/>
        <v>1</v>
      </c>
      <c r="BS15" s="172">
        <f t="shared" si="10"/>
        <v>1</v>
      </c>
      <c r="BT15" s="172">
        <f t="shared" si="10"/>
        <v>1</v>
      </c>
      <c r="BU15" s="172">
        <f t="shared" si="10"/>
        <v>1</v>
      </c>
      <c r="BV15" s="172">
        <f>+BV10+BV13</f>
        <v>1</v>
      </c>
      <c r="BW15" s="172">
        <f t="shared" si="10"/>
        <v>1</v>
      </c>
      <c r="BX15" s="172">
        <f t="shared" si="10"/>
        <v>1</v>
      </c>
      <c r="BY15" s="172">
        <f t="shared" si="10"/>
        <v>1</v>
      </c>
      <c r="BZ15" s="172">
        <f t="shared" si="10"/>
        <v>1</v>
      </c>
      <c r="CA15" s="172">
        <f t="shared" si="10"/>
        <v>1</v>
      </c>
      <c r="CB15" s="172">
        <f t="shared" si="10"/>
        <v>1</v>
      </c>
      <c r="CC15" s="172">
        <f t="shared" si="10"/>
        <v>1</v>
      </c>
      <c r="CD15" s="172">
        <f t="shared" si="10"/>
        <v>1</v>
      </c>
      <c r="CE15" s="172">
        <f t="shared" ref="CE15:CI16" si="11">+CE10+CE13</f>
        <v>1</v>
      </c>
      <c r="CF15" s="172">
        <f t="shared" si="11"/>
        <v>1</v>
      </c>
      <c r="CG15" s="172">
        <f t="shared" si="11"/>
        <v>1</v>
      </c>
      <c r="CH15" s="172">
        <f t="shared" si="11"/>
        <v>1</v>
      </c>
      <c r="CI15" s="172">
        <f t="shared" si="11"/>
        <v>1</v>
      </c>
      <c r="CJ15" s="170">
        <f>+CJ10+CJ13</f>
        <v>1</v>
      </c>
      <c r="CK15" s="170">
        <f>+CK10+CK13</f>
        <v>1</v>
      </c>
      <c r="CL15" s="170">
        <f t="shared" ref="CL15:DG16" si="12">+CL10+CL13</f>
        <v>1</v>
      </c>
      <c r="CM15" s="170">
        <f t="shared" si="12"/>
        <v>1</v>
      </c>
      <c r="CN15" s="170">
        <f t="shared" si="12"/>
        <v>1</v>
      </c>
      <c r="CO15" s="170">
        <f t="shared" si="12"/>
        <v>1</v>
      </c>
      <c r="CP15" s="170">
        <f>+CP10+CP13</f>
        <v>1</v>
      </c>
      <c r="CQ15" s="170">
        <f t="shared" si="12"/>
        <v>1</v>
      </c>
      <c r="CR15" s="170">
        <f t="shared" si="12"/>
        <v>1</v>
      </c>
      <c r="CS15" s="170">
        <f t="shared" si="12"/>
        <v>1</v>
      </c>
      <c r="CT15" s="262"/>
      <c r="CU15" s="170">
        <f>+CU10+CU13</f>
        <v>1</v>
      </c>
      <c r="CV15" s="170">
        <f>+CV10+CV13</f>
        <v>1</v>
      </c>
      <c r="CW15" s="170">
        <f t="shared" si="12"/>
        <v>1</v>
      </c>
      <c r="CX15" s="352">
        <f t="shared" si="12"/>
        <v>1</v>
      </c>
      <c r="CY15" s="170">
        <f>+CY10+CY13</f>
        <v>1</v>
      </c>
      <c r="CZ15" s="170">
        <f>+CZ10+CZ13</f>
        <v>1</v>
      </c>
      <c r="DA15" s="170">
        <f t="shared" si="12"/>
        <v>1</v>
      </c>
      <c r="DB15" s="352">
        <f t="shared" si="12"/>
        <v>1</v>
      </c>
      <c r="DC15" s="170">
        <f t="shared" si="12"/>
        <v>1</v>
      </c>
      <c r="DD15" s="434"/>
      <c r="DE15" s="170">
        <f t="shared" si="12"/>
        <v>1</v>
      </c>
      <c r="DF15" s="352">
        <f t="shared" si="12"/>
        <v>1</v>
      </c>
      <c r="DG15" s="170">
        <f t="shared" si="12"/>
        <v>1</v>
      </c>
      <c r="DH15" s="352">
        <f t="shared" ref="DH15:DM15" si="13">+DH10+DH13</f>
        <v>1</v>
      </c>
      <c r="DI15" s="170">
        <f t="shared" si="13"/>
        <v>1</v>
      </c>
      <c r="DJ15" s="170">
        <f>+DJ10+DJ13</f>
        <v>1</v>
      </c>
      <c r="DK15" s="170">
        <f>+DK10+DK13</f>
        <v>1</v>
      </c>
      <c r="DL15" s="170">
        <f>+DL10+DL13</f>
        <v>1</v>
      </c>
      <c r="DM15" s="170">
        <f t="shared" si="13"/>
        <v>1</v>
      </c>
      <c r="DN15" s="172">
        <f>+DN10+DN13</f>
        <v>1</v>
      </c>
      <c r="DO15" s="173"/>
      <c r="DP15" s="173"/>
      <c r="DQ15" s="173"/>
      <c r="DR15" s="173"/>
      <c r="DS15" s="173"/>
      <c r="DT15" s="173"/>
      <c r="DU15" s="173"/>
      <c r="DV15" s="173"/>
      <c r="DW15" s="173"/>
      <c r="DX15" s="173"/>
      <c r="DY15" s="173"/>
      <c r="DZ15" s="173"/>
      <c r="EA15" s="173"/>
      <c r="EB15" s="173"/>
      <c r="EC15" s="173"/>
      <c r="ED15" s="173"/>
      <c r="EE15" s="173"/>
      <c r="EF15" s="173"/>
      <c r="EG15" s="173"/>
      <c r="EH15" s="173"/>
      <c r="EI15" s="173"/>
      <c r="EJ15" s="173"/>
      <c r="EK15" s="173"/>
      <c r="EL15" s="173"/>
      <c r="EM15" s="520">
        <f>EI15+EG15+EE15+EC15+EA15+DY15+DW15+DU15+DS15+DQ15+DO15+EK15</f>
        <v>0</v>
      </c>
      <c r="EN15" s="174">
        <f t="shared" si="0"/>
        <v>0</v>
      </c>
      <c r="EO15" s="174">
        <f t="shared" si="1"/>
        <v>0</v>
      </c>
      <c r="EP15" s="175">
        <f>DQ15+DS15+DU15+DW15+DY15+EA15+EC15+EE15+EG15+EI15+EK15+DO15</f>
        <v>0</v>
      </c>
      <c r="EQ15" s="174">
        <f>DR15+DT15+DV15+DP15</f>
        <v>0</v>
      </c>
      <c r="ER15" s="454">
        <f t="shared" si="7"/>
        <v>1</v>
      </c>
      <c r="ES15" s="345">
        <f>+DK15/DJ15</f>
        <v>1</v>
      </c>
      <c r="ET15" s="346">
        <f t="shared" si="6"/>
        <v>1</v>
      </c>
      <c r="EU15" s="346">
        <f t="shared" si="3"/>
        <v>1</v>
      </c>
      <c r="EV15" s="346">
        <f>EV10</f>
        <v>0.8</v>
      </c>
      <c r="EW15" s="622"/>
      <c r="EX15" s="624" t="s">
        <v>548</v>
      </c>
      <c r="EY15" s="624" t="s">
        <v>548</v>
      </c>
      <c r="EZ15" s="621"/>
      <c r="FA15" s="620"/>
      <c r="FB15" s="668"/>
    </row>
    <row r="16" spans="1:159" s="82" customFormat="1" ht="18.95" customHeight="1" thickBot="1">
      <c r="A16" s="660"/>
      <c r="B16" s="660"/>
      <c r="C16" s="660"/>
      <c r="D16" s="660"/>
      <c r="E16" s="660"/>
      <c r="F16" s="243" t="s">
        <v>44</v>
      </c>
      <c r="G16" s="179">
        <f>+G11+G14</f>
        <v>11119235901</v>
      </c>
      <c r="H16" s="180">
        <f>+H11+H14</f>
        <v>775545944</v>
      </c>
      <c r="I16" s="180"/>
      <c r="J16" s="180"/>
      <c r="K16" s="180"/>
      <c r="L16" s="180"/>
      <c r="M16" s="180"/>
      <c r="N16" s="180"/>
      <c r="O16" s="180"/>
      <c r="P16" s="180"/>
      <c r="Q16" s="180"/>
      <c r="R16" s="180"/>
      <c r="S16" s="180"/>
      <c r="T16" s="181"/>
      <c r="U16" s="180"/>
      <c r="V16" s="180"/>
      <c r="W16" s="180">
        <f t="shared" ref="W16:AK16" si="14">+W11+W14</f>
        <v>775545944</v>
      </c>
      <c r="X16" s="180">
        <f t="shared" si="14"/>
        <v>775545944</v>
      </c>
      <c r="Y16" s="180">
        <f t="shared" si="14"/>
        <v>731213017</v>
      </c>
      <c r="Z16" s="180">
        <f t="shared" si="14"/>
        <v>780545944</v>
      </c>
      <c r="AA16" s="180">
        <f t="shared" si="14"/>
        <v>731213017</v>
      </c>
      <c r="AB16" s="180">
        <f t="shared" si="14"/>
        <v>1914382142</v>
      </c>
      <c r="AC16" s="180">
        <f t="shared" si="14"/>
        <v>62876122</v>
      </c>
      <c r="AD16" s="180">
        <f t="shared" si="14"/>
        <v>62876122</v>
      </c>
      <c r="AE16" s="180">
        <f t="shared" si="14"/>
        <v>242534358</v>
      </c>
      <c r="AF16" s="180">
        <f t="shared" si="14"/>
        <v>242534358</v>
      </c>
      <c r="AG16" s="180">
        <f t="shared" si="14"/>
        <v>453424327</v>
      </c>
      <c r="AH16" s="180">
        <f t="shared" si="14"/>
        <v>453424327</v>
      </c>
      <c r="AI16" s="180">
        <f t="shared" si="14"/>
        <v>133162699</v>
      </c>
      <c r="AJ16" s="180">
        <f t="shared" si="14"/>
        <v>133162699</v>
      </c>
      <c r="AK16" s="180">
        <f t="shared" si="14"/>
        <v>80059278</v>
      </c>
      <c r="AL16" s="180">
        <f t="shared" ref="AL16:BJ16" si="15">+AL11+AL14</f>
        <v>80059278</v>
      </c>
      <c r="AM16" s="180">
        <f t="shared" si="15"/>
        <v>222729343</v>
      </c>
      <c r="AN16" s="180">
        <f t="shared" si="15"/>
        <v>225711492</v>
      </c>
      <c r="AO16" s="180">
        <f t="shared" si="15"/>
        <v>0</v>
      </c>
      <c r="AP16" s="180">
        <f t="shared" si="15"/>
        <v>0</v>
      </c>
      <c r="AQ16" s="180">
        <f t="shared" si="15"/>
        <v>145468477</v>
      </c>
      <c r="AR16" s="180">
        <f t="shared" si="15"/>
        <v>9064999</v>
      </c>
      <c r="AS16" s="180">
        <f t="shared" si="15"/>
        <v>95595406</v>
      </c>
      <c r="AT16" s="180">
        <f t="shared" si="15"/>
        <v>28395387</v>
      </c>
      <c r="AU16" s="180">
        <f t="shared" si="15"/>
        <v>145468477</v>
      </c>
      <c r="AV16" s="180">
        <f t="shared" si="15"/>
        <v>186104768</v>
      </c>
      <c r="AW16" s="180">
        <f t="shared" si="15"/>
        <v>145468477</v>
      </c>
      <c r="AX16" s="180">
        <f t="shared" si="15"/>
        <v>226020001</v>
      </c>
      <c r="AY16" s="180">
        <f t="shared" si="15"/>
        <v>145468478</v>
      </c>
      <c r="AZ16" s="180">
        <f t="shared" si="15"/>
        <v>186969331</v>
      </c>
      <c r="BA16" s="180">
        <f t="shared" si="15"/>
        <v>1872255442</v>
      </c>
      <c r="BB16" s="180">
        <f t="shared" si="15"/>
        <v>1872255442</v>
      </c>
      <c r="BC16" s="180">
        <f t="shared" si="15"/>
        <v>1834322762</v>
      </c>
      <c r="BD16" s="180">
        <f t="shared" si="15"/>
        <v>1872255442</v>
      </c>
      <c r="BE16" s="180">
        <f t="shared" si="15"/>
        <v>1834322762</v>
      </c>
      <c r="BF16" s="180">
        <f t="shared" si="15"/>
        <v>2777211926</v>
      </c>
      <c r="BG16" s="180">
        <f t="shared" si="15"/>
        <v>1236838800</v>
      </c>
      <c r="BH16" s="180">
        <f t="shared" si="15"/>
        <v>665963000</v>
      </c>
      <c r="BI16" s="180">
        <f t="shared" si="15"/>
        <v>114403771</v>
      </c>
      <c r="BJ16" s="180">
        <f t="shared" si="15"/>
        <v>42955919</v>
      </c>
      <c r="BK16" s="180">
        <f t="shared" ref="BK16:CD16" si="16">+BK11+BK14</f>
        <v>810926056</v>
      </c>
      <c r="BL16" s="180">
        <f t="shared" si="16"/>
        <v>0</v>
      </c>
      <c r="BM16" s="180">
        <f t="shared" si="16"/>
        <v>37348492</v>
      </c>
      <c r="BN16" s="180">
        <f t="shared" si="16"/>
        <v>0</v>
      </c>
      <c r="BO16" s="180">
        <f t="shared" si="16"/>
        <v>26178859</v>
      </c>
      <c r="BP16" s="180">
        <f t="shared" si="16"/>
        <v>112000000</v>
      </c>
      <c r="BQ16" s="180">
        <f t="shared" si="16"/>
        <v>150301287</v>
      </c>
      <c r="BR16" s="180">
        <f t="shared" si="16"/>
        <v>38000000</v>
      </c>
      <c r="BS16" s="180">
        <f t="shared" si="16"/>
        <v>217804198</v>
      </c>
      <c r="BT16" s="180">
        <f t="shared" si="16"/>
        <v>514647007</v>
      </c>
      <c r="BU16" s="180">
        <f t="shared" si="16"/>
        <v>124010463</v>
      </c>
      <c r="BV16" s="180">
        <f>+BV11+BV14</f>
        <v>-1518487</v>
      </c>
      <c r="BW16" s="180">
        <f t="shared" si="16"/>
        <v>-109628532</v>
      </c>
      <c r="BX16" s="180">
        <f t="shared" si="16"/>
        <v>-91434667</v>
      </c>
      <c r="BY16" s="180">
        <f t="shared" si="16"/>
        <v>66639641</v>
      </c>
      <c r="BZ16" s="180">
        <f t="shared" si="16"/>
        <v>166034644</v>
      </c>
      <c r="CA16" s="180">
        <f t="shared" si="16"/>
        <v>7518491</v>
      </c>
      <c r="CB16" s="180">
        <f t="shared" si="16"/>
        <v>151804776</v>
      </c>
      <c r="CC16" s="180">
        <f t="shared" si="16"/>
        <v>8481509</v>
      </c>
      <c r="CD16" s="180">
        <f t="shared" si="16"/>
        <v>851512450</v>
      </c>
      <c r="CE16" s="180">
        <f t="shared" si="11"/>
        <v>2690823035</v>
      </c>
      <c r="CF16" s="180">
        <f t="shared" si="11"/>
        <v>2690823035</v>
      </c>
      <c r="CG16" s="180">
        <f t="shared" si="11"/>
        <v>2449964642</v>
      </c>
      <c r="CH16" s="181">
        <f t="shared" si="11"/>
        <v>2690823035</v>
      </c>
      <c r="CI16" s="181">
        <f>+CI11+CI14</f>
        <v>2449964642</v>
      </c>
      <c r="CJ16" s="180">
        <f>+CJ11+CJ14</f>
        <v>2972271570</v>
      </c>
      <c r="CK16" s="180">
        <f>+CK11+CK14</f>
        <v>-240021350</v>
      </c>
      <c r="CL16" s="180">
        <f t="shared" si="12"/>
        <v>73314507</v>
      </c>
      <c r="CM16" s="180">
        <f t="shared" si="12"/>
        <v>218869379</v>
      </c>
      <c r="CN16" s="180">
        <f>+CN11+CM14</f>
        <v>518456562</v>
      </c>
      <c r="CO16" s="180">
        <f t="shared" si="12"/>
        <v>236824400</v>
      </c>
      <c r="CP16" s="180">
        <f>+CP11+CP14</f>
        <v>372892409</v>
      </c>
      <c r="CQ16" s="180">
        <f t="shared" si="12"/>
        <v>127899447</v>
      </c>
      <c r="CR16" s="180">
        <f t="shared" si="12"/>
        <v>229776944</v>
      </c>
      <c r="CS16" s="180">
        <f t="shared" si="12"/>
        <v>112989582</v>
      </c>
      <c r="CT16" s="263">
        <f>+CT11+CT14</f>
        <v>88072160</v>
      </c>
      <c r="CU16" s="180">
        <f>+CU11+CU14</f>
        <v>143644872</v>
      </c>
      <c r="CV16" s="180">
        <f>+CV11+CV14</f>
        <v>11168353</v>
      </c>
      <c r="CW16" s="180">
        <f t="shared" si="12"/>
        <v>665639330</v>
      </c>
      <c r="CX16" s="354">
        <f t="shared" si="12"/>
        <v>3999670</v>
      </c>
      <c r="CY16" s="180">
        <f t="shared" si="12"/>
        <v>110989582</v>
      </c>
      <c r="CZ16" s="180">
        <f t="shared" ref="CZ16" si="17">+CZ11+CZ14</f>
        <v>46273709</v>
      </c>
      <c r="DA16" s="180">
        <f>+DA11+DA14</f>
        <v>379304342</v>
      </c>
      <c r="DB16" s="180">
        <f>+DB11+DB14</f>
        <v>230476000</v>
      </c>
      <c r="DC16" s="180">
        <f t="shared" si="12"/>
        <v>-145612348</v>
      </c>
      <c r="DD16" s="180"/>
      <c r="DE16" s="180">
        <f t="shared" si="12"/>
        <v>42450533</v>
      </c>
      <c r="DF16" s="180"/>
      <c r="DG16" s="180">
        <f t="shared" si="12"/>
        <v>917863711</v>
      </c>
      <c r="DH16" s="180">
        <f t="shared" ref="DH16:DM16" si="18">+DH11+DH14</f>
        <v>685997653</v>
      </c>
      <c r="DI16" s="180">
        <f t="shared" si="18"/>
        <v>2570841480</v>
      </c>
      <c r="DJ16" s="180">
        <f>+DJ11+DJ14</f>
        <v>2570841480</v>
      </c>
      <c r="DK16" s="180">
        <f>+DK11+DK14</f>
        <v>2536472417</v>
      </c>
      <c r="DL16" s="180">
        <f t="shared" si="18"/>
        <v>2570841480</v>
      </c>
      <c r="DM16" s="180">
        <f t="shared" si="18"/>
        <v>2536472417</v>
      </c>
      <c r="DN16" s="180">
        <f>+DN11+DN14</f>
        <v>3532894000</v>
      </c>
      <c r="DO16" s="182"/>
      <c r="DP16" s="182"/>
      <c r="DQ16" s="182"/>
      <c r="DR16" s="182"/>
      <c r="DS16" s="182"/>
      <c r="DT16" s="182"/>
      <c r="DU16" s="182"/>
      <c r="DV16" s="182"/>
      <c r="DW16" s="182"/>
      <c r="DX16" s="182"/>
      <c r="DY16" s="182"/>
      <c r="DZ16" s="182"/>
      <c r="EA16" s="182"/>
      <c r="EB16" s="182"/>
      <c r="EC16" s="182"/>
      <c r="ED16" s="182"/>
      <c r="EE16" s="182"/>
      <c r="EF16" s="182"/>
      <c r="EG16" s="182"/>
      <c r="EH16" s="182"/>
      <c r="EI16" s="182"/>
      <c r="EJ16" s="182"/>
      <c r="EK16" s="182"/>
      <c r="EL16" s="182"/>
      <c r="EM16" s="183">
        <f>EK16+EI16+EG16+EE16+EC16+EA16+DY16+DW16+DU16+DS16+DQ16+DO16</f>
        <v>0</v>
      </c>
      <c r="EN16" s="184">
        <f>+EN11+EN14</f>
        <v>0</v>
      </c>
      <c r="EO16" s="185">
        <f>EO11+EO14</f>
        <v>0</v>
      </c>
      <c r="EP16" s="184">
        <f>+EP11+EP14</f>
        <v>0</v>
      </c>
      <c r="EQ16" s="184">
        <f>+EQ11+EQ14</f>
        <v>0</v>
      </c>
      <c r="ER16" s="455">
        <f t="shared" si="7"/>
        <v>0.74738509081333537</v>
      </c>
      <c r="ES16" s="347">
        <f>+DK16/DJ16</f>
        <v>0.98663120100271606</v>
      </c>
      <c r="ET16" s="348">
        <f>+DM16/DL16</f>
        <v>0.98663120100271606</v>
      </c>
      <c r="EU16" s="349">
        <f>+(AA16+BE16+CI16+DK16)/(Z16+BD16+CH16+DJ16)</f>
        <v>0.95419867019021476</v>
      </c>
      <c r="EV16" s="456">
        <f>+(AA16+BE16+CI16+DM16)/G16</f>
        <v>0.67918091721759577</v>
      </c>
      <c r="EW16" s="623"/>
      <c r="EX16" s="624" t="s">
        <v>548</v>
      </c>
      <c r="EY16" s="624" t="s">
        <v>548</v>
      </c>
      <c r="EZ16" s="621"/>
      <c r="FA16" s="620"/>
      <c r="FB16" s="668"/>
    </row>
    <row r="17" spans="1:159" s="78" customFormat="1" ht="21.95" customHeight="1">
      <c r="A17" s="660" t="s">
        <v>292</v>
      </c>
      <c r="B17" s="660">
        <v>2</v>
      </c>
      <c r="C17" s="660" t="s">
        <v>611</v>
      </c>
      <c r="D17" s="660" t="s">
        <v>255</v>
      </c>
      <c r="E17" s="660">
        <v>272</v>
      </c>
      <c r="F17" s="242" t="s">
        <v>40</v>
      </c>
      <c r="G17" s="286">
        <f>+AA17+BE17+CI17+DL17+DN17</f>
        <v>29</v>
      </c>
      <c r="H17" s="522">
        <v>4</v>
      </c>
      <c r="I17" s="522"/>
      <c r="J17" s="522"/>
      <c r="K17" s="522"/>
      <c r="L17" s="522"/>
      <c r="M17" s="522"/>
      <c r="N17" s="522"/>
      <c r="O17" s="522"/>
      <c r="P17" s="522"/>
      <c r="Q17" s="522"/>
      <c r="R17" s="522"/>
      <c r="S17" s="522"/>
      <c r="T17" s="522"/>
      <c r="U17" s="522"/>
      <c r="V17" s="522"/>
      <c r="W17" s="522">
        <v>4</v>
      </c>
      <c r="X17" s="522">
        <v>4</v>
      </c>
      <c r="Y17" s="522">
        <v>4</v>
      </c>
      <c r="Z17" s="522">
        <v>4</v>
      </c>
      <c r="AA17" s="522">
        <v>4</v>
      </c>
      <c r="AB17" s="522">
        <v>8</v>
      </c>
      <c r="AC17" s="523">
        <v>0.2</v>
      </c>
      <c r="AD17" s="523">
        <v>0.2</v>
      </c>
      <c r="AE17" s="523">
        <v>0.25</v>
      </c>
      <c r="AF17" s="523">
        <v>0.25</v>
      </c>
      <c r="AG17" s="523">
        <v>0.55000000000000004</v>
      </c>
      <c r="AH17" s="523">
        <v>0.55000000000000004</v>
      </c>
      <c r="AI17" s="523">
        <v>0.6</v>
      </c>
      <c r="AJ17" s="523">
        <v>0.6</v>
      </c>
      <c r="AK17" s="523">
        <v>0.7</v>
      </c>
      <c r="AL17" s="523">
        <v>0.7</v>
      </c>
      <c r="AM17" s="523">
        <v>0.7</v>
      </c>
      <c r="AN17" s="523">
        <v>0.7</v>
      </c>
      <c r="AO17" s="523">
        <v>0.75</v>
      </c>
      <c r="AP17" s="523">
        <v>0.75</v>
      </c>
      <c r="AQ17" s="523">
        <v>0.85</v>
      </c>
      <c r="AR17" s="523">
        <v>0.85</v>
      </c>
      <c r="AS17" s="523">
        <v>1.05</v>
      </c>
      <c r="AT17" s="523">
        <v>1.05</v>
      </c>
      <c r="AU17" s="523">
        <v>0.85</v>
      </c>
      <c r="AV17" s="523">
        <v>0.85</v>
      </c>
      <c r="AW17" s="523">
        <v>0.6</v>
      </c>
      <c r="AX17" s="523">
        <v>0.6</v>
      </c>
      <c r="AY17" s="523">
        <v>0.9</v>
      </c>
      <c r="AZ17" s="523">
        <v>0.9</v>
      </c>
      <c r="BA17" s="522">
        <f>AY17+AW17+AU17+AS17+AQ17+AO17+AM17+AK17+AI17+AG17+AE17+AC17</f>
        <v>8</v>
      </c>
      <c r="BB17" s="522">
        <f t="shared" ref="BB17:BC21" si="19">AC17+AE17+AG17+AI17+AK17+AM17+AO17+AQ17+AS17+AU17+AW17+AY17</f>
        <v>7.9999999999999991</v>
      </c>
      <c r="BC17" s="522">
        <f t="shared" si="19"/>
        <v>7.9999999999999991</v>
      </c>
      <c r="BD17" s="522">
        <f>AE17+AG17+AI17+AK17+AM17+AO17+AQ17+AS17+AU17+AW17+AY17+AC17</f>
        <v>7.9999999999999991</v>
      </c>
      <c r="BE17" s="522">
        <f>AD17+AF17+AH17+AJ17+AL17+AN17+AP17+AR17+AT17+AV17+AX17+AZ17</f>
        <v>7.9999999999999991</v>
      </c>
      <c r="BF17" s="523">
        <v>6</v>
      </c>
      <c r="BG17" s="523">
        <v>0.2</v>
      </c>
      <c r="BH17" s="523">
        <v>0</v>
      </c>
      <c r="BI17" s="523">
        <v>0.25</v>
      </c>
      <c r="BJ17" s="523">
        <v>0.45</v>
      </c>
      <c r="BK17" s="523">
        <v>0.55000000000000004</v>
      </c>
      <c r="BL17" s="523">
        <v>0.55000000000000004</v>
      </c>
      <c r="BM17" s="523">
        <v>0.60000000000000009</v>
      </c>
      <c r="BN17" s="523">
        <v>0.6</v>
      </c>
      <c r="BO17" s="523">
        <v>0.7</v>
      </c>
      <c r="BP17" s="523">
        <v>0.7</v>
      </c>
      <c r="BQ17" s="523">
        <v>0.7</v>
      </c>
      <c r="BR17" s="523">
        <v>0.7</v>
      </c>
      <c r="BS17" s="523">
        <v>0.30000000000000004</v>
      </c>
      <c r="BT17" s="523">
        <v>0.3</v>
      </c>
      <c r="BU17" s="523">
        <v>0.2</v>
      </c>
      <c r="BV17" s="523">
        <v>0.2</v>
      </c>
      <c r="BW17" s="523">
        <v>0.6</v>
      </c>
      <c r="BX17" s="523">
        <v>0.6</v>
      </c>
      <c r="BY17" s="523">
        <f>0.6+1</f>
        <v>1.6</v>
      </c>
      <c r="BZ17" s="523">
        <v>0.6</v>
      </c>
      <c r="CA17" s="523">
        <v>0.7</v>
      </c>
      <c r="CB17" s="523">
        <v>0.7</v>
      </c>
      <c r="CC17" s="523">
        <v>0.6</v>
      </c>
      <c r="CD17" s="523">
        <v>0.6</v>
      </c>
      <c r="CE17" s="523">
        <f>CC17+CA17+BY17+BW17+BU17+BS17+BQ17+BO17+BM17+BK17+BI17+BG17</f>
        <v>7</v>
      </c>
      <c r="CF17" s="523">
        <f t="shared" ref="CF17:CG21" si="20">+BG17+BI17+BK17+BM17+BO17+BQ17+BS17+BU17+BW17+BY17+CA17+CC17</f>
        <v>6.9999999999999991</v>
      </c>
      <c r="CG17" s="176">
        <f t="shared" si="20"/>
        <v>5.9999999999999991</v>
      </c>
      <c r="CH17" s="176">
        <f>CC17+CA17+BY17+BW17+BU17+BS17+BQ17+BO17+BM17+BK17+BI17+BG17</f>
        <v>7</v>
      </c>
      <c r="CI17" s="176">
        <f>+BH17+BJ17+BL17+BN17+BP17+BR17+BT17+BV17+BX17+BZ17+CB17+CD17</f>
        <v>5.9999999999999991</v>
      </c>
      <c r="CJ17" s="523">
        <v>7</v>
      </c>
      <c r="CK17" s="523">
        <v>0.2</v>
      </c>
      <c r="CL17" s="523">
        <v>0.2</v>
      </c>
      <c r="CM17" s="523">
        <v>0.25</v>
      </c>
      <c r="CN17" s="523">
        <v>0.25</v>
      </c>
      <c r="CO17" s="523">
        <v>0.55000000000000004</v>
      </c>
      <c r="CP17" s="523">
        <v>0.55000000000000004</v>
      </c>
      <c r="CQ17" s="523">
        <v>0.6</v>
      </c>
      <c r="CR17" s="523">
        <v>0.6</v>
      </c>
      <c r="CS17" s="523">
        <v>0.7</v>
      </c>
      <c r="CT17" s="523">
        <v>0.7</v>
      </c>
      <c r="CU17" s="523">
        <v>0.7</v>
      </c>
      <c r="CV17" s="524">
        <v>0.7</v>
      </c>
      <c r="CW17" s="523">
        <v>0.2</v>
      </c>
      <c r="CX17" s="524">
        <v>0.2</v>
      </c>
      <c r="CY17" s="523">
        <v>0.25</v>
      </c>
      <c r="CZ17" s="524">
        <v>0.25</v>
      </c>
      <c r="DA17" s="523">
        <v>0.55000000000000004</v>
      </c>
      <c r="DB17" s="524">
        <v>0.55000000000000004</v>
      </c>
      <c r="DC17" s="523">
        <v>0.6</v>
      </c>
      <c r="DD17" s="524">
        <v>0.6</v>
      </c>
      <c r="DE17" s="523">
        <v>0.7</v>
      </c>
      <c r="DF17" s="524">
        <v>0.7</v>
      </c>
      <c r="DG17" s="523">
        <v>1.7</v>
      </c>
      <c r="DH17" s="524">
        <v>1.7</v>
      </c>
      <c r="DI17" s="523">
        <f>DG17+DE17+DC17+DA17+CY17+CW17+CU17+CS17+CQ17+CO17+CM17+CK17</f>
        <v>7</v>
      </c>
      <c r="DJ17" s="523">
        <f t="shared" ref="DJ17:DK20" si="21">CK17+CM17+CO17+CQ17+CS17+CU17+CW17+CY17+DA17+DC17+DE17+DG17</f>
        <v>7</v>
      </c>
      <c r="DK17" s="523">
        <f t="shared" si="21"/>
        <v>7</v>
      </c>
      <c r="DL17" s="176">
        <f>CM17+CO17+CQ17+CS17+CU17+CW17+CY17+DA17+DC17+DE17+DG17+CK17</f>
        <v>7</v>
      </c>
      <c r="DM17" s="176">
        <f>CN17+CP17+CR17+CT17+CV17+CX17+CZ17+DB17+DD17+DF17+DH17+CL17</f>
        <v>7</v>
      </c>
      <c r="DN17" s="522">
        <v>4</v>
      </c>
      <c r="DO17" s="508"/>
      <c r="DP17" s="508"/>
      <c r="DQ17" s="508"/>
      <c r="DR17" s="508"/>
      <c r="DS17" s="508"/>
      <c r="DT17" s="508"/>
      <c r="DU17" s="508"/>
      <c r="DV17" s="508"/>
      <c r="DW17" s="508"/>
      <c r="DX17" s="508"/>
      <c r="DY17" s="508"/>
      <c r="DZ17" s="508"/>
      <c r="EA17" s="508"/>
      <c r="EB17" s="508"/>
      <c r="EC17" s="508"/>
      <c r="ED17" s="508"/>
      <c r="EE17" s="508"/>
      <c r="EF17" s="508"/>
      <c r="EG17" s="507"/>
      <c r="EH17" s="507"/>
      <c r="EI17" s="507"/>
      <c r="EJ17" s="507"/>
      <c r="EK17" s="507"/>
      <c r="EL17" s="507"/>
      <c r="EM17" s="507">
        <f>EK17+EI17+EG17+EE17+EC17+EA17+DY17+DW17+DU17+DS17+DQ17+DO17</f>
        <v>0</v>
      </c>
      <c r="EN17" s="507">
        <f t="shared" ref="EN17:EN22" si="22">DO17+DQ17+DS17+DU17</f>
        <v>0</v>
      </c>
      <c r="EO17" s="507">
        <f t="shared" ref="EO17:EO22" si="23">DP17+DR17+DT17+DV17</f>
        <v>0</v>
      </c>
      <c r="EP17" s="177">
        <f>DQ17+DS17+DU17+DW17+DY17+EA17+EC17+EE17+EG17+EI17+EK17+DO17</f>
        <v>0</v>
      </c>
      <c r="EQ17" s="507">
        <f>DP17+DR17+DT17+DV17</f>
        <v>0</v>
      </c>
      <c r="ER17" s="178">
        <f t="shared" si="7"/>
        <v>1</v>
      </c>
      <c r="ES17" s="350">
        <f t="shared" si="5"/>
        <v>1</v>
      </c>
      <c r="ET17" s="351">
        <f t="shared" si="6"/>
        <v>1</v>
      </c>
      <c r="EU17" s="351">
        <f t="shared" si="3"/>
        <v>0.96153846153846156</v>
      </c>
      <c r="EV17" s="351">
        <f>+(AA17+BE17+CI17+DM17)/G17</f>
        <v>0.86206896551724133</v>
      </c>
      <c r="EW17" s="669" t="s">
        <v>776</v>
      </c>
      <c r="EX17" s="627" t="s">
        <v>548</v>
      </c>
      <c r="EY17" s="627" t="s">
        <v>548</v>
      </c>
      <c r="EZ17" s="621" t="s">
        <v>516</v>
      </c>
      <c r="FA17" s="619" t="s">
        <v>699</v>
      </c>
      <c r="FB17" s="668"/>
      <c r="FC17" s="3"/>
    </row>
    <row r="18" spans="1:159" s="82" customFormat="1" ht="21.95" customHeight="1">
      <c r="A18" s="660"/>
      <c r="B18" s="660"/>
      <c r="C18" s="660"/>
      <c r="D18" s="660"/>
      <c r="E18" s="660"/>
      <c r="F18" s="243" t="s">
        <v>3</v>
      </c>
      <c r="G18" s="77">
        <f>+AA18+BE18+CI18+DL18+DN18</f>
        <v>14987174466</v>
      </c>
      <c r="H18" s="76">
        <v>613840322</v>
      </c>
      <c r="I18" s="77"/>
      <c r="J18" s="77"/>
      <c r="K18" s="77"/>
      <c r="L18" s="77"/>
      <c r="M18" s="77"/>
      <c r="N18" s="77"/>
      <c r="O18" s="77"/>
      <c r="P18" s="77"/>
      <c r="Q18" s="77"/>
      <c r="R18" s="77"/>
      <c r="S18" s="77"/>
      <c r="T18" s="76"/>
      <c r="U18" s="87"/>
      <c r="V18" s="87"/>
      <c r="W18" s="76">
        <v>613840322</v>
      </c>
      <c r="X18" s="76">
        <v>613840322</v>
      </c>
      <c r="Y18" s="87">
        <v>670473105</v>
      </c>
      <c r="Z18" s="87">
        <v>826840322</v>
      </c>
      <c r="AA18" s="87">
        <v>670473105</v>
      </c>
      <c r="AB18" s="87">
        <v>1374057000</v>
      </c>
      <c r="AC18" s="77">
        <v>0</v>
      </c>
      <c r="AD18" s="77">
        <v>0</v>
      </c>
      <c r="AE18" s="87">
        <v>582050000</v>
      </c>
      <c r="AF18" s="77">
        <f>582050000-AD18</f>
        <v>582050000</v>
      </c>
      <c r="AG18" s="77">
        <v>539567000</v>
      </c>
      <c r="AH18" s="77">
        <f>1121617000-AF18-AD18</f>
        <v>539567000</v>
      </c>
      <c r="AI18" s="77">
        <v>94112000</v>
      </c>
      <c r="AJ18" s="77">
        <f>1215729000-AH18-AF18-AD18</f>
        <v>94112000</v>
      </c>
      <c r="AK18" s="77">
        <v>0</v>
      </c>
      <c r="AL18" s="77">
        <f>1215729000-AJ18-AH18-AF18-AD18</f>
        <v>0</v>
      </c>
      <c r="AM18" s="77">
        <v>0</v>
      </c>
      <c r="AN18" s="77">
        <v>0</v>
      </c>
      <c r="AO18" s="77">
        <v>0</v>
      </c>
      <c r="AP18" s="77">
        <v>24890000</v>
      </c>
      <c r="AQ18" s="77">
        <f>15755000+22212600</f>
        <v>37967600</v>
      </c>
      <c r="AR18" s="77">
        <v>0</v>
      </c>
      <c r="AS18" s="77">
        <f>15755000+22212600+15940314</f>
        <v>53907914</v>
      </c>
      <c r="AT18" s="77">
        <v>15763667</v>
      </c>
      <c r="AU18" s="77">
        <f>15755000+22212600</f>
        <v>37967600</v>
      </c>
      <c r="AV18" s="77">
        <v>42747866</v>
      </c>
      <c r="AW18" s="77">
        <v>22212600</v>
      </c>
      <c r="AX18" s="77">
        <v>26787667</v>
      </c>
      <c r="AY18" s="77">
        <v>22212600</v>
      </c>
      <c r="AZ18" s="77">
        <v>12430600</v>
      </c>
      <c r="BA18" s="86">
        <f>AY18+AW18+AU18+AS18+AQ18+AO18+AM18+AK18+AI18+AG18+AE18+AC18</f>
        <v>1389997314</v>
      </c>
      <c r="BB18" s="86">
        <f t="shared" si="19"/>
        <v>1389997314</v>
      </c>
      <c r="BC18" s="86">
        <f t="shared" si="19"/>
        <v>1338348800</v>
      </c>
      <c r="BD18" s="86">
        <f>AE18+AG18+AI18+AK18+AM18+AO18+AQ18+AS18+AU18+AW18+AY18+AC18</f>
        <v>1389997314</v>
      </c>
      <c r="BE18" s="86">
        <f>AD18+AF18+AH18+AJ18+AL18+AN18+AP18+AR18+AT18+AV18+AX18+AZ18</f>
        <v>1338348800</v>
      </c>
      <c r="BF18" s="86">
        <v>6130432000</v>
      </c>
      <c r="BG18" s="77">
        <v>1620441000</v>
      </c>
      <c r="BH18" s="77">
        <v>1835843000</v>
      </c>
      <c r="BI18" s="77">
        <v>0</v>
      </c>
      <c r="BJ18" s="77">
        <v>0</v>
      </c>
      <c r="BK18" s="77">
        <f>25000000+88827000</f>
        <v>113827000</v>
      </c>
      <c r="BL18" s="77">
        <v>0</v>
      </c>
      <c r="BM18" s="77">
        <v>450000000</v>
      </c>
      <c r="BN18" s="77">
        <v>0</v>
      </c>
      <c r="BO18" s="77">
        <v>0</v>
      </c>
      <c r="BP18" s="77">
        <v>0</v>
      </c>
      <c r="BQ18" s="77">
        <v>4034991000</v>
      </c>
      <c r="BR18" s="77">
        <v>90000000</v>
      </c>
      <c r="BS18" s="77">
        <v>0</v>
      </c>
      <c r="BT18" s="77">
        <v>-45866000</v>
      </c>
      <c r="BU18" s="77">
        <v>-60207700</v>
      </c>
      <c r="BV18" s="77">
        <v>0</v>
      </c>
      <c r="BW18" s="77">
        <v>-622145332</v>
      </c>
      <c r="BX18" s="77">
        <v>235812834</v>
      </c>
      <c r="BY18" s="77">
        <v>699803138</v>
      </c>
      <c r="BZ18" s="77">
        <v>220773700</v>
      </c>
      <c r="CA18" s="77">
        <v>211140743</v>
      </c>
      <c r="CB18" s="77">
        <v>2941298639</v>
      </c>
      <c r="CC18" s="77">
        <v>-456000000</v>
      </c>
      <c r="CD18" s="77">
        <v>428033688</v>
      </c>
      <c r="CE18" s="77">
        <f>CC18+CA18+BY18+BW18+BU18+BS18+BQ18+BO18+BM18+BK18+BI18+BG18</f>
        <v>5991849849</v>
      </c>
      <c r="CF18" s="77">
        <f t="shared" si="20"/>
        <v>5991849849</v>
      </c>
      <c r="CG18" s="77">
        <f t="shared" si="20"/>
        <v>5705895861</v>
      </c>
      <c r="CH18" s="76">
        <f>CC18+CA18+BY18+BW18+BU18+BS18+BQ18+BO18+BM18+BK18+BI18+BG18</f>
        <v>5991849849</v>
      </c>
      <c r="CI18" s="76">
        <f>+BH18+BJ18+BL18+BN18+BP18+BR18+BT18+BV18+BX18+BZ18+CB18+CD18</f>
        <v>5705895861</v>
      </c>
      <c r="CJ18" s="77">
        <v>3039461000</v>
      </c>
      <c r="CK18" s="77">
        <v>595021000</v>
      </c>
      <c r="CL18" s="77">
        <v>0</v>
      </c>
      <c r="CM18" s="77">
        <v>212647000</v>
      </c>
      <c r="CN18" s="77">
        <v>584274500</v>
      </c>
      <c r="CO18" s="77">
        <f>216247000-12000000</f>
        <v>204247000</v>
      </c>
      <c r="CP18" s="77">
        <v>744997500</v>
      </c>
      <c r="CQ18" s="77">
        <v>216247000</v>
      </c>
      <c r="CR18" s="77">
        <v>159940500</v>
      </c>
      <c r="CS18" s="77">
        <v>216247000</v>
      </c>
      <c r="CT18" s="260">
        <v>149985500</v>
      </c>
      <c r="CU18" s="238">
        <f>488867000+1000000</f>
        <v>489867000</v>
      </c>
      <c r="CV18" s="238">
        <v>138196398</v>
      </c>
      <c r="CW18" s="238">
        <f>374665000-36467500</f>
        <v>338197500</v>
      </c>
      <c r="CX18" s="238">
        <v>725780</v>
      </c>
      <c r="CY18" s="77">
        <f>227365000-56858500</f>
        <v>170506500</v>
      </c>
      <c r="CZ18" s="238">
        <v>725780</v>
      </c>
      <c r="DA18" s="238">
        <f>334465000+-32206000</f>
        <v>302259000</v>
      </c>
      <c r="DB18" s="238">
        <v>45782989</v>
      </c>
      <c r="DC18" s="238">
        <f>227865000+65708800</f>
        <v>293573800</v>
      </c>
      <c r="DD18" s="238">
        <v>273936697</v>
      </c>
      <c r="DE18" s="238">
        <f>32265000+8374400</f>
        <v>40639400</v>
      </c>
      <c r="DF18" s="238">
        <v>25975180</v>
      </c>
      <c r="DG18" s="238">
        <f>492581000-628286500</f>
        <v>-135705500</v>
      </c>
      <c r="DH18" s="238">
        <v>192410099</v>
      </c>
      <c r="DI18" s="76">
        <f>DG18+DE18+DC18+DA18+CY18+CW18+CU18+CS18+CQ18+CO18+CM18+CK18</f>
        <v>2943746700</v>
      </c>
      <c r="DJ18" s="76">
        <f t="shared" si="21"/>
        <v>2943746700</v>
      </c>
      <c r="DK18" s="76">
        <f t="shared" si="21"/>
        <v>2316950923</v>
      </c>
      <c r="DL18" s="76">
        <f>CM18+CO18+CQ18+CS18+CU18+CW18+CY18+DA18+DC18+DE18+DG18+CK18</f>
        <v>2943746700</v>
      </c>
      <c r="DM18" s="76">
        <f>CN18+CP18+CR18+CT18+CV18+CX18+CZ18+DB18+DD18+DF18+DH18+CL18</f>
        <v>2316950923</v>
      </c>
      <c r="DN18" s="77">
        <v>4328710000</v>
      </c>
      <c r="DO18" s="79"/>
      <c r="DP18" s="79"/>
      <c r="DQ18" s="79"/>
      <c r="DR18" s="79"/>
      <c r="DS18" s="79"/>
      <c r="DT18" s="79"/>
      <c r="DU18" s="79"/>
      <c r="DV18" s="79"/>
      <c r="DW18" s="79"/>
      <c r="DX18" s="79"/>
      <c r="DY18" s="79"/>
      <c r="DZ18" s="79"/>
      <c r="EA18" s="79"/>
      <c r="EB18" s="79"/>
      <c r="EC18" s="79"/>
      <c r="ED18" s="79"/>
      <c r="EE18" s="79"/>
      <c r="EF18" s="79"/>
      <c r="EG18" s="79"/>
      <c r="EH18" s="79"/>
      <c r="EI18" s="79"/>
      <c r="EJ18" s="79"/>
      <c r="EK18" s="79"/>
      <c r="EL18" s="79"/>
      <c r="EM18" s="514">
        <f>EK18+EI18+EG18+EE18+EC18+EA18+DY18+DW18+DU18+DS18+DQ18+DO18</f>
        <v>0</v>
      </c>
      <c r="EN18" s="80">
        <f t="shared" si="22"/>
        <v>0</v>
      </c>
      <c r="EO18" s="80">
        <f t="shared" si="23"/>
        <v>0</v>
      </c>
      <c r="EP18" s="81">
        <f>DQ18+DS18+DU18+DW18+DY18+EA18+EC18+EE18+EG18+EI18+EK18+DO18</f>
        <v>0</v>
      </c>
      <c r="EQ18" s="80">
        <f>DP18+DR18+DT18+DV18</f>
        <v>0</v>
      </c>
      <c r="ER18" s="178">
        <f t="shared" si="7"/>
        <v>-1.417850411368736</v>
      </c>
      <c r="ES18" s="143">
        <f t="shared" si="5"/>
        <v>0.78707550585109787</v>
      </c>
      <c r="ET18" s="344">
        <f t="shared" si="6"/>
        <v>0.78707550585109787</v>
      </c>
      <c r="EU18" s="344">
        <f t="shared" si="3"/>
        <v>0.89950485450903384</v>
      </c>
      <c r="EV18" s="344">
        <f t="shared" si="4"/>
        <v>0.66935023087626744</v>
      </c>
      <c r="EW18" s="669"/>
      <c r="EX18" s="624" t="s">
        <v>548</v>
      </c>
      <c r="EY18" s="624" t="s">
        <v>548</v>
      </c>
      <c r="EZ18" s="621"/>
      <c r="FA18" s="620"/>
      <c r="FB18" s="668"/>
    </row>
    <row r="19" spans="1:159" s="82" customFormat="1" ht="21.95" customHeight="1">
      <c r="A19" s="660"/>
      <c r="B19" s="660"/>
      <c r="C19" s="660"/>
      <c r="D19" s="660"/>
      <c r="E19" s="660"/>
      <c r="F19" s="244" t="s">
        <v>205</v>
      </c>
      <c r="G19" s="77"/>
      <c r="H19" s="76"/>
      <c r="I19" s="77"/>
      <c r="J19" s="77"/>
      <c r="K19" s="77"/>
      <c r="L19" s="77"/>
      <c r="M19" s="77"/>
      <c r="N19" s="77"/>
      <c r="O19" s="77"/>
      <c r="P19" s="77"/>
      <c r="Q19" s="77"/>
      <c r="R19" s="77"/>
      <c r="S19" s="77"/>
      <c r="T19" s="76"/>
      <c r="U19" s="87"/>
      <c r="V19" s="87"/>
      <c r="W19" s="76"/>
      <c r="X19" s="76"/>
      <c r="Y19" s="76"/>
      <c r="Z19" s="87"/>
      <c r="AA19" s="87"/>
      <c r="AB19" s="87"/>
      <c r="AC19" s="77">
        <v>0</v>
      </c>
      <c r="AD19" s="77">
        <v>0</v>
      </c>
      <c r="AE19" s="87">
        <v>0</v>
      </c>
      <c r="AF19" s="77">
        <v>0</v>
      </c>
      <c r="AG19" s="77">
        <v>3498367</v>
      </c>
      <c r="AH19" s="77">
        <v>3498367</v>
      </c>
      <c r="AI19" s="77">
        <v>88785267</v>
      </c>
      <c r="AJ19" s="77">
        <f>92283634-AH19</f>
        <v>88785267</v>
      </c>
      <c r="AK19" s="77">
        <v>122743101</v>
      </c>
      <c r="AL19" s="77">
        <f>211528368-AJ19-AH19</f>
        <v>119244734</v>
      </c>
      <c r="AM19" s="77">
        <v>175067700</v>
      </c>
      <c r="AN19" s="77">
        <v>175067700</v>
      </c>
      <c r="AO19" s="77">
        <v>0</v>
      </c>
      <c r="AP19" s="77">
        <v>147283000</v>
      </c>
      <c r="AQ19" s="77">
        <v>0</v>
      </c>
      <c r="AR19" s="77">
        <v>142960000</v>
      </c>
      <c r="AS19" s="77">
        <v>0</v>
      </c>
      <c r="AT19" s="77">
        <v>149431400</v>
      </c>
      <c r="AU19" s="77">
        <v>0</v>
      </c>
      <c r="AV19" s="77">
        <v>147938000</v>
      </c>
      <c r="AW19" s="77">
        <v>0</v>
      </c>
      <c r="AX19" s="77">
        <v>139522000</v>
      </c>
      <c r="AY19" s="77">
        <v>0</v>
      </c>
      <c r="AZ19" s="77">
        <v>169754698</v>
      </c>
      <c r="BA19" s="86">
        <f>AY19+AW19+AU19+AS19+AQ19+AO19+AM19+AK19+AI19+AG19+AE19+AC19</f>
        <v>390094435</v>
      </c>
      <c r="BB19" s="86">
        <f t="shared" si="19"/>
        <v>390094435</v>
      </c>
      <c r="BC19" s="86">
        <f t="shared" si="19"/>
        <v>1283485166</v>
      </c>
      <c r="BD19" s="86">
        <f>AE19+AG19+AI19+AK19+AM19+AO19+AQ19+AS19+AU19+AW19+AY19+AC19</f>
        <v>390094435</v>
      </c>
      <c r="BE19" s="86">
        <f>AD19+AF19+AH19+AJ19+AL19+AN19+AP19+AR19+AT19+AV19+AX19+AZ19</f>
        <v>1283485166</v>
      </c>
      <c r="BF19" s="77">
        <v>0</v>
      </c>
      <c r="BG19" s="77">
        <v>0</v>
      </c>
      <c r="BH19" s="77">
        <v>0</v>
      </c>
      <c r="BI19" s="77"/>
      <c r="BJ19" s="77">
        <v>3828801</v>
      </c>
      <c r="BK19" s="77"/>
      <c r="BL19" s="77">
        <v>168435968</v>
      </c>
      <c r="BM19" s="77"/>
      <c r="BN19" s="77">
        <v>230989133</v>
      </c>
      <c r="BO19" s="77"/>
      <c r="BP19" s="77">
        <v>200317933</v>
      </c>
      <c r="BQ19" s="77"/>
      <c r="BR19" s="77">
        <v>220946000</v>
      </c>
      <c r="BS19" s="77"/>
      <c r="BT19" s="77">
        <v>196290000</v>
      </c>
      <c r="BU19" s="77">
        <v>0</v>
      </c>
      <c r="BV19" s="77">
        <v>209790500</v>
      </c>
      <c r="BW19" s="77">
        <v>0</v>
      </c>
      <c r="BX19" s="77">
        <v>188565633</v>
      </c>
      <c r="BY19" s="77">
        <v>0</v>
      </c>
      <c r="BZ19" s="77">
        <v>196695592</v>
      </c>
      <c r="CA19" s="77">
        <v>0</v>
      </c>
      <c r="CB19" s="77">
        <v>2955742324</v>
      </c>
      <c r="CC19" s="77">
        <v>0</v>
      </c>
      <c r="CD19" s="77">
        <v>362171772</v>
      </c>
      <c r="CE19" s="77">
        <f>CC19+CA19+BY19+BW19+BU19+BS19+BQ19+BO19+BM19+BK19+BI19+BG19</f>
        <v>0</v>
      </c>
      <c r="CF19" s="77">
        <f t="shared" si="20"/>
        <v>0</v>
      </c>
      <c r="CG19" s="77">
        <f t="shared" si="20"/>
        <v>4933773656</v>
      </c>
      <c r="CH19" s="76">
        <f>CC19+CA19+BY19+BW19+BU19+BS19+BQ19+BO19+BM19+BK19+BI19+BG19</f>
        <v>0</v>
      </c>
      <c r="CI19" s="76">
        <f>+BH19+BJ19+BL19+BN19+BP19+BR19+BT19+BV19+BX19+BZ19+CB19+CD19</f>
        <v>4933773656</v>
      </c>
      <c r="CJ19" s="77">
        <v>3039461000</v>
      </c>
      <c r="CK19" s="77">
        <v>595021000</v>
      </c>
      <c r="CL19" s="77">
        <v>0</v>
      </c>
      <c r="CM19" s="77">
        <v>212647000</v>
      </c>
      <c r="CN19" s="77">
        <v>0</v>
      </c>
      <c r="CO19" s="77">
        <f>216247000-12000000</f>
        <v>204247000</v>
      </c>
      <c r="CP19" s="77">
        <v>31425433</v>
      </c>
      <c r="CQ19" s="77">
        <v>216247000</v>
      </c>
      <c r="CR19" s="77">
        <v>90502766</v>
      </c>
      <c r="CS19" s="77">
        <v>216247000</v>
      </c>
      <c r="CT19" s="260">
        <v>137745800</v>
      </c>
      <c r="CU19" s="238">
        <f>488867000+1000000</f>
        <v>489867000</v>
      </c>
      <c r="CV19" s="238">
        <v>150197665</v>
      </c>
      <c r="CW19" s="238">
        <f>374665000-36467500</f>
        <v>338197500</v>
      </c>
      <c r="CX19" s="238">
        <v>182693913</v>
      </c>
      <c r="CY19" s="77">
        <f>227365000-56858500</f>
        <v>170506500</v>
      </c>
      <c r="CZ19" s="238">
        <v>192703047</v>
      </c>
      <c r="DA19" s="238">
        <f>334465000+-32206000</f>
        <v>302259000</v>
      </c>
      <c r="DB19" s="238">
        <v>201791147</v>
      </c>
      <c r="DC19" s="238">
        <f>227865000+65708800</f>
        <v>293573800</v>
      </c>
      <c r="DD19" s="238">
        <v>224467287</v>
      </c>
      <c r="DE19" s="238">
        <f>32265000+8374400</f>
        <v>40639400</v>
      </c>
      <c r="DF19" s="238">
        <v>254972930</v>
      </c>
      <c r="DG19" s="238">
        <f>492581000-628286500</f>
        <v>-135705500</v>
      </c>
      <c r="DH19" s="238">
        <v>278393180</v>
      </c>
      <c r="DI19" s="76">
        <f>DG19+DE19+DC19+DA19+CY19+CW19+CU19+CS19+CQ19+CO19+CM19+CK19</f>
        <v>2943746700</v>
      </c>
      <c r="DJ19" s="76">
        <f t="shared" si="21"/>
        <v>2943746700</v>
      </c>
      <c r="DK19" s="76">
        <f t="shared" si="21"/>
        <v>1744893168</v>
      </c>
      <c r="DL19" s="76">
        <f t="shared" ref="DL19:DM19" si="24">CM19+CO19+CQ19+CS19+CU19+CW19+CY19+DA19+DC19+DE19+DG19+CK19</f>
        <v>2943746700</v>
      </c>
      <c r="DM19" s="76">
        <f t="shared" si="24"/>
        <v>1744893168</v>
      </c>
      <c r="DN19" s="77"/>
      <c r="DO19" s="79"/>
      <c r="DP19" s="79"/>
      <c r="DQ19" s="79"/>
      <c r="DR19" s="79"/>
      <c r="DS19" s="79"/>
      <c r="DT19" s="79"/>
      <c r="DU19" s="79"/>
      <c r="DV19" s="79"/>
      <c r="DW19" s="79"/>
      <c r="DX19" s="79"/>
      <c r="DY19" s="79"/>
      <c r="DZ19" s="79"/>
      <c r="EA19" s="79"/>
      <c r="EB19" s="79"/>
      <c r="EC19" s="79"/>
      <c r="ED19" s="79"/>
      <c r="EE19" s="79"/>
      <c r="EF19" s="79"/>
      <c r="EG19" s="79"/>
      <c r="EH19" s="79"/>
      <c r="EI19" s="79"/>
      <c r="EJ19" s="79"/>
      <c r="EK19" s="79"/>
      <c r="EL19" s="79"/>
      <c r="EM19" s="514">
        <f>EI19+EG19+EE19+EC19+EA19+DY19+DW19+DU19+DS19+DQ19+DO19+EK19</f>
        <v>0</v>
      </c>
      <c r="EN19" s="80">
        <f t="shared" si="22"/>
        <v>0</v>
      </c>
      <c r="EO19" s="80">
        <f t="shared" si="23"/>
        <v>0</v>
      </c>
      <c r="EP19" s="76">
        <f>DQ19+DS19+DU19+DW19+DY19+EA19+EC19+EE19+EG19+EI19+EK19</f>
        <v>0</v>
      </c>
      <c r="EQ19" s="80">
        <f>DP19+DR19+DT19+DV19</f>
        <v>0</v>
      </c>
      <c r="ER19" s="178">
        <f t="shared" si="7"/>
        <v>-2.0514509728787704</v>
      </c>
      <c r="ES19" s="143">
        <f t="shared" si="5"/>
        <v>0.59274568970217445</v>
      </c>
      <c r="ET19" s="344">
        <f t="shared" si="6"/>
        <v>0.59274568970217445</v>
      </c>
      <c r="EU19" s="344">
        <f t="shared" si="3"/>
        <v>2.3882817649617847</v>
      </c>
      <c r="EV19" s="344">
        <f>IFERROR((AA19+BE19+CI19+DM19)/G19,0)</f>
        <v>0</v>
      </c>
      <c r="EW19" s="669"/>
      <c r="EX19" s="624" t="s">
        <v>548</v>
      </c>
      <c r="EY19" s="624" t="s">
        <v>548</v>
      </c>
      <c r="EZ19" s="621"/>
      <c r="FA19" s="620"/>
      <c r="FB19" s="668"/>
    </row>
    <row r="20" spans="1:159" s="78" customFormat="1" ht="21.95" customHeight="1">
      <c r="A20" s="660"/>
      <c r="B20" s="660"/>
      <c r="C20" s="660"/>
      <c r="D20" s="660"/>
      <c r="E20" s="660"/>
      <c r="F20" s="242" t="s">
        <v>41</v>
      </c>
      <c r="G20" s="276">
        <f>+AA20+BE20+CI20+DL20+DN20</f>
        <v>1</v>
      </c>
      <c r="H20" s="515">
        <v>0</v>
      </c>
      <c r="I20" s="515"/>
      <c r="J20" s="515"/>
      <c r="K20" s="515"/>
      <c r="L20" s="515"/>
      <c r="M20" s="515"/>
      <c r="N20" s="515"/>
      <c r="O20" s="515"/>
      <c r="P20" s="515"/>
      <c r="Q20" s="515"/>
      <c r="R20" s="515"/>
      <c r="S20" s="515"/>
      <c r="T20" s="515"/>
      <c r="U20" s="515"/>
      <c r="V20" s="515"/>
      <c r="W20" s="515">
        <v>0</v>
      </c>
      <c r="X20" s="515">
        <v>0</v>
      </c>
      <c r="Y20" s="515">
        <v>0</v>
      </c>
      <c r="Z20" s="515">
        <v>0</v>
      </c>
      <c r="AA20" s="515">
        <v>0</v>
      </c>
      <c r="AB20" s="515">
        <v>0</v>
      </c>
      <c r="AC20" s="515">
        <v>0</v>
      </c>
      <c r="AD20" s="515">
        <v>0</v>
      </c>
      <c r="AE20" s="515">
        <v>0</v>
      </c>
      <c r="AF20" s="515">
        <v>0</v>
      </c>
      <c r="AG20" s="515">
        <v>0</v>
      </c>
      <c r="AH20" s="515">
        <v>0</v>
      </c>
      <c r="AI20" s="515">
        <v>0</v>
      </c>
      <c r="AJ20" s="515">
        <v>0</v>
      </c>
      <c r="AK20" s="515">
        <v>0</v>
      </c>
      <c r="AL20" s="515">
        <v>0</v>
      </c>
      <c r="AM20" s="515">
        <v>0</v>
      </c>
      <c r="AN20" s="515">
        <v>0</v>
      </c>
      <c r="AO20" s="515">
        <v>0</v>
      </c>
      <c r="AP20" s="515">
        <v>0</v>
      </c>
      <c r="AQ20" s="515">
        <v>0</v>
      </c>
      <c r="AR20" s="515">
        <v>0</v>
      </c>
      <c r="AS20" s="515">
        <v>0</v>
      </c>
      <c r="AT20" s="515">
        <v>0</v>
      </c>
      <c r="AU20" s="515">
        <v>0</v>
      </c>
      <c r="AV20" s="515">
        <v>0</v>
      </c>
      <c r="AW20" s="515">
        <v>0</v>
      </c>
      <c r="AX20" s="515">
        <v>0</v>
      </c>
      <c r="AY20" s="515">
        <v>0</v>
      </c>
      <c r="AZ20" s="515">
        <v>0</v>
      </c>
      <c r="BA20" s="515">
        <f>AY20+AW20+AU20+AS20+AQ20+AO20+AM20+AK20+AI20+AG20+AE20+AC20</f>
        <v>0</v>
      </c>
      <c r="BB20" s="515">
        <f t="shared" si="19"/>
        <v>0</v>
      </c>
      <c r="BC20" s="515">
        <f t="shared" si="19"/>
        <v>0</v>
      </c>
      <c r="BD20" s="515">
        <f>AE20+AG20+AI20+AK20+AM20+AO20+AQ20+AS20+AU20+AW20+AY20+AC20</f>
        <v>0</v>
      </c>
      <c r="BE20" s="515">
        <f>AD20+AF20+AH20+AJ20+AL20+AN20+AP20+AR20+AT20+AV20+AX20+AZ20</f>
        <v>0</v>
      </c>
      <c r="BF20" s="515">
        <v>0</v>
      </c>
      <c r="BG20" s="525">
        <v>0</v>
      </c>
      <c r="BH20" s="525">
        <v>0</v>
      </c>
      <c r="BI20" s="525">
        <v>0</v>
      </c>
      <c r="BJ20" s="525">
        <v>0</v>
      </c>
      <c r="BK20" s="525">
        <v>0</v>
      </c>
      <c r="BL20" s="525">
        <v>0</v>
      </c>
      <c r="BM20" s="525">
        <v>0</v>
      </c>
      <c r="BN20" s="525">
        <v>0</v>
      </c>
      <c r="BO20" s="525">
        <v>0</v>
      </c>
      <c r="BP20" s="525">
        <v>0</v>
      </c>
      <c r="BQ20" s="525">
        <v>0</v>
      </c>
      <c r="BR20" s="525">
        <v>0</v>
      </c>
      <c r="BS20" s="525">
        <v>0</v>
      </c>
      <c r="BT20" s="525">
        <v>0</v>
      </c>
      <c r="BU20" s="525">
        <v>0</v>
      </c>
      <c r="BV20" s="525">
        <v>0</v>
      </c>
      <c r="BW20" s="525">
        <v>0</v>
      </c>
      <c r="BX20" s="525">
        <v>0</v>
      </c>
      <c r="BY20" s="525">
        <v>0</v>
      </c>
      <c r="BZ20" s="525">
        <v>0</v>
      </c>
      <c r="CA20" s="525">
        <v>0</v>
      </c>
      <c r="CB20" s="525">
        <v>0</v>
      </c>
      <c r="CC20" s="525">
        <v>0</v>
      </c>
      <c r="CD20" s="515">
        <v>0</v>
      </c>
      <c r="CE20" s="525">
        <f>CC20+CA20+BY20+BW20+BU20+BS20+BQ20+BO20+BM20+BK20+BI20+BG20</f>
        <v>0</v>
      </c>
      <c r="CF20" s="526">
        <f t="shared" si="20"/>
        <v>0</v>
      </c>
      <c r="CG20" s="145">
        <f t="shared" si="20"/>
        <v>0</v>
      </c>
      <c r="CH20" s="144">
        <f>CC20+CA20+BY20+BW20+BU20+BS20+BQ20+BO20+BM20+BK20+BI20+BG20</f>
        <v>0</v>
      </c>
      <c r="CI20" s="145">
        <f>+BH20+BJ20+BL20+BN20+BP20+BR20+BT20+BV20+BX20+BZ20+CB20+CD20</f>
        <v>0</v>
      </c>
      <c r="CJ20" s="148">
        <v>1</v>
      </c>
      <c r="CK20" s="148">
        <v>0</v>
      </c>
      <c r="CL20" s="148">
        <v>0</v>
      </c>
      <c r="CM20" s="148">
        <v>0</v>
      </c>
      <c r="CN20" s="148">
        <v>0</v>
      </c>
      <c r="CO20" s="148">
        <v>0</v>
      </c>
      <c r="CP20" s="148">
        <v>0</v>
      </c>
      <c r="CQ20" s="148">
        <v>0</v>
      </c>
      <c r="CR20" s="525">
        <v>0</v>
      </c>
      <c r="CS20" s="169">
        <v>0</v>
      </c>
      <c r="CT20" s="525">
        <v>0</v>
      </c>
      <c r="CU20" s="169">
        <v>0</v>
      </c>
      <c r="CV20" s="527">
        <v>0</v>
      </c>
      <c r="CW20" s="525">
        <v>1</v>
      </c>
      <c r="CX20" s="527">
        <v>0</v>
      </c>
      <c r="CY20" s="169">
        <v>0</v>
      </c>
      <c r="CZ20" s="527">
        <v>0</v>
      </c>
      <c r="DA20" s="169">
        <v>0</v>
      </c>
      <c r="DB20" s="527">
        <v>0</v>
      </c>
      <c r="DC20" s="169">
        <v>0</v>
      </c>
      <c r="DD20" s="527">
        <v>1</v>
      </c>
      <c r="DE20" s="169">
        <v>0</v>
      </c>
      <c r="DF20" s="527">
        <v>0</v>
      </c>
      <c r="DG20" s="169">
        <v>0</v>
      </c>
      <c r="DH20" s="527">
        <v>0</v>
      </c>
      <c r="DI20" s="528">
        <f>DG20+DE20+DC20+CW20+CY20+CU20+CS20+CQ20+CO20+CM20+CK20</f>
        <v>1</v>
      </c>
      <c r="DJ20" s="523">
        <f t="shared" si="21"/>
        <v>1</v>
      </c>
      <c r="DK20" s="523">
        <f t="shared" si="21"/>
        <v>1</v>
      </c>
      <c r="DL20" s="523">
        <f>CK20+CM20+CO20+CQ20+CS20+CU20+CW20+CY20+DA20+DC20+DE20+DG20</f>
        <v>1</v>
      </c>
      <c r="DM20" s="529">
        <f>DK20</f>
        <v>1</v>
      </c>
      <c r="DN20" s="525"/>
      <c r="DO20" s="518"/>
      <c r="DP20" s="518"/>
      <c r="DQ20" s="518"/>
      <c r="DR20" s="518"/>
      <c r="DS20" s="518"/>
      <c r="DT20" s="518"/>
      <c r="DU20" s="518"/>
      <c r="DV20" s="518"/>
      <c r="DW20" s="518"/>
      <c r="DX20" s="518"/>
      <c r="DY20" s="518"/>
      <c r="DZ20" s="518"/>
      <c r="EA20" s="518"/>
      <c r="EB20" s="518"/>
      <c r="EC20" s="518"/>
      <c r="ED20" s="518"/>
      <c r="EE20" s="518"/>
      <c r="EF20" s="518"/>
      <c r="EG20" s="518"/>
      <c r="EH20" s="518"/>
      <c r="EI20" s="518"/>
      <c r="EJ20" s="518"/>
      <c r="EK20" s="518"/>
      <c r="EL20" s="518"/>
      <c r="EM20" s="515">
        <f>EI20+EG20+EE20+EC20+EA20+DY20+DW20+DU20+DS20+DQ20+DO20+EK20</f>
        <v>0</v>
      </c>
      <c r="EN20" s="83">
        <f t="shared" si="22"/>
        <v>0</v>
      </c>
      <c r="EO20" s="83">
        <f t="shared" si="23"/>
        <v>0</v>
      </c>
      <c r="EP20" s="70">
        <f>DQ20+DS20+DU20+DW20+DY20+EA20+EC20+EE20+EG20+EI20+EK20</f>
        <v>0</v>
      </c>
      <c r="EQ20" s="515">
        <f>DP20+DR20+DT20+DV20</f>
        <v>0</v>
      </c>
      <c r="ER20" s="178">
        <f t="shared" si="7"/>
        <v>0</v>
      </c>
      <c r="ES20" s="143">
        <f>IFERROR(+DK20/DJ20,0)</f>
        <v>1</v>
      </c>
      <c r="ET20" s="344">
        <f t="shared" si="6"/>
        <v>1</v>
      </c>
      <c r="EU20" s="344">
        <f>IFERROR((AA20+BE20+CI20+DK20)/(Z20+BD20+CH20+DJ20),0)</f>
        <v>1</v>
      </c>
      <c r="EV20" s="344">
        <f>IFERROR((AA20+BE20+CI20+DM20)/G20,0)</f>
        <v>1</v>
      </c>
      <c r="EW20" s="669"/>
      <c r="EX20" s="624" t="s">
        <v>548</v>
      </c>
      <c r="EY20" s="624" t="s">
        <v>548</v>
      </c>
      <c r="EZ20" s="621"/>
      <c r="FA20" s="620"/>
      <c r="FB20" s="668"/>
    </row>
    <row r="21" spans="1:159" s="78" customFormat="1" ht="21.95" customHeight="1">
      <c r="A21" s="660"/>
      <c r="B21" s="660"/>
      <c r="C21" s="660"/>
      <c r="D21" s="660"/>
      <c r="E21" s="660"/>
      <c r="F21" s="243" t="s">
        <v>4</v>
      </c>
      <c r="G21" s="77">
        <f>+AA21+BE21+CI21+DL21+DN21</f>
        <v>979610782</v>
      </c>
      <c r="H21" s="76">
        <v>0</v>
      </c>
      <c r="I21" s="77">
        <v>0</v>
      </c>
      <c r="J21" s="77">
        <v>0</v>
      </c>
      <c r="K21" s="77">
        <v>0</v>
      </c>
      <c r="L21" s="77">
        <v>0</v>
      </c>
      <c r="M21" s="77">
        <v>0</v>
      </c>
      <c r="N21" s="77">
        <v>0</v>
      </c>
      <c r="O21" s="77">
        <v>0</v>
      </c>
      <c r="P21" s="77">
        <v>0</v>
      </c>
      <c r="Q21" s="77">
        <v>0</v>
      </c>
      <c r="R21" s="77">
        <v>0</v>
      </c>
      <c r="S21" s="77">
        <v>0</v>
      </c>
      <c r="T21" s="76">
        <v>0</v>
      </c>
      <c r="U21" s="87">
        <v>0</v>
      </c>
      <c r="V21" s="87">
        <v>0</v>
      </c>
      <c r="W21" s="76">
        <v>0</v>
      </c>
      <c r="X21" s="76">
        <v>0</v>
      </c>
      <c r="Y21" s="76">
        <v>0</v>
      </c>
      <c r="Z21" s="87">
        <v>0</v>
      </c>
      <c r="AA21" s="87">
        <v>0</v>
      </c>
      <c r="AB21" s="87">
        <v>220512384</v>
      </c>
      <c r="AC21" s="77">
        <v>62045867</v>
      </c>
      <c r="AD21" s="77">
        <v>62045867</v>
      </c>
      <c r="AE21" s="87">
        <v>68053533</v>
      </c>
      <c r="AF21" s="77">
        <f>130099400-AD21</f>
        <v>68053533</v>
      </c>
      <c r="AG21" s="77">
        <v>10948200</v>
      </c>
      <c r="AH21" s="77">
        <f>141047600-AF21-AD21</f>
        <v>10948200</v>
      </c>
      <c r="AI21" s="77">
        <v>8101667</v>
      </c>
      <c r="AJ21" s="77">
        <f>149149267-AH21-AF21-AD21</f>
        <v>8101667</v>
      </c>
      <c r="AK21" s="77">
        <v>15903967</v>
      </c>
      <c r="AL21" s="77">
        <f>165053234-AJ21-AH21-AF21-AD21</f>
        <v>15903967</v>
      </c>
      <c r="AM21" s="77">
        <v>5571367</v>
      </c>
      <c r="AN21" s="77">
        <v>5571367</v>
      </c>
      <c r="AO21" s="77">
        <v>0</v>
      </c>
      <c r="AP21" s="77">
        <v>0</v>
      </c>
      <c r="AQ21" s="77">
        <v>49887783</v>
      </c>
      <c r="AR21" s="77">
        <v>0</v>
      </c>
      <c r="AS21" s="77">
        <v>0</v>
      </c>
      <c r="AT21" s="77">
        <v>0</v>
      </c>
      <c r="AU21" s="77">
        <v>0</v>
      </c>
      <c r="AV21" s="77">
        <v>0</v>
      </c>
      <c r="AW21" s="77">
        <v>0</v>
      </c>
      <c r="AX21" s="77">
        <v>0</v>
      </c>
      <c r="AY21" s="77">
        <v>0</v>
      </c>
      <c r="AZ21" s="77"/>
      <c r="BA21" s="86">
        <f>AY21+AW21+AU21+AS21+AQ21+AO21+AM21+AK21+AI21+AG21+AE21+AC21</f>
        <v>220512384</v>
      </c>
      <c r="BB21" s="86">
        <f t="shared" si="19"/>
        <v>220512384</v>
      </c>
      <c r="BC21" s="86">
        <f t="shared" si="19"/>
        <v>170624601</v>
      </c>
      <c r="BD21" s="86">
        <f>AE21+AG21+AI21+AK21+AM21+AO21+AQ21+AS21+AU21+AW21+AY21+AC21</f>
        <v>220512384</v>
      </c>
      <c r="BE21" s="86">
        <f>AD21+AF21+AH21+AJ21+AL21+AN21+AP21+AR21+AT21+AV21+AX21+AZ21</f>
        <v>170624601</v>
      </c>
      <c r="BF21" s="77">
        <v>54863634</v>
      </c>
      <c r="BG21" s="77">
        <v>9071666</v>
      </c>
      <c r="BH21" s="77">
        <v>0</v>
      </c>
      <c r="BI21" s="77">
        <v>45791968</v>
      </c>
      <c r="BJ21" s="77">
        <v>45990566</v>
      </c>
      <c r="BK21" s="77"/>
      <c r="BL21" s="77">
        <v>0</v>
      </c>
      <c r="BM21" s="77"/>
      <c r="BN21" s="77">
        <v>0</v>
      </c>
      <c r="BO21" s="77"/>
      <c r="BP21" s="77">
        <v>0</v>
      </c>
      <c r="BQ21" s="77"/>
      <c r="BR21" s="77">
        <v>0</v>
      </c>
      <c r="BS21" s="77">
        <v>0</v>
      </c>
      <c r="BT21" s="77">
        <v>7711535</v>
      </c>
      <c r="BU21" s="77">
        <v>0</v>
      </c>
      <c r="BV21" s="77">
        <v>0</v>
      </c>
      <c r="BW21" s="77">
        <v>-1161534</v>
      </c>
      <c r="BX21" s="77">
        <v>-2157135</v>
      </c>
      <c r="BY21" s="77">
        <v>0</v>
      </c>
      <c r="BZ21" s="77">
        <v>0</v>
      </c>
      <c r="CA21" s="77">
        <v>1161534</v>
      </c>
      <c r="CB21" s="77">
        <v>2157134</v>
      </c>
      <c r="CC21" s="77">
        <v>-1161534</v>
      </c>
      <c r="CD21" s="77">
        <v>0</v>
      </c>
      <c r="CE21" s="77">
        <f>CC21+CA21+BY21+BW21+BU21+BS21+BQ21+BO21+BM21+BK21+BI21+BG21</f>
        <v>53702100</v>
      </c>
      <c r="CF21" s="77">
        <f t="shared" si="20"/>
        <v>53702100</v>
      </c>
      <c r="CG21" s="77">
        <f t="shared" si="20"/>
        <v>53702100</v>
      </c>
      <c r="CH21" s="76">
        <f>CC21+CA21+BY21+BW21+BU21+BS21+BQ21+BO21+BM21+BK21+BI21+BG21</f>
        <v>53702100</v>
      </c>
      <c r="CI21" s="76">
        <f>+BH21+BJ21+BL21+BN21+BP21+BR21+BT21+BV21+BX21+BZ21+CB21+CD21</f>
        <v>53702100</v>
      </c>
      <c r="CJ21" s="77">
        <v>772122205</v>
      </c>
      <c r="CK21" s="77">
        <v>124423833</v>
      </c>
      <c r="CL21" s="77">
        <v>67700813</v>
      </c>
      <c r="CM21" s="77">
        <v>172585032</v>
      </c>
      <c r="CN21" s="77">
        <v>184917039</v>
      </c>
      <c r="CO21" s="77">
        <v>51200066</v>
      </c>
      <c r="CP21" s="77">
        <v>48622169</v>
      </c>
      <c r="CQ21" s="77">
        <v>13742667</v>
      </c>
      <c r="CR21" s="77">
        <v>43233800</v>
      </c>
      <c r="CS21" s="238">
        <f>6070500-8217300</f>
        <v>-2146800</v>
      </c>
      <c r="CT21" s="260">
        <v>26106736</v>
      </c>
      <c r="CU21" s="238">
        <v>-8377100</v>
      </c>
      <c r="CV21" s="238">
        <v>21016552</v>
      </c>
      <c r="CW21" s="238">
        <v>0</v>
      </c>
      <c r="CX21" s="238">
        <v>21670209</v>
      </c>
      <c r="CY21" s="238">
        <v>0</v>
      </c>
      <c r="CZ21" s="238">
        <v>9817467</v>
      </c>
      <c r="DA21" s="238">
        <f>14259915-191500</f>
        <v>14068415</v>
      </c>
      <c r="DB21" s="238">
        <v>17770473</v>
      </c>
      <c r="DC21" s="238">
        <f>14259915+28519830-28519830</f>
        <v>14259915</v>
      </c>
      <c r="DD21" s="238">
        <f>329302409-28493386</f>
        <v>300809023</v>
      </c>
      <c r="DE21" s="238">
        <v>14259915</v>
      </c>
      <c r="DF21" s="238">
        <v>0</v>
      </c>
      <c r="DG21" s="238">
        <f>361320362-52224</f>
        <v>361268138</v>
      </c>
      <c r="DH21" s="238">
        <v>0</v>
      </c>
      <c r="DI21" s="239">
        <f>DG21+DE21+DC21+DA21+CY21+CW21+CU21+CM21+CS21+CO21+CQ21+CK21</f>
        <v>755284081</v>
      </c>
      <c r="DJ21" s="76">
        <f>CK21+CM21+CO21+CQ21+CS21+CU21+CW21+CY21+DA21+DC21+DG21</f>
        <v>741024166</v>
      </c>
      <c r="DK21" s="76">
        <f>CL21+CN21+CP21+CR21+CT21+CV21+CX21+CZ21+DB21+DD21+DF21+DH21</f>
        <v>741664281</v>
      </c>
      <c r="DL21" s="76">
        <f>CM21+CO21+CQ21+CS21+CU21+CW21+CY21+DA21+DC21+DE21+DG21+CK21</f>
        <v>755284081</v>
      </c>
      <c r="DM21" s="76">
        <f>DK21</f>
        <v>741664281</v>
      </c>
      <c r="DN21" s="77"/>
      <c r="DO21" s="84"/>
      <c r="DP21" s="84"/>
      <c r="DQ21" s="84"/>
      <c r="DR21" s="84"/>
      <c r="DS21" s="84"/>
      <c r="DT21" s="84"/>
      <c r="DU21" s="84"/>
      <c r="DV21" s="84"/>
      <c r="DW21" s="84"/>
      <c r="DX21" s="84"/>
      <c r="DY21" s="84"/>
      <c r="DZ21" s="84"/>
      <c r="EA21" s="84"/>
      <c r="EB21" s="84"/>
      <c r="EC21" s="84"/>
      <c r="ED21" s="84"/>
      <c r="EE21" s="84"/>
      <c r="EF21" s="84"/>
      <c r="EG21" s="84"/>
      <c r="EH21" s="84"/>
      <c r="EI21" s="84"/>
      <c r="EJ21" s="84"/>
      <c r="EK21" s="84"/>
      <c r="EL21" s="84"/>
      <c r="EM21" s="515">
        <f>EI21+EG21+EE21+EC21+EA21+DY21+DW21+DU21+DS21+DQ21+DO21+EK21</f>
        <v>0</v>
      </c>
      <c r="EN21" s="80">
        <f t="shared" si="22"/>
        <v>0</v>
      </c>
      <c r="EO21" s="80">
        <f t="shared" si="23"/>
        <v>0</v>
      </c>
      <c r="EP21" s="76">
        <f>DQ21+DS21+DU21+DW21+DY21+EA21+EC21+EE21+EG21+EI21+EK21+DO21</f>
        <v>0</v>
      </c>
      <c r="EQ21" s="80">
        <f>DP21+DR21+DT21+DV21</f>
        <v>0</v>
      </c>
      <c r="ER21" s="178">
        <f t="shared" si="7"/>
        <v>0</v>
      </c>
      <c r="ES21" s="143">
        <f t="shared" si="5"/>
        <v>1.0008638247298403</v>
      </c>
      <c r="ET21" s="344">
        <f t="shared" si="6"/>
        <v>0.98196731489167977</v>
      </c>
      <c r="EU21" s="344">
        <f t="shared" si="3"/>
        <v>0.95149153551236454</v>
      </c>
      <c r="EV21" s="344">
        <f t="shared" si="4"/>
        <v>0.98609672305546348</v>
      </c>
      <c r="EW21" s="669"/>
      <c r="EX21" s="624" t="s">
        <v>548</v>
      </c>
      <c r="EY21" s="624" t="s">
        <v>548</v>
      </c>
      <c r="EZ21" s="621"/>
      <c r="FA21" s="620"/>
      <c r="FB21" s="668"/>
    </row>
    <row r="22" spans="1:159" s="78" customFormat="1" ht="21.95" customHeight="1" thickBot="1">
      <c r="A22" s="660"/>
      <c r="B22" s="660"/>
      <c r="C22" s="660"/>
      <c r="D22" s="660"/>
      <c r="E22" s="660"/>
      <c r="F22" s="242" t="s">
        <v>42</v>
      </c>
      <c r="G22" s="171">
        <f>+G17+G20</f>
        <v>30</v>
      </c>
      <c r="H22" s="520">
        <f>+H17+H19</f>
        <v>4</v>
      </c>
      <c r="I22" s="520"/>
      <c r="J22" s="520"/>
      <c r="K22" s="520"/>
      <c r="L22" s="520"/>
      <c r="M22" s="520"/>
      <c r="N22" s="520"/>
      <c r="O22" s="520"/>
      <c r="P22" s="520"/>
      <c r="Q22" s="520"/>
      <c r="R22" s="520"/>
      <c r="S22" s="520"/>
      <c r="T22" s="520"/>
      <c r="U22" s="520"/>
      <c r="V22" s="520"/>
      <c r="W22" s="520">
        <f>+W17+W19</f>
        <v>4</v>
      </c>
      <c r="X22" s="520">
        <f>+X17+X19</f>
        <v>4</v>
      </c>
      <c r="Y22" s="520">
        <f t="shared" ref="Y22:AM22" si="25">+Y17+Y20</f>
        <v>4</v>
      </c>
      <c r="Z22" s="520">
        <f t="shared" si="25"/>
        <v>4</v>
      </c>
      <c r="AA22" s="520">
        <f t="shared" si="25"/>
        <v>4</v>
      </c>
      <c r="AB22" s="520">
        <f t="shared" si="25"/>
        <v>8</v>
      </c>
      <c r="AC22" s="520">
        <f t="shared" si="25"/>
        <v>0.2</v>
      </c>
      <c r="AD22" s="520">
        <f t="shared" si="25"/>
        <v>0.2</v>
      </c>
      <c r="AE22" s="520">
        <f t="shared" si="25"/>
        <v>0.25</v>
      </c>
      <c r="AF22" s="520">
        <f t="shared" si="25"/>
        <v>0.25</v>
      </c>
      <c r="AG22" s="520">
        <f t="shared" si="25"/>
        <v>0.55000000000000004</v>
      </c>
      <c r="AH22" s="520">
        <f t="shared" si="25"/>
        <v>0.55000000000000004</v>
      </c>
      <c r="AI22" s="520">
        <f t="shared" si="25"/>
        <v>0.6</v>
      </c>
      <c r="AJ22" s="520">
        <f t="shared" si="25"/>
        <v>0.6</v>
      </c>
      <c r="AK22" s="520">
        <f t="shared" si="25"/>
        <v>0.7</v>
      </c>
      <c r="AL22" s="520">
        <f t="shared" si="25"/>
        <v>0.7</v>
      </c>
      <c r="AM22" s="520">
        <f t="shared" si="25"/>
        <v>0.7</v>
      </c>
      <c r="AN22" s="520">
        <f>+AN17+AN20</f>
        <v>0.7</v>
      </c>
      <c r="AO22" s="520">
        <f t="shared" ref="AO22:AQ23" si="26">+AO17+AO20</f>
        <v>0.75</v>
      </c>
      <c r="AP22" s="520">
        <f t="shared" si="26"/>
        <v>0.75</v>
      </c>
      <c r="AQ22" s="520">
        <f t="shared" si="26"/>
        <v>0.85</v>
      </c>
      <c r="AR22" s="520">
        <f>+AR17+AR20</f>
        <v>0.85</v>
      </c>
      <c r="AS22" s="520">
        <f t="shared" ref="AS22:AU23" si="27">+AS17+AS20</f>
        <v>1.05</v>
      </c>
      <c r="AT22" s="520">
        <f t="shared" si="27"/>
        <v>1.05</v>
      </c>
      <c r="AU22" s="520">
        <f t="shared" si="27"/>
        <v>0.85</v>
      </c>
      <c r="AV22" s="520">
        <f t="shared" ref="AV22:AZ23" si="28">+AV17+AV20</f>
        <v>0.85</v>
      </c>
      <c r="AW22" s="520">
        <f t="shared" si="28"/>
        <v>0.6</v>
      </c>
      <c r="AX22" s="520">
        <f t="shared" si="28"/>
        <v>0.6</v>
      </c>
      <c r="AY22" s="520">
        <f t="shared" si="28"/>
        <v>0.9</v>
      </c>
      <c r="AZ22" s="520">
        <f t="shared" si="28"/>
        <v>0.9</v>
      </c>
      <c r="BA22" s="520">
        <f t="shared" ref="BA22:BE23" si="29">+BA17+BA20</f>
        <v>8</v>
      </c>
      <c r="BB22" s="520">
        <f>+BB17+BB20</f>
        <v>7.9999999999999991</v>
      </c>
      <c r="BC22" s="520">
        <f t="shared" si="29"/>
        <v>7.9999999999999991</v>
      </c>
      <c r="BD22" s="520">
        <f t="shared" si="29"/>
        <v>7.9999999999999991</v>
      </c>
      <c r="BE22" s="520">
        <f t="shared" si="29"/>
        <v>7.9999999999999991</v>
      </c>
      <c r="BF22" s="520">
        <f t="shared" ref="BF22:CD22" si="30">+BF17+BF20</f>
        <v>6</v>
      </c>
      <c r="BG22" s="520">
        <f t="shared" si="30"/>
        <v>0.2</v>
      </c>
      <c r="BH22" s="520">
        <f t="shared" si="30"/>
        <v>0</v>
      </c>
      <c r="BI22" s="520">
        <f t="shared" si="30"/>
        <v>0.25</v>
      </c>
      <c r="BJ22" s="520">
        <f>+BJ17+BJ20</f>
        <v>0.45</v>
      </c>
      <c r="BK22" s="520">
        <f t="shared" si="30"/>
        <v>0.55000000000000004</v>
      </c>
      <c r="BL22" s="520">
        <f t="shared" si="30"/>
        <v>0.55000000000000004</v>
      </c>
      <c r="BM22" s="520">
        <f t="shared" si="30"/>
        <v>0.60000000000000009</v>
      </c>
      <c r="BN22" s="520">
        <f t="shared" si="30"/>
        <v>0.6</v>
      </c>
      <c r="BO22" s="520">
        <f t="shared" si="30"/>
        <v>0.7</v>
      </c>
      <c r="BP22" s="520">
        <f t="shared" si="30"/>
        <v>0.7</v>
      </c>
      <c r="BQ22" s="520">
        <f t="shared" si="30"/>
        <v>0.7</v>
      </c>
      <c r="BR22" s="520">
        <f t="shared" si="30"/>
        <v>0.7</v>
      </c>
      <c r="BS22" s="520">
        <f t="shared" si="30"/>
        <v>0.30000000000000004</v>
      </c>
      <c r="BT22" s="520">
        <f t="shared" si="30"/>
        <v>0.3</v>
      </c>
      <c r="BU22" s="520">
        <f t="shared" si="30"/>
        <v>0.2</v>
      </c>
      <c r="BV22" s="520">
        <f t="shared" si="30"/>
        <v>0.2</v>
      </c>
      <c r="BW22" s="520">
        <f t="shared" si="30"/>
        <v>0.6</v>
      </c>
      <c r="BX22" s="520">
        <f t="shared" si="30"/>
        <v>0.6</v>
      </c>
      <c r="BY22" s="520">
        <f t="shared" si="30"/>
        <v>1.6</v>
      </c>
      <c r="BZ22" s="520">
        <f t="shared" si="30"/>
        <v>0.6</v>
      </c>
      <c r="CA22" s="520">
        <f t="shared" si="30"/>
        <v>0.7</v>
      </c>
      <c r="CB22" s="520">
        <f t="shared" si="30"/>
        <v>0.7</v>
      </c>
      <c r="CC22" s="520">
        <f t="shared" si="30"/>
        <v>0.6</v>
      </c>
      <c r="CD22" s="520">
        <f t="shared" si="30"/>
        <v>0.6</v>
      </c>
      <c r="CE22" s="520">
        <f>+CE17+CE20</f>
        <v>7</v>
      </c>
      <c r="CF22" s="520">
        <f t="shared" ref="CE22:CI23" si="31">+CF17+CF20</f>
        <v>6.9999999999999991</v>
      </c>
      <c r="CG22" s="520">
        <f t="shared" si="31"/>
        <v>5.9999999999999991</v>
      </c>
      <c r="CH22" s="186">
        <f t="shared" si="31"/>
        <v>7</v>
      </c>
      <c r="CI22" s="186">
        <f t="shared" si="31"/>
        <v>5.9999999999999991</v>
      </c>
      <c r="CJ22" s="187">
        <f>+CJ17+CJ20</f>
        <v>8</v>
      </c>
      <c r="CK22" s="188">
        <f t="shared" ref="CK22:DH23" si="32">+CK17+CK20</f>
        <v>0.2</v>
      </c>
      <c r="CL22" s="188">
        <f t="shared" si="32"/>
        <v>0.2</v>
      </c>
      <c r="CM22" s="188">
        <f t="shared" si="32"/>
        <v>0.25</v>
      </c>
      <c r="CN22" s="188">
        <f t="shared" si="32"/>
        <v>0.25</v>
      </c>
      <c r="CO22" s="188">
        <f t="shared" si="32"/>
        <v>0.55000000000000004</v>
      </c>
      <c r="CP22" s="188">
        <f>+CP17+CP20</f>
        <v>0.55000000000000004</v>
      </c>
      <c r="CQ22" s="188">
        <f t="shared" si="32"/>
        <v>0.6</v>
      </c>
      <c r="CR22" s="188">
        <f t="shared" si="32"/>
        <v>0.6</v>
      </c>
      <c r="CS22" s="188">
        <f t="shared" si="32"/>
        <v>0.7</v>
      </c>
      <c r="CT22" s="264">
        <f>CT17+CT20</f>
        <v>0.7</v>
      </c>
      <c r="CU22" s="188">
        <f>+CU17+CU20</f>
        <v>0.7</v>
      </c>
      <c r="CV22" s="188">
        <f>+CV17+CV20</f>
        <v>0.7</v>
      </c>
      <c r="CW22" s="187">
        <f>CW17+CW20</f>
        <v>1.2</v>
      </c>
      <c r="CX22" s="335">
        <f>CX17+CX20</f>
        <v>0.2</v>
      </c>
      <c r="CY22" s="188">
        <f t="shared" si="32"/>
        <v>0.25</v>
      </c>
      <c r="CZ22" s="188">
        <f t="shared" si="32"/>
        <v>0.25</v>
      </c>
      <c r="DA22" s="188">
        <f>+DA17+DA20</f>
        <v>0.55000000000000004</v>
      </c>
      <c r="DB22" s="353">
        <f>+DB17+DB20</f>
        <v>0.55000000000000004</v>
      </c>
      <c r="DC22" s="188">
        <f t="shared" si="32"/>
        <v>0.6</v>
      </c>
      <c r="DD22" s="335"/>
      <c r="DE22" s="520">
        <f t="shared" si="32"/>
        <v>0.7</v>
      </c>
      <c r="DF22" s="530">
        <f t="shared" si="32"/>
        <v>0.7</v>
      </c>
      <c r="DG22" s="520">
        <f t="shared" si="32"/>
        <v>1.7</v>
      </c>
      <c r="DH22" s="352">
        <f t="shared" si="32"/>
        <v>1.7</v>
      </c>
      <c r="DI22" s="520">
        <f t="shared" ref="DI22:DM23" si="33">+DI17+DI20</f>
        <v>8</v>
      </c>
      <c r="DJ22" s="520">
        <f>+DJ17+DJ20</f>
        <v>8</v>
      </c>
      <c r="DK22" s="520">
        <f>+DK17+DK20</f>
        <v>8</v>
      </c>
      <c r="DL22" s="520">
        <f t="shared" si="33"/>
        <v>8</v>
      </c>
      <c r="DM22" s="520">
        <f t="shared" si="33"/>
        <v>8</v>
      </c>
      <c r="DN22" s="520">
        <v>4</v>
      </c>
      <c r="DO22" s="173"/>
      <c r="DP22" s="173"/>
      <c r="DQ22" s="173"/>
      <c r="DR22" s="173"/>
      <c r="DS22" s="173"/>
      <c r="DT22" s="173"/>
      <c r="DU22" s="173"/>
      <c r="DV22" s="173"/>
      <c r="DW22" s="173"/>
      <c r="DX22" s="173"/>
      <c r="DY22" s="173"/>
      <c r="DZ22" s="173"/>
      <c r="EA22" s="173"/>
      <c r="EB22" s="173"/>
      <c r="EC22" s="173"/>
      <c r="ED22" s="173"/>
      <c r="EE22" s="173"/>
      <c r="EF22" s="173"/>
      <c r="EG22" s="173"/>
      <c r="EH22" s="173"/>
      <c r="EI22" s="173"/>
      <c r="EJ22" s="173"/>
      <c r="EK22" s="173"/>
      <c r="EL22" s="173"/>
      <c r="EM22" s="520">
        <f>EI22+EG22+EE22+EC22+EA22+DY22+DW22+DU22+DS22+DQ22+DO22+EK22</f>
        <v>0</v>
      </c>
      <c r="EN22" s="174">
        <f t="shared" si="22"/>
        <v>0</v>
      </c>
      <c r="EO22" s="174">
        <f t="shared" si="23"/>
        <v>0</v>
      </c>
      <c r="EP22" s="175">
        <f>DQ22+DS22+DU22+DW22+DY22+EA22+EC22+EE22+EG22+EI22+EK22+DO22</f>
        <v>0</v>
      </c>
      <c r="EQ22" s="174">
        <f>DR22+DT22+DV22+DP22</f>
        <v>0</v>
      </c>
      <c r="ER22" s="454">
        <f t="shared" si="7"/>
        <v>1</v>
      </c>
      <c r="ES22" s="345">
        <f t="shared" si="5"/>
        <v>1</v>
      </c>
      <c r="ET22" s="346">
        <f t="shared" si="6"/>
        <v>1</v>
      </c>
      <c r="EU22" s="346">
        <f t="shared" si="3"/>
        <v>0.96296296296296291</v>
      </c>
      <c r="EV22" s="346">
        <f t="shared" si="4"/>
        <v>0.8666666666666667</v>
      </c>
      <c r="EW22" s="669"/>
      <c r="EX22" s="624" t="s">
        <v>548</v>
      </c>
      <c r="EY22" s="624" t="s">
        <v>548</v>
      </c>
      <c r="EZ22" s="621"/>
      <c r="FA22" s="620"/>
      <c r="FB22" s="668"/>
    </row>
    <row r="23" spans="1:159" s="85" customFormat="1" ht="21.95" customHeight="1" thickBot="1">
      <c r="A23" s="660"/>
      <c r="B23" s="660"/>
      <c r="C23" s="660"/>
      <c r="D23" s="660"/>
      <c r="E23" s="660"/>
      <c r="F23" s="243" t="s">
        <v>44</v>
      </c>
      <c r="G23" s="179">
        <f>+G18+G21</f>
        <v>15966785248</v>
      </c>
      <c r="H23" s="181">
        <f>+H18+H20</f>
        <v>613840322</v>
      </c>
      <c r="I23" s="180"/>
      <c r="J23" s="180"/>
      <c r="K23" s="180"/>
      <c r="L23" s="180"/>
      <c r="M23" s="180"/>
      <c r="N23" s="180"/>
      <c r="O23" s="180"/>
      <c r="P23" s="180"/>
      <c r="Q23" s="180"/>
      <c r="R23" s="180"/>
      <c r="S23" s="180"/>
      <c r="T23" s="181"/>
      <c r="U23" s="191"/>
      <c r="V23" s="191"/>
      <c r="W23" s="181">
        <f>+W18+W20</f>
        <v>613840322</v>
      </c>
      <c r="X23" s="181">
        <f>+X18+X20</f>
        <v>613840322</v>
      </c>
      <c r="Y23" s="181">
        <f t="shared" ref="Y23:AM23" si="34">+Y18+Y21</f>
        <v>670473105</v>
      </c>
      <c r="Z23" s="191">
        <f t="shared" si="34"/>
        <v>826840322</v>
      </c>
      <c r="AA23" s="191">
        <f t="shared" si="34"/>
        <v>670473105</v>
      </c>
      <c r="AB23" s="191">
        <f t="shared" si="34"/>
        <v>1594569384</v>
      </c>
      <c r="AC23" s="191">
        <f t="shared" si="34"/>
        <v>62045867</v>
      </c>
      <c r="AD23" s="180">
        <f t="shared" si="34"/>
        <v>62045867</v>
      </c>
      <c r="AE23" s="191">
        <f t="shared" si="34"/>
        <v>650103533</v>
      </c>
      <c r="AF23" s="180">
        <f t="shared" si="34"/>
        <v>650103533</v>
      </c>
      <c r="AG23" s="180">
        <f t="shared" si="34"/>
        <v>550515200</v>
      </c>
      <c r="AH23" s="180">
        <f t="shared" si="34"/>
        <v>550515200</v>
      </c>
      <c r="AI23" s="180">
        <f t="shared" si="34"/>
        <v>102213667</v>
      </c>
      <c r="AJ23" s="180">
        <f t="shared" si="34"/>
        <v>102213667</v>
      </c>
      <c r="AK23" s="180">
        <f t="shared" si="34"/>
        <v>15903967</v>
      </c>
      <c r="AL23" s="180">
        <f>+AL18+AL21</f>
        <v>15903967</v>
      </c>
      <c r="AM23" s="180">
        <f t="shared" si="34"/>
        <v>5571367</v>
      </c>
      <c r="AN23" s="180">
        <f>+AN18+AN21</f>
        <v>5571367</v>
      </c>
      <c r="AO23" s="180">
        <f t="shared" si="26"/>
        <v>0</v>
      </c>
      <c r="AP23" s="180">
        <f t="shared" si="26"/>
        <v>24890000</v>
      </c>
      <c r="AQ23" s="180">
        <f t="shared" si="26"/>
        <v>87855383</v>
      </c>
      <c r="AR23" s="180">
        <f>+AR18+AR21</f>
        <v>0</v>
      </c>
      <c r="AS23" s="180">
        <f t="shared" si="27"/>
        <v>53907914</v>
      </c>
      <c r="AT23" s="180">
        <f t="shared" si="27"/>
        <v>15763667</v>
      </c>
      <c r="AU23" s="180">
        <f t="shared" si="27"/>
        <v>37967600</v>
      </c>
      <c r="AV23" s="180">
        <f t="shared" si="28"/>
        <v>42747866</v>
      </c>
      <c r="AW23" s="180">
        <f t="shared" si="28"/>
        <v>22212600</v>
      </c>
      <c r="AX23" s="180">
        <f t="shared" si="28"/>
        <v>26787667</v>
      </c>
      <c r="AY23" s="180">
        <f t="shared" si="28"/>
        <v>22212600</v>
      </c>
      <c r="AZ23" s="180">
        <f t="shared" si="28"/>
        <v>12430600</v>
      </c>
      <c r="BA23" s="192">
        <f t="shared" si="29"/>
        <v>1610509698</v>
      </c>
      <c r="BB23" s="192">
        <f t="shared" si="29"/>
        <v>1610509698</v>
      </c>
      <c r="BC23" s="192">
        <f t="shared" si="29"/>
        <v>1508973401</v>
      </c>
      <c r="BD23" s="192">
        <f t="shared" si="29"/>
        <v>1610509698</v>
      </c>
      <c r="BE23" s="192">
        <f t="shared" si="29"/>
        <v>1508973401</v>
      </c>
      <c r="BF23" s="192">
        <f t="shared" ref="BF23:CD23" si="35">+BF18+BF21</f>
        <v>6185295634</v>
      </c>
      <c r="BG23" s="192">
        <f t="shared" si="35"/>
        <v>1629512666</v>
      </c>
      <c r="BH23" s="192">
        <f>+BH18+BH21</f>
        <v>1835843000</v>
      </c>
      <c r="BI23" s="192">
        <f t="shared" si="35"/>
        <v>45791968</v>
      </c>
      <c r="BJ23" s="192">
        <f>+BJ18+BJ21</f>
        <v>45990566</v>
      </c>
      <c r="BK23" s="192">
        <f t="shared" si="35"/>
        <v>113827000</v>
      </c>
      <c r="BL23" s="192">
        <f t="shared" si="35"/>
        <v>0</v>
      </c>
      <c r="BM23" s="192">
        <f t="shared" si="35"/>
        <v>450000000</v>
      </c>
      <c r="BN23" s="192">
        <f t="shared" si="35"/>
        <v>0</v>
      </c>
      <c r="BO23" s="192">
        <f t="shared" si="35"/>
        <v>0</v>
      </c>
      <c r="BP23" s="192">
        <f t="shared" si="35"/>
        <v>0</v>
      </c>
      <c r="BQ23" s="192">
        <f t="shared" si="35"/>
        <v>4034991000</v>
      </c>
      <c r="BR23" s="192">
        <f t="shared" si="35"/>
        <v>90000000</v>
      </c>
      <c r="BS23" s="192">
        <f t="shared" si="35"/>
        <v>0</v>
      </c>
      <c r="BT23" s="192">
        <f t="shared" si="35"/>
        <v>-38154465</v>
      </c>
      <c r="BU23" s="192">
        <f t="shared" si="35"/>
        <v>-60207700</v>
      </c>
      <c r="BV23" s="192">
        <f t="shared" si="35"/>
        <v>0</v>
      </c>
      <c r="BW23" s="192">
        <f t="shared" si="35"/>
        <v>-623306866</v>
      </c>
      <c r="BX23" s="192">
        <f t="shared" si="35"/>
        <v>233655699</v>
      </c>
      <c r="BY23" s="192">
        <f t="shared" si="35"/>
        <v>699803138</v>
      </c>
      <c r="BZ23" s="192">
        <f t="shared" si="35"/>
        <v>220773700</v>
      </c>
      <c r="CA23" s="192">
        <f t="shared" si="35"/>
        <v>212302277</v>
      </c>
      <c r="CB23" s="192">
        <f t="shared" si="35"/>
        <v>2943455773</v>
      </c>
      <c r="CC23" s="192">
        <f t="shared" si="35"/>
        <v>-457161534</v>
      </c>
      <c r="CD23" s="192">
        <f t="shared" si="35"/>
        <v>428033688</v>
      </c>
      <c r="CE23" s="192">
        <f t="shared" si="31"/>
        <v>6045551949</v>
      </c>
      <c r="CF23" s="192">
        <f t="shared" si="31"/>
        <v>6045551949</v>
      </c>
      <c r="CG23" s="192">
        <f t="shared" si="31"/>
        <v>5759597961</v>
      </c>
      <c r="CH23" s="181">
        <f t="shared" si="31"/>
        <v>6045551949</v>
      </c>
      <c r="CI23" s="181">
        <f t="shared" si="31"/>
        <v>5759597961</v>
      </c>
      <c r="CJ23" s="181">
        <f>+CJ18+CJ21</f>
        <v>3811583205</v>
      </c>
      <c r="CK23" s="181">
        <f t="shared" si="32"/>
        <v>719444833</v>
      </c>
      <c r="CL23" s="181">
        <f t="shared" si="32"/>
        <v>67700813</v>
      </c>
      <c r="CM23" s="181">
        <f t="shared" si="32"/>
        <v>385232032</v>
      </c>
      <c r="CN23" s="181">
        <f>+CN18+CM21</f>
        <v>756859532</v>
      </c>
      <c r="CO23" s="181">
        <f t="shared" si="32"/>
        <v>255447066</v>
      </c>
      <c r="CP23" s="181">
        <f>+CP18+CP21</f>
        <v>793619669</v>
      </c>
      <c r="CQ23" s="181">
        <f>+CQ18+CS21</f>
        <v>214100200</v>
      </c>
      <c r="CR23" s="181">
        <f t="shared" si="32"/>
        <v>203174300</v>
      </c>
      <c r="CS23" s="181">
        <f t="shared" si="32"/>
        <v>214100200</v>
      </c>
      <c r="CT23" s="263">
        <f t="shared" si="32"/>
        <v>176092236</v>
      </c>
      <c r="CU23" s="181">
        <f t="shared" si="32"/>
        <v>481489900</v>
      </c>
      <c r="CV23" s="181">
        <f t="shared" si="32"/>
        <v>159212950</v>
      </c>
      <c r="CW23" s="181">
        <f t="shared" si="32"/>
        <v>338197500</v>
      </c>
      <c r="CX23" s="355">
        <f t="shared" si="32"/>
        <v>22395989</v>
      </c>
      <c r="CY23" s="181">
        <f t="shared" si="32"/>
        <v>170506500</v>
      </c>
      <c r="CZ23" s="181">
        <f>+CZ18+CZ21</f>
        <v>10543247</v>
      </c>
      <c r="DA23" s="181">
        <f>+DA18+DA21</f>
        <v>316327415</v>
      </c>
      <c r="DB23" s="181">
        <f>+DB18+DB21</f>
        <v>63553462</v>
      </c>
      <c r="DC23" s="181">
        <f t="shared" si="32"/>
        <v>307833715</v>
      </c>
      <c r="DD23" s="181"/>
      <c r="DE23" s="181">
        <f t="shared" si="32"/>
        <v>54899315</v>
      </c>
      <c r="DF23" s="181"/>
      <c r="DG23" s="180">
        <f t="shared" si="32"/>
        <v>225562638</v>
      </c>
      <c r="DH23" s="180">
        <f t="shared" si="32"/>
        <v>192410099</v>
      </c>
      <c r="DI23" s="181">
        <f t="shared" si="33"/>
        <v>3699030781</v>
      </c>
      <c r="DJ23" s="180">
        <f>+DJ18+DJ21</f>
        <v>3684770866</v>
      </c>
      <c r="DK23" s="180">
        <f>+DK18+DK21</f>
        <v>3058615204</v>
      </c>
      <c r="DL23" s="180">
        <f t="shared" si="33"/>
        <v>3699030781</v>
      </c>
      <c r="DM23" s="180">
        <f t="shared" si="33"/>
        <v>3058615204</v>
      </c>
      <c r="DN23" s="180">
        <f>DN18</f>
        <v>4328710000</v>
      </c>
      <c r="DO23" s="182"/>
      <c r="DP23" s="182"/>
      <c r="DQ23" s="182"/>
      <c r="DR23" s="182"/>
      <c r="DS23" s="182"/>
      <c r="DT23" s="182"/>
      <c r="DU23" s="182"/>
      <c r="DV23" s="182"/>
      <c r="DW23" s="182"/>
      <c r="DX23" s="182"/>
      <c r="DY23" s="182"/>
      <c r="DZ23" s="182"/>
      <c r="EA23" s="182"/>
      <c r="EB23" s="182"/>
      <c r="EC23" s="182"/>
      <c r="ED23" s="182"/>
      <c r="EE23" s="182"/>
      <c r="EF23" s="182"/>
      <c r="EG23" s="182"/>
      <c r="EH23" s="182"/>
      <c r="EI23" s="182"/>
      <c r="EJ23" s="182"/>
      <c r="EK23" s="182"/>
      <c r="EL23" s="182"/>
      <c r="EM23" s="183">
        <f>EK23+EI23+EG23+EE23+EC23+EA23+DY23+DW23+DU23+DS23+DQ23+DO23</f>
        <v>0</v>
      </c>
      <c r="EN23" s="184">
        <f>+EN18+EN21</f>
        <v>0</v>
      </c>
      <c r="EO23" s="185">
        <f>EO18+EO21</f>
        <v>0</v>
      </c>
      <c r="EP23" s="184">
        <f>+EP18+EP21</f>
        <v>0</v>
      </c>
      <c r="EQ23" s="184">
        <f>+EQ18+EQ21</f>
        <v>0</v>
      </c>
      <c r="ER23" s="455">
        <f t="shared" si="7"/>
        <v>0.85302291508046646</v>
      </c>
      <c r="ES23" s="347">
        <f>+DK23/DJ23</f>
        <v>0.83006930830417613</v>
      </c>
      <c r="ET23" s="348">
        <f t="shared" si="6"/>
        <v>0.82686935715985865</v>
      </c>
      <c r="EU23" s="348">
        <f>+(AA23+BE23+CI23+DK23)/(Z23+BD23+CH23+DJ23)</f>
        <v>0.90384248657356348</v>
      </c>
      <c r="EV23" s="349">
        <f>+(AA23+BE23+CI23+DM23)/G23</f>
        <v>0.68878359044614612</v>
      </c>
      <c r="EW23" s="670"/>
      <c r="EX23" s="624" t="s">
        <v>548</v>
      </c>
      <c r="EY23" s="624" t="s">
        <v>548</v>
      </c>
      <c r="EZ23" s="621"/>
      <c r="FA23" s="620"/>
      <c r="FB23" s="668"/>
    </row>
    <row r="24" spans="1:159" s="3" customFormat="1" ht="24" customHeight="1">
      <c r="A24" s="660" t="s">
        <v>292</v>
      </c>
      <c r="B24" s="660">
        <v>3</v>
      </c>
      <c r="C24" s="660" t="s">
        <v>521</v>
      </c>
      <c r="D24" s="660" t="s">
        <v>255</v>
      </c>
      <c r="E24" s="660">
        <v>272</v>
      </c>
      <c r="F24" s="242" t="s">
        <v>40</v>
      </c>
      <c r="G24" s="287">
        <f>+AA24+BE24+CI24+DL24+DN24</f>
        <v>8</v>
      </c>
      <c r="H24" s="522">
        <v>1</v>
      </c>
      <c r="I24" s="522"/>
      <c r="J24" s="522"/>
      <c r="K24" s="522"/>
      <c r="L24" s="522"/>
      <c r="M24" s="522"/>
      <c r="N24" s="522"/>
      <c r="O24" s="522"/>
      <c r="P24" s="522"/>
      <c r="Q24" s="522"/>
      <c r="R24" s="522"/>
      <c r="S24" s="522"/>
      <c r="T24" s="522"/>
      <c r="U24" s="522"/>
      <c r="V24" s="522"/>
      <c r="W24" s="522">
        <v>1</v>
      </c>
      <c r="X24" s="522">
        <v>1</v>
      </c>
      <c r="Y24" s="522">
        <v>1</v>
      </c>
      <c r="Z24" s="522">
        <v>1</v>
      </c>
      <c r="AA24" s="522">
        <v>1</v>
      </c>
      <c r="AB24" s="522">
        <v>2</v>
      </c>
      <c r="AC24" s="523">
        <v>0.17</v>
      </c>
      <c r="AD24" s="523">
        <v>0.15</v>
      </c>
      <c r="AE24" s="523">
        <v>0.17</v>
      </c>
      <c r="AF24" s="523">
        <v>0.11</v>
      </c>
      <c r="AG24" s="523">
        <v>0.17</v>
      </c>
      <c r="AH24" s="523">
        <v>0.1</v>
      </c>
      <c r="AI24" s="523">
        <v>0.17</v>
      </c>
      <c r="AJ24" s="523">
        <v>0.15</v>
      </c>
      <c r="AK24" s="523">
        <v>0.14000000000000001</v>
      </c>
      <c r="AL24" s="523">
        <v>0.14000000000000001</v>
      </c>
      <c r="AM24" s="523">
        <v>0.17</v>
      </c>
      <c r="AN24" s="523">
        <v>0.35</v>
      </c>
      <c r="AO24" s="523">
        <v>0.17</v>
      </c>
      <c r="AP24" s="523">
        <v>0.26</v>
      </c>
      <c r="AQ24" s="523">
        <v>0.17</v>
      </c>
      <c r="AR24" s="523">
        <v>0.13</v>
      </c>
      <c r="AS24" s="523">
        <v>0.17</v>
      </c>
      <c r="AT24" s="523">
        <v>0.17</v>
      </c>
      <c r="AU24" s="523">
        <v>0.17</v>
      </c>
      <c r="AV24" s="523">
        <v>0.21</v>
      </c>
      <c r="AW24" s="523">
        <v>0.17</v>
      </c>
      <c r="AX24" s="523">
        <v>0.17</v>
      </c>
      <c r="AY24" s="523">
        <v>0.16</v>
      </c>
      <c r="AZ24" s="523">
        <v>0.06</v>
      </c>
      <c r="BA24" s="189">
        <f>AY24+AW24+AU24+AS24+AQ24+AO24+AM24+AK24+AI24+AG24+AE24+AC24</f>
        <v>1.9999999999999996</v>
      </c>
      <c r="BB24" s="189">
        <f t="shared" ref="BB24:BC28" si="36">AC24+AE24+AG24+AI24+AK24+AM24+AO24+AQ24+AS24+AU24+AW24+AY24</f>
        <v>1.9999999999999998</v>
      </c>
      <c r="BC24" s="189">
        <f t="shared" si="36"/>
        <v>2</v>
      </c>
      <c r="BD24" s="189">
        <f>AE24+AG24+AI24+AK24+AM24+AO24+AQ24+AS24+AU24+AW24+AY24+AC24</f>
        <v>1.9999999999999998</v>
      </c>
      <c r="BE24" s="189">
        <f>AD24+AF24+AH24+AJ24+AL24+AN24+AP24+AR24+AT24+AV24+AX24+AZ24</f>
        <v>2</v>
      </c>
      <c r="BF24" s="522">
        <v>2</v>
      </c>
      <c r="BG24" s="523">
        <v>0.17</v>
      </c>
      <c r="BH24" s="523">
        <v>0</v>
      </c>
      <c r="BI24" s="523">
        <v>0.17</v>
      </c>
      <c r="BJ24" s="523">
        <v>0.33</v>
      </c>
      <c r="BK24" s="523">
        <v>0.17</v>
      </c>
      <c r="BL24" s="523">
        <v>0.17</v>
      </c>
      <c r="BM24" s="523">
        <v>0.17</v>
      </c>
      <c r="BN24" s="523">
        <v>0.17</v>
      </c>
      <c r="BO24" s="523">
        <v>0.14000000000000001</v>
      </c>
      <c r="BP24" s="523">
        <v>0.14000000000000001</v>
      </c>
      <c r="BQ24" s="523">
        <v>0.18</v>
      </c>
      <c r="BR24" s="523">
        <v>0.17</v>
      </c>
      <c r="BS24" s="523">
        <v>0.17</v>
      </c>
      <c r="BT24" s="523">
        <v>0.19</v>
      </c>
      <c r="BU24" s="523">
        <v>0.17</v>
      </c>
      <c r="BV24" s="523">
        <v>0.17</v>
      </c>
      <c r="BW24" s="523">
        <v>0.17</v>
      </c>
      <c r="BX24" s="523">
        <v>0.17</v>
      </c>
      <c r="BY24" s="523">
        <v>0.17</v>
      </c>
      <c r="BZ24" s="523">
        <v>0.17</v>
      </c>
      <c r="CA24" s="523">
        <v>0.17</v>
      </c>
      <c r="CB24" s="523">
        <v>0.17</v>
      </c>
      <c r="CC24" s="523">
        <v>0.15</v>
      </c>
      <c r="CD24" s="523">
        <v>0.15</v>
      </c>
      <c r="CE24" s="523">
        <f>CC24+CA24+BY24+BW24+BU24+BS24+BQ24+BO24+BM24+BK24+BI24+BG24</f>
        <v>1.9999999999999996</v>
      </c>
      <c r="CF24" s="523">
        <f t="shared" ref="CF24:CG28" si="37">+BG24+BI24+BK24+BM24+BO24+BQ24+BS24+BU24+BW24+BY24+CA24+CC24</f>
        <v>1.9999999999999996</v>
      </c>
      <c r="CG24" s="176">
        <f t="shared" si="37"/>
        <v>1.9999999999999998</v>
      </c>
      <c r="CH24" s="176">
        <f>CC24+CA24+BY24+BW24+BU24+BS24+BQ24+BO24+BM24+BK24+BI24+BG24</f>
        <v>1.9999999999999996</v>
      </c>
      <c r="CI24" s="176">
        <f>+BH24+BJ24+BL24+BN24+BP24+BR24+BT24+BV24+BX24+BZ24+CB24+CD24</f>
        <v>1.9999999999999998</v>
      </c>
      <c r="CJ24" s="523">
        <v>2</v>
      </c>
      <c r="CK24" s="523">
        <v>0.17</v>
      </c>
      <c r="CL24" s="523">
        <v>0.17</v>
      </c>
      <c r="CM24" s="523">
        <v>0.17</v>
      </c>
      <c r="CN24" s="523">
        <v>0.17</v>
      </c>
      <c r="CO24" s="523">
        <v>0.17</v>
      </c>
      <c r="CP24" s="523">
        <v>0.17</v>
      </c>
      <c r="CQ24" s="523">
        <v>0.17</v>
      </c>
      <c r="CR24" s="523">
        <v>0.17</v>
      </c>
      <c r="CS24" s="523">
        <v>0.14000000000000001</v>
      </c>
      <c r="CT24" s="523">
        <v>0.14000000000000001</v>
      </c>
      <c r="CU24" s="523">
        <v>0.17</v>
      </c>
      <c r="CV24" s="524">
        <v>0.17</v>
      </c>
      <c r="CW24" s="523">
        <v>0.17</v>
      </c>
      <c r="CX24" s="524">
        <v>0.17</v>
      </c>
      <c r="CY24" s="523">
        <v>0.17</v>
      </c>
      <c r="CZ24" s="524">
        <v>0.17</v>
      </c>
      <c r="DA24" s="523">
        <v>0.17</v>
      </c>
      <c r="DB24" s="524">
        <v>0.17</v>
      </c>
      <c r="DC24" s="523">
        <v>0.17</v>
      </c>
      <c r="DD24" s="524">
        <v>0.17</v>
      </c>
      <c r="DE24" s="523">
        <v>0.17</v>
      </c>
      <c r="DF24" s="524">
        <v>0.17</v>
      </c>
      <c r="DG24" s="523">
        <v>0.16</v>
      </c>
      <c r="DH24" s="524">
        <v>0.16</v>
      </c>
      <c r="DI24" s="523">
        <f>DG24+DE24+DC24+DA24+CY24+CW24+CU24+CS24+CQ24+CO24+CM24+CK24</f>
        <v>1.9999999999999996</v>
      </c>
      <c r="DJ24" s="523">
        <f t="shared" ref="DJ24:DK28" si="38">CK24+CM24+CO24+CQ24+CS24+CU24+CW24+CY24+DA24+DC24+DE24+DG24</f>
        <v>1.9999999999999998</v>
      </c>
      <c r="DK24" s="523">
        <f t="shared" si="38"/>
        <v>1.9999999999999998</v>
      </c>
      <c r="DL24" s="176">
        <f t="shared" ref="DL24:DM26" si="39">CM24+CO24+CQ24+CS24+CU24+CW24+CY24+DA24+DC24+DE24+DG24+CK24</f>
        <v>1.9999999999999998</v>
      </c>
      <c r="DM24" s="176">
        <f>CN24+CP24+CR24+CT24+CV24+CX24+CZ24+DB24+DD24+DF24+DH24+CL24</f>
        <v>1.9999999999999998</v>
      </c>
      <c r="DN24" s="522">
        <v>1</v>
      </c>
      <c r="DO24" s="531"/>
      <c r="DP24" s="531"/>
      <c r="DQ24" s="531"/>
      <c r="DR24" s="531"/>
      <c r="DS24" s="531"/>
      <c r="DT24" s="531"/>
      <c r="DU24" s="531"/>
      <c r="DV24" s="531"/>
      <c r="DW24" s="531"/>
      <c r="DX24" s="531"/>
      <c r="DY24" s="531"/>
      <c r="DZ24" s="531"/>
      <c r="EA24" s="531"/>
      <c r="EB24" s="531"/>
      <c r="EC24" s="531"/>
      <c r="ED24" s="531"/>
      <c r="EE24" s="531"/>
      <c r="EF24" s="531"/>
      <c r="EG24" s="532"/>
      <c r="EH24" s="532"/>
      <c r="EI24" s="532"/>
      <c r="EJ24" s="532"/>
      <c r="EK24" s="532"/>
      <c r="EL24" s="532"/>
      <c r="EM24" s="533">
        <f>EK24+EI24+EG24+EE24+EC24+EA24+DY24+DW24+DU24+DS24+DQ24+DO24</f>
        <v>0</v>
      </c>
      <c r="EN24" s="532">
        <f t="shared" ref="EN24:EN29" si="40">DO24+DQ24+DS24+DU24</f>
        <v>0</v>
      </c>
      <c r="EO24" s="532">
        <f t="shared" ref="EO24:EO29" si="41">DP24+DR24+DT24+DV24</f>
        <v>0</v>
      </c>
      <c r="EP24" s="190">
        <f>DQ24+DS24+DU24+DW24+DY24+EA24+EC24+EE24+EG24+EI24+EK24+DO24</f>
        <v>0</v>
      </c>
      <c r="EQ24" s="532">
        <f>DP24+DR24+DT24+DV24</f>
        <v>0</v>
      </c>
      <c r="ER24" s="178">
        <f t="shared" si="7"/>
        <v>1</v>
      </c>
      <c r="ES24" s="350">
        <f t="shared" si="5"/>
        <v>1</v>
      </c>
      <c r="ET24" s="351">
        <f>+DM24/DL24</f>
        <v>1</v>
      </c>
      <c r="EU24" s="351">
        <f t="shared" si="3"/>
        <v>1</v>
      </c>
      <c r="EV24" s="351">
        <f>+(AA24+BE24+CI24+DM24)/G24</f>
        <v>0.875</v>
      </c>
      <c r="EW24" s="669" t="s">
        <v>764</v>
      </c>
      <c r="EX24" s="624" t="s">
        <v>548</v>
      </c>
      <c r="EY24" s="624" t="s">
        <v>548</v>
      </c>
      <c r="EZ24" s="626" t="s">
        <v>517</v>
      </c>
      <c r="FA24" s="619" t="s">
        <v>700</v>
      </c>
      <c r="FB24" s="625"/>
    </row>
    <row r="25" spans="1:159" s="40" customFormat="1" ht="24" customHeight="1">
      <c r="A25" s="660"/>
      <c r="B25" s="660"/>
      <c r="C25" s="660"/>
      <c r="D25" s="660"/>
      <c r="E25" s="660"/>
      <c r="F25" s="243" t="s">
        <v>3</v>
      </c>
      <c r="G25" s="77">
        <f>+AA25+BE25+CI25+DL25+DN25</f>
        <v>14545090769</v>
      </c>
      <c r="H25" s="76">
        <v>1412790000</v>
      </c>
      <c r="I25" s="77"/>
      <c r="J25" s="77"/>
      <c r="K25" s="77"/>
      <c r="L25" s="77"/>
      <c r="M25" s="77"/>
      <c r="N25" s="77"/>
      <c r="O25" s="77"/>
      <c r="P25" s="77"/>
      <c r="Q25" s="77"/>
      <c r="R25" s="77"/>
      <c r="S25" s="77"/>
      <c r="T25" s="76"/>
      <c r="U25" s="87"/>
      <c r="V25" s="87"/>
      <c r="W25" s="76">
        <v>1412790000</v>
      </c>
      <c r="X25" s="76">
        <v>1412790000</v>
      </c>
      <c r="Y25" s="76">
        <v>1326141063</v>
      </c>
      <c r="Z25" s="87">
        <v>1399790000</v>
      </c>
      <c r="AA25" s="87">
        <v>1326141063</v>
      </c>
      <c r="AB25" s="87">
        <v>2973776000</v>
      </c>
      <c r="AC25" s="87">
        <v>0</v>
      </c>
      <c r="AD25" s="87">
        <v>0</v>
      </c>
      <c r="AE25" s="87">
        <v>408790000</v>
      </c>
      <c r="AF25" s="87">
        <f>408790000-AD25</f>
        <v>408790000</v>
      </c>
      <c r="AG25" s="87">
        <v>1385154150</v>
      </c>
      <c r="AH25" s="87">
        <f>(1793944150-AF25-AD25)</f>
        <v>1385154150</v>
      </c>
      <c r="AI25" s="87">
        <v>557630000</v>
      </c>
      <c r="AJ25" s="87">
        <f>1942784150-AH25-AF25-AD25</f>
        <v>148840000</v>
      </c>
      <c r="AK25" s="77">
        <v>0</v>
      </c>
      <c r="AL25" s="77">
        <f>1942784150-AJ25-AH25-AF25-AD25+5000000</f>
        <v>5000000</v>
      </c>
      <c r="AM25" s="77">
        <v>244731564</v>
      </c>
      <c r="AN25" s="77">
        <v>244731564</v>
      </c>
      <c r="AO25" s="77">
        <v>0</v>
      </c>
      <c r="AP25" s="77">
        <v>0</v>
      </c>
      <c r="AQ25" s="77">
        <v>62546600</v>
      </c>
      <c r="AR25" s="77">
        <v>0</v>
      </c>
      <c r="AS25" s="77">
        <f>62546600+16124316</f>
        <v>78670916</v>
      </c>
      <c r="AT25" s="77">
        <v>13226834</v>
      </c>
      <c r="AU25" s="77">
        <f>5737286+62546600</f>
        <v>68283886</v>
      </c>
      <c r="AV25" s="77">
        <v>37553138</v>
      </c>
      <c r="AW25" s="77">
        <v>62546600</v>
      </c>
      <c r="AX25" s="77">
        <v>81644647</v>
      </c>
      <c r="AY25" s="77">
        <v>62546600</v>
      </c>
      <c r="AZ25" s="77">
        <v>357168990</v>
      </c>
      <c r="BA25" s="76">
        <f>AY25+AW25+AU25+AS25+AQ25+AO25+AM25+AK25+AI25+AG25+AE25+AC25</f>
        <v>2930900316</v>
      </c>
      <c r="BB25" s="76">
        <f t="shared" si="36"/>
        <v>2930900316</v>
      </c>
      <c r="BC25" s="76">
        <f t="shared" si="36"/>
        <v>2682109323</v>
      </c>
      <c r="BD25" s="76">
        <f>AE25+AG25+AI25+AK25+AM25+AO25+AQ25+AS25+AU25+AW25+AY25+AC25</f>
        <v>2930900316</v>
      </c>
      <c r="BE25" s="76">
        <f>AD25+AF25+AH25+AJ25+AL25+AN25+AP25+AR25+AT25+AV25+AX25+AZ25</f>
        <v>2682109323</v>
      </c>
      <c r="BF25" s="76">
        <v>3364237000</v>
      </c>
      <c r="BG25" s="77">
        <v>2599004000</v>
      </c>
      <c r="BH25" s="77">
        <v>2534638908</v>
      </c>
      <c r="BI25" s="77">
        <v>0</v>
      </c>
      <c r="BJ25" s="77">
        <v>0</v>
      </c>
      <c r="BK25" s="77">
        <v>599096000</v>
      </c>
      <c r="BL25" s="77">
        <v>50000000</v>
      </c>
      <c r="BM25" s="77">
        <v>81137000</v>
      </c>
      <c r="BN25" s="77">
        <v>0</v>
      </c>
      <c r="BO25" s="77">
        <v>0</v>
      </c>
      <c r="BP25" s="77">
        <v>162596000</v>
      </c>
      <c r="BQ25" s="77">
        <v>85000000</v>
      </c>
      <c r="BR25" s="77">
        <v>0</v>
      </c>
      <c r="BS25" s="77">
        <v>0</v>
      </c>
      <c r="BT25" s="77">
        <v>0</v>
      </c>
      <c r="BU25" s="77">
        <v>50000000</v>
      </c>
      <c r="BV25" s="77">
        <v>0</v>
      </c>
      <c r="BW25" s="77">
        <v>103669108</v>
      </c>
      <c r="BX25" s="77">
        <v>80893000</v>
      </c>
      <c r="BY25" s="77">
        <v>310316001</v>
      </c>
      <c r="BZ25" s="77">
        <v>121926900</v>
      </c>
      <c r="CA25" s="77">
        <v>0</v>
      </c>
      <c r="CB25" s="77">
        <v>375907900</v>
      </c>
      <c r="CC25" s="77">
        <v>182000000</v>
      </c>
      <c r="CD25" s="77">
        <v>485217080</v>
      </c>
      <c r="CE25" s="77">
        <f>CC25+CA25+BY25+BW25+BU25+BS25+BQ25+BO25+BM25+BK25+BI25+BG25</f>
        <v>4010222109</v>
      </c>
      <c r="CF25" s="77">
        <f t="shared" si="37"/>
        <v>4010222109</v>
      </c>
      <c r="CG25" s="77">
        <f t="shared" si="37"/>
        <v>3811179788</v>
      </c>
      <c r="CH25" s="76">
        <f>CC25+CA25+BY25+BW25+BU25+BS25+BQ25+BO25+BM25+BK25+BI25+BG25</f>
        <v>4010222109</v>
      </c>
      <c r="CI25" s="76">
        <f>+BH25+BJ25+BL25+BN25+BP25+BR25+BT25+BV25+BX25+BZ25+CB25+CD25</f>
        <v>3811179788</v>
      </c>
      <c r="CJ25" s="77">
        <v>3038408000</v>
      </c>
      <c r="CK25" s="77">
        <v>-203642500</v>
      </c>
      <c r="CL25" s="77">
        <v>0</v>
      </c>
      <c r="CM25" s="77">
        <v>254552000</v>
      </c>
      <c r="CN25" s="77">
        <v>756020000</v>
      </c>
      <c r="CO25" s="77">
        <v>296915636</v>
      </c>
      <c r="CP25" s="77">
        <v>1294865000</v>
      </c>
      <c r="CQ25" s="77">
        <v>256802000</v>
      </c>
      <c r="CR25" s="77">
        <v>95299000</v>
      </c>
      <c r="CS25" s="77">
        <v>299165636</v>
      </c>
      <c r="CT25" s="260">
        <v>92496695</v>
      </c>
      <c r="CU25" s="238">
        <v>256802000</v>
      </c>
      <c r="CV25" s="238">
        <v>321423000</v>
      </c>
      <c r="CW25" s="238">
        <f>299165636+82687500</f>
        <v>381853136</v>
      </c>
      <c r="CX25" s="238">
        <v>0</v>
      </c>
      <c r="CY25" s="77">
        <f>424801000+120000000</f>
        <v>544801000</v>
      </c>
      <c r="CZ25" s="238">
        <v>17017000</v>
      </c>
      <c r="DA25" s="238">
        <f>339165636+-45909000</f>
        <v>293256636</v>
      </c>
      <c r="DB25" s="238">
        <v>168000000</v>
      </c>
      <c r="DC25" s="238">
        <f>256802000+61934695</f>
        <v>318736695</v>
      </c>
      <c r="DD25" s="238">
        <v>7014000</v>
      </c>
      <c r="DE25" s="238">
        <f>114613636+11478400</f>
        <v>126092036</v>
      </c>
      <c r="DF25" s="238">
        <v>43875100</v>
      </c>
      <c r="DG25" s="238">
        <f>239622820-45730500</f>
        <v>193892320</v>
      </c>
      <c r="DH25" s="238">
        <v>217494193</v>
      </c>
      <c r="DI25" s="76">
        <f>DG25+DE25+DC25+DA25+CY25+CW25+CU25+CS25+CQ25+CO25+CM25+CK25</f>
        <v>3019226595</v>
      </c>
      <c r="DJ25" s="76">
        <f t="shared" si="38"/>
        <v>3019226595</v>
      </c>
      <c r="DK25" s="76">
        <f t="shared" si="38"/>
        <v>3013503988</v>
      </c>
      <c r="DL25" s="76">
        <f>CM25+CO25+CQ25+CS25+CU25+CW25+CY25+DA25+DC25+DE25+DG25+CK25</f>
        <v>3019226595</v>
      </c>
      <c r="DM25" s="76">
        <f t="shared" si="39"/>
        <v>3013503988</v>
      </c>
      <c r="DN25" s="77">
        <v>3706434000</v>
      </c>
      <c r="DO25" s="50"/>
      <c r="DP25" s="50"/>
      <c r="DQ25" s="50"/>
      <c r="DR25" s="50"/>
      <c r="DS25" s="50"/>
      <c r="DT25" s="50"/>
      <c r="DU25" s="50"/>
      <c r="DV25" s="50"/>
      <c r="DW25" s="50"/>
      <c r="DX25" s="50"/>
      <c r="DY25" s="50"/>
      <c r="DZ25" s="50"/>
      <c r="EA25" s="50"/>
      <c r="EB25" s="50"/>
      <c r="EC25" s="50"/>
      <c r="ED25" s="50"/>
      <c r="EE25" s="50"/>
      <c r="EF25" s="50"/>
      <c r="EG25" s="50"/>
      <c r="EH25" s="50"/>
      <c r="EI25" s="50"/>
      <c r="EJ25" s="50"/>
      <c r="EK25" s="50"/>
      <c r="EL25" s="50"/>
      <c r="EM25" s="534">
        <f>EK25+EI25+EG25+EE25+EC25+EA25+DY25+DW25+DU25+DS25+DQ25+DO25</f>
        <v>0</v>
      </c>
      <c r="EN25" s="66">
        <f t="shared" si="40"/>
        <v>0</v>
      </c>
      <c r="EO25" s="66">
        <f t="shared" si="41"/>
        <v>0</v>
      </c>
      <c r="EP25" s="67">
        <f>DQ25+DS25+DU25+DW25+DY25+EA25+EC25+EE25+EG25+EI25+EK25+DO25</f>
        <v>0</v>
      </c>
      <c r="EQ25" s="66">
        <f>DP25+DR25+DT25+DV25</f>
        <v>0</v>
      </c>
      <c r="ER25" s="178">
        <f t="shared" si="7"/>
        <v>1.1217267037704226</v>
      </c>
      <c r="ES25" s="143">
        <f t="shared" si="5"/>
        <v>0.99810461162157327</v>
      </c>
      <c r="ET25" s="344">
        <f t="shared" si="6"/>
        <v>0.99810461162157327</v>
      </c>
      <c r="EU25" s="344">
        <f t="shared" si="3"/>
        <v>0.95359168958479879</v>
      </c>
      <c r="EV25" s="344">
        <f t="shared" si="4"/>
        <v>0.74478285038194936</v>
      </c>
      <c r="EW25" s="669"/>
      <c r="EX25" s="624"/>
      <c r="EY25" s="624" t="s">
        <v>548</v>
      </c>
      <c r="EZ25" s="626"/>
      <c r="FA25" s="620"/>
      <c r="FB25" s="625"/>
    </row>
    <row r="26" spans="1:159" s="40" customFormat="1" ht="24" customHeight="1">
      <c r="A26" s="660"/>
      <c r="B26" s="660"/>
      <c r="C26" s="660"/>
      <c r="D26" s="660"/>
      <c r="E26" s="660"/>
      <c r="F26" s="244" t="s">
        <v>205</v>
      </c>
      <c r="G26" s="77"/>
      <c r="H26" s="535"/>
      <c r="I26" s="77"/>
      <c r="J26" s="77"/>
      <c r="K26" s="77"/>
      <c r="L26" s="77"/>
      <c r="M26" s="77"/>
      <c r="N26" s="77"/>
      <c r="O26" s="77"/>
      <c r="P26" s="77"/>
      <c r="Q26" s="77"/>
      <c r="R26" s="77"/>
      <c r="S26" s="77"/>
      <c r="T26" s="76"/>
      <c r="U26" s="87"/>
      <c r="V26" s="87"/>
      <c r="W26" s="535"/>
      <c r="X26" s="535"/>
      <c r="Y26" s="535"/>
      <c r="Z26" s="87"/>
      <c r="AA26" s="87"/>
      <c r="AB26" s="87"/>
      <c r="AC26" s="77">
        <v>0</v>
      </c>
      <c r="AD26" s="77">
        <v>0</v>
      </c>
      <c r="AE26" s="87">
        <v>0</v>
      </c>
      <c r="AF26" s="77">
        <v>0</v>
      </c>
      <c r="AG26" s="77">
        <v>38410320</v>
      </c>
      <c r="AH26" s="77">
        <v>38410320</v>
      </c>
      <c r="AI26" s="77">
        <f>121559153-AG26</f>
        <v>83148833</v>
      </c>
      <c r="AJ26" s="77">
        <f>121559153-AH26</f>
        <v>83148833</v>
      </c>
      <c r="AK26" s="77">
        <v>253856212</v>
      </c>
      <c r="AL26" s="77">
        <f>375415365-AJ26-AH26-AF26-AD26-5062267</f>
        <v>248793945</v>
      </c>
      <c r="AM26" s="77">
        <v>303351665</v>
      </c>
      <c r="AN26" s="77">
        <v>303351665</v>
      </c>
      <c r="AO26" s="77">
        <v>0</v>
      </c>
      <c r="AP26" s="77">
        <v>207894550</v>
      </c>
      <c r="AQ26" s="77">
        <v>0</v>
      </c>
      <c r="AR26" s="77">
        <v>206559350</v>
      </c>
      <c r="AS26" s="77">
        <v>0</v>
      </c>
      <c r="AT26" s="77">
        <v>243123239</v>
      </c>
      <c r="AU26" s="77">
        <v>0</v>
      </c>
      <c r="AV26" s="77">
        <v>245622893</v>
      </c>
      <c r="AW26" s="77">
        <v>0</v>
      </c>
      <c r="AX26" s="77">
        <v>192872568</v>
      </c>
      <c r="AY26" s="77">
        <v>0</v>
      </c>
      <c r="AZ26" s="77">
        <v>365953417.93756247</v>
      </c>
      <c r="BA26" s="76">
        <f>AY26+AW26+AU26+AS26+AQ26+AO26+AM26+AK26+AI26+AG26+AE26+AC26</f>
        <v>678767030</v>
      </c>
      <c r="BB26" s="76">
        <f t="shared" si="36"/>
        <v>678767030</v>
      </c>
      <c r="BC26" s="76">
        <f t="shared" si="36"/>
        <v>2135730780.9375625</v>
      </c>
      <c r="BD26" s="76">
        <f>AE26+AG26+AI26+AK26+AM26+AO26+AQ26+AS26+AU26+AW26+AY26+AC26</f>
        <v>678767030</v>
      </c>
      <c r="BE26" s="76">
        <f>AD26+AF26+AH26+AJ26+AL26+AN26+AP26+AR26+AT26+AV26+AX26+AZ26</f>
        <v>2135730780.9375625</v>
      </c>
      <c r="BF26" s="77">
        <v>0</v>
      </c>
      <c r="BG26" s="77">
        <v>0</v>
      </c>
      <c r="BH26" s="77">
        <v>0</v>
      </c>
      <c r="BI26" s="77"/>
      <c r="BJ26" s="77">
        <v>9067333</v>
      </c>
      <c r="BK26" s="77"/>
      <c r="BL26" s="77">
        <v>212285736</v>
      </c>
      <c r="BM26" s="77"/>
      <c r="BN26" s="77">
        <v>373279828</v>
      </c>
      <c r="BO26" s="77"/>
      <c r="BP26" s="77">
        <v>298553561</v>
      </c>
      <c r="BQ26" s="77"/>
      <c r="BR26" s="77">
        <v>269039206</v>
      </c>
      <c r="BS26" s="77"/>
      <c r="BT26" s="77">
        <v>234759900</v>
      </c>
      <c r="BU26" s="77">
        <v>0</v>
      </c>
      <c r="BV26" s="77">
        <v>270020995</v>
      </c>
      <c r="BW26" s="77">
        <v>0</v>
      </c>
      <c r="BX26" s="77">
        <v>282708373</v>
      </c>
      <c r="BY26" s="77">
        <v>0</v>
      </c>
      <c r="BZ26" s="77">
        <v>346521377</v>
      </c>
      <c r="CA26" s="77">
        <v>0</v>
      </c>
      <c r="CB26" s="77">
        <v>301164041</v>
      </c>
      <c r="CC26" s="77">
        <v>0</v>
      </c>
      <c r="CD26" s="77">
        <v>447916918</v>
      </c>
      <c r="CE26" s="77">
        <f>CC26+CA26+BY26+BW26+BU26+BS26+BQ26+BO26+BM26+BK26+BI26+BG26</f>
        <v>0</v>
      </c>
      <c r="CF26" s="77">
        <f t="shared" si="37"/>
        <v>0</v>
      </c>
      <c r="CG26" s="77">
        <f t="shared" si="37"/>
        <v>3045317268</v>
      </c>
      <c r="CH26" s="76">
        <f>CC26+CA26+BY26+BW26+BU26+BS26+BQ26+BO26+BM26+BK26+BI26+BG26</f>
        <v>0</v>
      </c>
      <c r="CI26" s="76">
        <f>+BH26+BJ26+BL26+BN26+BP26+BR26+BT26+BV26+BX26+BZ26+CB26+CD26</f>
        <v>3045317268</v>
      </c>
      <c r="CJ26" s="77">
        <v>3038408000</v>
      </c>
      <c r="CK26" s="77">
        <v>-203642500</v>
      </c>
      <c r="CL26" s="77">
        <v>0</v>
      </c>
      <c r="CM26" s="77">
        <v>254552000</v>
      </c>
      <c r="CN26" s="77">
        <v>0</v>
      </c>
      <c r="CO26" s="77">
        <v>296915636</v>
      </c>
      <c r="CP26" s="77">
        <v>12747000</v>
      </c>
      <c r="CQ26" s="77">
        <v>256802000</v>
      </c>
      <c r="CR26" s="77">
        <v>121207810</v>
      </c>
      <c r="CS26" s="77">
        <v>299165636</v>
      </c>
      <c r="CT26" s="260">
        <v>232177171</v>
      </c>
      <c r="CU26" s="238">
        <v>256802000</v>
      </c>
      <c r="CV26" s="238">
        <v>185205571</v>
      </c>
      <c r="CW26" s="238">
        <f>299165636+82687500</f>
        <v>381853136</v>
      </c>
      <c r="CX26" s="238">
        <v>250397504</v>
      </c>
      <c r="CY26" s="77">
        <f>424801000+120000000</f>
        <v>544801000</v>
      </c>
      <c r="CZ26" s="238">
        <v>407342327</v>
      </c>
      <c r="DA26" s="238">
        <f>339165636+-45909000</f>
        <v>293256636</v>
      </c>
      <c r="DB26" s="238">
        <v>266542951</v>
      </c>
      <c r="DC26" s="238">
        <f>256802000+61934695</f>
        <v>318736695</v>
      </c>
      <c r="DD26" s="238">
        <v>294724379</v>
      </c>
      <c r="DE26" s="238">
        <f>114613636+11478400</f>
        <v>126092036</v>
      </c>
      <c r="DF26" s="238">
        <v>273893538</v>
      </c>
      <c r="DG26" s="238">
        <f>239622820-45730500</f>
        <v>193892320</v>
      </c>
      <c r="DH26" s="238">
        <v>451019017</v>
      </c>
      <c r="DI26" s="76">
        <f>DG26+DE26+DC26+DA26+CY26+CW26+CU26+CS26+CQ26+CO26+CM26+CK26</f>
        <v>3019226595</v>
      </c>
      <c r="DJ26" s="76">
        <f t="shared" si="38"/>
        <v>3019226595</v>
      </c>
      <c r="DK26" s="76">
        <f t="shared" si="38"/>
        <v>2495257268</v>
      </c>
      <c r="DL26" s="76">
        <f t="shared" si="39"/>
        <v>3019226595</v>
      </c>
      <c r="DM26" s="76">
        <f t="shared" si="39"/>
        <v>2495257268</v>
      </c>
      <c r="DN26" s="77"/>
      <c r="DO26" s="50"/>
      <c r="DP26" s="50"/>
      <c r="DQ26" s="50"/>
      <c r="DR26" s="50"/>
      <c r="DS26" s="50"/>
      <c r="DT26" s="50"/>
      <c r="DU26" s="50"/>
      <c r="DV26" s="50"/>
      <c r="DW26" s="50"/>
      <c r="DX26" s="50"/>
      <c r="DY26" s="50"/>
      <c r="DZ26" s="50"/>
      <c r="EA26" s="50"/>
      <c r="EB26" s="50"/>
      <c r="EC26" s="50"/>
      <c r="ED26" s="50"/>
      <c r="EE26" s="50"/>
      <c r="EF26" s="50"/>
      <c r="EG26" s="50"/>
      <c r="EH26" s="50"/>
      <c r="EI26" s="50"/>
      <c r="EJ26" s="50"/>
      <c r="EK26" s="50"/>
      <c r="EL26" s="50"/>
      <c r="EM26" s="534">
        <f>EI26+EG26+EE26+EC26+EA26+DY26+DW26+DU26+DS26+DQ26+DO26+EK26</f>
        <v>0</v>
      </c>
      <c r="EN26" s="66">
        <f t="shared" si="40"/>
        <v>0</v>
      </c>
      <c r="EO26" s="66">
        <f t="shared" si="41"/>
        <v>0</v>
      </c>
      <c r="EP26" s="64">
        <f>DQ26+DS26+DU26+DW26+DY26+EA26+EC26+EE26+EG26+EI26+EK26</f>
        <v>0</v>
      </c>
      <c r="EQ26" s="66">
        <f>DP26+DR26+DT26+DV26</f>
        <v>0</v>
      </c>
      <c r="ER26" s="178">
        <f t="shared" si="7"/>
        <v>2.3261314166543574</v>
      </c>
      <c r="ES26" s="143">
        <f t="shared" si="5"/>
        <v>0.82645577914962687</v>
      </c>
      <c r="ET26" s="344">
        <f t="shared" si="6"/>
        <v>0.82645577914962687</v>
      </c>
      <c r="EU26" s="344">
        <f t="shared" si="3"/>
        <v>2.0758027447755709</v>
      </c>
      <c r="EV26" s="344">
        <f>IFERROR((AA26+BE26+CI26+DM26)/G26,0)</f>
        <v>0</v>
      </c>
      <c r="EW26" s="669"/>
      <c r="EX26" s="624"/>
      <c r="EY26" s="624" t="s">
        <v>548</v>
      </c>
      <c r="EZ26" s="626"/>
      <c r="FA26" s="620"/>
      <c r="FB26" s="625"/>
    </row>
    <row r="27" spans="1:159" s="3" customFormat="1" ht="24" customHeight="1">
      <c r="A27" s="660"/>
      <c r="B27" s="660"/>
      <c r="C27" s="660"/>
      <c r="D27" s="660"/>
      <c r="E27" s="660"/>
      <c r="F27" s="242" t="s">
        <v>41</v>
      </c>
      <c r="G27" s="276">
        <f>+AA27+BE27+CI27+DL27+DN27</f>
        <v>0</v>
      </c>
      <c r="H27" s="76">
        <v>0</v>
      </c>
      <c r="I27" s="515"/>
      <c r="J27" s="515"/>
      <c r="K27" s="515"/>
      <c r="L27" s="515"/>
      <c r="M27" s="515"/>
      <c r="N27" s="515"/>
      <c r="O27" s="515"/>
      <c r="P27" s="515"/>
      <c r="Q27" s="515"/>
      <c r="R27" s="515"/>
      <c r="S27" s="515"/>
      <c r="T27" s="515"/>
      <c r="U27" s="515"/>
      <c r="V27" s="515"/>
      <c r="W27" s="76">
        <v>0</v>
      </c>
      <c r="X27" s="76">
        <v>0</v>
      </c>
      <c r="Y27" s="76">
        <v>0</v>
      </c>
      <c r="Z27" s="76">
        <v>0</v>
      </c>
      <c r="AA27" s="76">
        <v>0</v>
      </c>
      <c r="AB27" s="515">
        <v>0</v>
      </c>
      <c r="AC27" s="515">
        <v>0</v>
      </c>
      <c r="AD27" s="515">
        <v>0</v>
      </c>
      <c r="AE27" s="515">
        <v>0</v>
      </c>
      <c r="AF27" s="515">
        <v>0</v>
      </c>
      <c r="AG27" s="515">
        <v>0</v>
      </c>
      <c r="AH27" s="515">
        <v>0</v>
      </c>
      <c r="AI27" s="515">
        <v>0</v>
      </c>
      <c r="AJ27" s="515">
        <v>0</v>
      </c>
      <c r="AK27" s="515">
        <v>0</v>
      </c>
      <c r="AL27" s="515">
        <v>0</v>
      </c>
      <c r="AM27" s="515">
        <v>0</v>
      </c>
      <c r="AN27" s="515">
        <v>0</v>
      </c>
      <c r="AO27" s="515">
        <v>0</v>
      </c>
      <c r="AP27" s="515">
        <v>0</v>
      </c>
      <c r="AQ27" s="515">
        <v>0</v>
      </c>
      <c r="AR27" s="515">
        <v>0</v>
      </c>
      <c r="AS27" s="515">
        <v>0</v>
      </c>
      <c r="AT27" s="515">
        <v>0</v>
      </c>
      <c r="AU27" s="515">
        <v>0</v>
      </c>
      <c r="AV27" s="515">
        <v>0</v>
      </c>
      <c r="AW27" s="515">
        <v>0</v>
      </c>
      <c r="AX27" s="515">
        <v>0</v>
      </c>
      <c r="AY27" s="515">
        <v>0</v>
      </c>
      <c r="AZ27" s="515">
        <v>0</v>
      </c>
      <c r="BA27" s="88">
        <f>AY27+AW27+AU27+AS27+AQ27+AO27+AM27+AK27+AI27+AG27+AE27+AC27</f>
        <v>0</v>
      </c>
      <c r="BB27" s="88">
        <f t="shared" si="36"/>
        <v>0</v>
      </c>
      <c r="BC27" s="88">
        <f t="shared" si="36"/>
        <v>0</v>
      </c>
      <c r="BD27" s="88">
        <f>AE27+AG27+AI27+AK27+AM27+AO27+AQ27+AS27+AU27+AW27+AY27+AC27</f>
        <v>0</v>
      </c>
      <c r="BE27" s="88">
        <f>AD27+AF27+AH27+AJ27+AL27+AN27+AP27+AR27+AT27+AV27+AX27+AZ27</f>
        <v>0</v>
      </c>
      <c r="BF27" s="515">
        <v>0</v>
      </c>
      <c r="BG27" s="515">
        <v>0</v>
      </c>
      <c r="BH27" s="515">
        <v>0</v>
      </c>
      <c r="BI27" s="515">
        <v>0</v>
      </c>
      <c r="BJ27" s="515">
        <v>0</v>
      </c>
      <c r="BK27" s="515">
        <v>0</v>
      </c>
      <c r="BL27" s="515">
        <v>0</v>
      </c>
      <c r="BM27" s="515">
        <v>0</v>
      </c>
      <c r="BN27" s="515">
        <v>0</v>
      </c>
      <c r="BO27" s="515">
        <v>0</v>
      </c>
      <c r="BP27" s="515">
        <v>0</v>
      </c>
      <c r="BQ27" s="515">
        <v>0</v>
      </c>
      <c r="BR27" s="515">
        <v>0</v>
      </c>
      <c r="BS27" s="515">
        <v>0</v>
      </c>
      <c r="BT27" s="515">
        <v>0</v>
      </c>
      <c r="BU27" s="515">
        <v>0</v>
      </c>
      <c r="BV27" s="515">
        <v>0</v>
      </c>
      <c r="BW27" s="515">
        <v>0</v>
      </c>
      <c r="BX27" s="515">
        <v>0</v>
      </c>
      <c r="BY27" s="515">
        <v>0</v>
      </c>
      <c r="BZ27" s="515">
        <v>0</v>
      </c>
      <c r="CA27" s="515">
        <v>0</v>
      </c>
      <c r="CB27" s="515">
        <v>0</v>
      </c>
      <c r="CC27" s="515">
        <v>0</v>
      </c>
      <c r="CD27" s="515">
        <v>0</v>
      </c>
      <c r="CE27" s="525">
        <f>CC27+CA27+BY27+BW27+BU27+BS27+BQ27+BO27+BM27+BK27+BI27+BG27</f>
        <v>0</v>
      </c>
      <c r="CF27" s="526">
        <f t="shared" si="37"/>
        <v>0</v>
      </c>
      <c r="CG27" s="145">
        <f t="shared" si="37"/>
        <v>0</v>
      </c>
      <c r="CH27" s="144">
        <f>CC27+CA27+BY27+BW27+BU27+BS27+BQ27+BO27+BM27+BK27+BI27+BG27</f>
        <v>0</v>
      </c>
      <c r="CI27" s="145">
        <f>+BH27+BJ27+BL27+BN27+BP27+BR27+BT27+BV27+BX27+BZ27+CB27+CD27</f>
        <v>0</v>
      </c>
      <c r="CJ27" s="515">
        <v>0</v>
      </c>
      <c r="CK27" s="515">
        <v>0</v>
      </c>
      <c r="CL27" s="515">
        <v>0</v>
      </c>
      <c r="CM27" s="515">
        <v>0</v>
      </c>
      <c r="CN27" s="515">
        <v>0</v>
      </c>
      <c r="CO27" s="515">
        <v>0</v>
      </c>
      <c r="CP27" s="515">
        <v>0</v>
      </c>
      <c r="CQ27" s="515">
        <v>0</v>
      </c>
      <c r="CR27" s="515">
        <v>0</v>
      </c>
      <c r="CS27" s="515">
        <v>0</v>
      </c>
      <c r="CT27" s="515">
        <v>0</v>
      </c>
      <c r="CU27" s="515">
        <v>0</v>
      </c>
      <c r="CV27" s="536">
        <v>0</v>
      </c>
      <c r="CW27" s="515">
        <v>0</v>
      </c>
      <c r="CX27" s="536">
        <v>0</v>
      </c>
      <c r="CY27" s="515">
        <v>0</v>
      </c>
      <c r="CZ27" s="536">
        <v>0</v>
      </c>
      <c r="DA27" s="515">
        <v>0</v>
      </c>
      <c r="DB27" s="536">
        <v>0</v>
      </c>
      <c r="DC27" s="515">
        <v>0</v>
      </c>
      <c r="DD27" s="536">
        <v>0</v>
      </c>
      <c r="DE27" s="515">
        <v>0</v>
      </c>
      <c r="DF27" s="536">
        <v>0</v>
      </c>
      <c r="DG27" s="515">
        <v>0</v>
      </c>
      <c r="DH27" s="536">
        <v>0</v>
      </c>
      <c r="DI27" s="528">
        <f>DG27+DE27+DC27+CW27+CY27+CU27+CS27+CQ27+CO27+CM27+CK27</f>
        <v>0</v>
      </c>
      <c r="DJ27" s="523">
        <f t="shared" si="38"/>
        <v>0</v>
      </c>
      <c r="DK27" s="76">
        <f t="shared" si="38"/>
        <v>0</v>
      </c>
      <c r="DL27" s="285">
        <f>CK27+CM27+CO27+CQ27+CS27+CU27+CW27+CY27+DA27+DC27+DE27+DG27</f>
        <v>0</v>
      </c>
      <c r="DM27" s="285">
        <f>CN27+CP27+CR27+CT27+CV27+CX27+CZ27+DB27+DD27+DF27+DH27+CL27</f>
        <v>0</v>
      </c>
      <c r="DN27" s="515"/>
      <c r="DO27" s="537"/>
      <c r="DP27" s="537"/>
      <c r="DQ27" s="537"/>
      <c r="DR27" s="537"/>
      <c r="DS27" s="537"/>
      <c r="DT27" s="537"/>
      <c r="DU27" s="537"/>
      <c r="DV27" s="537"/>
      <c r="DW27" s="537"/>
      <c r="DX27" s="537"/>
      <c r="DY27" s="537"/>
      <c r="DZ27" s="537"/>
      <c r="EA27" s="537"/>
      <c r="EB27" s="537"/>
      <c r="EC27" s="537"/>
      <c r="ED27" s="537"/>
      <c r="EE27" s="537"/>
      <c r="EF27" s="537"/>
      <c r="EG27" s="537"/>
      <c r="EH27" s="537"/>
      <c r="EI27" s="537"/>
      <c r="EJ27" s="537"/>
      <c r="EK27" s="537"/>
      <c r="EL27" s="537"/>
      <c r="EM27" s="538">
        <f>EI27+EG27+EE27+EC27+EA27+DY27+DW27+DU27+DS27+DQ27+DO27+EK27</f>
        <v>0</v>
      </c>
      <c r="EN27" s="68">
        <f t="shared" si="40"/>
        <v>0</v>
      </c>
      <c r="EO27" s="68">
        <f t="shared" si="41"/>
        <v>0</v>
      </c>
      <c r="EP27" s="69">
        <f>DQ27+DS27+DU27+DW27+DY27+EA27+EC27+EE27+EG27+EI27+EK27</f>
        <v>0</v>
      </c>
      <c r="EQ27" s="538">
        <f>DP27+DR27+DT27+DV27</f>
        <v>0</v>
      </c>
      <c r="ER27" s="178">
        <f t="shared" si="7"/>
        <v>0</v>
      </c>
      <c r="ES27" s="143">
        <f>IFERROR(+DK27/DJ27,0)</f>
        <v>0</v>
      </c>
      <c r="ET27" s="344">
        <f>IFERROR(+DM27/DL27,0)</f>
        <v>0</v>
      </c>
      <c r="EU27" s="344">
        <f>IFERROR((AA27+BE27+CI27+DK27)/(Z27+BD27+CH27+DJ27),0)</f>
        <v>0</v>
      </c>
      <c r="EV27" s="344">
        <f>IFERROR((AA27+BE27+CI27+DM27)/G27,0)</f>
        <v>0</v>
      </c>
      <c r="EW27" s="669"/>
      <c r="EX27" s="624"/>
      <c r="EY27" s="624" t="s">
        <v>548</v>
      </c>
      <c r="EZ27" s="626"/>
      <c r="FA27" s="620"/>
      <c r="FB27" s="625"/>
    </row>
    <row r="28" spans="1:159" s="3" customFormat="1" ht="24" customHeight="1">
      <c r="A28" s="660"/>
      <c r="B28" s="660"/>
      <c r="C28" s="660"/>
      <c r="D28" s="660"/>
      <c r="E28" s="660"/>
      <c r="F28" s="243" t="s">
        <v>4</v>
      </c>
      <c r="G28" s="77">
        <f>+AA28+BE28+CI28+DL28+DN28</f>
        <v>1762200946.3333333</v>
      </c>
      <c r="H28" s="515">
        <v>0</v>
      </c>
      <c r="I28" s="77">
        <v>0</v>
      </c>
      <c r="J28" s="77">
        <v>0</v>
      </c>
      <c r="K28" s="77">
        <v>0</v>
      </c>
      <c r="L28" s="77">
        <v>0</v>
      </c>
      <c r="M28" s="77">
        <v>0</v>
      </c>
      <c r="N28" s="77">
        <v>0</v>
      </c>
      <c r="O28" s="77">
        <v>0</v>
      </c>
      <c r="P28" s="77">
        <v>0</v>
      </c>
      <c r="Q28" s="77">
        <v>0</v>
      </c>
      <c r="R28" s="77">
        <v>0</v>
      </c>
      <c r="S28" s="77">
        <v>0</v>
      </c>
      <c r="T28" s="76">
        <v>0</v>
      </c>
      <c r="U28" s="87">
        <v>0</v>
      </c>
      <c r="V28" s="87">
        <v>0</v>
      </c>
      <c r="W28" s="515">
        <v>0</v>
      </c>
      <c r="X28" s="515">
        <v>0</v>
      </c>
      <c r="Y28" s="515">
        <v>0</v>
      </c>
      <c r="Z28" s="87">
        <v>0</v>
      </c>
      <c r="AA28" s="87">
        <v>0</v>
      </c>
      <c r="AB28" s="87">
        <v>592742679</v>
      </c>
      <c r="AC28" s="77">
        <v>91072667</v>
      </c>
      <c r="AD28" s="77">
        <v>91072667</v>
      </c>
      <c r="AE28" s="77">
        <f>205477567-AC28</f>
        <v>114404900</v>
      </c>
      <c r="AF28" s="77">
        <f>205477567-AD28</f>
        <v>114404900</v>
      </c>
      <c r="AG28" s="77">
        <v>43650195</v>
      </c>
      <c r="AH28" s="77">
        <f>249127762-AF28-AD28</f>
        <v>43650195</v>
      </c>
      <c r="AI28" s="77">
        <v>52211433</v>
      </c>
      <c r="AJ28" s="77">
        <f>301339195-AH28-AF28-AD28</f>
        <v>52211433</v>
      </c>
      <c r="AK28" s="77">
        <v>38507889</v>
      </c>
      <c r="AL28" s="77">
        <f>339847084-AJ28-AH28-AF28-AD28</f>
        <v>38507889</v>
      </c>
      <c r="AM28" s="77">
        <v>92916500</v>
      </c>
      <c r="AN28" s="77">
        <v>91626500</v>
      </c>
      <c r="AO28" s="77">
        <v>63971107</v>
      </c>
      <c r="AP28" s="77">
        <v>0</v>
      </c>
      <c r="AQ28" s="77">
        <v>16343157</v>
      </c>
      <c r="AR28" s="77">
        <v>100496560</v>
      </c>
      <c r="AS28" s="77">
        <f>23000000+56664831</f>
        <v>79664831</v>
      </c>
      <c r="AT28" s="77">
        <v>809200</v>
      </c>
      <c r="AU28" s="77">
        <v>0</v>
      </c>
      <c r="AV28" s="77">
        <v>12817727</v>
      </c>
      <c r="AW28" s="77">
        <v>-1342800</v>
      </c>
      <c r="AX28" s="77">
        <v>29874112</v>
      </c>
      <c r="AY28" s="77">
        <v>0</v>
      </c>
      <c r="AZ28" s="77">
        <v>9604961</v>
      </c>
      <c r="BA28" s="76">
        <f>AY28+AW28+AU28+AS28+AQ28+AO28+AM28+AK28+AI28+AG28+AE28+AC28</f>
        <v>591399879</v>
      </c>
      <c r="BB28" s="76">
        <f t="shared" si="36"/>
        <v>591399879</v>
      </c>
      <c r="BC28" s="76">
        <f t="shared" si="36"/>
        <v>585076144</v>
      </c>
      <c r="BD28" s="76">
        <f>AE28+AG28+AI28+AK28+AM28+AO28+AQ28+AS28+AU28+AW28+AY28+AC28</f>
        <v>591399879</v>
      </c>
      <c r="BE28" s="76">
        <f>AD28+AF28+AH28+AJ28+AL28+AN28+AP28+AR28+AT28+AV28+AX28+AZ28</f>
        <v>585076144</v>
      </c>
      <c r="BF28" s="77">
        <v>459991982</v>
      </c>
      <c r="BG28" s="77">
        <v>34305183</v>
      </c>
      <c r="BH28" s="77">
        <v>0</v>
      </c>
      <c r="BI28" s="77">
        <f>101870690- 1122133</f>
        <v>100748557</v>
      </c>
      <c r="BJ28" s="77">
        <v>71062834</v>
      </c>
      <c r="BK28" s="77">
        <v>62175676</v>
      </c>
      <c r="BL28" s="77">
        <v>0</v>
      </c>
      <c r="BM28" s="77">
        <v>99000000</v>
      </c>
      <c r="BN28" s="77">
        <v>0</v>
      </c>
      <c r="BO28" s="77">
        <v>22023119</v>
      </c>
      <c r="BP28" s="77">
        <v>0</v>
      </c>
      <c r="BQ28" s="77">
        <v>102726512</v>
      </c>
      <c r="BR28" s="77">
        <v>0</v>
      </c>
      <c r="BS28" s="77">
        <f>35867683+1122133</f>
        <v>36989816</v>
      </c>
      <c r="BT28" s="77">
        <v>387807015</v>
      </c>
      <c r="BU28" s="77">
        <v>2023119</v>
      </c>
      <c r="BV28" s="77">
        <v>0</v>
      </c>
      <c r="BW28" s="77">
        <v>-1122133</v>
      </c>
      <c r="BX28" s="77">
        <v>-133055649</v>
      </c>
      <c r="BY28" s="77">
        <v>0</v>
      </c>
      <c r="BZ28" s="77">
        <v>8863870</v>
      </c>
      <c r="CA28" s="77">
        <v>1122133</v>
      </c>
      <c r="CB28" s="77">
        <v>107147411</v>
      </c>
      <c r="CC28" s="77">
        <v>-1122133</v>
      </c>
      <c r="CD28" s="77">
        <v>0</v>
      </c>
      <c r="CE28" s="77">
        <f>CC28+CA28+BY28+BW28+BU28+BS28+BQ28+BO28+BM28+BK28+BI28+BG28</f>
        <v>458869849</v>
      </c>
      <c r="CF28" s="77">
        <f t="shared" si="37"/>
        <v>458869849</v>
      </c>
      <c r="CG28" s="77">
        <f t="shared" si="37"/>
        <v>441825481</v>
      </c>
      <c r="CH28" s="76">
        <f>CC28+CA28+BY28+BW28+BU28+BS28+BQ28+BO28+BM28+BK28+BI28+BG28</f>
        <v>458869849</v>
      </c>
      <c r="CI28" s="76">
        <f>+BH28+BJ28+BL28+BN28+BP28+BR28+BT28+BV28+BX28+BZ28+CB28+CD28</f>
        <v>441825481</v>
      </c>
      <c r="CJ28" s="77">
        <v>765862520</v>
      </c>
      <c r="CK28" s="77">
        <v>142685650</v>
      </c>
      <c r="CL28" s="77">
        <v>90129133</v>
      </c>
      <c r="CM28" s="77">
        <v>189290057</v>
      </c>
      <c r="CN28" s="77">
        <v>180806615</v>
      </c>
      <c r="CO28" s="77">
        <v>102258997</v>
      </c>
      <c r="CP28" s="77">
        <v>104859166</v>
      </c>
      <c r="CQ28" s="77">
        <v>264698236</v>
      </c>
      <c r="CR28" s="77">
        <v>19374600</v>
      </c>
      <c r="CS28" s="238">
        <f>26829580-169266</f>
        <v>26660314</v>
      </c>
      <c r="CT28" s="260">
        <v>47098931</v>
      </c>
      <c r="CU28" s="238">
        <v>0</v>
      </c>
      <c r="CV28" s="238">
        <v>26910239</v>
      </c>
      <c r="CW28" s="238">
        <v>0</v>
      </c>
      <c r="CX28" s="238">
        <v>29481779</v>
      </c>
      <c r="CY28" s="238">
        <v>0</v>
      </c>
      <c r="CZ28" s="238">
        <v>142072204</v>
      </c>
      <c r="DA28" s="238">
        <v>9266666.666666666</v>
      </c>
      <c r="DB28" s="238">
        <v>38556000</v>
      </c>
      <c r="DC28" s="238">
        <f>9266667+12300000-12300000</f>
        <v>9266667</v>
      </c>
      <c r="DD28" s="238">
        <f>11619043-11619043</f>
        <v>0</v>
      </c>
      <c r="DE28" s="238">
        <v>9266666.666666666</v>
      </c>
      <c r="DF28" s="238">
        <v>3039400</v>
      </c>
      <c r="DG28" s="238">
        <f>12300000-30393933</f>
        <v>-18093933</v>
      </c>
      <c r="DH28" s="238">
        <v>50826736</v>
      </c>
      <c r="DI28" s="239">
        <f>DG28+DE28+DC28+DA28+CY28+CW28+CU28+CM28+CS28+CO28+CQ28+CK28</f>
        <v>735299321.33333337</v>
      </c>
      <c r="DJ28" s="76">
        <f t="shared" si="38"/>
        <v>735299321.33333325</v>
      </c>
      <c r="DK28" s="76">
        <f t="shared" si="38"/>
        <v>733154803</v>
      </c>
      <c r="DL28" s="76">
        <f>CM28+CO28+CQ28+CS28+CU28+CW28+CY28+DA28+DC28+DE28+DG28+CK28</f>
        <v>735299321.33333325</v>
      </c>
      <c r="DM28" s="76">
        <f>DK28</f>
        <v>733154803</v>
      </c>
      <c r="DN28" s="77"/>
      <c r="DO28" s="49"/>
      <c r="DP28" s="49"/>
      <c r="DQ28" s="49"/>
      <c r="DR28" s="49"/>
      <c r="DS28" s="49"/>
      <c r="DT28" s="49"/>
      <c r="DU28" s="49"/>
      <c r="DV28" s="49"/>
      <c r="DW28" s="49"/>
      <c r="DX28" s="49"/>
      <c r="DY28" s="49"/>
      <c r="DZ28" s="49"/>
      <c r="EA28" s="49"/>
      <c r="EB28" s="49"/>
      <c r="EC28" s="49"/>
      <c r="ED28" s="49"/>
      <c r="EE28" s="49"/>
      <c r="EF28" s="49"/>
      <c r="EG28" s="49"/>
      <c r="EH28" s="49"/>
      <c r="EI28" s="49"/>
      <c r="EJ28" s="49"/>
      <c r="EK28" s="49"/>
      <c r="EL28" s="49"/>
      <c r="EM28" s="538">
        <f>EI28+EG28+EE28+EC28+EA28+DY28+DW28+DU28+DS28+DQ28+DO28+EK28</f>
        <v>0</v>
      </c>
      <c r="EN28" s="66">
        <f t="shared" si="40"/>
        <v>0</v>
      </c>
      <c r="EO28" s="66">
        <f t="shared" si="41"/>
        <v>0</v>
      </c>
      <c r="EP28" s="64">
        <f>DQ28+DS28+DU28+DW28+DY28+EA28+EC28+EE28+EG28+EI28+EK28+DO28</f>
        <v>0</v>
      </c>
      <c r="EQ28" s="66">
        <f>DP28+DR28+DT28+DV28</f>
        <v>0</v>
      </c>
      <c r="ER28" s="178">
        <f t="shared" si="7"/>
        <v>-2.8090485357716313</v>
      </c>
      <c r="ES28" s="143">
        <f t="shared" si="5"/>
        <v>0.99708347570694811</v>
      </c>
      <c r="ET28" s="344">
        <f t="shared" si="6"/>
        <v>0.99708347570694811</v>
      </c>
      <c r="EU28" s="344">
        <f t="shared" si="3"/>
        <v>0.98571176995767329</v>
      </c>
      <c r="EV28" s="344">
        <f t="shared" si="4"/>
        <v>0.99878304552168384</v>
      </c>
      <c r="EW28" s="669"/>
      <c r="EX28" s="624"/>
      <c r="EY28" s="624" t="s">
        <v>548</v>
      </c>
      <c r="EZ28" s="626"/>
      <c r="FA28" s="620"/>
      <c r="FB28" s="625"/>
    </row>
    <row r="29" spans="1:159" s="3" customFormat="1" ht="24" customHeight="1" thickBot="1">
      <c r="A29" s="660"/>
      <c r="B29" s="660"/>
      <c r="C29" s="660"/>
      <c r="D29" s="660"/>
      <c r="E29" s="660"/>
      <c r="F29" s="242" t="s">
        <v>42</v>
      </c>
      <c r="G29" s="231">
        <f>+G24+G27</f>
        <v>8</v>
      </c>
      <c r="H29" s="193">
        <f>+H24+H27</f>
        <v>1</v>
      </c>
      <c r="I29" s="520"/>
      <c r="J29" s="520"/>
      <c r="K29" s="520"/>
      <c r="L29" s="520"/>
      <c r="M29" s="520"/>
      <c r="N29" s="520"/>
      <c r="O29" s="520"/>
      <c r="P29" s="520"/>
      <c r="Q29" s="520"/>
      <c r="R29" s="520"/>
      <c r="S29" s="520"/>
      <c r="T29" s="520"/>
      <c r="U29" s="520"/>
      <c r="V29" s="520"/>
      <c r="W29" s="193">
        <f t="shared" ref="W29:AK29" si="42">+W24+W27</f>
        <v>1</v>
      </c>
      <c r="X29" s="193">
        <f t="shared" si="42"/>
        <v>1</v>
      </c>
      <c r="Y29" s="193">
        <f t="shared" si="42"/>
        <v>1</v>
      </c>
      <c r="Z29" s="193">
        <f t="shared" si="42"/>
        <v>1</v>
      </c>
      <c r="AA29" s="193">
        <f t="shared" si="42"/>
        <v>1</v>
      </c>
      <c r="AB29" s="193">
        <f t="shared" si="42"/>
        <v>2</v>
      </c>
      <c r="AC29" s="193">
        <f t="shared" si="42"/>
        <v>0.17</v>
      </c>
      <c r="AD29" s="193">
        <f t="shared" si="42"/>
        <v>0.15</v>
      </c>
      <c r="AE29" s="193">
        <f t="shared" si="42"/>
        <v>0.17</v>
      </c>
      <c r="AF29" s="193">
        <f t="shared" si="42"/>
        <v>0.11</v>
      </c>
      <c r="AG29" s="193">
        <f t="shared" si="42"/>
        <v>0.17</v>
      </c>
      <c r="AH29" s="193">
        <f t="shared" si="42"/>
        <v>0.1</v>
      </c>
      <c r="AI29" s="193">
        <f t="shared" si="42"/>
        <v>0.17</v>
      </c>
      <c r="AJ29" s="193">
        <f t="shared" si="42"/>
        <v>0.15</v>
      </c>
      <c r="AK29" s="193">
        <f t="shared" si="42"/>
        <v>0.14000000000000001</v>
      </c>
      <c r="AL29" s="193">
        <f t="shared" ref="AL29:AZ29" si="43">+AL24+AL27</f>
        <v>0.14000000000000001</v>
      </c>
      <c r="AM29" s="193">
        <f t="shared" si="43"/>
        <v>0.17</v>
      </c>
      <c r="AN29" s="193">
        <f t="shared" si="43"/>
        <v>0.35</v>
      </c>
      <c r="AO29" s="193">
        <f t="shared" si="43"/>
        <v>0.17</v>
      </c>
      <c r="AP29" s="193">
        <f t="shared" si="43"/>
        <v>0.26</v>
      </c>
      <c r="AQ29" s="193">
        <f t="shared" si="43"/>
        <v>0.17</v>
      </c>
      <c r="AR29" s="193">
        <f t="shared" si="43"/>
        <v>0.13</v>
      </c>
      <c r="AS29" s="193">
        <f t="shared" si="43"/>
        <v>0.17</v>
      </c>
      <c r="AT29" s="193">
        <f t="shared" si="43"/>
        <v>0.17</v>
      </c>
      <c r="AU29" s="193">
        <f t="shared" si="43"/>
        <v>0.17</v>
      </c>
      <c r="AV29" s="193">
        <f t="shared" si="43"/>
        <v>0.21</v>
      </c>
      <c r="AW29" s="193">
        <f t="shared" si="43"/>
        <v>0.17</v>
      </c>
      <c r="AX29" s="193">
        <f t="shared" si="43"/>
        <v>0.17</v>
      </c>
      <c r="AY29" s="193">
        <f t="shared" si="43"/>
        <v>0.16</v>
      </c>
      <c r="AZ29" s="193">
        <f t="shared" si="43"/>
        <v>0.06</v>
      </c>
      <c r="BA29" s="193">
        <f t="shared" ref="BA29:BE30" si="44">+BA24+BA27</f>
        <v>1.9999999999999996</v>
      </c>
      <c r="BB29" s="520">
        <f t="shared" si="44"/>
        <v>1.9999999999999998</v>
      </c>
      <c r="BC29" s="520">
        <f t="shared" si="44"/>
        <v>2</v>
      </c>
      <c r="BD29" s="520">
        <f t="shared" si="44"/>
        <v>1.9999999999999998</v>
      </c>
      <c r="BE29" s="520">
        <f t="shared" si="44"/>
        <v>2</v>
      </c>
      <c r="BF29" s="520">
        <f t="shared" ref="BF29:BI30" si="45">+BF24+BF27</f>
        <v>2</v>
      </c>
      <c r="BG29" s="520">
        <f t="shared" si="45"/>
        <v>0.17</v>
      </c>
      <c r="BH29" s="520">
        <f t="shared" si="45"/>
        <v>0</v>
      </c>
      <c r="BI29" s="520">
        <f t="shared" si="45"/>
        <v>0.17</v>
      </c>
      <c r="BJ29" s="520">
        <f>+BJ24+BJ27</f>
        <v>0.33</v>
      </c>
      <c r="BK29" s="520">
        <f t="shared" ref="BK29:CI29" si="46">+BK24+BK27</f>
        <v>0.17</v>
      </c>
      <c r="BL29" s="520">
        <f t="shared" si="46"/>
        <v>0.17</v>
      </c>
      <c r="BM29" s="520">
        <f t="shared" si="46"/>
        <v>0.17</v>
      </c>
      <c r="BN29" s="520">
        <f t="shared" si="46"/>
        <v>0.17</v>
      </c>
      <c r="BO29" s="520">
        <f t="shared" si="46"/>
        <v>0.14000000000000001</v>
      </c>
      <c r="BP29" s="520">
        <f t="shared" si="46"/>
        <v>0.14000000000000001</v>
      </c>
      <c r="BQ29" s="520">
        <f t="shared" si="46"/>
        <v>0.18</v>
      </c>
      <c r="BR29" s="520">
        <f t="shared" si="46"/>
        <v>0.17</v>
      </c>
      <c r="BS29" s="520">
        <f t="shared" si="46"/>
        <v>0.17</v>
      </c>
      <c r="BT29" s="520">
        <f t="shared" si="46"/>
        <v>0.19</v>
      </c>
      <c r="BU29" s="520">
        <f t="shared" si="46"/>
        <v>0.17</v>
      </c>
      <c r="BV29" s="520">
        <f t="shared" si="46"/>
        <v>0.17</v>
      </c>
      <c r="BW29" s="520">
        <f t="shared" si="46"/>
        <v>0.17</v>
      </c>
      <c r="BX29" s="520">
        <f t="shared" si="46"/>
        <v>0.17</v>
      </c>
      <c r="BY29" s="520">
        <f t="shared" si="46"/>
        <v>0.17</v>
      </c>
      <c r="BZ29" s="520">
        <f t="shared" si="46"/>
        <v>0.17</v>
      </c>
      <c r="CA29" s="520">
        <f t="shared" si="46"/>
        <v>0.17</v>
      </c>
      <c r="CB29" s="520">
        <f t="shared" si="46"/>
        <v>0.17</v>
      </c>
      <c r="CC29" s="520">
        <f>+CC24+CC27</f>
        <v>0.15</v>
      </c>
      <c r="CD29" s="520">
        <f t="shared" si="46"/>
        <v>0.15</v>
      </c>
      <c r="CE29" s="520">
        <f t="shared" si="46"/>
        <v>1.9999999999999996</v>
      </c>
      <c r="CF29" s="520">
        <f t="shared" si="46"/>
        <v>1.9999999999999996</v>
      </c>
      <c r="CG29" s="520">
        <f t="shared" si="46"/>
        <v>1.9999999999999998</v>
      </c>
      <c r="CH29" s="520">
        <f t="shared" si="46"/>
        <v>1.9999999999999996</v>
      </c>
      <c r="CI29" s="520">
        <f t="shared" si="46"/>
        <v>1.9999999999999998</v>
      </c>
      <c r="CJ29" s="187">
        <f>+CJ24+CJ27</f>
        <v>2</v>
      </c>
      <c r="CK29" s="188">
        <f>+CK24+CK27</f>
        <v>0.17</v>
      </c>
      <c r="CL29" s="188">
        <f t="shared" ref="CK29:DH30" si="47">+CL24+CL27</f>
        <v>0.17</v>
      </c>
      <c r="CM29" s="188">
        <f>+CM24+CM27</f>
        <v>0.17</v>
      </c>
      <c r="CN29" s="188">
        <f>+CN24+CN27</f>
        <v>0.17</v>
      </c>
      <c r="CO29" s="188">
        <f t="shared" si="47"/>
        <v>0.17</v>
      </c>
      <c r="CP29" s="188">
        <f>+CP24+CP27</f>
        <v>0.17</v>
      </c>
      <c r="CQ29" s="188">
        <f t="shared" si="47"/>
        <v>0.17</v>
      </c>
      <c r="CR29" s="188">
        <f t="shared" si="47"/>
        <v>0.17</v>
      </c>
      <c r="CS29" s="188">
        <f>+CS24+CS27</f>
        <v>0.14000000000000001</v>
      </c>
      <c r="CT29" s="265">
        <f>CT24+CT27</f>
        <v>0.14000000000000001</v>
      </c>
      <c r="CU29" s="188">
        <f>+CU24+CU27</f>
        <v>0.17</v>
      </c>
      <c r="CV29" s="188">
        <f>+CV24+CV27</f>
        <v>0.17</v>
      </c>
      <c r="CW29" s="187">
        <f t="shared" si="47"/>
        <v>0.17</v>
      </c>
      <c r="CX29" s="353">
        <f t="shared" si="47"/>
        <v>0.17</v>
      </c>
      <c r="CY29" s="188">
        <f t="shared" si="47"/>
        <v>0.17</v>
      </c>
      <c r="CZ29" s="188">
        <f t="shared" ref="CZ29" si="48">+CZ24+CZ27</f>
        <v>0.17</v>
      </c>
      <c r="DA29" s="188">
        <f t="shared" si="47"/>
        <v>0.17</v>
      </c>
      <c r="DB29" s="353">
        <f t="shared" si="47"/>
        <v>0.17</v>
      </c>
      <c r="DC29" s="188">
        <f t="shared" si="47"/>
        <v>0.17</v>
      </c>
      <c r="DD29" s="335"/>
      <c r="DE29" s="188">
        <f t="shared" si="47"/>
        <v>0.17</v>
      </c>
      <c r="DF29" s="353">
        <f>+DF24+DF27</f>
        <v>0.17</v>
      </c>
      <c r="DG29" s="188">
        <f t="shared" si="47"/>
        <v>0.16</v>
      </c>
      <c r="DH29" s="352">
        <f t="shared" si="47"/>
        <v>0.16</v>
      </c>
      <c r="DI29" s="520">
        <f>DI24+DI27</f>
        <v>1.9999999999999996</v>
      </c>
      <c r="DJ29" s="539">
        <f>+DJ24+DJ27</f>
        <v>1.9999999999999998</v>
      </c>
      <c r="DK29" s="539">
        <f>+DK24+DK27</f>
        <v>1.9999999999999998</v>
      </c>
      <c r="DL29" s="520">
        <f>DL24+DL27</f>
        <v>1.9999999999999998</v>
      </c>
      <c r="DM29" s="520">
        <f>DM24+DM27</f>
        <v>1.9999999999999998</v>
      </c>
      <c r="DN29" s="520">
        <f>+DN24+DN27</f>
        <v>1</v>
      </c>
      <c r="DO29" s="194"/>
      <c r="DP29" s="194"/>
      <c r="DQ29" s="194"/>
      <c r="DR29" s="194"/>
      <c r="DS29" s="194"/>
      <c r="DT29" s="194"/>
      <c r="DU29" s="194"/>
      <c r="DV29" s="194"/>
      <c r="DW29" s="194"/>
      <c r="DX29" s="194"/>
      <c r="DY29" s="194"/>
      <c r="DZ29" s="194"/>
      <c r="EA29" s="194"/>
      <c r="EB29" s="194"/>
      <c r="EC29" s="194"/>
      <c r="ED29" s="194"/>
      <c r="EE29" s="194"/>
      <c r="EF29" s="194"/>
      <c r="EG29" s="194"/>
      <c r="EH29" s="194"/>
      <c r="EI29" s="194"/>
      <c r="EJ29" s="194"/>
      <c r="EK29" s="194"/>
      <c r="EL29" s="194"/>
      <c r="EM29" s="540">
        <f>EI29+EG29+EE29+EC29+EA29+DY29+DW29+DU29+DS29+DQ29+DO29+EK29</f>
        <v>0</v>
      </c>
      <c r="EN29" s="195">
        <f t="shared" si="40"/>
        <v>0</v>
      </c>
      <c r="EO29" s="195">
        <f t="shared" si="41"/>
        <v>0</v>
      </c>
      <c r="EP29" s="196">
        <f>DQ29+DS29+DU29+DW29+DY29+EA29+EC29+EE29+EG29+EI29+EK29+DO29</f>
        <v>0</v>
      </c>
      <c r="EQ29" s="195">
        <f>DR29+DT29+DV29+DP29</f>
        <v>0</v>
      </c>
      <c r="ER29" s="454">
        <f t="shared" si="7"/>
        <v>1</v>
      </c>
      <c r="ES29" s="345">
        <f t="shared" si="5"/>
        <v>1</v>
      </c>
      <c r="ET29" s="346">
        <f t="shared" si="6"/>
        <v>1</v>
      </c>
      <c r="EU29" s="346">
        <f t="shared" si="3"/>
        <v>1</v>
      </c>
      <c r="EV29" s="346">
        <f>+(AA29+BE29+CI29+DM29)/G29</f>
        <v>0.875</v>
      </c>
      <c r="EW29" s="669"/>
      <c r="EX29" s="624"/>
      <c r="EY29" s="624" t="s">
        <v>548</v>
      </c>
      <c r="EZ29" s="626"/>
      <c r="FA29" s="620"/>
      <c r="FB29" s="625"/>
    </row>
    <row r="30" spans="1:159" s="24" customFormat="1" ht="24" customHeight="1" thickBot="1">
      <c r="A30" s="660"/>
      <c r="B30" s="660"/>
      <c r="C30" s="660"/>
      <c r="D30" s="660"/>
      <c r="E30" s="660"/>
      <c r="F30" s="243" t="s">
        <v>44</v>
      </c>
      <c r="G30" s="179">
        <f>+G25+G28</f>
        <v>16307291715.333334</v>
      </c>
      <c r="H30" s="180">
        <f>+H25+H28</f>
        <v>1412790000</v>
      </c>
      <c r="I30" s="180"/>
      <c r="J30" s="180"/>
      <c r="K30" s="180"/>
      <c r="L30" s="180"/>
      <c r="M30" s="180"/>
      <c r="N30" s="180"/>
      <c r="O30" s="180"/>
      <c r="P30" s="180"/>
      <c r="Q30" s="180"/>
      <c r="R30" s="180"/>
      <c r="S30" s="180"/>
      <c r="T30" s="181"/>
      <c r="U30" s="191"/>
      <c r="V30" s="191"/>
      <c r="W30" s="180">
        <f t="shared" ref="W30:AK30" si="49">+W25+W28</f>
        <v>1412790000</v>
      </c>
      <c r="X30" s="180">
        <f t="shared" si="49"/>
        <v>1412790000</v>
      </c>
      <c r="Y30" s="180">
        <f t="shared" si="49"/>
        <v>1326141063</v>
      </c>
      <c r="Z30" s="180">
        <f t="shared" si="49"/>
        <v>1399790000</v>
      </c>
      <c r="AA30" s="180">
        <f t="shared" si="49"/>
        <v>1326141063</v>
      </c>
      <c r="AB30" s="180">
        <f t="shared" si="49"/>
        <v>3566518679</v>
      </c>
      <c r="AC30" s="180">
        <f t="shared" si="49"/>
        <v>91072667</v>
      </c>
      <c r="AD30" s="180">
        <f t="shared" si="49"/>
        <v>91072667</v>
      </c>
      <c r="AE30" s="180">
        <f t="shared" si="49"/>
        <v>523194900</v>
      </c>
      <c r="AF30" s="180">
        <f t="shared" si="49"/>
        <v>523194900</v>
      </c>
      <c r="AG30" s="180">
        <f t="shared" si="49"/>
        <v>1428804345</v>
      </c>
      <c r="AH30" s="180">
        <f t="shared" si="49"/>
        <v>1428804345</v>
      </c>
      <c r="AI30" s="180">
        <f t="shared" si="49"/>
        <v>609841433</v>
      </c>
      <c r="AJ30" s="180">
        <f t="shared" si="49"/>
        <v>201051433</v>
      </c>
      <c r="AK30" s="180">
        <f t="shared" si="49"/>
        <v>38507889</v>
      </c>
      <c r="AL30" s="180">
        <f t="shared" ref="AL30:AZ30" si="50">+AL25+AL28</f>
        <v>43507889</v>
      </c>
      <c r="AM30" s="180">
        <f t="shared" si="50"/>
        <v>337648064</v>
      </c>
      <c r="AN30" s="180">
        <f t="shared" si="50"/>
        <v>336358064</v>
      </c>
      <c r="AO30" s="180">
        <f t="shared" si="50"/>
        <v>63971107</v>
      </c>
      <c r="AP30" s="180">
        <f t="shared" si="50"/>
        <v>0</v>
      </c>
      <c r="AQ30" s="180">
        <f t="shared" si="50"/>
        <v>78889757</v>
      </c>
      <c r="AR30" s="180">
        <f t="shared" si="50"/>
        <v>100496560</v>
      </c>
      <c r="AS30" s="180">
        <f t="shared" si="50"/>
        <v>158335747</v>
      </c>
      <c r="AT30" s="180">
        <f t="shared" si="50"/>
        <v>14036034</v>
      </c>
      <c r="AU30" s="180">
        <f t="shared" si="50"/>
        <v>68283886</v>
      </c>
      <c r="AV30" s="180">
        <f t="shared" si="50"/>
        <v>50370865</v>
      </c>
      <c r="AW30" s="180">
        <f t="shared" si="50"/>
        <v>61203800</v>
      </c>
      <c r="AX30" s="180">
        <f t="shared" si="50"/>
        <v>111518759</v>
      </c>
      <c r="AY30" s="180">
        <f t="shared" si="50"/>
        <v>62546600</v>
      </c>
      <c r="AZ30" s="180">
        <f t="shared" si="50"/>
        <v>366773951</v>
      </c>
      <c r="BA30" s="181">
        <f t="shared" si="44"/>
        <v>3522300195</v>
      </c>
      <c r="BB30" s="192">
        <f t="shared" si="44"/>
        <v>3522300195</v>
      </c>
      <c r="BC30" s="192">
        <f t="shared" si="44"/>
        <v>3267185467</v>
      </c>
      <c r="BD30" s="192">
        <f t="shared" si="44"/>
        <v>3522300195</v>
      </c>
      <c r="BE30" s="192">
        <f t="shared" si="44"/>
        <v>3267185467</v>
      </c>
      <c r="BF30" s="192">
        <f t="shared" si="45"/>
        <v>3824228982</v>
      </c>
      <c r="BG30" s="192">
        <f t="shared" si="45"/>
        <v>2633309183</v>
      </c>
      <c r="BH30" s="192">
        <f t="shared" si="45"/>
        <v>2534638908</v>
      </c>
      <c r="BI30" s="192">
        <f t="shared" si="45"/>
        <v>100748557</v>
      </c>
      <c r="BJ30" s="192">
        <f>+BJ25+BJ28</f>
        <v>71062834</v>
      </c>
      <c r="BK30" s="192">
        <f t="shared" ref="BK30:CI30" si="51">+BK25+BK28</f>
        <v>661271676</v>
      </c>
      <c r="BL30" s="192">
        <f t="shared" si="51"/>
        <v>50000000</v>
      </c>
      <c r="BM30" s="192">
        <f t="shared" si="51"/>
        <v>180137000</v>
      </c>
      <c r="BN30" s="192">
        <f t="shared" si="51"/>
        <v>0</v>
      </c>
      <c r="BO30" s="192">
        <f t="shared" si="51"/>
        <v>22023119</v>
      </c>
      <c r="BP30" s="192">
        <f t="shared" si="51"/>
        <v>162596000</v>
      </c>
      <c r="BQ30" s="192">
        <f t="shared" si="51"/>
        <v>187726512</v>
      </c>
      <c r="BR30" s="192">
        <f t="shared" si="51"/>
        <v>0</v>
      </c>
      <c r="BS30" s="192">
        <f t="shared" si="51"/>
        <v>36989816</v>
      </c>
      <c r="BT30" s="192">
        <f t="shared" si="51"/>
        <v>387807015</v>
      </c>
      <c r="BU30" s="192">
        <f t="shared" si="51"/>
        <v>52023119</v>
      </c>
      <c r="BV30" s="192">
        <f t="shared" si="51"/>
        <v>0</v>
      </c>
      <c r="BW30" s="192">
        <f t="shared" si="51"/>
        <v>102546975</v>
      </c>
      <c r="BX30" s="192">
        <f t="shared" si="51"/>
        <v>-52162649</v>
      </c>
      <c r="BY30" s="192">
        <f t="shared" si="51"/>
        <v>310316001</v>
      </c>
      <c r="BZ30" s="192">
        <f t="shared" si="51"/>
        <v>130790770</v>
      </c>
      <c r="CA30" s="192">
        <f t="shared" si="51"/>
        <v>1122133</v>
      </c>
      <c r="CB30" s="192">
        <f t="shared" si="51"/>
        <v>483055311</v>
      </c>
      <c r="CC30" s="192">
        <f t="shared" si="51"/>
        <v>180877867</v>
      </c>
      <c r="CD30" s="192">
        <f t="shared" si="51"/>
        <v>485217080</v>
      </c>
      <c r="CE30" s="192">
        <f t="shared" si="51"/>
        <v>4469091958</v>
      </c>
      <c r="CF30" s="192">
        <f t="shared" si="51"/>
        <v>4469091958</v>
      </c>
      <c r="CG30" s="192">
        <f t="shared" si="51"/>
        <v>4253005269</v>
      </c>
      <c r="CH30" s="192">
        <f t="shared" si="51"/>
        <v>4469091958</v>
      </c>
      <c r="CI30" s="192">
        <f t="shared" si="51"/>
        <v>4253005269</v>
      </c>
      <c r="CJ30" s="181">
        <f>+CJ25+CJ28</f>
        <v>3804270520</v>
      </c>
      <c r="CK30" s="181">
        <f t="shared" si="47"/>
        <v>-60956850</v>
      </c>
      <c r="CL30" s="181">
        <f t="shared" si="47"/>
        <v>90129133</v>
      </c>
      <c r="CM30" s="181">
        <f t="shared" si="47"/>
        <v>443842057</v>
      </c>
      <c r="CN30" s="181">
        <f t="shared" si="47"/>
        <v>936826615</v>
      </c>
      <c r="CO30" s="181">
        <f t="shared" si="47"/>
        <v>399174633</v>
      </c>
      <c r="CP30" s="181">
        <f>+CP25+CP28</f>
        <v>1399724166</v>
      </c>
      <c r="CQ30" s="181">
        <f>+CQ25+CS28</f>
        <v>283462314</v>
      </c>
      <c r="CR30" s="181">
        <f t="shared" si="47"/>
        <v>114673600</v>
      </c>
      <c r="CS30" s="181">
        <f>+CS25+CS28</f>
        <v>325825950</v>
      </c>
      <c r="CT30" s="263">
        <f>+CT25+CT28</f>
        <v>139595626</v>
      </c>
      <c r="CU30" s="181">
        <f t="shared" si="47"/>
        <v>256802000</v>
      </c>
      <c r="CV30" s="181">
        <f t="shared" si="47"/>
        <v>348333239</v>
      </c>
      <c r="CW30" s="181">
        <f t="shared" si="47"/>
        <v>381853136</v>
      </c>
      <c r="CX30" s="355">
        <f t="shared" si="47"/>
        <v>29481779</v>
      </c>
      <c r="CY30" s="181">
        <f t="shared" si="47"/>
        <v>544801000</v>
      </c>
      <c r="CZ30" s="181">
        <f>+CZ25+CZ28</f>
        <v>159089204</v>
      </c>
      <c r="DA30" s="181">
        <f t="shared" si="47"/>
        <v>302523302.66666669</v>
      </c>
      <c r="DB30" s="181">
        <f t="shared" si="47"/>
        <v>206556000</v>
      </c>
      <c r="DC30" s="181">
        <f t="shared" si="47"/>
        <v>328003362</v>
      </c>
      <c r="DD30" s="181"/>
      <c r="DE30" s="181">
        <f t="shared" si="47"/>
        <v>135358702.66666666</v>
      </c>
      <c r="DF30" s="181"/>
      <c r="DG30" s="180">
        <f t="shared" si="47"/>
        <v>175798387</v>
      </c>
      <c r="DH30" s="180">
        <f t="shared" si="47"/>
        <v>268320929</v>
      </c>
      <c r="DI30" s="181">
        <f>DI25+DI28</f>
        <v>3754525916.3333335</v>
      </c>
      <c r="DJ30" s="192">
        <f>DJ25+DJ28</f>
        <v>3754525916.333333</v>
      </c>
      <c r="DK30" s="192">
        <f>DK25+DK28</f>
        <v>3746658791</v>
      </c>
      <c r="DL30" s="181">
        <f>DL25+DL28</f>
        <v>3754525916.333333</v>
      </c>
      <c r="DM30" s="192">
        <f>DM25+DM28</f>
        <v>3746658791</v>
      </c>
      <c r="DN30" s="192">
        <f>+DN25+DN28</f>
        <v>3706434000</v>
      </c>
      <c r="DO30" s="199"/>
      <c r="DP30" s="199"/>
      <c r="DQ30" s="199"/>
      <c r="DR30" s="199"/>
      <c r="DS30" s="199"/>
      <c r="DT30" s="199"/>
      <c r="DU30" s="199"/>
      <c r="DV30" s="199"/>
      <c r="DW30" s="199"/>
      <c r="DX30" s="199"/>
      <c r="DY30" s="199"/>
      <c r="DZ30" s="199"/>
      <c r="EA30" s="199"/>
      <c r="EB30" s="199"/>
      <c r="EC30" s="199"/>
      <c r="ED30" s="199"/>
      <c r="EE30" s="199"/>
      <c r="EF30" s="199"/>
      <c r="EG30" s="199"/>
      <c r="EH30" s="199"/>
      <c r="EI30" s="199"/>
      <c r="EJ30" s="199"/>
      <c r="EK30" s="199"/>
      <c r="EL30" s="199"/>
      <c r="EM30" s="200">
        <f>EK30+EI30+EG30+EE30+EC30+EA30+DY30+DW30+DU30+DS30+DQ30+DO30</f>
        <v>0</v>
      </c>
      <c r="EN30" s="201">
        <f>+EN25+EN28</f>
        <v>0</v>
      </c>
      <c r="EO30" s="202">
        <f>EO25+EO28</f>
        <v>0</v>
      </c>
      <c r="EP30" s="201">
        <f>+EP25+EP28</f>
        <v>0</v>
      </c>
      <c r="EQ30" s="201">
        <f>+EQ25+EQ28</f>
        <v>0</v>
      </c>
      <c r="ER30" s="455">
        <f t="shared" si="7"/>
        <v>1.526299151993926</v>
      </c>
      <c r="ES30" s="347">
        <f t="shared" si="5"/>
        <v>0.99790462883766262</v>
      </c>
      <c r="ET30" s="348">
        <f t="shared" si="6"/>
        <v>0.99790462883766262</v>
      </c>
      <c r="EU30" s="348">
        <f>+(AA30+BE30+CI30+DK30)/(Z30+BD30+CH30+DJ30)</f>
        <v>0.95795452961391048</v>
      </c>
      <c r="EV30" s="349">
        <f t="shared" si="4"/>
        <v>0.77223065667974344</v>
      </c>
      <c r="EW30" s="670"/>
      <c r="EX30" s="624"/>
      <c r="EY30" s="624" t="s">
        <v>548</v>
      </c>
      <c r="EZ30" s="626"/>
      <c r="FA30" s="620"/>
      <c r="FB30" s="625"/>
    </row>
    <row r="31" spans="1:159" s="3" customFormat="1" ht="29.1" customHeight="1">
      <c r="A31" s="660" t="s">
        <v>293</v>
      </c>
      <c r="B31" s="660">
        <v>4</v>
      </c>
      <c r="C31" s="660" t="s">
        <v>297</v>
      </c>
      <c r="D31" s="660" t="s">
        <v>255</v>
      </c>
      <c r="E31" s="660">
        <v>269</v>
      </c>
      <c r="F31" s="242" t="s">
        <v>40</v>
      </c>
      <c r="G31" s="287">
        <f>+AA31+BE31+CI31+DL31+DN31</f>
        <v>4700</v>
      </c>
      <c r="H31" s="507">
        <v>491</v>
      </c>
      <c r="I31" s="507"/>
      <c r="J31" s="507"/>
      <c r="K31" s="507"/>
      <c r="L31" s="507"/>
      <c r="M31" s="507"/>
      <c r="N31" s="507"/>
      <c r="O31" s="507"/>
      <c r="P31" s="507"/>
      <c r="Q31" s="507"/>
      <c r="R31" s="507"/>
      <c r="S31" s="507"/>
      <c r="T31" s="507"/>
      <c r="U31" s="507"/>
      <c r="V31" s="507"/>
      <c r="W31" s="507">
        <v>491</v>
      </c>
      <c r="X31" s="507">
        <v>491</v>
      </c>
      <c r="Y31" s="507">
        <v>491</v>
      </c>
      <c r="Z31" s="507">
        <v>491</v>
      </c>
      <c r="AA31" s="507">
        <v>491</v>
      </c>
      <c r="AB31" s="507">
        <v>893</v>
      </c>
      <c r="AC31" s="507">
        <v>15</v>
      </c>
      <c r="AD31" s="507">
        <v>36</v>
      </c>
      <c r="AE31" s="507">
        <v>18</v>
      </c>
      <c r="AF31" s="507">
        <v>16</v>
      </c>
      <c r="AG31" s="507">
        <v>90</v>
      </c>
      <c r="AH31" s="507">
        <v>104</v>
      </c>
      <c r="AI31" s="507">
        <v>97</v>
      </c>
      <c r="AJ31" s="507">
        <v>116</v>
      </c>
      <c r="AK31" s="507">
        <v>97</v>
      </c>
      <c r="AL31" s="507">
        <v>76</v>
      </c>
      <c r="AM31" s="507">
        <v>97</v>
      </c>
      <c r="AN31" s="507">
        <v>115</v>
      </c>
      <c r="AO31" s="507">
        <v>97</v>
      </c>
      <c r="AP31" s="507">
        <v>96</v>
      </c>
      <c r="AQ31" s="507">
        <v>97</v>
      </c>
      <c r="AR31" s="507">
        <v>102</v>
      </c>
      <c r="AS31" s="507">
        <v>97</v>
      </c>
      <c r="AT31" s="507">
        <v>96</v>
      </c>
      <c r="AU31" s="507">
        <v>97</v>
      </c>
      <c r="AV31" s="507">
        <v>69</v>
      </c>
      <c r="AW31" s="507">
        <v>91</v>
      </c>
      <c r="AX31" s="507">
        <v>65</v>
      </c>
      <c r="AY31" s="507">
        <v>4</v>
      </c>
      <c r="AZ31" s="507">
        <v>6</v>
      </c>
      <c r="BA31" s="197">
        <f>AY31+AW31+AU31+AS31+AQ31+AO31+AM31+AK31+AI31+AG31+AE31+AC31</f>
        <v>897</v>
      </c>
      <c r="BB31" s="197">
        <f t="shared" ref="BB31:BC34" si="52">AC31+AE31+AG31+AI31+AK31+AM31+AO31+AQ31+AS31+AU31+AW31+AY31</f>
        <v>897</v>
      </c>
      <c r="BC31" s="197">
        <f t="shared" si="52"/>
        <v>897</v>
      </c>
      <c r="BD31" s="197">
        <f>AE31+AG31+AI31+AK31+AM31+AO31+AQ31+AS31+AU31+AW31+AY31+AC31</f>
        <v>897</v>
      </c>
      <c r="BE31" s="197">
        <f>AD31+AF31+AH31+AJ31+AL31+AN31+AP31+AR31+AT31+AV31+AX31+AZ31</f>
        <v>897</v>
      </c>
      <c r="BF31" s="507">
        <v>1272</v>
      </c>
      <c r="BG31" s="507">
        <v>0</v>
      </c>
      <c r="BH31" s="507">
        <v>11</v>
      </c>
      <c r="BI31" s="507">
        <v>102</v>
      </c>
      <c r="BJ31" s="507">
        <v>129</v>
      </c>
      <c r="BK31" s="507">
        <v>130</v>
      </c>
      <c r="BL31" s="507">
        <v>109</v>
      </c>
      <c r="BM31" s="507">
        <v>130</v>
      </c>
      <c r="BN31" s="507">
        <v>115</v>
      </c>
      <c r="BO31" s="507">
        <v>130</v>
      </c>
      <c r="BP31" s="507">
        <v>194</v>
      </c>
      <c r="BQ31" s="507">
        <v>130</v>
      </c>
      <c r="BR31" s="507">
        <v>127</v>
      </c>
      <c r="BS31" s="507">
        <v>130</v>
      </c>
      <c r="BT31" s="507">
        <v>138</v>
      </c>
      <c r="BU31" s="507">
        <v>130</v>
      </c>
      <c r="BV31" s="507">
        <v>117</v>
      </c>
      <c r="BW31" s="507">
        <v>130</v>
      </c>
      <c r="BX31" s="507">
        <v>142</v>
      </c>
      <c r="BY31" s="507">
        <v>130</v>
      </c>
      <c r="BZ31" s="507">
        <v>121</v>
      </c>
      <c r="CA31" s="507">
        <v>130</v>
      </c>
      <c r="CB31" s="507">
        <v>137</v>
      </c>
      <c r="CC31" s="541">
        <v>146</v>
      </c>
      <c r="CD31" s="507">
        <v>78</v>
      </c>
      <c r="CE31" s="507">
        <f>CC31+CA31+BY31+BW31+BU31+BS31+BQ31+BO31+BM31+BK31+BI31+BG31</f>
        <v>1418</v>
      </c>
      <c r="CF31" s="507">
        <f t="shared" ref="CF31:CG35" si="53">+BG31+BI31+BK31+BM31+BO31+BQ31+BS31+BU31+BW31+BY31+CA31+CC31</f>
        <v>1418</v>
      </c>
      <c r="CG31" s="198">
        <f t="shared" si="53"/>
        <v>1418</v>
      </c>
      <c r="CH31" s="198">
        <f>CC31+CA31+BY31+BW31+BU31+BS31+BQ31+BO31+BM31+BK31+BI31+BG31</f>
        <v>1418</v>
      </c>
      <c r="CI31" s="198">
        <f>+BH31+BJ31+BL31+BN31+BP31+BR31+BT31+BV31+BX31+BZ31+CB31+CD31</f>
        <v>1418</v>
      </c>
      <c r="CJ31" s="507">
        <v>1585</v>
      </c>
      <c r="CK31" s="542">
        <v>62</v>
      </c>
      <c r="CL31" s="543">
        <v>62</v>
      </c>
      <c r="CM31" s="542">
        <v>77</v>
      </c>
      <c r="CN31" s="543">
        <v>77</v>
      </c>
      <c r="CO31" s="542">
        <v>102</v>
      </c>
      <c r="CP31" s="543">
        <v>102</v>
      </c>
      <c r="CQ31" s="542">
        <v>168</v>
      </c>
      <c r="CR31" s="543">
        <v>120</v>
      </c>
      <c r="CS31" s="542">
        <v>168</v>
      </c>
      <c r="CT31" s="543">
        <v>139</v>
      </c>
      <c r="CU31" s="542">
        <v>168</v>
      </c>
      <c r="CV31" s="544">
        <v>131</v>
      </c>
      <c r="CW31" s="542">
        <v>168</v>
      </c>
      <c r="CX31" s="545">
        <v>143</v>
      </c>
      <c r="CY31" s="542">
        <v>168</v>
      </c>
      <c r="CZ31" s="545">
        <v>167</v>
      </c>
      <c r="DA31" s="542">
        <v>168</v>
      </c>
      <c r="DB31" s="545">
        <v>117</v>
      </c>
      <c r="DC31" s="542">
        <v>168</v>
      </c>
      <c r="DD31" s="545">
        <v>167</v>
      </c>
      <c r="DE31" s="542">
        <v>96</v>
      </c>
      <c r="DF31" s="545">
        <v>143</v>
      </c>
      <c r="DG31" s="542">
        <v>72</v>
      </c>
      <c r="DH31" s="545">
        <v>113</v>
      </c>
      <c r="DI31" s="523">
        <f>DG31+DE31+DC31+DA31+CY31+CW31+CU31+CS31+CQ31+CO31+CM31+CK31</f>
        <v>1585</v>
      </c>
      <c r="DJ31" s="523">
        <f t="shared" ref="DJ31:DK33" si="54">CK31+CM31+CO31+CQ31+CS31+CU31+CW31+CY31+DA31+DC31+DE31+DG31</f>
        <v>1585</v>
      </c>
      <c r="DK31" s="523">
        <f t="shared" si="54"/>
        <v>1481</v>
      </c>
      <c r="DL31" s="176">
        <f t="shared" ref="DL31:DM33" si="55">CM31+CO31+CQ31+CS31+CU31+CW31+CY31+DA31+DC31+DE31+DG31+CK31</f>
        <v>1585</v>
      </c>
      <c r="DM31" s="176">
        <f t="shared" si="55"/>
        <v>1481</v>
      </c>
      <c r="DN31" s="507">
        <f>455-146</f>
        <v>309</v>
      </c>
      <c r="DO31" s="531"/>
      <c r="DP31" s="531"/>
      <c r="DQ31" s="531"/>
      <c r="DR31" s="531"/>
      <c r="DS31" s="531"/>
      <c r="DT31" s="531"/>
      <c r="DU31" s="531"/>
      <c r="DV31" s="531"/>
      <c r="DW31" s="531"/>
      <c r="DX31" s="531"/>
      <c r="DY31" s="531"/>
      <c r="DZ31" s="531"/>
      <c r="EA31" s="531"/>
      <c r="EB31" s="531"/>
      <c r="EC31" s="531"/>
      <c r="ED31" s="531"/>
      <c r="EE31" s="531"/>
      <c r="EF31" s="531"/>
      <c r="EG31" s="532"/>
      <c r="EH31" s="532"/>
      <c r="EI31" s="532"/>
      <c r="EJ31" s="532"/>
      <c r="EK31" s="532"/>
      <c r="EL31" s="532"/>
      <c r="EM31" s="533">
        <f>EK31+EI31+EG31+EE31+EC31+EA31+DY31+DW31+DU31+DS31+DQ31+DO31</f>
        <v>0</v>
      </c>
      <c r="EN31" s="532">
        <f t="shared" ref="EN31:EN36" si="56">DO31+DQ31+DS31+DU31</f>
        <v>0</v>
      </c>
      <c r="EO31" s="532">
        <f t="shared" ref="EO31:EO36" si="57">DP31+DR31+DT31+DV31</f>
        <v>0</v>
      </c>
      <c r="EP31" s="190">
        <f>DQ31+DS31+DU31+DW31+DY31+EA31+EC31+EE31+EG31+EI31+EK31+DO31</f>
        <v>0</v>
      </c>
      <c r="EQ31" s="532">
        <f>DP31+DR31+DT31+DV31</f>
        <v>0</v>
      </c>
      <c r="ER31" s="178">
        <f t="shared" si="7"/>
        <v>1.5694444444444444</v>
      </c>
      <c r="ES31" s="350">
        <f t="shared" si="5"/>
        <v>0.93438485804416405</v>
      </c>
      <c r="ET31" s="351">
        <f>+DM31/DL31</f>
        <v>0.93438485804416405</v>
      </c>
      <c r="EU31" s="351">
        <f>+(AA31+BE31+CI31+DK31)/(Z31+BD31+CH31+DJ31)</f>
        <v>0.97631519016169432</v>
      </c>
      <c r="EV31" s="351">
        <f>+(AA31+BE31+CI31+DM31)/G31</f>
        <v>0.91212765957446806</v>
      </c>
      <c r="EW31" s="671" t="s">
        <v>783</v>
      </c>
      <c r="EX31" s="674" t="s">
        <v>780</v>
      </c>
      <c r="EY31" s="674" t="s">
        <v>781</v>
      </c>
      <c r="EZ31" s="676" t="s">
        <v>654</v>
      </c>
      <c r="FA31" s="677" t="s">
        <v>701</v>
      </c>
      <c r="FB31" s="625"/>
    </row>
    <row r="32" spans="1:159" s="40" customFormat="1" ht="29.1" customHeight="1">
      <c r="A32" s="660"/>
      <c r="B32" s="660"/>
      <c r="C32" s="660"/>
      <c r="D32" s="660"/>
      <c r="E32" s="660"/>
      <c r="F32" s="243" t="s">
        <v>3</v>
      </c>
      <c r="G32" s="77">
        <f>+AA32+BE32+CI32+DL32+DN32</f>
        <v>6957687945</v>
      </c>
      <c r="H32" s="77">
        <v>621054131</v>
      </c>
      <c r="I32" s="77"/>
      <c r="J32" s="77"/>
      <c r="K32" s="77"/>
      <c r="L32" s="77"/>
      <c r="M32" s="77"/>
      <c r="N32" s="77"/>
      <c r="O32" s="77"/>
      <c r="P32" s="77"/>
      <c r="Q32" s="77"/>
      <c r="R32" s="77"/>
      <c r="S32" s="77"/>
      <c r="T32" s="76"/>
      <c r="U32" s="87"/>
      <c r="V32" s="87"/>
      <c r="W32" s="77">
        <v>621054131</v>
      </c>
      <c r="X32" s="77">
        <v>621054131</v>
      </c>
      <c r="Y32" s="87">
        <v>535986131</v>
      </c>
      <c r="Z32" s="77">
        <v>556054131</v>
      </c>
      <c r="AA32" s="87">
        <v>535986131</v>
      </c>
      <c r="AB32" s="87">
        <v>1480481000</v>
      </c>
      <c r="AC32" s="77">
        <v>0</v>
      </c>
      <c r="AD32" s="87">
        <v>0</v>
      </c>
      <c r="AE32" s="87">
        <v>740287000</v>
      </c>
      <c r="AF32" s="87">
        <f>740287000-AD32</f>
        <v>740287000</v>
      </c>
      <c r="AG32" s="87">
        <v>261288000</v>
      </c>
      <c r="AH32" s="87">
        <f>1001575000-AF32-AD32</f>
        <v>261288000</v>
      </c>
      <c r="AI32" s="87">
        <v>0</v>
      </c>
      <c r="AJ32" s="87">
        <f>1001575000-AH32-AF32-AD32</f>
        <v>0</v>
      </c>
      <c r="AK32" s="77">
        <v>0</v>
      </c>
      <c r="AL32" s="77">
        <f>1001575000-AJ32-AH32-AF32-AD32</f>
        <v>0</v>
      </c>
      <c r="AM32" s="77">
        <v>150666666.66666666</v>
      </c>
      <c r="AN32" s="77">
        <v>150000000</v>
      </c>
      <c r="AO32" s="77">
        <v>0</v>
      </c>
      <c r="AP32" s="77">
        <v>0</v>
      </c>
      <c r="AQ32" s="77">
        <f>150666666.666667+5381200</f>
        <v>156047866.66666701</v>
      </c>
      <c r="AR32" s="77">
        <v>0</v>
      </c>
      <c r="AS32" s="77">
        <f>150666666.666667+5381200+107000000</f>
        <v>263047866.66666701</v>
      </c>
      <c r="AT32" s="77">
        <v>0</v>
      </c>
      <c r="AU32" s="77">
        <v>5381200</v>
      </c>
      <c r="AV32" s="77">
        <v>12393667</v>
      </c>
      <c r="AW32" s="77">
        <v>5381200</v>
      </c>
      <c r="AX32" s="77">
        <v>355319167</v>
      </c>
      <c r="AY32" s="77">
        <v>5381200</v>
      </c>
      <c r="AZ32" s="77">
        <v>67733833</v>
      </c>
      <c r="BA32" s="76">
        <f>AY32+AW32+AU32+AS32+AQ32+AO32+AM32+AK32+AI32+AG32+AE32+AC32</f>
        <v>1587481000.0000005</v>
      </c>
      <c r="BB32" s="76">
        <f t="shared" si="52"/>
        <v>1587481000.0000007</v>
      </c>
      <c r="BC32" s="76">
        <f t="shared" si="52"/>
        <v>1587021667</v>
      </c>
      <c r="BD32" s="76">
        <f>AE32+AG32+AI32+AK32+AM32+AO32+AQ32+AS32+AU32+AW32+AY32+AC32</f>
        <v>1587481000.0000007</v>
      </c>
      <c r="BE32" s="76">
        <f>AD32+AF32+AH32+AJ32+AL32+AN32+AP32+AR32+AT32+AV32+AX32+AZ32</f>
        <v>1587021667</v>
      </c>
      <c r="BF32" s="76">
        <v>1617058000</v>
      </c>
      <c r="BG32" s="77">
        <v>1100730000</v>
      </c>
      <c r="BH32" s="77">
        <v>1097940000</v>
      </c>
      <c r="BI32" s="77">
        <v>0</v>
      </c>
      <c r="BJ32" s="77">
        <v>0</v>
      </c>
      <c r="BK32" s="77">
        <v>136319000</v>
      </c>
      <c r="BL32" s="77">
        <v>0</v>
      </c>
      <c r="BM32" s="77">
        <v>340009000</v>
      </c>
      <c r="BN32" s="77">
        <v>0</v>
      </c>
      <c r="BO32" s="77">
        <v>0</v>
      </c>
      <c r="BP32" s="77">
        <v>0</v>
      </c>
      <c r="BQ32" s="77">
        <v>40000000</v>
      </c>
      <c r="BR32" s="77">
        <v>0</v>
      </c>
      <c r="BS32" s="77">
        <v>0</v>
      </c>
      <c r="BT32" s="77">
        <v>0</v>
      </c>
      <c r="BU32" s="77">
        <v>0</v>
      </c>
      <c r="BV32" s="77">
        <v>0</v>
      </c>
      <c r="BW32" s="77">
        <v>281095100</v>
      </c>
      <c r="BX32" s="77">
        <v>40000000</v>
      </c>
      <c r="BY32" s="77">
        <v>52969000</v>
      </c>
      <c r="BZ32" s="77">
        <v>547998200</v>
      </c>
      <c r="CA32" s="77">
        <v>0</v>
      </c>
      <c r="CB32" s="77">
        <v>86093500</v>
      </c>
      <c r="CC32" s="77">
        <v>-42750000</v>
      </c>
      <c r="CD32" s="77">
        <v>85861748</v>
      </c>
      <c r="CE32" s="77">
        <f>CC32+CA32+BY32+BW32+BU32+BS32+BQ32+BO32+BM32+BK32+BI32+BG32</f>
        <v>1908372100</v>
      </c>
      <c r="CF32" s="77">
        <f t="shared" si="53"/>
        <v>1908372100</v>
      </c>
      <c r="CG32" s="77">
        <f t="shared" si="53"/>
        <v>1857893448</v>
      </c>
      <c r="CH32" s="76">
        <f>CC32+CA32+BY32+BW32+BU32+BS32+BQ32+BO32+BM32+BK32+BI32+BG32</f>
        <v>1908372100</v>
      </c>
      <c r="CI32" s="76">
        <f>+BH32+BJ32+BL32+BN32+BP32+BR32+BT32+BV32+BX32+BZ32+CB32+CD32</f>
        <v>1857893448</v>
      </c>
      <c r="CJ32" s="77">
        <v>1243371000</v>
      </c>
      <c r="CK32" s="77">
        <v>-55771500</v>
      </c>
      <c r="CL32" s="77">
        <v>0</v>
      </c>
      <c r="CM32" s="77">
        <v>125273545</v>
      </c>
      <c r="CN32" s="77">
        <v>499703500</v>
      </c>
      <c r="CO32" s="77">
        <v>125273545</v>
      </c>
      <c r="CP32" s="77">
        <v>457849000</v>
      </c>
      <c r="CQ32" s="77">
        <v>125273545</v>
      </c>
      <c r="CR32" s="77">
        <v>76138500</v>
      </c>
      <c r="CS32" s="77">
        <v>125273545</v>
      </c>
      <c r="CT32" s="260">
        <v>24080000</v>
      </c>
      <c r="CU32" s="238">
        <v>205273545</v>
      </c>
      <c r="CV32" s="238">
        <v>-24481334</v>
      </c>
      <c r="CW32" s="238">
        <f>125273545-23986834</f>
        <v>101286711</v>
      </c>
      <c r="CX32" s="238">
        <v>33110000</v>
      </c>
      <c r="CY32" s="77">
        <v>125273545</v>
      </c>
      <c r="CZ32" s="238">
        <v>0</v>
      </c>
      <c r="DA32" s="238">
        <f>155273545-17654000</f>
        <v>137619545</v>
      </c>
      <c r="DB32" s="238">
        <v>0</v>
      </c>
      <c r="DC32" s="238">
        <f>125273545+58940433</f>
        <v>184213978</v>
      </c>
      <c r="DD32" s="238">
        <v>0</v>
      </c>
      <c r="DE32" s="238">
        <f>454545+3258500</f>
        <v>3713045</v>
      </c>
      <c r="DF32" s="238">
        <v>62319500</v>
      </c>
      <c r="DG32" s="238">
        <f>5454550+15829100</f>
        <v>21283650</v>
      </c>
      <c r="DH32" s="238">
        <v>93299300</v>
      </c>
      <c r="DI32" s="76">
        <f>DG32+DE32+DC32+DA32+CY32+CW32+CU32+CS32+CQ32+CO32+CM32+CK32</f>
        <v>1223986699</v>
      </c>
      <c r="DJ32" s="76">
        <f t="shared" si="54"/>
        <v>1223986699</v>
      </c>
      <c r="DK32" s="76">
        <f t="shared" si="54"/>
        <v>1222018466</v>
      </c>
      <c r="DL32" s="76">
        <f>CM32+CO32+CQ32+CS32+CU32+CW32+CY32+DA32+DC32+DE32+DG32+CK32</f>
        <v>1223986699</v>
      </c>
      <c r="DM32" s="76">
        <f t="shared" si="55"/>
        <v>1222018466</v>
      </c>
      <c r="DN32" s="77">
        <v>1752800000</v>
      </c>
      <c r="DO32" s="50"/>
      <c r="DP32" s="50"/>
      <c r="DQ32" s="50"/>
      <c r="DR32" s="50"/>
      <c r="DS32" s="50"/>
      <c r="DT32" s="50"/>
      <c r="DU32" s="50"/>
      <c r="DV32" s="50"/>
      <c r="DW32" s="50"/>
      <c r="DX32" s="50"/>
      <c r="DY32" s="50"/>
      <c r="DZ32" s="50"/>
      <c r="EA32" s="50"/>
      <c r="EB32" s="50"/>
      <c r="EC32" s="50"/>
      <c r="ED32" s="50"/>
      <c r="EE32" s="50"/>
      <c r="EF32" s="50"/>
      <c r="EG32" s="50"/>
      <c r="EH32" s="50"/>
      <c r="EI32" s="50"/>
      <c r="EJ32" s="50"/>
      <c r="EK32" s="50"/>
      <c r="EL32" s="50"/>
      <c r="EM32" s="534">
        <f>EK32+EI32+EG32+EE32+EC32+EA32+DY32+DW32+DU32+DS32+DQ32+DO32</f>
        <v>0</v>
      </c>
      <c r="EN32" s="66">
        <f t="shared" si="56"/>
        <v>0</v>
      </c>
      <c r="EO32" s="66">
        <f t="shared" si="57"/>
        <v>0</v>
      </c>
      <c r="EP32" s="67">
        <f>DQ32+DS32+DU32+DW32+DY32+EA32+EC32+EE32+EG32+EI32+EK32+DO32</f>
        <v>0</v>
      </c>
      <c r="EQ32" s="66">
        <f>DP32+DR32+DT32+DV32</f>
        <v>0</v>
      </c>
      <c r="ER32" s="178">
        <f t="shared" si="7"/>
        <v>4.3836137128734967</v>
      </c>
      <c r="ES32" s="143">
        <f t="shared" si="5"/>
        <v>0.99839194902885131</v>
      </c>
      <c r="ET32" s="344">
        <f t="shared" si="6"/>
        <v>0.99839194902885131</v>
      </c>
      <c r="EU32" s="344">
        <f t="shared" si="3"/>
        <v>0.98616836900661475</v>
      </c>
      <c r="EV32" s="344">
        <f t="shared" si="4"/>
        <v>0.74779434679000967</v>
      </c>
      <c r="EW32" s="672"/>
      <c r="EX32" s="675"/>
      <c r="EY32" s="675"/>
      <c r="EZ32" s="676"/>
      <c r="FA32" s="677"/>
      <c r="FB32" s="625"/>
    </row>
    <row r="33" spans="1:158" s="40" customFormat="1" ht="29.1" customHeight="1">
      <c r="A33" s="660"/>
      <c r="B33" s="660"/>
      <c r="C33" s="660"/>
      <c r="D33" s="660"/>
      <c r="E33" s="660"/>
      <c r="F33" s="244" t="s">
        <v>205</v>
      </c>
      <c r="G33" s="77"/>
      <c r="H33" s="77"/>
      <c r="I33" s="77"/>
      <c r="J33" s="77"/>
      <c r="K33" s="77"/>
      <c r="L33" s="77"/>
      <c r="M33" s="77"/>
      <c r="N33" s="77"/>
      <c r="O33" s="77"/>
      <c r="P33" s="77"/>
      <c r="Q33" s="77"/>
      <c r="R33" s="77"/>
      <c r="S33" s="77"/>
      <c r="T33" s="76"/>
      <c r="U33" s="87"/>
      <c r="V33" s="87"/>
      <c r="W33" s="77"/>
      <c r="X33" s="77"/>
      <c r="Y33" s="87">
        <v>0</v>
      </c>
      <c r="Z33" s="77"/>
      <c r="AA33" s="87">
        <v>0</v>
      </c>
      <c r="AB33" s="87"/>
      <c r="AC33" s="77">
        <v>0</v>
      </c>
      <c r="AD33" s="77">
        <v>0</v>
      </c>
      <c r="AE33" s="87">
        <v>0</v>
      </c>
      <c r="AF33" s="87">
        <v>0</v>
      </c>
      <c r="AG33" s="87">
        <v>27208599</v>
      </c>
      <c r="AH33" s="87">
        <v>27208599</v>
      </c>
      <c r="AI33" s="87">
        <v>102633333</v>
      </c>
      <c r="AJ33" s="87">
        <f>129841932-AH33-AF33-AD33</f>
        <v>102633333</v>
      </c>
      <c r="AK33" s="77">
        <v>113778067</v>
      </c>
      <c r="AL33" s="77">
        <f>243619999-AJ33-AH33-AF33-AD33</f>
        <v>113778067</v>
      </c>
      <c r="AM33" s="77">
        <v>115052000</v>
      </c>
      <c r="AN33" s="77">
        <v>115052000</v>
      </c>
      <c r="AO33" s="77">
        <v>0</v>
      </c>
      <c r="AP33" s="77">
        <v>111614000</v>
      </c>
      <c r="AQ33" s="77">
        <v>0</v>
      </c>
      <c r="AR33" s="77">
        <v>111614000</v>
      </c>
      <c r="AS33" s="77">
        <v>0</v>
      </c>
      <c r="AT33" s="77">
        <v>111614000</v>
      </c>
      <c r="AU33" s="77">
        <v>0</v>
      </c>
      <c r="AV33" s="77">
        <v>111614000</v>
      </c>
      <c r="AW33" s="77">
        <v>0</v>
      </c>
      <c r="AX33" s="77">
        <v>134099612</v>
      </c>
      <c r="AY33" s="77">
        <v>0</v>
      </c>
      <c r="AZ33" s="77">
        <v>200909784.09472775</v>
      </c>
      <c r="BA33" s="76">
        <f>AY33+AW33+AU33+AS33+AQ33+AO33+AM33+AK33+AI33+AG33+AE33+AC33</f>
        <v>358671999</v>
      </c>
      <c r="BB33" s="76">
        <f t="shared" si="52"/>
        <v>358671999</v>
      </c>
      <c r="BC33" s="76">
        <f t="shared" si="52"/>
        <v>1140137395.0947278</v>
      </c>
      <c r="BD33" s="76">
        <f>AE33+AG33+AI33+AK33+AM33+AO33+AQ33+AS33+AU33+AW33+AY33+AC33</f>
        <v>358671999</v>
      </c>
      <c r="BE33" s="76">
        <f>AD33+AF33+AH33+AJ33+AL33+AN33+AP33+AR33+AT33+AV33+AX33+AZ33</f>
        <v>1140137395.0947278</v>
      </c>
      <c r="BF33" s="77">
        <v>0</v>
      </c>
      <c r="BG33" s="77">
        <v>0</v>
      </c>
      <c r="BH33" s="77">
        <v>0</v>
      </c>
      <c r="BI33" s="77"/>
      <c r="BJ33" s="77">
        <v>19077902</v>
      </c>
      <c r="BK33" s="77"/>
      <c r="BL33" s="77">
        <v>121799899</v>
      </c>
      <c r="BM33" s="77"/>
      <c r="BN33" s="77">
        <v>120906000</v>
      </c>
      <c r="BO33" s="77"/>
      <c r="BP33" s="77">
        <v>120906000</v>
      </c>
      <c r="BQ33" s="77"/>
      <c r="BR33" s="77">
        <v>129043067</v>
      </c>
      <c r="BS33" s="77"/>
      <c r="BT33" s="77">
        <v>120906000</v>
      </c>
      <c r="BU33" s="77">
        <v>0</v>
      </c>
      <c r="BV33" s="77">
        <v>120906000</v>
      </c>
      <c r="BW33" s="77">
        <v>0</v>
      </c>
      <c r="BX33" s="77">
        <v>120906000</v>
      </c>
      <c r="BY33" s="77">
        <v>0</v>
      </c>
      <c r="BZ33" s="77">
        <v>118882000</v>
      </c>
      <c r="CA33" s="77">
        <v>0</v>
      </c>
      <c r="CB33" s="77">
        <v>104230100</v>
      </c>
      <c r="CC33" s="77">
        <v>0</v>
      </c>
      <c r="CD33" s="77">
        <v>187514137</v>
      </c>
      <c r="CE33" s="77">
        <f>CC33+CA33+BY33+BW33+BU33+BS33+BQ33+BO33+BM33+BK33+BI33+BG33</f>
        <v>0</v>
      </c>
      <c r="CF33" s="77">
        <f t="shared" si="53"/>
        <v>0</v>
      </c>
      <c r="CG33" s="77">
        <f t="shared" si="53"/>
        <v>1285077105</v>
      </c>
      <c r="CH33" s="76">
        <f>CC33+CA33+BY33+BW33+BU33+BS33+BQ33+BO33+BM33+BK33+BI33+BG33</f>
        <v>0</v>
      </c>
      <c r="CI33" s="76">
        <f>+BH33+BJ33+BL33+BN33+BP33+BR33+BT33+BV33+BX33+BZ33+CB33+CD33</f>
        <v>1285077105</v>
      </c>
      <c r="CJ33" s="77">
        <v>1243371000</v>
      </c>
      <c r="CK33" s="77">
        <v>-55771500</v>
      </c>
      <c r="CL33" s="77">
        <v>0</v>
      </c>
      <c r="CM33" s="77">
        <v>125273545</v>
      </c>
      <c r="CN33" s="77">
        <v>0</v>
      </c>
      <c r="CO33" s="77">
        <v>125273545</v>
      </c>
      <c r="CP33" s="77">
        <v>20523200</v>
      </c>
      <c r="CQ33" s="77">
        <v>125273545</v>
      </c>
      <c r="CR33" s="77">
        <v>78080205</v>
      </c>
      <c r="CS33" s="77">
        <v>125273545</v>
      </c>
      <c r="CT33" s="260">
        <v>101985650</v>
      </c>
      <c r="CU33" s="238">
        <v>205273545</v>
      </c>
      <c r="CV33" s="238">
        <v>115274274</v>
      </c>
      <c r="CW33" s="238">
        <f>125273545-23986834</f>
        <v>101286711</v>
      </c>
      <c r="CX33" s="238">
        <v>105173361</v>
      </c>
      <c r="CY33" s="77">
        <v>125273545</v>
      </c>
      <c r="CZ33" s="238">
        <v>120776283</v>
      </c>
      <c r="DA33" s="238">
        <f>155273545-17654000</f>
        <v>137619545</v>
      </c>
      <c r="DB33" s="238">
        <v>118557325</v>
      </c>
      <c r="DC33" s="238">
        <f>125273545+58940433</f>
        <v>184213978</v>
      </c>
      <c r="DD33" s="238">
        <v>112459836</v>
      </c>
      <c r="DE33" s="238">
        <f>454545+3258500</f>
        <v>3713045</v>
      </c>
      <c r="DF33" s="238">
        <v>121985596</v>
      </c>
      <c r="DG33" s="238">
        <f>5454550+15829100</f>
        <v>21283650</v>
      </c>
      <c r="DH33" s="238">
        <v>178036367</v>
      </c>
      <c r="DI33" s="76">
        <f>DG33+DE33+DC33+DA33+CY33+CW33+CU33+CS33+CQ33+CO33+CM33+CK33</f>
        <v>1223986699</v>
      </c>
      <c r="DJ33" s="76">
        <f t="shared" si="54"/>
        <v>1223986699</v>
      </c>
      <c r="DK33" s="76">
        <f t="shared" si="54"/>
        <v>1072852097</v>
      </c>
      <c r="DL33" s="76">
        <f t="shared" si="55"/>
        <v>1223986699</v>
      </c>
      <c r="DM33" s="76">
        <f t="shared" si="55"/>
        <v>1072852097</v>
      </c>
      <c r="DN33" s="77"/>
      <c r="DO33" s="50"/>
      <c r="DP33" s="50"/>
      <c r="DQ33" s="50"/>
      <c r="DR33" s="50"/>
      <c r="DS33" s="50"/>
      <c r="DT33" s="50"/>
      <c r="DU33" s="50"/>
      <c r="DV33" s="50"/>
      <c r="DW33" s="50"/>
      <c r="DX33" s="50"/>
      <c r="DY33" s="50"/>
      <c r="DZ33" s="50"/>
      <c r="EA33" s="50"/>
      <c r="EB33" s="50"/>
      <c r="EC33" s="50"/>
      <c r="ED33" s="50"/>
      <c r="EE33" s="50"/>
      <c r="EF33" s="50"/>
      <c r="EG33" s="50"/>
      <c r="EH33" s="50"/>
      <c r="EI33" s="50"/>
      <c r="EJ33" s="50"/>
      <c r="EK33" s="50"/>
      <c r="EL33" s="50"/>
      <c r="EM33" s="534">
        <f>EI33+EG33+EE33+EC33+EA33+DY33+DW33+DU33+DS33+DQ33+DO33+EK33</f>
        <v>0</v>
      </c>
      <c r="EN33" s="66">
        <f t="shared" si="56"/>
        <v>0</v>
      </c>
      <c r="EO33" s="66">
        <f t="shared" si="57"/>
        <v>0</v>
      </c>
      <c r="EP33" s="64">
        <f>DQ33+DS33+DU33+DW33+DY33+EA33+EC33+EE33+EG33+EI33+EK33</f>
        <v>0</v>
      </c>
      <c r="EQ33" s="66">
        <f>DP33+DR33+DT33+DV33</f>
        <v>0</v>
      </c>
      <c r="ER33" s="178">
        <f t="shared" si="7"/>
        <v>8.3649358545174355</v>
      </c>
      <c r="ES33" s="143">
        <f t="shared" si="5"/>
        <v>0.87652267616676116</v>
      </c>
      <c r="ET33" s="344">
        <f t="shared" si="6"/>
        <v>0.87652267616676116</v>
      </c>
      <c r="EU33" s="344">
        <f t="shared" si="3"/>
        <v>2.2102469733463201</v>
      </c>
      <c r="EV33" s="344">
        <f>IFERROR((AA33+BE33+CI33+DM33)/G33,0)</f>
        <v>0</v>
      </c>
      <c r="EW33" s="672"/>
      <c r="EX33" s="675"/>
      <c r="EY33" s="675"/>
      <c r="EZ33" s="676"/>
      <c r="FA33" s="677"/>
      <c r="FB33" s="625"/>
    </row>
    <row r="34" spans="1:158" s="3" customFormat="1" ht="29.1" customHeight="1">
      <c r="A34" s="660"/>
      <c r="B34" s="660"/>
      <c r="C34" s="660"/>
      <c r="D34" s="660"/>
      <c r="E34" s="660"/>
      <c r="F34" s="242" t="s">
        <v>41</v>
      </c>
      <c r="G34" s="277">
        <f>+AA34+BE34+CI34+DL34+DN34</f>
        <v>0</v>
      </c>
      <c r="H34" s="76">
        <v>0</v>
      </c>
      <c r="I34" s="515"/>
      <c r="J34" s="515"/>
      <c r="K34" s="515"/>
      <c r="L34" s="515"/>
      <c r="M34" s="515"/>
      <c r="N34" s="515"/>
      <c r="O34" s="515"/>
      <c r="P34" s="515"/>
      <c r="Q34" s="515"/>
      <c r="R34" s="515"/>
      <c r="S34" s="515"/>
      <c r="T34" s="515"/>
      <c r="U34" s="515"/>
      <c r="V34" s="515"/>
      <c r="W34" s="76">
        <v>0</v>
      </c>
      <c r="X34" s="76">
        <v>0</v>
      </c>
      <c r="Y34" s="76">
        <v>0</v>
      </c>
      <c r="Z34" s="76">
        <v>0</v>
      </c>
      <c r="AA34" s="76">
        <v>0</v>
      </c>
      <c r="AB34" s="515">
        <v>0</v>
      </c>
      <c r="AC34" s="515">
        <v>0</v>
      </c>
      <c r="AD34" s="515">
        <v>0</v>
      </c>
      <c r="AE34" s="515">
        <v>0</v>
      </c>
      <c r="AF34" s="515">
        <v>0</v>
      </c>
      <c r="AG34" s="515">
        <v>0</v>
      </c>
      <c r="AH34" s="515">
        <v>0</v>
      </c>
      <c r="AI34" s="515">
        <v>0</v>
      </c>
      <c r="AJ34" s="515">
        <v>0</v>
      </c>
      <c r="AK34" s="515">
        <v>0</v>
      </c>
      <c r="AL34" s="515">
        <v>0</v>
      </c>
      <c r="AM34" s="515">
        <v>0</v>
      </c>
      <c r="AN34" s="515">
        <v>0</v>
      </c>
      <c r="AO34" s="515">
        <v>0</v>
      </c>
      <c r="AP34" s="515">
        <v>0</v>
      </c>
      <c r="AQ34" s="515">
        <v>0</v>
      </c>
      <c r="AR34" s="515">
        <v>0</v>
      </c>
      <c r="AS34" s="515">
        <v>0</v>
      </c>
      <c r="AT34" s="515">
        <v>0</v>
      </c>
      <c r="AU34" s="515">
        <v>0</v>
      </c>
      <c r="AV34" s="515">
        <v>0</v>
      </c>
      <c r="AW34" s="515">
        <v>0</v>
      </c>
      <c r="AX34" s="515">
        <v>0</v>
      </c>
      <c r="AY34" s="515">
        <v>0</v>
      </c>
      <c r="AZ34" s="515">
        <v>0</v>
      </c>
      <c r="BA34" s="88">
        <f>AY34+AW34+AU34+AS34+AQ34+AO34+AM34+AK34+AI34+AG34+AE34+AC34</f>
        <v>0</v>
      </c>
      <c r="BB34" s="88">
        <f t="shared" si="52"/>
        <v>0</v>
      </c>
      <c r="BC34" s="88">
        <f t="shared" si="52"/>
        <v>0</v>
      </c>
      <c r="BD34" s="88">
        <f>AE34+AG34+AI34+AK34+AM34+AO34+AQ34+AS34+AU34+AW34+AY34+AC34</f>
        <v>0</v>
      </c>
      <c r="BE34" s="88">
        <f>AD34+AF34+AH34+AJ34+AL34+AN34+AP34+AR34+AT34+AV34+AX34+AZ34</f>
        <v>0</v>
      </c>
      <c r="BF34" s="515">
        <v>0</v>
      </c>
      <c r="BG34" s="515">
        <v>0</v>
      </c>
      <c r="BH34" s="515">
        <v>0</v>
      </c>
      <c r="BI34" s="515"/>
      <c r="BJ34" s="515">
        <v>0</v>
      </c>
      <c r="BK34" s="515">
        <v>0</v>
      </c>
      <c r="BL34" s="515">
        <v>0</v>
      </c>
      <c r="BM34" s="515"/>
      <c r="BN34" s="515">
        <v>0</v>
      </c>
      <c r="BO34" s="515"/>
      <c r="BP34" s="515">
        <v>0</v>
      </c>
      <c r="BQ34" s="515"/>
      <c r="BR34" s="515">
        <v>0</v>
      </c>
      <c r="BS34" s="515"/>
      <c r="BT34" s="515">
        <v>0</v>
      </c>
      <c r="BU34" s="515">
        <v>0</v>
      </c>
      <c r="BV34" s="515">
        <v>0</v>
      </c>
      <c r="BW34" s="515">
        <v>0</v>
      </c>
      <c r="BX34" s="515">
        <v>0</v>
      </c>
      <c r="BY34" s="515">
        <v>0</v>
      </c>
      <c r="BZ34" s="515">
        <v>0</v>
      </c>
      <c r="CA34" s="515">
        <v>0</v>
      </c>
      <c r="CB34" s="515">
        <v>0</v>
      </c>
      <c r="CC34" s="515">
        <v>0</v>
      </c>
      <c r="CD34" s="515">
        <v>0</v>
      </c>
      <c r="CE34" s="525">
        <f>CC34+CA34+BY34+BW34+BU34+BS34+BQ34+BO34+BM34+BK34+BI34+BG34</f>
        <v>0</v>
      </c>
      <c r="CF34" s="526">
        <f t="shared" si="53"/>
        <v>0</v>
      </c>
      <c r="CG34" s="145">
        <f t="shared" si="53"/>
        <v>0</v>
      </c>
      <c r="CH34" s="144">
        <f>CC34+CA34+BY34+BW34+BU34+BS34+BQ34+BO34+BM34+BK34+BI34+BG34</f>
        <v>0</v>
      </c>
      <c r="CI34" s="145">
        <f>+BH34+BJ34+BL34+BN34+BP34+BR34+BT34+BV34+BX34+BZ34+CB34+CD34</f>
        <v>0</v>
      </c>
      <c r="CJ34" s="515">
        <v>0</v>
      </c>
      <c r="CK34" s="515">
        <v>0</v>
      </c>
      <c r="CL34" s="515">
        <v>0</v>
      </c>
      <c r="CM34" s="515">
        <v>0</v>
      </c>
      <c r="CN34" s="515">
        <v>0</v>
      </c>
      <c r="CO34" s="515">
        <v>0</v>
      </c>
      <c r="CP34" s="515">
        <v>0</v>
      </c>
      <c r="CQ34" s="515">
        <v>0</v>
      </c>
      <c r="CR34" s="515">
        <v>0</v>
      </c>
      <c r="CS34" s="515">
        <v>0</v>
      </c>
      <c r="CT34" s="515">
        <v>0</v>
      </c>
      <c r="CU34" s="515">
        <v>0</v>
      </c>
      <c r="CV34" s="536">
        <v>0</v>
      </c>
      <c r="CW34" s="515">
        <v>0</v>
      </c>
      <c r="CX34" s="536">
        <v>0</v>
      </c>
      <c r="CY34" s="515">
        <v>0</v>
      </c>
      <c r="CZ34" s="536">
        <v>0</v>
      </c>
      <c r="DA34" s="515">
        <v>0</v>
      </c>
      <c r="DB34" s="536">
        <v>0</v>
      </c>
      <c r="DC34" s="515">
        <v>0</v>
      </c>
      <c r="DD34" s="536">
        <v>0</v>
      </c>
      <c r="DE34" s="515">
        <v>0</v>
      </c>
      <c r="DF34" s="536">
        <v>0</v>
      </c>
      <c r="DG34" s="515">
        <v>0</v>
      </c>
      <c r="DH34" s="536">
        <v>0</v>
      </c>
      <c r="DI34" s="528">
        <f>DG34+DE34+DC34+CW34+CY34+CU34+CS34+CQ34+CO34+CM34+CK34</f>
        <v>0</v>
      </c>
      <c r="DJ34" s="523">
        <f>CK34+CM34+CO34+CQ34+CS34+CU34+CW34+CY34+DA34+DC34+DG34</f>
        <v>0</v>
      </c>
      <c r="DK34" s="76">
        <f>CL34+CN34+CP34+CR34+CT34+CV34+CX34+CZ34+DB34+DD34+DF34+DH34</f>
        <v>0</v>
      </c>
      <c r="DL34" s="285">
        <f>CK34+CM34+CO34+CQ34+CS34+CU34+CW34+CY34+DA34+DC34+DE34+DG34</f>
        <v>0</v>
      </c>
      <c r="DM34" s="285">
        <f>CN34+CP34+CR34+CT34+CV34+CX34+CZ34+DB34+DD34+DF34+DH34+CL34</f>
        <v>0</v>
      </c>
      <c r="DN34" s="515"/>
      <c r="DO34" s="537"/>
      <c r="DP34" s="537"/>
      <c r="DQ34" s="537"/>
      <c r="DR34" s="537"/>
      <c r="DS34" s="537"/>
      <c r="DT34" s="537"/>
      <c r="DU34" s="537"/>
      <c r="DV34" s="537"/>
      <c r="DW34" s="537"/>
      <c r="DX34" s="537"/>
      <c r="DY34" s="537"/>
      <c r="DZ34" s="537"/>
      <c r="EA34" s="537"/>
      <c r="EB34" s="537"/>
      <c r="EC34" s="537"/>
      <c r="ED34" s="537"/>
      <c r="EE34" s="537"/>
      <c r="EF34" s="537"/>
      <c r="EG34" s="537"/>
      <c r="EH34" s="537"/>
      <c r="EI34" s="537"/>
      <c r="EJ34" s="537"/>
      <c r="EK34" s="537"/>
      <c r="EL34" s="537"/>
      <c r="EM34" s="538">
        <f>EI34+EG34+EE34+EC34+EA34+DY34+DW34+DU34+DS34+DQ34+DO34+EK34</f>
        <v>0</v>
      </c>
      <c r="EN34" s="68">
        <f t="shared" si="56"/>
        <v>0</v>
      </c>
      <c r="EO34" s="68">
        <f t="shared" si="57"/>
        <v>0</v>
      </c>
      <c r="EP34" s="69">
        <f>DQ34+DS34+DU34+DW34+DY34+EA34+EC34+EE34+EG34+EI34+EK34</f>
        <v>0</v>
      </c>
      <c r="EQ34" s="538">
        <f>DP34+DR34+DT34+DV34</f>
        <v>0</v>
      </c>
      <c r="ER34" s="178">
        <f t="shared" si="7"/>
        <v>0</v>
      </c>
      <c r="ES34" s="143">
        <f>IFERROR(+DK34/DJ34,0)</f>
        <v>0</v>
      </c>
      <c r="ET34" s="344">
        <f>IFERROR(+DM34/DL34,0)</f>
        <v>0</v>
      </c>
      <c r="EU34" s="344">
        <f>IFERROR((AA34+BE34+CI34+DK34)/(Z34+BD34+CH34+DJ34),0)</f>
        <v>0</v>
      </c>
      <c r="EV34" s="344">
        <f>IFERROR((AA34+BE34+CI34+DM34)/G34,0)</f>
        <v>0</v>
      </c>
      <c r="EW34" s="672"/>
      <c r="EX34" s="675"/>
      <c r="EY34" s="675"/>
      <c r="EZ34" s="676"/>
      <c r="FA34" s="677"/>
      <c r="FB34" s="625"/>
    </row>
    <row r="35" spans="1:158" s="3" customFormat="1" ht="29.1" customHeight="1">
      <c r="A35" s="660"/>
      <c r="B35" s="660"/>
      <c r="C35" s="660"/>
      <c r="D35" s="660"/>
      <c r="E35" s="660"/>
      <c r="F35" s="243" t="s">
        <v>4</v>
      </c>
      <c r="G35" s="77">
        <f>+AA35+BE35+CI35+DL35+DN35</f>
        <v>1335850987.6666665</v>
      </c>
      <c r="H35" s="77">
        <v>200998268</v>
      </c>
      <c r="I35" s="77">
        <v>0</v>
      </c>
      <c r="J35" s="77">
        <v>0</v>
      </c>
      <c r="K35" s="77">
        <v>0</v>
      </c>
      <c r="L35" s="77">
        <v>0</v>
      </c>
      <c r="M35" s="77">
        <v>0</v>
      </c>
      <c r="N35" s="77">
        <v>0</v>
      </c>
      <c r="O35" s="77">
        <v>0</v>
      </c>
      <c r="P35" s="77">
        <v>0</v>
      </c>
      <c r="Q35" s="77">
        <v>0</v>
      </c>
      <c r="R35" s="77">
        <v>0</v>
      </c>
      <c r="S35" s="77">
        <v>0</v>
      </c>
      <c r="T35" s="76">
        <v>0</v>
      </c>
      <c r="U35" s="87">
        <v>0</v>
      </c>
      <c r="V35" s="87">
        <v>0</v>
      </c>
      <c r="W35" s="77">
        <v>200998268</v>
      </c>
      <c r="X35" s="77">
        <v>200998268</v>
      </c>
      <c r="Y35" s="76">
        <v>0</v>
      </c>
      <c r="Z35" s="77">
        <v>200998268</v>
      </c>
      <c r="AA35" s="76">
        <v>0</v>
      </c>
      <c r="AB35" s="87">
        <v>131226434</v>
      </c>
      <c r="AC35" s="87">
        <v>69771834</v>
      </c>
      <c r="AD35" s="87">
        <v>69771834</v>
      </c>
      <c r="AE35" s="87">
        <v>42432466</v>
      </c>
      <c r="AF35" s="87">
        <f>112204300-AD35</f>
        <v>42432466</v>
      </c>
      <c r="AG35" s="87">
        <v>19022134</v>
      </c>
      <c r="AH35" s="87">
        <f>131226434-AF35-AD35</f>
        <v>19022134</v>
      </c>
      <c r="AI35" s="87">
        <v>0</v>
      </c>
      <c r="AJ35" s="87">
        <f>131226434-AH35-AF35-AD35</f>
        <v>0</v>
      </c>
      <c r="AK35" s="77">
        <v>0</v>
      </c>
      <c r="AL35" s="77">
        <f>131226434-AJ35-AH35-AF35-AD35</f>
        <v>0</v>
      </c>
      <c r="AM35" s="77">
        <v>0</v>
      </c>
      <c r="AN35" s="77">
        <v>0</v>
      </c>
      <c r="AO35" s="77">
        <v>0</v>
      </c>
      <c r="AP35" s="77">
        <v>0</v>
      </c>
      <c r="AQ35" s="77">
        <v>0</v>
      </c>
      <c r="AR35" s="77">
        <v>0</v>
      </c>
      <c r="AS35" s="77">
        <v>0</v>
      </c>
      <c r="AT35" s="77">
        <v>0</v>
      </c>
      <c r="AU35" s="77">
        <v>0</v>
      </c>
      <c r="AV35" s="77">
        <v>0</v>
      </c>
      <c r="AW35" s="77">
        <v>0</v>
      </c>
      <c r="AX35" s="77">
        <v>0</v>
      </c>
      <c r="AY35" s="77">
        <v>0</v>
      </c>
      <c r="AZ35" s="77">
        <v>0</v>
      </c>
      <c r="BA35" s="76">
        <f>AY35+AW35+AU35+AS35+AQ35+AO35+AM35+AK35+AI35+AG35+AE35+AC35</f>
        <v>131226434</v>
      </c>
      <c r="BB35" s="76">
        <f>AC35+AE35+AG35+AI35+AK35+AM35+AO35+AQ35+AS35+AU35+AW35+AY35</f>
        <v>131226434</v>
      </c>
      <c r="BC35" s="76">
        <v>131226434</v>
      </c>
      <c r="BD35" s="76">
        <f>AE35+AG35+AI35+AK35+AM35+AO35+AQ35+AS35+AU35+AW35+AY35+AC35</f>
        <v>131226434</v>
      </c>
      <c r="BE35" s="76">
        <v>131226434</v>
      </c>
      <c r="BF35" s="77">
        <v>662293058</v>
      </c>
      <c r="BG35" s="77">
        <v>4618400</v>
      </c>
      <c r="BH35" s="77"/>
      <c r="BI35" s="77">
        <v>38557535</v>
      </c>
      <c r="BJ35" s="77">
        <v>24006926</v>
      </c>
      <c r="BK35" s="77">
        <v>36000000</v>
      </c>
      <c r="BL35" s="77">
        <v>0</v>
      </c>
      <c r="BM35" s="77">
        <v>276000000</v>
      </c>
      <c r="BN35" s="77">
        <v>0</v>
      </c>
      <c r="BO35" s="77">
        <v>96000000</v>
      </c>
      <c r="BP35" s="77">
        <v>0</v>
      </c>
      <c r="BQ35" s="77">
        <v>36000000</v>
      </c>
      <c r="BR35" s="77">
        <v>0</v>
      </c>
      <c r="BS35" s="77">
        <v>36000000</v>
      </c>
      <c r="BT35" s="77">
        <v>638286132</v>
      </c>
      <c r="BU35" s="77">
        <v>36000000</v>
      </c>
      <c r="BV35" s="77">
        <v>-7746979</v>
      </c>
      <c r="BW35" s="77">
        <f>36000000-7746981</f>
        <v>28253019</v>
      </c>
      <c r="BX35" s="77">
        <v>-2</v>
      </c>
      <c r="BY35" s="77">
        <v>36000000</v>
      </c>
      <c r="BZ35" s="77">
        <v>0</v>
      </c>
      <c r="CA35" s="77">
        <f>31117123+7746981</f>
        <v>38864104</v>
      </c>
      <c r="CB35" s="77">
        <v>0</v>
      </c>
      <c r="CC35" s="77">
        <v>-7746981</v>
      </c>
      <c r="CD35" s="77">
        <v>0</v>
      </c>
      <c r="CE35" s="77">
        <f>CC35+CA35+BY35+BW35+BU35+BS35+BQ35+BO35+BM35+BK35+BI35+BG35</f>
        <v>654546077</v>
      </c>
      <c r="CF35" s="77">
        <f t="shared" si="53"/>
        <v>654546077</v>
      </c>
      <c r="CG35" s="77">
        <f t="shared" si="53"/>
        <v>654546077</v>
      </c>
      <c r="CH35" s="76">
        <f>CC35+CA35+BY35+BW35+BU35+BS35+BQ35+BO35+BM35+BK35+BI35+BG35</f>
        <v>654546077</v>
      </c>
      <c r="CI35" s="76">
        <f>+BH35+BJ35+BL35+BN35+BP35+BR35+BT35+BV35+BX35+BZ35+CB35+CD35</f>
        <v>654546077</v>
      </c>
      <c r="CJ35" s="77">
        <v>572816343</v>
      </c>
      <c r="CK35" s="77">
        <v>52861022</v>
      </c>
      <c r="CL35" s="77">
        <v>40768728</v>
      </c>
      <c r="CM35" s="77">
        <v>466906594</v>
      </c>
      <c r="CN35" s="77">
        <v>409835790</v>
      </c>
      <c r="CO35" s="77">
        <v>56803299</v>
      </c>
      <c r="CP35" s="77">
        <v>46207001</v>
      </c>
      <c r="CQ35" s="77">
        <f>31524483+-22315650</f>
        <v>9208833</v>
      </c>
      <c r="CR35" s="77">
        <v>0</v>
      </c>
      <c r="CS35" s="77">
        <v>0</v>
      </c>
      <c r="CT35" s="260">
        <v>10896033</v>
      </c>
      <c r="CU35" s="238">
        <v>0</v>
      </c>
      <c r="CV35" s="238">
        <v>1285900</v>
      </c>
      <c r="CW35" s="77">
        <v>0</v>
      </c>
      <c r="CX35" s="238">
        <v>8322000</v>
      </c>
      <c r="CY35" s="77">
        <v>0</v>
      </c>
      <c r="CZ35" s="238">
        <v>6752977</v>
      </c>
      <c r="DA35" s="238">
        <v>-25243665.666666668</v>
      </c>
      <c r="DB35" s="238">
        <v>8071515</v>
      </c>
      <c r="DC35" s="238">
        <f>-25243666-35668578+35668578</f>
        <v>-25243666</v>
      </c>
      <c r="DD35" s="238">
        <f>-35246362+35246362</f>
        <v>0</v>
      </c>
      <c r="DE35" s="238">
        <v>-25243665.666666668</v>
      </c>
      <c r="DF35" s="238">
        <v>0</v>
      </c>
      <c r="DG35" s="238">
        <f>40451942-422215-1</f>
        <v>40029726</v>
      </c>
      <c r="DH35" s="238">
        <v>17938533</v>
      </c>
      <c r="DI35" s="76">
        <f>DG35+DE35+DC35+DA35+CY35+CW35+CU35+CM35+CS35+CO35+CQ35+CK35</f>
        <v>550078476.66666675</v>
      </c>
      <c r="DJ35" s="76">
        <f>CK35+CM35+CO35+CQ35+CS35+CU35+CW35+CY35+DA35+DC35+DE35+DG35</f>
        <v>550078476.66666675</v>
      </c>
      <c r="DK35" s="76">
        <f>CL35+CN35+CP35+CR35+CT35+CV35+CX35+CZ35+DB35+DD35+DF35+DH35</f>
        <v>550078477</v>
      </c>
      <c r="DL35" s="76">
        <f>CM35+CO35+CQ35+CS35+CU35+CW35+CY35+DA35+DC35+DE35+DG35+CK35</f>
        <v>550078476.66666663</v>
      </c>
      <c r="DM35" s="76">
        <f>DK35</f>
        <v>550078477</v>
      </c>
      <c r="DN35" s="77"/>
      <c r="DO35" s="49"/>
      <c r="DP35" s="49"/>
      <c r="DQ35" s="49"/>
      <c r="DR35" s="49"/>
      <c r="DS35" s="49"/>
      <c r="DT35" s="49"/>
      <c r="DU35" s="49"/>
      <c r="DV35" s="49"/>
      <c r="DW35" s="49"/>
      <c r="DX35" s="49"/>
      <c r="DY35" s="49"/>
      <c r="DZ35" s="49"/>
      <c r="EA35" s="49"/>
      <c r="EB35" s="49"/>
      <c r="EC35" s="49"/>
      <c r="ED35" s="49"/>
      <c r="EE35" s="49"/>
      <c r="EF35" s="49"/>
      <c r="EG35" s="49"/>
      <c r="EH35" s="49"/>
      <c r="EI35" s="49"/>
      <c r="EJ35" s="49"/>
      <c r="EK35" s="49"/>
      <c r="EL35" s="49"/>
      <c r="EM35" s="538">
        <f>EI35+EG35+EE35+EC35+EA35+DY35+DW35+DU35+DS35+DQ35+DO35+EK35</f>
        <v>0</v>
      </c>
      <c r="EN35" s="66">
        <f t="shared" si="56"/>
        <v>0</v>
      </c>
      <c r="EO35" s="66">
        <f t="shared" si="57"/>
        <v>0</v>
      </c>
      <c r="EP35" s="64">
        <f>DQ35+DS35+DU35+DW35+DY35+EA35+EC35+EE35+EG35+EI35+EK35+DO35</f>
        <v>0</v>
      </c>
      <c r="EQ35" s="66">
        <f>DP35+DR35+DT35+DV35</f>
        <v>0</v>
      </c>
      <c r="ER35" s="178">
        <f t="shared" si="7"/>
        <v>0.44813029696980688</v>
      </c>
      <c r="ES35" s="143">
        <f t="shared" si="5"/>
        <v>1.0000000006059739</v>
      </c>
      <c r="ET35" s="344">
        <f t="shared" si="6"/>
        <v>1.0000000006059742</v>
      </c>
      <c r="EU35" s="344">
        <f t="shared" si="3"/>
        <v>0.86921406447278649</v>
      </c>
      <c r="EV35" s="344">
        <f t="shared" si="4"/>
        <v>1.0000000002495288</v>
      </c>
      <c r="EW35" s="672"/>
      <c r="EX35" s="675"/>
      <c r="EY35" s="675"/>
      <c r="EZ35" s="676"/>
      <c r="FA35" s="677"/>
      <c r="FB35" s="625"/>
    </row>
    <row r="36" spans="1:158" s="3" customFormat="1" ht="21.95" customHeight="1" thickBot="1">
      <c r="A36" s="660"/>
      <c r="B36" s="660"/>
      <c r="C36" s="660"/>
      <c r="D36" s="660"/>
      <c r="E36" s="660"/>
      <c r="F36" s="242" t="s">
        <v>42</v>
      </c>
      <c r="G36" s="231">
        <f>+G31+G34</f>
        <v>4700</v>
      </c>
      <c r="H36" s="193">
        <f t="shared" ref="H36:AA36" si="58">+H31+H34</f>
        <v>491</v>
      </c>
      <c r="I36" s="193">
        <f t="shared" si="58"/>
        <v>0</v>
      </c>
      <c r="J36" s="193">
        <f t="shared" si="58"/>
        <v>0</v>
      </c>
      <c r="K36" s="193">
        <f t="shared" si="58"/>
        <v>0</v>
      </c>
      <c r="L36" s="193">
        <f t="shared" si="58"/>
        <v>0</v>
      </c>
      <c r="M36" s="193">
        <f t="shared" si="58"/>
        <v>0</v>
      </c>
      <c r="N36" s="193">
        <f t="shared" si="58"/>
        <v>0</v>
      </c>
      <c r="O36" s="193">
        <f t="shared" si="58"/>
        <v>0</v>
      </c>
      <c r="P36" s="193">
        <f t="shared" si="58"/>
        <v>0</v>
      </c>
      <c r="Q36" s="193">
        <f t="shared" si="58"/>
        <v>0</v>
      </c>
      <c r="R36" s="193">
        <f t="shared" si="58"/>
        <v>0</v>
      </c>
      <c r="S36" s="193">
        <f t="shared" si="58"/>
        <v>0</v>
      </c>
      <c r="T36" s="193">
        <f t="shared" si="58"/>
        <v>0</v>
      </c>
      <c r="U36" s="193">
        <f t="shared" si="58"/>
        <v>0</v>
      </c>
      <c r="V36" s="193">
        <f t="shared" si="58"/>
        <v>0</v>
      </c>
      <c r="W36" s="193">
        <f t="shared" si="58"/>
        <v>491</v>
      </c>
      <c r="X36" s="193">
        <f t="shared" si="58"/>
        <v>491</v>
      </c>
      <c r="Y36" s="193">
        <f t="shared" si="58"/>
        <v>491</v>
      </c>
      <c r="Z36" s="193">
        <f t="shared" si="58"/>
        <v>491</v>
      </c>
      <c r="AA36" s="193">
        <f t="shared" si="58"/>
        <v>491</v>
      </c>
      <c r="AB36" s="520">
        <f t="shared" ref="AB36:AZ36" si="59">+AB31+AB34</f>
        <v>893</v>
      </c>
      <c r="AC36" s="193">
        <f t="shared" si="59"/>
        <v>15</v>
      </c>
      <c r="AD36" s="193">
        <f t="shared" si="59"/>
        <v>36</v>
      </c>
      <c r="AE36" s="193">
        <f t="shared" si="59"/>
        <v>18</v>
      </c>
      <c r="AF36" s="193">
        <f t="shared" si="59"/>
        <v>16</v>
      </c>
      <c r="AG36" s="193">
        <f t="shared" si="59"/>
        <v>90</v>
      </c>
      <c r="AH36" s="193">
        <f t="shared" si="59"/>
        <v>104</v>
      </c>
      <c r="AI36" s="193">
        <f t="shared" si="59"/>
        <v>97</v>
      </c>
      <c r="AJ36" s="193">
        <f t="shared" si="59"/>
        <v>116</v>
      </c>
      <c r="AK36" s="193">
        <f t="shared" si="59"/>
        <v>97</v>
      </c>
      <c r="AL36" s="193">
        <f>+AL31+AL34</f>
        <v>76</v>
      </c>
      <c r="AM36" s="193">
        <f t="shared" si="59"/>
        <v>97</v>
      </c>
      <c r="AN36" s="193">
        <f>+AN31+AN34</f>
        <v>115</v>
      </c>
      <c r="AO36" s="193">
        <f t="shared" si="59"/>
        <v>97</v>
      </c>
      <c r="AP36" s="193">
        <f t="shared" si="59"/>
        <v>96</v>
      </c>
      <c r="AQ36" s="193">
        <f t="shared" si="59"/>
        <v>97</v>
      </c>
      <c r="AR36" s="193">
        <f t="shared" si="59"/>
        <v>102</v>
      </c>
      <c r="AS36" s="193">
        <f t="shared" si="59"/>
        <v>97</v>
      </c>
      <c r="AT36" s="193">
        <f t="shared" si="59"/>
        <v>96</v>
      </c>
      <c r="AU36" s="193">
        <f t="shared" si="59"/>
        <v>97</v>
      </c>
      <c r="AV36" s="193">
        <f>+AV31+AV34</f>
        <v>69</v>
      </c>
      <c r="AW36" s="193">
        <f t="shared" si="59"/>
        <v>91</v>
      </c>
      <c r="AX36" s="193">
        <f>+AX31+AX34</f>
        <v>65</v>
      </c>
      <c r="AY36" s="193">
        <f t="shared" si="59"/>
        <v>4</v>
      </c>
      <c r="AZ36" s="193">
        <f t="shared" si="59"/>
        <v>6</v>
      </c>
      <c r="BA36" s="193">
        <f t="shared" ref="BA36:BE37" si="60">+BA31+BA34</f>
        <v>897</v>
      </c>
      <c r="BB36" s="520">
        <f t="shared" si="60"/>
        <v>897</v>
      </c>
      <c r="BC36" s="520">
        <f t="shared" si="60"/>
        <v>897</v>
      </c>
      <c r="BD36" s="520">
        <f t="shared" si="60"/>
        <v>897</v>
      </c>
      <c r="BE36" s="520">
        <f t="shared" si="60"/>
        <v>897</v>
      </c>
      <c r="BF36" s="520">
        <f t="shared" ref="BF36:DH37" si="61">+BF31+BF34</f>
        <v>1272</v>
      </c>
      <c r="BG36" s="520">
        <f t="shared" si="61"/>
        <v>0</v>
      </c>
      <c r="BH36" s="520">
        <f t="shared" si="61"/>
        <v>11</v>
      </c>
      <c r="BI36" s="520">
        <f t="shared" si="61"/>
        <v>102</v>
      </c>
      <c r="BJ36" s="520">
        <f>+BJ31+BJ34</f>
        <v>129</v>
      </c>
      <c r="BK36" s="520">
        <f t="shared" si="61"/>
        <v>130</v>
      </c>
      <c r="BL36" s="520">
        <f t="shared" si="61"/>
        <v>109</v>
      </c>
      <c r="BM36" s="520">
        <f t="shared" si="61"/>
        <v>130</v>
      </c>
      <c r="BN36" s="520">
        <f t="shared" si="61"/>
        <v>115</v>
      </c>
      <c r="BO36" s="520">
        <f t="shared" si="61"/>
        <v>130</v>
      </c>
      <c r="BP36" s="520">
        <f t="shared" si="61"/>
        <v>194</v>
      </c>
      <c r="BQ36" s="520">
        <f t="shared" si="61"/>
        <v>130</v>
      </c>
      <c r="BR36" s="520">
        <f t="shared" si="61"/>
        <v>127</v>
      </c>
      <c r="BS36" s="520">
        <f t="shared" si="61"/>
        <v>130</v>
      </c>
      <c r="BT36" s="520">
        <f t="shared" si="61"/>
        <v>138</v>
      </c>
      <c r="BU36" s="520">
        <f t="shared" si="61"/>
        <v>130</v>
      </c>
      <c r="BV36" s="520">
        <f t="shared" si="61"/>
        <v>117</v>
      </c>
      <c r="BW36" s="520">
        <f t="shared" si="61"/>
        <v>130</v>
      </c>
      <c r="BX36" s="520">
        <f t="shared" si="61"/>
        <v>142</v>
      </c>
      <c r="BY36" s="520">
        <f t="shared" si="61"/>
        <v>130</v>
      </c>
      <c r="BZ36" s="520">
        <f t="shared" si="61"/>
        <v>121</v>
      </c>
      <c r="CA36" s="520">
        <f t="shared" si="61"/>
        <v>130</v>
      </c>
      <c r="CB36" s="520">
        <f t="shared" si="61"/>
        <v>137</v>
      </c>
      <c r="CC36" s="520">
        <f t="shared" si="61"/>
        <v>146</v>
      </c>
      <c r="CD36" s="520">
        <f t="shared" si="61"/>
        <v>78</v>
      </c>
      <c r="CE36" s="520">
        <f t="shared" si="61"/>
        <v>1418</v>
      </c>
      <c r="CF36" s="520">
        <f t="shared" si="61"/>
        <v>1418</v>
      </c>
      <c r="CG36" s="520">
        <f t="shared" si="61"/>
        <v>1418</v>
      </c>
      <c r="CH36" s="520">
        <f t="shared" si="61"/>
        <v>1418</v>
      </c>
      <c r="CI36" s="187">
        <f>+CI31+CI34</f>
        <v>1418</v>
      </c>
      <c r="CJ36" s="187">
        <f t="shared" si="61"/>
        <v>1585</v>
      </c>
      <c r="CK36" s="187">
        <f t="shared" si="61"/>
        <v>62</v>
      </c>
      <c r="CL36" s="187">
        <f>+CL31+CL34</f>
        <v>62</v>
      </c>
      <c r="CM36" s="187">
        <f t="shared" si="61"/>
        <v>77</v>
      </c>
      <c r="CN36" s="187">
        <f t="shared" si="61"/>
        <v>77</v>
      </c>
      <c r="CO36" s="187">
        <f t="shared" si="61"/>
        <v>102</v>
      </c>
      <c r="CP36" s="187">
        <f>+CP31+CP34</f>
        <v>102</v>
      </c>
      <c r="CQ36" s="187">
        <f>+CQ31+CQ34</f>
        <v>168</v>
      </c>
      <c r="CR36" s="187">
        <f t="shared" si="61"/>
        <v>120</v>
      </c>
      <c r="CS36" s="187">
        <f t="shared" si="61"/>
        <v>168</v>
      </c>
      <c r="CT36" s="265">
        <f>CT31+CT34</f>
        <v>139</v>
      </c>
      <c r="CU36" s="187">
        <f>+CU31+CU34</f>
        <v>168</v>
      </c>
      <c r="CV36" s="187">
        <f>+CV31+CV34</f>
        <v>131</v>
      </c>
      <c r="CW36" s="187">
        <f t="shared" si="61"/>
        <v>168</v>
      </c>
      <c r="CX36" s="335">
        <f t="shared" si="61"/>
        <v>143</v>
      </c>
      <c r="CY36" s="187">
        <f t="shared" si="61"/>
        <v>168</v>
      </c>
      <c r="CZ36" s="187">
        <f t="shared" ref="CZ36" si="62">+CZ31+CZ34</f>
        <v>167</v>
      </c>
      <c r="DA36" s="187">
        <f t="shared" si="61"/>
        <v>168</v>
      </c>
      <c r="DB36" s="335">
        <f t="shared" si="61"/>
        <v>117</v>
      </c>
      <c r="DC36" s="187">
        <f t="shared" si="61"/>
        <v>168</v>
      </c>
      <c r="DD36" s="335">
        <f>DD31+DD34</f>
        <v>167</v>
      </c>
      <c r="DE36" s="187">
        <f t="shared" si="61"/>
        <v>96</v>
      </c>
      <c r="DF36" s="335">
        <f t="shared" si="61"/>
        <v>143</v>
      </c>
      <c r="DG36" s="170">
        <f>+DG31+DG34</f>
        <v>72</v>
      </c>
      <c r="DH36" s="352">
        <f t="shared" si="61"/>
        <v>113</v>
      </c>
      <c r="DI36" s="520">
        <f>DI31+DI34</f>
        <v>1585</v>
      </c>
      <c r="DJ36" s="539">
        <f>+DJ31+DJ34</f>
        <v>1585</v>
      </c>
      <c r="DK36" s="520">
        <f>+DK31+DK34</f>
        <v>1481</v>
      </c>
      <c r="DL36" s="520">
        <f t="shared" ref="DL36:DM37" si="63">DL31+DL34</f>
        <v>1585</v>
      </c>
      <c r="DM36" s="520">
        <f t="shared" si="63"/>
        <v>1481</v>
      </c>
      <c r="DN36" s="520">
        <f>+DN31+DN34</f>
        <v>309</v>
      </c>
      <c r="DO36" s="194"/>
      <c r="DP36" s="194"/>
      <c r="DQ36" s="194"/>
      <c r="DR36" s="194"/>
      <c r="DS36" s="194"/>
      <c r="DT36" s="194"/>
      <c r="DU36" s="194"/>
      <c r="DV36" s="194"/>
      <c r="DW36" s="194"/>
      <c r="DX36" s="194"/>
      <c r="DY36" s="194"/>
      <c r="DZ36" s="194"/>
      <c r="EA36" s="194"/>
      <c r="EB36" s="194"/>
      <c r="EC36" s="194"/>
      <c r="ED36" s="194"/>
      <c r="EE36" s="194"/>
      <c r="EF36" s="194"/>
      <c r="EG36" s="194"/>
      <c r="EH36" s="194"/>
      <c r="EI36" s="194"/>
      <c r="EJ36" s="194"/>
      <c r="EK36" s="194"/>
      <c r="EL36" s="194"/>
      <c r="EM36" s="540">
        <f>EI36+EG36+EE36+EC36+EA36+DY36+DW36+DU36+DS36+DQ36+DO36+EK36</f>
        <v>0</v>
      </c>
      <c r="EN36" s="195">
        <f t="shared" si="56"/>
        <v>0</v>
      </c>
      <c r="EO36" s="195">
        <f t="shared" si="57"/>
        <v>0</v>
      </c>
      <c r="EP36" s="196">
        <f>DQ36+DS36+DU36+DW36+DY36+EA36+EC36+EE36+EG36+EI36+EK36+DO36</f>
        <v>0</v>
      </c>
      <c r="EQ36" s="195">
        <f>DR36+DT36+DV36+DP36</f>
        <v>0</v>
      </c>
      <c r="ER36" s="454">
        <f t="shared" si="7"/>
        <v>1.5694444444444444</v>
      </c>
      <c r="ES36" s="345">
        <f t="shared" si="5"/>
        <v>0.93438485804416405</v>
      </c>
      <c r="ET36" s="346">
        <f t="shared" si="6"/>
        <v>0.93438485804416405</v>
      </c>
      <c r="EU36" s="346">
        <f t="shared" si="3"/>
        <v>0.97631519016169432</v>
      </c>
      <c r="EV36" s="346">
        <f t="shared" si="4"/>
        <v>0.91212765957446806</v>
      </c>
      <c r="EW36" s="672"/>
      <c r="EX36" s="675"/>
      <c r="EY36" s="675"/>
      <c r="EZ36" s="676"/>
      <c r="FA36" s="677"/>
      <c r="FB36" s="625"/>
    </row>
    <row r="37" spans="1:158" s="24" customFormat="1" ht="21.95" customHeight="1" thickBot="1">
      <c r="A37" s="660"/>
      <c r="B37" s="660"/>
      <c r="C37" s="660"/>
      <c r="D37" s="660"/>
      <c r="E37" s="660"/>
      <c r="F37" s="243" t="s">
        <v>44</v>
      </c>
      <c r="G37" s="179">
        <f>+G32+G35</f>
        <v>8293538932.666666</v>
      </c>
      <c r="H37" s="180">
        <f t="shared" ref="H37:AA37" si="64">+H32+H35</f>
        <v>822052399</v>
      </c>
      <c r="I37" s="180">
        <f t="shared" si="64"/>
        <v>0</v>
      </c>
      <c r="J37" s="180">
        <f t="shared" si="64"/>
        <v>0</v>
      </c>
      <c r="K37" s="180">
        <f t="shared" si="64"/>
        <v>0</v>
      </c>
      <c r="L37" s="180">
        <f t="shared" si="64"/>
        <v>0</v>
      </c>
      <c r="M37" s="180">
        <f t="shared" si="64"/>
        <v>0</v>
      </c>
      <c r="N37" s="180">
        <f t="shared" si="64"/>
        <v>0</v>
      </c>
      <c r="O37" s="180">
        <f t="shared" si="64"/>
        <v>0</v>
      </c>
      <c r="P37" s="180">
        <f t="shared" si="64"/>
        <v>0</v>
      </c>
      <c r="Q37" s="180">
        <f t="shared" si="64"/>
        <v>0</v>
      </c>
      <c r="R37" s="180">
        <f t="shared" si="64"/>
        <v>0</v>
      </c>
      <c r="S37" s="180">
        <f t="shared" si="64"/>
        <v>0</v>
      </c>
      <c r="T37" s="180">
        <f t="shared" si="64"/>
        <v>0</v>
      </c>
      <c r="U37" s="180">
        <f t="shared" si="64"/>
        <v>0</v>
      </c>
      <c r="V37" s="180">
        <f t="shared" si="64"/>
        <v>0</v>
      </c>
      <c r="W37" s="180">
        <f t="shared" si="64"/>
        <v>822052399</v>
      </c>
      <c r="X37" s="180">
        <f t="shared" si="64"/>
        <v>822052399</v>
      </c>
      <c r="Y37" s="180">
        <f t="shared" si="64"/>
        <v>535986131</v>
      </c>
      <c r="Z37" s="180">
        <f t="shared" si="64"/>
        <v>757052399</v>
      </c>
      <c r="AA37" s="180">
        <f t="shared" si="64"/>
        <v>535986131</v>
      </c>
      <c r="AB37" s="191">
        <f t="shared" ref="AB37:AZ37" si="65">+AB32+AB35</f>
        <v>1611707434</v>
      </c>
      <c r="AC37" s="180">
        <f t="shared" si="65"/>
        <v>69771834</v>
      </c>
      <c r="AD37" s="180">
        <f t="shared" si="65"/>
        <v>69771834</v>
      </c>
      <c r="AE37" s="180">
        <f t="shared" si="65"/>
        <v>782719466</v>
      </c>
      <c r="AF37" s="180">
        <f t="shared" si="65"/>
        <v>782719466</v>
      </c>
      <c r="AG37" s="180">
        <f t="shared" si="65"/>
        <v>280310134</v>
      </c>
      <c r="AH37" s="180">
        <f t="shared" si="65"/>
        <v>280310134</v>
      </c>
      <c r="AI37" s="180">
        <f t="shared" si="65"/>
        <v>0</v>
      </c>
      <c r="AJ37" s="180">
        <f t="shared" si="65"/>
        <v>0</v>
      </c>
      <c r="AK37" s="180">
        <f t="shared" si="65"/>
        <v>0</v>
      </c>
      <c r="AL37" s="180">
        <f>+AL32+AL35</f>
        <v>0</v>
      </c>
      <c r="AM37" s="180">
        <f t="shared" si="65"/>
        <v>150666666.66666666</v>
      </c>
      <c r="AN37" s="180">
        <f>+AN32+AN35</f>
        <v>150000000</v>
      </c>
      <c r="AO37" s="180">
        <f t="shared" si="65"/>
        <v>0</v>
      </c>
      <c r="AP37" s="180">
        <f t="shared" si="65"/>
        <v>0</v>
      </c>
      <c r="AQ37" s="180">
        <f t="shared" si="65"/>
        <v>156047866.66666701</v>
      </c>
      <c r="AR37" s="180">
        <f t="shared" si="65"/>
        <v>0</v>
      </c>
      <c r="AS37" s="180">
        <f t="shared" si="65"/>
        <v>263047866.66666701</v>
      </c>
      <c r="AT37" s="180">
        <f t="shared" si="65"/>
        <v>0</v>
      </c>
      <c r="AU37" s="180">
        <f t="shared" si="65"/>
        <v>5381200</v>
      </c>
      <c r="AV37" s="180">
        <f>+AV32+AV35</f>
        <v>12393667</v>
      </c>
      <c r="AW37" s="180">
        <f t="shared" si="65"/>
        <v>5381200</v>
      </c>
      <c r="AX37" s="180">
        <f>+AX32+AX35</f>
        <v>355319167</v>
      </c>
      <c r="AY37" s="180">
        <f t="shared" si="65"/>
        <v>5381200</v>
      </c>
      <c r="AZ37" s="180">
        <f t="shared" si="65"/>
        <v>67733833</v>
      </c>
      <c r="BA37" s="181">
        <f t="shared" si="60"/>
        <v>1718707434.0000005</v>
      </c>
      <c r="BB37" s="192">
        <f t="shared" si="60"/>
        <v>1718707434.0000007</v>
      </c>
      <c r="BC37" s="192">
        <f t="shared" si="60"/>
        <v>1718248101</v>
      </c>
      <c r="BD37" s="192">
        <f t="shared" si="60"/>
        <v>1718707434.0000007</v>
      </c>
      <c r="BE37" s="192">
        <f t="shared" si="60"/>
        <v>1718248101</v>
      </c>
      <c r="BF37" s="192">
        <f t="shared" ref="BF37:CI37" si="66">+BF32+BF35</f>
        <v>2279351058</v>
      </c>
      <c r="BG37" s="192">
        <f t="shared" si="66"/>
        <v>1105348400</v>
      </c>
      <c r="BH37" s="192">
        <f t="shared" si="66"/>
        <v>1097940000</v>
      </c>
      <c r="BI37" s="192">
        <f t="shared" si="66"/>
        <v>38557535</v>
      </c>
      <c r="BJ37" s="192">
        <f>+BJ32+BJ35</f>
        <v>24006926</v>
      </c>
      <c r="BK37" s="192">
        <f t="shared" si="66"/>
        <v>172319000</v>
      </c>
      <c r="BL37" s="192">
        <f t="shared" si="66"/>
        <v>0</v>
      </c>
      <c r="BM37" s="192">
        <f t="shared" si="66"/>
        <v>616009000</v>
      </c>
      <c r="BN37" s="192">
        <f t="shared" si="66"/>
        <v>0</v>
      </c>
      <c r="BO37" s="192">
        <f t="shared" si="66"/>
        <v>96000000</v>
      </c>
      <c r="BP37" s="192">
        <f t="shared" si="66"/>
        <v>0</v>
      </c>
      <c r="BQ37" s="192">
        <f t="shared" si="66"/>
        <v>76000000</v>
      </c>
      <c r="BR37" s="192">
        <f t="shared" si="66"/>
        <v>0</v>
      </c>
      <c r="BS37" s="192">
        <f t="shared" si="66"/>
        <v>36000000</v>
      </c>
      <c r="BT37" s="192">
        <f t="shared" si="66"/>
        <v>638286132</v>
      </c>
      <c r="BU37" s="192">
        <f t="shared" si="66"/>
        <v>36000000</v>
      </c>
      <c r="BV37" s="192">
        <f t="shared" si="66"/>
        <v>-7746979</v>
      </c>
      <c r="BW37" s="192">
        <f t="shared" si="66"/>
        <v>309348119</v>
      </c>
      <c r="BX37" s="192">
        <f t="shared" si="66"/>
        <v>39999998</v>
      </c>
      <c r="BY37" s="192">
        <f t="shared" si="66"/>
        <v>88969000</v>
      </c>
      <c r="BZ37" s="192">
        <f t="shared" si="66"/>
        <v>547998200</v>
      </c>
      <c r="CA37" s="192">
        <f t="shared" si="66"/>
        <v>38864104</v>
      </c>
      <c r="CB37" s="192">
        <f t="shared" si="66"/>
        <v>86093500</v>
      </c>
      <c r="CC37" s="192">
        <f t="shared" si="66"/>
        <v>-50496981</v>
      </c>
      <c r="CD37" s="192">
        <f t="shared" si="66"/>
        <v>85861748</v>
      </c>
      <c r="CE37" s="192">
        <f t="shared" si="66"/>
        <v>2562918177</v>
      </c>
      <c r="CF37" s="192">
        <f t="shared" si="66"/>
        <v>2562918177</v>
      </c>
      <c r="CG37" s="192">
        <f t="shared" si="66"/>
        <v>2512439525</v>
      </c>
      <c r="CH37" s="192">
        <f t="shared" si="66"/>
        <v>2562918177</v>
      </c>
      <c r="CI37" s="192">
        <f t="shared" si="66"/>
        <v>2512439525</v>
      </c>
      <c r="CJ37" s="181">
        <f t="shared" si="61"/>
        <v>1816187343</v>
      </c>
      <c r="CK37" s="181">
        <f t="shared" si="61"/>
        <v>-2910478</v>
      </c>
      <c r="CL37" s="181">
        <f t="shared" si="61"/>
        <v>40768728</v>
      </c>
      <c r="CM37" s="181">
        <f t="shared" si="61"/>
        <v>592180139</v>
      </c>
      <c r="CN37" s="181">
        <f t="shared" si="61"/>
        <v>909539290</v>
      </c>
      <c r="CO37" s="181">
        <f t="shared" si="61"/>
        <v>182076844</v>
      </c>
      <c r="CP37" s="181">
        <f>+CP32+CP35</f>
        <v>504056001</v>
      </c>
      <c r="CQ37" s="181">
        <f>+CQ32+CR35</f>
        <v>125273545</v>
      </c>
      <c r="CR37" s="181">
        <f t="shared" si="61"/>
        <v>76138500</v>
      </c>
      <c r="CS37" s="181">
        <f t="shared" si="61"/>
        <v>125273545</v>
      </c>
      <c r="CT37" s="263">
        <f t="shared" si="61"/>
        <v>34976033</v>
      </c>
      <c r="CU37" s="181">
        <f t="shared" si="61"/>
        <v>205273545</v>
      </c>
      <c r="CV37" s="181">
        <f t="shared" si="61"/>
        <v>-23195434</v>
      </c>
      <c r="CW37" s="181">
        <f t="shared" si="61"/>
        <v>101286711</v>
      </c>
      <c r="CX37" s="355">
        <f t="shared" si="61"/>
        <v>41432000</v>
      </c>
      <c r="CY37" s="181">
        <f t="shared" si="61"/>
        <v>125273545</v>
      </c>
      <c r="CZ37" s="181">
        <f t="shared" ref="CZ37" si="67">+CZ32+CZ35</f>
        <v>6752977</v>
      </c>
      <c r="DA37" s="181">
        <f t="shared" si="61"/>
        <v>112375879.33333333</v>
      </c>
      <c r="DB37" s="181">
        <f t="shared" si="61"/>
        <v>8071515</v>
      </c>
      <c r="DC37" s="181">
        <f t="shared" si="61"/>
        <v>158970312</v>
      </c>
      <c r="DD37" s="181">
        <f t="shared" si="61"/>
        <v>0</v>
      </c>
      <c r="DE37" s="181">
        <f t="shared" si="61"/>
        <v>-21530620.666666668</v>
      </c>
      <c r="DF37" s="181">
        <f t="shared" si="61"/>
        <v>62319500</v>
      </c>
      <c r="DG37" s="181">
        <f t="shared" si="61"/>
        <v>61313376</v>
      </c>
      <c r="DH37" s="181">
        <f t="shared" si="61"/>
        <v>111237833</v>
      </c>
      <c r="DI37" s="181">
        <f>DI32+DI35</f>
        <v>1774065175.6666667</v>
      </c>
      <c r="DJ37" s="192">
        <f>DJ32+DJ35</f>
        <v>1774065175.6666667</v>
      </c>
      <c r="DK37" s="192">
        <f>DK32+DK35</f>
        <v>1772096943</v>
      </c>
      <c r="DL37" s="181">
        <f t="shared" si="63"/>
        <v>1774065175.6666665</v>
      </c>
      <c r="DM37" s="192">
        <f t="shared" si="63"/>
        <v>1772096943</v>
      </c>
      <c r="DN37" s="192">
        <f>+DN32+DN35</f>
        <v>1752800000</v>
      </c>
      <c r="DO37" s="199"/>
      <c r="DP37" s="199"/>
      <c r="DQ37" s="199"/>
      <c r="DR37" s="199"/>
      <c r="DS37" s="199"/>
      <c r="DT37" s="199"/>
      <c r="DU37" s="199"/>
      <c r="DV37" s="199"/>
      <c r="DW37" s="199"/>
      <c r="DX37" s="199"/>
      <c r="DY37" s="199"/>
      <c r="DZ37" s="199"/>
      <c r="EA37" s="199"/>
      <c r="EB37" s="199"/>
      <c r="EC37" s="199"/>
      <c r="ED37" s="199"/>
      <c r="EE37" s="199"/>
      <c r="EF37" s="199"/>
      <c r="EG37" s="199"/>
      <c r="EH37" s="199"/>
      <c r="EI37" s="199"/>
      <c r="EJ37" s="199"/>
      <c r="EK37" s="199"/>
      <c r="EL37" s="199"/>
      <c r="EM37" s="200">
        <f>EK37+EI37+EG37+EE37+EC37+EA37+DY37+DW37+DU37+DS37+DQ37+DO37</f>
        <v>0</v>
      </c>
      <c r="EN37" s="201">
        <f>+EN32+EN35</f>
        <v>0</v>
      </c>
      <c r="EO37" s="202">
        <f>EO32+EO35</f>
        <v>0</v>
      </c>
      <c r="EP37" s="201">
        <f>+EP32+EP35</f>
        <v>0</v>
      </c>
      <c r="EQ37" s="201">
        <f>+EQ32+EQ35</f>
        <v>0</v>
      </c>
      <c r="ER37" s="455">
        <f t="shared" si="7"/>
        <v>1.8142506620415095</v>
      </c>
      <c r="ES37" s="347">
        <f>+DK37/DJ37</f>
        <v>0.99889055222228396</v>
      </c>
      <c r="ET37" s="348">
        <f t="shared" si="6"/>
        <v>0.99889055222228418</v>
      </c>
      <c r="EU37" s="348">
        <f>+(AA37+BE37+CI37+DK37)/(Z37+BD37+CH37+DJ37)</f>
        <v>0.95978529085859587</v>
      </c>
      <c r="EV37" s="349">
        <f>+(AA37+BE37+CI37+DM37)/G37</f>
        <v>0.78841743592051283</v>
      </c>
      <c r="EW37" s="673"/>
      <c r="EX37" s="627"/>
      <c r="EY37" s="627"/>
      <c r="EZ37" s="676"/>
      <c r="FA37" s="677"/>
      <c r="FB37" s="625"/>
    </row>
    <row r="38" spans="1:158" s="3" customFormat="1" ht="23.1" customHeight="1">
      <c r="A38" s="660" t="s">
        <v>294</v>
      </c>
      <c r="B38" s="660">
        <v>5</v>
      </c>
      <c r="C38" s="660" t="s">
        <v>298</v>
      </c>
      <c r="D38" s="660" t="s">
        <v>300</v>
      </c>
      <c r="E38" s="660">
        <v>270</v>
      </c>
      <c r="F38" s="242" t="s">
        <v>40</v>
      </c>
      <c r="G38" s="168">
        <v>1</v>
      </c>
      <c r="H38" s="203">
        <v>1</v>
      </c>
      <c r="I38" s="203" t="s">
        <v>301</v>
      </c>
      <c r="J38" s="203" t="s">
        <v>301</v>
      </c>
      <c r="K38" s="203" t="s">
        <v>301</v>
      </c>
      <c r="L38" s="203" t="s">
        <v>301</v>
      </c>
      <c r="M38" s="203" t="s">
        <v>301</v>
      </c>
      <c r="N38" s="203" t="s">
        <v>301</v>
      </c>
      <c r="O38" s="203" t="s">
        <v>301</v>
      </c>
      <c r="P38" s="203" t="s">
        <v>301</v>
      </c>
      <c r="Q38" s="203" t="s">
        <v>301</v>
      </c>
      <c r="R38" s="203" t="s">
        <v>301</v>
      </c>
      <c r="S38" s="203" t="s">
        <v>301</v>
      </c>
      <c r="T38" s="203" t="s">
        <v>301</v>
      </c>
      <c r="U38" s="203" t="s">
        <v>301</v>
      </c>
      <c r="V38" s="203" t="s">
        <v>301</v>
      </c>
      <c r="W38" s="203" t="s">
        <v>301</v>
      </c>
      <c r="X38" s="203" t="s">
        <v>301</v>
      </c>
      <c r="Y38" s="203" t="s">
        <v>301</v>
      </c>
      <c r="Z38" s="203">
        <v>1</v>
      </c>
      <c r="AA38" s="203">
        <v>1</v>
      </c>
      <c r="AB38" s="203">
        <v>1</v>
      </c>
      <c r="AC38" s="203">
        <v>1</v>
      </c>
      <c r="AD38" s="203">
        <v>1</v>
      </c>
      <c r="AE38" s="203">
        <v>1</v>
      </c>
      <c r="AF38" s="203">
        <v>1</v>
      </c>
      <c r="AG38" s="203">
        <v>1</v>
      </c>
      <c r="AH38" s="203">
        <v>1</v>
      </c>
      <c r="AI38" s="203">
        <v>1</v>
      </c>
      <c r="AJ38" s="203">
        <v>1</v>
      </c>
      <c r="AK38" s="203">
        <v>1</v>
      </c>
      <c r="AL38" s="203">
        <v>1</v>
      </c>
      <c r="AM38" s="203">
        <v>1</v>
      </c>
      <c r="AN38" s="203">
        <v>1</v>
      </c>
      <c r="AO38" s="203">
        <v>1</v>
      </c>
      <c r="AP38" s="203">
        <v>1</v>
      </c>
      <c r="AQ38" s="203">
        <v>1</v>
      </c>
      <c r="AR38" s="203">
        <v>1</v>
      </c>
      <c r="AS38" s="203">
        <v>1</v>
      </c>
      <c r="AT38" s="203">
        <v>1</v>
      </c>
      <c r="AU38" s="203">
        <v>1</v>
      </c>
      <c r="AV38" s="203">
        <v>1</v>
      </c>
      <c r="AW38" s="203">
        <v>1</v>
      </c>
      <c r="AX38" s="203">
        <v>1</v>
      </c>
      <c r="AY38" s="203">
        <v>1</v>
      </c>
      <c r="AZ38" s="203">
        <v>1</v>
      </c>
      <c r="BA38" s="203">
        <f>+AB38</f>
        <v>1</v>
      </c>
      <c r="BB38" s="203">
        <f>+AY38</f>
        <v>1</v>
      </c>
      <c r="BC38" s="203">
        <f>+AZ38</f>
        <v>1</v>
      </c>
      <c r="BD38" s="203">
        <f>+G38</f>
        <v>1</v>
      </c>
      <c r="BE38" s="203">
        <f>+AZ38</f>
        <v>1</v>
      </c>
      <c r="BF38" s="203">
        <v>1</v>
      </c>
      <c r="BG38" s="203">
        <v>1</v>
      </c>
      <c r="BH38" s="203">
        <v>1</v>
      </c>
      <c r="BI38" s="203">
        <v>1</v>
      </c>
      <c r="BJ38" s="203">
        <v>1</v>
      </c>
      <c r="BK38" s="203">
        <v>1</v>
      </c>
      <c r="BL38" s="203">
        <v>1</v>
      </c>
      <c r="BM38" s="203">
        <v>1</v>
      </c>
      <c r="BN38" s="203">
        <v>1</v>
      </c>
      <c r="BO38" s="203">
        <v>1</v>
      </c>
      <c r="BP38" s="203">
        <v>1</v>
      </c>
      <c r="BQ38" s="203">
        <v>1</v>
      </c>
      <c r="BR38" s="203">
        <v>1</v>
      </c>
      <c r="BS38" s="203">
        <v>1</v>
      </c>
      <c r="BT38" s="203">
        <v>1</v>
      </c>
      <c r="BU38" s="203">
        <v>1</v>
      </c>
      <c r="BV38" s="203">
        <v>1</v>
      </c>
      <c r="BW38" s="203">
        <v>1</v>
      </c>
      <c r="BX38" s="203">
        <v>1</v>
      </c>
      <c r="BY38" s="203">
        <v>1</v>
      </c>
      <c r="BZ38" s="203">
        <v>1</v>
      </c>
      <c r="CA38" s="203">
        <v>1</v>
      </c>
      <c r="CB38" s="203">
        <v>1</v>
      </c>
      <c r="CC38" s="203">
        <v>1</v>
      </c>
      <c r="CD38" s="203">
        <v>1</v>
      </c>
      <c r="CE38" s="203">
        <f>BF38</f>
        <v>1</v>
      </c>
      <c r="CF38" s="203">
        <f>+CC38</f>
        <v>1</v>
      </c>
      <c r="CG38" s="203">
        <f>+CD38</f>
        <v>1</v>
      </c>
      <c r="CH38" s="203">
        <f>+CC38</f>
        <v>1</v>
      </c>
      <c r="CI38" s="203">
        <f>+CD38</f>
        <v>1</v>
      </c>
      <c r="CJ38" s="168">
        <v>1</v>
      </c>
      <c r="CK38" s="168">
        <v>1</v>
      </c>
      <c r="CL38" s="168">
        <v>1</v>
      </c>
      <c r="CM38" s="168">
        <v>1</v>
      </c>
      <c r="CN38" s="168">
        <v>1</v>
      </c>
      <c r="CO38" s="168">
        <v>1</v>
      </c>
      <c r="CP38" s="168">
        <v>1</v>
      </c>
      <c r="CQ38" s="168">
        <v>1</v>
      </c>
      <c r="CR38" s="168">
        <v>1</v>
      </c>
      <c r="CS38" s="168">
        <v>1</v>
      </c>
      <c r="CT38" s="546">
        <v>1</v>
      </c>
      <c r="CU38" s="168">
        <v>1</v>
      </c>
      <c r="CV38" s="512">
        <v>1</v>
      </c>
      <c r="CW38" s="168">
        <v>1</v>
      </c>
      <c r="CX38" s="512">
        <v>1</v>
      </c>
      <c r="CY38" s="168">
        <v>1</v>
      </c>
      <c r="CZ38" s="512">
        <v>1</v>
      </c>
      <c r="DA38" s="168">
        <v>1</v>
      </c>
      <c r="DB38" s="512">
        <v>1</v>
      </c>
      <c r="DC38" s="168">
        <v>1</v>
      </c>
      <c r="DD38" s="512">
        <v>1</v>
      </c>
      <c r="DE38" s="168">
        <v>1</v>
      </c>
      <c r="DF38" s="512">
        <v>1</v>
      </c>
      <c r="DG38" s="168">
        <v>1</v>
      </c>
      <c r="DH38" s="511">
        <v>1</v>
      </c>
      <c r="DI38" s="203">
        <f>+CJ38</f>
        <v>1</v>
      </c>
      <c r="DJ38" s="203">
        <f>DG38</f>
        <v>1</v>
      </c>
      <c r="DK38" s="203">
        <f>DH38</f>
        <v>1</v>
      </c>
      <c r="DL38" s="203">
        <f>+CJ38</f>
        <v>1</v>
      </c>
      <c r="DM38" s="203">
        <f>+CR38</f>
        <v>1</v>
      </c>
      <c r="DN38" s="203">
        <v>1</v>
      </c>
      <c r="DO38" s="204"/>
      <c r="DP38" s="204"/>
      <c r="DQ38" s="204"/>
      <c r="DR38" s="204"/>
      <c r="DS38" s="204"/>
      <c r="DT38" s="204"/>
      <c r="DU38" s="204"/>
      <c r="DV38" s="204"/>
      <c r="DW38" s="204"/>
      <c r="DX38" s="204"/>
      <c r="DY38" s="204"/>
      <c r="DZ38" s="204"/>
      <c r="EA38" s="204"/>
      <c r="EB38" s="204"/>
      <c r="EC38" s="204"/>
      <c r="ED38" s="204"/>
      <c r="EE38" s="204"/>
      <c r="EF38" s="204"/>
      <c r="EG38" s="204"/>
      <c r="EH38" s="204"/>
      <c r="EI38" s="204"/>
      <c r="EJ38" s="204"/>
      <c r="EK38" s="204"/>
      <c r="EL38" s="204"/>
      <c r="EM38" s="205">
        <f>EK38+EI38+EG38+EE38+EA38+DY38+DW38+DU38+DS38+DQ38+DO38</f>
        <v>0</v>
      </c>
      <c r="EN38" s="205">
        <f>DO38+DQ38+DS38+DU38</f>
        <v>0</v>
      </c>
      <c r="EO38" s="205">
        <f>DP38+DR38+DT38+DV38</f>
        <v>0</v>
      </c>
      <c r="EP38" s="205">
        <f>EM38+CO38</f>
        <v>1</v>
      </c>
      <c r="EQ38" s="206">
        <f>EO38+CO38</f>
        <v>1</v>
      </c>
      <c r="ER38" s="178">
        <f t="shared" si="7"/>
        <v>1</v>
      </c>
      <c r="ES38" s="350">
        <f t="shared" si="5"/>
        <v>1</v>
      </c>
      <c r="ET38" s="351">
        <f t="shared" si="6"/>
        <v>1</v>
      </c>
      <c r="EU38" s="351">
        <f t="shared" si="3"/>
        <v>1</v>
      </c>
      <c r="EV38" s="351">
        <f>+(AA38+BE38+CI38+DM38)/500%</f>
        <v>0.8</v>
      </c>
      <c r="EW38" s="622" t="s">
        <v>777</v>
      </c>
      <c r="EX38" s="624" t="s">
        <v>548</v>
      </c>
      <c r="EY38" s="624" t="s">
        <v>548</v>
      </c>
      <c r="EZ38" s="621" t="s">
        <v>323</v>
      </c>
      <c r="FA38" s="619" t="s">
        <v>702</v>
      </c>
      <c r="FB38" s="625"/>
    </row>
    <row r="39" spans="1:158" s="37" customFormat="1" ht="23.1" customHeight="1">
      <c r="A39" s="660"/>
      <c r="B39" s="660"/>
      <c r="C39" s="660"/>
      <c r="D39" s="660"/>
      <c r="E39" s="660"/>
      <c r="F39" s="243" t="s">
        <v>3</v>
      </c>
      <c r="G39" s="77">
        <f>+AA39+BE39+CI39+DL39+DN39</f>
        <v>3664066819</v>
      </c>
      <c r="H39" s="76">
        <v>403410000</v>
      </c>
      <c r="I39" s="77"/>
      <c r="J39" s="77"/>
      <c r="K39" s="77"/>
      <c r="L39" s="77"/>
      <c r="M39" s="77"/>
      <c r="N39" s="77"/>
      <c r="O39" s="77"/>
      <c r="P39" s="77"/>
      <c r="Q39" s="77"/>
      <c r="R39" s="77"/>
      <c r="S39" s="77"/>
      <c r="T39" s="76"/>
      <c r="U39" s="87"/>
      <c r="V39" s="87"/>
      <c r="W39" s="76">
        <v>403410000</v>
      </c>
      <c r="X39" s="76">
        <v>403410000</v>
      </c>
      <c r="Y39" s="76">
        <v>232617000</v>
      </c>
      <c r="Z39" s="76">
        <v>263410000</v>
      </c>
      <c r="AA39" s="76">
        <v>232617000</v>
      </c>
      <c r="AB39" s="76">
        <v>689070000</v>
      </c>
      <c r="AC39" s="77">
        <v>0</v>
      </c>
      <c r="AD39" s="77">
        <v>0</v>
      </c>
      <c r="AE39" s="77">
        <v>34584000</v>
      </c>
      <c r="AF39" s="77">
        <f>34584000-AD39</f>
        <v>34584000</v>
      </c>
      <c r="AG39" s="77">
        <v>308422000</v>
      </c>
      <c r="AH39" s="77">
        <f>343006000-AF39-AD39</f>
        <v>308422000</v>
      </c>
      <c r="AI39" s="77">
        <v>1738634</v>
      </c>
      <c r="AJ39" s="77">
        <f>344744634-AH39-AF39-AD39</f>
        <v>1738634</v>
      </c>
      <c r="AK39" s="77">
        <v>14241944</v>
      </c>
      <c r="AL39" s="77">
        <f>358986578-AJ39-AH39-AF39-AD39-5000000</f>
        <v>9241944</v>
      </c>
      <c r="AM39" s="77">
        <v>0</v>
      </c>
      <c r="AN39" s="77">
        <v>101779714</v>
      </c>
      <c r="AO39" s="77">
        <v>0</v>
      </c>
      <c r="AP39" s="77">
        <v>0</v>
      </c>
      <c r="AQ39" s="77">
        <f>41419807.3333333+46164800</f>
        <v>87584607.333333299</v>
      </c>
      <c r="AR39" s="77">
        <v>36764000</v>
      </c>
      <c r="AS39" s="77">
        <f>41419807.3333333+46164800+35320000</f>
        <v>122904607.3333333</v>
      </c>
      <c r="AT39" s="77">
        <v>0</v>
      </c>
      <c r="AU39" s="77">
        <f>41419807.3333333+46164800</f>
        <v>87584607.333333299</v>
      </c>
      <c r="AV39" s="77">
        <v>11769667</v>
      </c>
      <c r="AW39" s="77">
        <v>46164800</v>
      </c>
      <c r="AX39" s="77">
        <v>19321500</v>
      </c>
      <c r="AY39" s="77">
        <v>46164800</v>
      </c>
      <c r="AZ39" s="77">
        <v>180225685</v>
      </c>
      <c r="BA39" s="77">
        <f>AY39+AW39+AU39+AS39+AQ39+AO39+AM39+AK39+AI39+AG39+AE39+AC39</f>
        <v>749390000</v>
      </c>
      <c r="BB39" s="77">
        <f>AC39+AE39+AG39+AI39+AK39+AM39+AO39+AQ39+AS39+AU39+AW39+AY39</f>
        <v>749389999.99999988</v>
      </c>
      <c r="BC39" s="77">
        <f>AD39+AF39+AH39+AJ39+AL39+AN39+AP39+AR39+AT39+AV39+AX39+AZ39</f>
        <v>703847144</v>
      </c>
      <c r="BD39" s="77">
        <f>AE39+AG39+AI39+AK39+AM39+AO39+AQ39+AS39+AU39+AW39+AY39+AC39</f>
        <v>749389999.99999988</v>
      </c>
      <c r="BE39" s="77">
        <f>AD39+AF39+AH39+AJ39+AL39+AN39+AP39+AR39+AT39+AV39+AX39+AZ39</f>
        <v>703847144</v>
      </c>
      <c r="BF39" s="77">
        <v>843232000</v>
      </c>
      <c r="BG39" s="77">
        <v>462232000</v>
      </c>
      <c r="BH39" s="77">
        <v>455184000</v>
      </c>
      <c r="BI39" s="77">
        <v>0</v>
      </c>
      <c r="BJ39" s="77">
        <v>0</v>
      </c>
      <c r="BK39" s="77">
        <v>381000000</v>
      </c>
      <c r="BL39" s="77">
        <v>0</v>
      </c>
      <c r="BM39" s="77">
        <v>0</v>
      </c>
      <c r="BN39" s="77">
        <v>0</v>
      </c>
      <c r="BO39" s="77">
        <v>-7048000</v>
      </c>
      <c r="BP39" s="77">
        <v>0</v>
      </c>
      <c r="BQ39" s="77">
        <v>0</v>
      </c>
      <c r="BR39" s="77">
        <v>0</v>
      </c>
      <c r="BS39" s="77">
        <v>0</v>
      </c>
      <c r="BT39" s="77">
        <v>0</v>
      </c>
      <c r="BU39" s="77">
        <v>60207700</v>
      </c>
      <c r="BV39" s="77">
        <v>14028000</v>
      </c>
      <c r="BW39" s="77">
        <v>57264498</v>
      </c>
      <c r="BX39" s="77">
        <v>19349800</v>
      </c>
      <c r="BY39" s="77">
        <v>134230102</v>
      </c>
      <c r="BZ39" s="77">
        <v>44119860</v>
      </c>
      <c r="CA39" s="77">
        <v>0</v>
      </c>
      <c r="CB39" s="77">
        <v>107967800</v>
      </c>
      <c r="CC39" s="77">
        <v>-34000000</v>
      </c>
      <c r="CD39" s="77">
        <v>383111048</v>
      </c>
      <c r="CE39" s="77">
        <f>CC39+CA39+BY39+BW39+BU39+BS39+BQ39+BO39+BM39+BK39+BI39+BG39</f>
        <v>1053886300</v>
      </c>
      <c r="CF39" s="77">
        <f>+BG39+BI39+BK39+BM39+BO39+BQ39+BS39+BU39+BW39+BY39+CA39+CC39</f>
        <v>1053886300</v>
      </c>
      <c r="CG39" s="77">
        <f>+BH39+BJ39+BL39+BN39+BP39+BR39+BT39+BV39+BX39+BZ39+CB39+CD39</f>
        <v>1023760508</v>
      </c>
      <c r="CH39" s="76">
        <f>CC39+CA39+BY39+BW39+BU39+BS39+BQ39+BO39+BM39+BK39+BI39+BG39</f>
        <v>1053886300</v>
      </c>
      <c r="CI39" s="76">
        <f>+BH39+BJ39+BL39+BN39+BP39+BR39+BT39+BV39+BX39+BZ39+CB39+CD39</f>
        <v>1023760508</v>
      </c>
      <c r="CJ39" s="77">
        <v>554093000</v>
      </c>
      <c r="CK39" s="77">
        <v>-13494000</v>
      </c>
      <c r="CL39" s="77">
        <v>0</v>
      </c>
      <c r="CM39" s="77">
        <v>50092000</v>
      </c>
      <c r="CN39" s="77">
        <v>183154500</v>
      </c>
      <c r="CO39" s="77">
        <v>55388816</v>
      </c>
      <c r="CP39" s="77">
        <v>237703543</v>
      </c>
      <c r="CQ39" s="77">
        <v>55388816</v>
      </c>
      <c r="CR39" s="77">
        <v>23960901</v>
      </c>
      <c r="CS39" s="77">
        <v>75388816</v>
      </c>
      <c r="CT39" s="260">
        <v>0</v>
      </c>
      <c r="CU39" s="238">
        <v>55388816</v>
      </c>
      <c r="CV39" s="238">
        <v>0</v>
      </c>
      <c r="CW39" s="77">
        <v>59555482</v>
      </c>
      <c r="CX39" s="238">
        <v>36848000</v>
      </c>
      <c r="CY39" s="77">
        <v>59555482</v>
      </c>
      <c r="CZ39" s="238">
        <v>0</v>
      </c>
      <c r="DA39" s="238">
        <v>59555482</v>
      </c>
      <c r="DB39" s="238">
        <v>0</v>
      </c>
      <c r="DC39" s="238">
        <f>59555482+18247267</f>
        <v>77802749</v>
      </c>
      <c r="DD39" s="238">
        <v>0</v>
      </c>
      <c r="DE39" s="238">
        <v>9463482</v>
      </c>
      <c r="DF39" s="238">
        <v>31767400</v>
      </c>
      <c r="DG39" s="238">
        <f>14760326-8565100</f>
        <v>6195226</v>
      </c>
      <c r="DH39" s="238">
        <v>24566442</v>
      </c>
      <c r="DI39" s="76">
        <f>DG39+DE39+DC39+DA39+CY39+CW39+CU39+CS39+CQ39+CO39+CM39+CK39</f>
        <v>550281167</v>
      </c>
      <c r="DJ39" s="76">
        <f>CK39+CM39+CO39+CQ39+CS39+CU39+CW39+CY39+DA39+DC39+DE39+DG39</f>
        <v>550281167</v>
      </c>
      <c r="DK39" s="76">
        <f>CL39+CN39+CP39+CR39+CT39+CV39+CX39+CZ39+DB39+DD39+DF39+DH39</f>
        <v>538000786</v>
      </c>
      <c r="DL39" s="76">
        <f>CM39+CO39+CQ39+CS39+CU39+CW39+CY39+DA39+DC39+DE39+DG39+CK39</f>
        <v>550281167</v>
      </c>
      <c r="DM39" s="76">
        <f>CN39+CP39+CR39+CT39+CV39+CX39+CZ39+DB39+DD39+DF39+DH39+CL39</f>
        <v>538000786</v>
      </c>
      <c r="DN39" s="77">
        <v>1153561000</v>
      </c>
      <c r="DO39" s="36"/>
      <c r="DP39" s="36"/>
      <c r="DQ39" s="36"/>
      <c r="DR39" s="36"/>
      <c r="DS39" s="36"/>
      <c r="DT39" s="36"/>
      <c r="DU39" s="36"/>
      <c r="DV39" s="36"/>
      <c r="DW39" s="36"/>
      <c r="DX39" s="36"/>
      <c r="DY39" s="36"/>
      <c r="DZ39" s="36"/>
      <c r="EA39" s="36"/>
      <c r="EB39" s="36"/>
      <c r="EC39" s="36"/>
      <c r="ED39" s="36"/>
      <c r="EE39" s="36"/>
      <c r="EF39" s="36"/>
      <c r="EG39" s="36"/>
      <c r="EH39" s="36"/>
      <c r="EI39" s="36"/>
      <c r="EJ39" s="36"/>
      <c r="EK39" s="36"/>
      <c r="EL39" s="36"/>
      <c r="EM39" s="547">
        <f>EK39+EI39+EG39+EE39+EC39+EA39+DY39+DW39+DU39+DS39+DQ39+DO39</f>
        <v>0</v>
      </c>
      <c r="EN39" s="64">
        <f>DO39+DQ39+DS39+DU39</f>
        <v>0</v>
      </c>
      <c r="EO39" s="64">
        <f>DP39+DR39+DT39+DV39</f>
        <v>0</v>
      </c>
      <c r="EP39" s="64">
        <f>DO39+DQ39+DS39+DU39+DW39+DY39+EA39+EC39+EE39+EI39+EK39</f>
        <v>0</v>
      </c>
      <c r="EQ39" s="66">
        <f>DP39+DR39+DT39+DV39</f>
        <v>0</v>
      </c>
      <c r="ER39" s="178">
        <f t="shared" si="7"/>
        <v>3.9653826995173382</v>
      </c>
      <c r="ES39" s="143">
        <f t="shared" si="5"/>
        <v>0.97768344305339461</v>
      </c>
      <c r="ET39" s="344">
        <f t="shared" si="6"/>
        <v>0.97768344305339461</v>
      </c>
      <c r="EU39" s="344">
        <f t="shared" si="3"/>
        <v>0.95462609661857134</v>
      </c>
      <c r="EV39" s="344">
        <f t="shared" si="4"/>
        <v>0.68181765273642514</v>
      </c>
      <c r="EW39" s="622"/>
      <c r="EX39" s="624"/>
      <c r="EY39" s="624" t="s">
        <v>548</v>
      </c>
      <c r="EZ39" s="621"/>
      <c r="FA39" s="620"/>
      <c r="FB39" s="625"/>
    </row>
    <row r="40" spans="1:158" s="37" customFormat="1" ht="23.1" customHeight="1">
      <c r="A40" s="660"/>
      <c r="B40" s="660"/>
      <c r="C40" s="660"/>
      <c r="D40" s="660"/>
      <c r="E40" s="660"/>
      <c r="F40" s="244" t="s">
        <v>205</v>
      </c>
      <c r="G40" s="77"/>
      <c r="H40" s="76"/>
      <c r="I40" s="77"/>
      <c r="J40" s="77"/>
      <c r="K40" s="77"/>
      <c r="L40" s="77"/>
      <c r="M40" s="77"/>
      <c r="N40" s="77"/>
      <c r="O40" s="77"/>
      <c r="P40" s="77"/>
      <c r="Q40" s="77"/>
      <c r="R40" s="77"/>
      <c r="S40" s="77"/>
      <c r="T40" s="76"/>
      <c r="U40" s="87"/>
      <c r="V40" s="87"/>
      <c r="W40" s="76"/>
      <c r="X40" s="76"/>
      <c r="Y40" s="76"/>
      <c r="Z40" s="76"/>
      <c r="AA40" s="77"/>
      <c r="AB40" s="76"/>
      <c r="AC40" s="77">
        <v>0</v>
      </c>
      <c r="AD40" s="77">
        <v>0</v>
      </c>
      <c r="AE40" s="77">
        <v>0</v>
      </c>
      <c r="AF40" s="77">
        <v>0</v>
      </c>
      <c r="AG40" s="77">
        <v>0</v>
      </c>
      <c r="AH40" s="77">
        <v>0</v>
      </c>
      <c r="AI40" s="77">
        <v>29463567</v>
      </c>
      <c r="AJ40" s="77">
        <f>29463567-AH40</f>
        <v>29463567</v>
      </c>
      <c r="AK40" s="77">
        <v>42312234</v>
      </c>
      <c r="AL40" s="77">
        <f>71775801-AJ40+5062267</f>
        <v>47374501</v>
      </c>
      <c r="AM40" s="77">
        <v>45547691</v>
      </c>
      <c r="AN40" s="77">
        <v>45547691</v>
      </c>
      <c r="AO40" s="77">
        <v>0</v>
      </c>
      <c r="AP40" s="77">
        <v>52764501</v>
      </c>
      <c r="AQ40" s="77">
        <v>0</v>
      </c>
      <c r="AR40" s="77">
        <v>39402600</v>
      </c>
      <c r="AS40" s="77">
        <v>0</v>
      </c>
      <c r="AT40" s="77">
        <v>39458167</v>
      </c>
      <c r="AU40" s="77">
        <v>0</v>
      </c>
      <c r="AV40" s="77">
        <v>41241000</v>
      </c>
      <c r="AW40" s="77">
        <v>0</v>
      </c>
      <c r="AX40" s="77">
        <v>44959667</v>
      </c>
      <c r="AY40" s="77">
        <v>0</v>
      </c>
      <c r="AZ40" s="77">
        <v>118193574.72981858</v>
      </c>
      <c r="BA40" s="77">
        <f>AY40+AW40+AU40+AS40+AQ40+AO40+AM40+AK40+AI40+AG40+AE40+AC40</f>
        <v>117323492</v>
      </c>
      <c r="BB40" s="77">
        <f>AC40+AE40+AG40+AI40+AK40+AM40+AO40+AQ40+AS40+AU40+AW40+AY40</f>
        <v>117323492</v>
      </c>
      <c r="BC40" s="77">
        <f>AD40+AF40+AH40+AJ40+AL40+AN40+AP40+AR40+AT40+AV40+AX40+AZ40</f>
        <v>458405268.72981858</v>
      </c>
      <c r="BD40" s="77">
        <f>AE40+AG40+AI40+AK40+AM40+AO40+AQ40+AS40+AU40+AW40+AY40+AC40</f>
        <v>117323492</v>
      </c>
      <c r="BE40" s="77">
        <f>AD40+AF40+AH40+AJ40+AL40+AN40+AP40+AR40+AT40+AV40+AX40+AZ40</f>
        <v>458405268.72981858</v>
      </c>
      <c r="BF40" s="77">
        <v>0</v>
      </c>
      <c r="BG40" s="77">
        <v>0</v>
      </c>
      <c r="BH40" s="77">
        <v>0</v>
      </c>
      <c r="BI40" s="77"/>
      <c r="BJ40" s="77">
        <v>2716334</v>
      </c>
      <c r="BK40" s="77"/>
      <c r="BL40" s="77">
        <v>49602419</v>
      </c>
      <c r="BM40" s="77"/>
      <c r="BN40" s="77">
        <v>51491637</v>
      </c>
      <c r="BO40" s="77"/>
      <c r="BP40" s="77">
        <v>50399819</v>
      </c>
      <c r="BQ40" s="77"/>
      <c r="BR40" s="77">
        <v>50146819</v>
      </c>
      <c r="BS40" s="77"/>
      <c r="BT40" s="77">
        <v>50772546</v>
      </c>
      <c r="BU40" s="77">
        <v>0</v>
      </c>
      <c r="BV40" s="77">
        <v>49869364</v>
      </c>
      <c r="BW40" s="77">
        <v>0</v>
      </c>
      <c r="BX40" s="77">
        <v>49869364</v>
      </c>
      <c r="BY40" s="77">
        <v>0</v>
      </c>
      <c r="BZ40" s="77">
        <v>50930274</v>
      </c>
      <c r="CA40" s="77">
        <v>0</v>
      </c>
      <c r="CB40" s="77">
        <v>48811207</v>
      </c>
      <c r="CC40" s="77">
        <v>0</v>
      </c>
      <c r="CD40" s="77">
        <v>144899064</v>
      </c>
      <c r="CE40" s="77">
        <f>CC40+CA40+BY40+BW40+BU40+BS40+BQ40+BO40+BM40+BK40+BI40+BG40</f>
        <v>0</v>
      </c>
      <c r="CF40" s="77">
        <f>+BG40+BI40+BK40+BM40+BO40+BQ40+BS40+BU40+BW40+BY40+CA40+CC40</f>
        <v>0</v>
      </c>
      <c r="CG40" s="77">
        <f>+BH40+BJ40+BL40+BN40+BP40+BR40+BT40+BV40+BX40+BZ40+CB40+CD40</f>
        <v>599508847</v>
      </c>
      <c r="CH40" s="76">
        <f>CC40+CA40+BY40+BW40+BU40+BS40+BQ40+BO40+BM40+BK40+BI40+BG40</f>
        <v>0</v>
      </c>
      <c r="CI40" s="76">
        <f>+BH40+BJ40+BL40+BN40+BP40+BR40+BT40+BV40+BX40+BZ40+CB40+CD40</f>
        <v>599508847</v>
      </c>
      <c r="CJ40" s="77">
        <v>554093000</v>
      </c>
      <c r="CK40" s="77">
        <v>-13494000</v>
      </c>
      <c r="CL40" s="77">
        <v>0</v>
      </c>
      <c r="CM40" s="77">
        <v>50092000</v>
      </c>
      <c r="CN40" s="77">
        <v>0</v>
      </c>
      <c r="CO40" s="77">
        <v>55388816</v>
      </c>
      <c r="CP40" s="77">
        <v>9010633</v>
      </c>
      <c r="CQ40" s="77">
        <v>55388816</v>
      </c>
      <c r="CR40" s="77">
        <v>19368100</v>
      </c>
      <c r="CS40" s="77">
        <v>75388816</v>
      </c>
      <c r="CT40" s="260">
        <v>41608234</v>
      </c>
      <c r="CU40" s="238">
        <v>55388816</v>
      </c>
      <c r="CV40" s="238">
        <v>44684000</v>
      </c>
      <c r="CW40" s="77">
        <v>59555482</v>
      </c>
      <c r="CX40" s="238">
        <v>44684000</v>
      </c>
      <c r="CY40" s="77">
        <v>59555482</v>
      </c>
      <c r="CZ40" s="238">
        <v>48746400</v>
      </c>
      <c r="DA40" s="238">
        <v>59555482</v>
      </c>
      <c r="DB40" s="238">
        <v>49762000</v>
      </c>
      <c r="DC40" s="238">
        <f>59555482+18247267</f>
        <v>77802749</v>
      </c>
      <c r="DD40" s="238">
        <v>60300118</v>
      </c>
      <c r="DE40" s="238">
        <v>9463482</v>
      </c>
      <c r="DF40" s="238">
        <v>50042424</v>
      </c>
      <c r="DG40" s="238">
        <f>14760326-8565100</f>
        <v>6195226</v>
      </c>
      <c r="DH40" s="238">
        <v>87437451</v>
      </c>
      <c r="DI40" s="76">
        <f>DG40+DE40+DC40+DA40+CY40+CW40+CU40+CS40+CQ40+CO40+CM40+CK40</f>
        <v>550281167</v>
      </c>
      <c r="DJ40" s="76">
        <f>CK40+CM40+CO40+CQ40+CS40+CU40+CW40+CY40+DA40+DC40+DE40+DG40</f>
        <v>550281167</v>
      </c>
      <c r="DK40" s="76">
        <f>CL40+CN40+CP40+CR40+CT40+CV40+CX40+CZ40+DB40+DD40+DF40+DH40</f>
        <v>455643360</v>
      </c>
      <c r="DL40" s="76">
        <f>CM40+CO40+CQ40+CS40+CU40+CW40+CY40+DA40+DC40+DE40+DG40+CK40</f>
        <v>550281167</v>
      </c>
      <c r="DM40" s="76">
        <f>CN40+CP40+CR40+CT40+CV40+CX40+CZ40+DB40+DD40+DF40+DH40+CL40</f>
        <v>455643360</v>
      </c>
      <c r="DN40" s="77"/>
      <c r="DO40" s="36"/>
      <c r="DP40" s="36"/>
      <c r="DQ40" s="36"/>
      <c r="DR40" s="36"/>
      <c r="DS40" s="36"/>
      <c r="DT40" s="36"/>
      <c r="DU40" s="36"/>
      <c r="DV40" s="36"/>
      <c r="DW40" s="36"/>
      <c r="DX40" s="36"/>
      <c r="DY40" s="36"/>
      <c r="DZ40" s="36"/>
      <c r="EA40" s="36"/>
      <c r="EB40" s="36"/>
      <c r="EC40" s="36"/>
      <c r="ED40" s="36"/>
      <c r="EE40" s="36"/>
      <c r="EF40" s="36"/>
      <c r="EG40" s="36"/>
      <c r="EH40" s="36"/>
      <c r="EI40" s="36"/>
      <c r="EJ40" s="36"/>
      <c r="EK40" s="36"/>
      <c r="EL40" s="36"/>
      <c r="EM40" s="534">
        <f>EI40+EG40+EE40+EC40+EA40+DY40+DW40+DU40+DS40+DQ40+DO40+EK40</f>
        <v>0</v>
      </c>
      <c r="EN40" s="64">
        <f>+DO40+DQ40+DS40+DU40</f>
        <v>0</v>
      </c>
      <c r="EO40" s="64">
        <f>DP40+DR40+DT40+DV40</f>
        <v>0</v>
      </c>
      <c r="EP40" s="64">
        <f>DQ40+DS40+DU40+DW40+DY40+EA40+EC40+EE40+EG40+EI40+EK40</f>
        <v>0</v>
      </c>
      <c r="EQ40" s="66">
        <f>DP40+DR40+DT40+DV40</f>
        <v>0</v>
      </c>
      <c r="ER40" s="178">
        <f t="shared" si="7"/>
        <v>14.113682212723152</v>
      </c>
      <c r="ES40" s="143">
        <f t="shared" si="5"/>
        <v>0.82801917878465214</v>
      </c>
      <c r="ET40" s="344">
        <f t="shared" si="6"/>
        <v>0.82801917878465214</v>
      </c>
      <c r="EU40" s="344">
        <f t="shared" si="3"/>
        <v>2.2671463647317336</v>
      </c>
      <c r="EV40" s="344">
        <f>IFERROR((AA40+BE40+CI40+DM40)/G40,0)</f>
        <v>0</v>
      </c>
      <c r="EW40" s="622"/>
      <c r="EX40" s="624"/>
      <c r="EY40" s="624" t="s">
        <v>548</v>
      </c>
      <c r="EZ40" s="621"/>
      <c r="FA40" s="620"/>
      <c r="FB40" s="625"/>
    </row>
    <row r="41" spans="1:158" s="3" customFormat="1" ht="23.1" customHeight="1">
      <c r="A41" s="660"/>
      <c r="B41" s="660"/>
      <c r="C41" s="660"/>
      <c r="D41" s="660"/>
      <c r="E41" s="660"/>
      <c r="F41" s="242" t="s">
        <v>41</v>
      </c>
      <c r="G41" s="75">
        <v>0</v>
      </c>
      <c r="H41" s="75">
        <v>0</v>
      </c>
      <c r="I41" s="514">
        <v>0</v>
      </c>
      <c r="J41" s="514">
        <v>0</v>
      </c>
      <c r="K41" s="514">
        <v>0</v>
      </c>
      <c r="L41" s="514">
        <v>0</v>
      </c>
      <c r="M41" s="514">
        <v>0</v>
      </c>
      <c r="N41" s="515">
        <v>0</v>
      </c>
      <c r="O41" s="514">
        <v>0</v>
      </c>
      <c r="P41" s="515">
        <v>0</v>
      </c>
      <c r="Q41" s="514">
        <v>0</v>
      </c>
      <c r="R41" s="516">
        <v>0</v>
      </c>
      <c r="S41" s="514">
        <v>0</v>
      </c>
      <c r="T41" s="515">
        <v>0</v>
      </c>
      <c r="U41" s="514">
        <v>0</v>
      </c>
      <c r="V41" s="514">
        <v>0</v>
      </c>
      <c r="W41" s="72">
        <v>0</v>
      </c>
      <c r="X41" s="72">
        <v>0</v>
      </c>
      <c r="Y41" s="72">
        <v>0</v>
      </c>
      <c r="Z41" s="72">
        <v>0</v>
      </c>
      <c r="AA41" s="72">
        <v>0</v>
      </c>
      <c r="AB41" s="72">
        <v>0</v>
      </c>
      <c r="AC41" s="72">
        <v>0</v>
      </c>
      <c r="AD41" s="72">
        <v>0</v>
      </c>
      <c r="AE41" s="72">
        <v>0</v>
      </c>
      <c r="AF41" s="72">
        <v>0</v>
      </c>
      <c r="AG41" s="72">
        <v>0</v>
      </c>
      <c r="AH41" s="72">
        <v>0</v>
      </c>
      <c r="AI41" s="72">
        <v>0</v>
      </c>
      <c r="AJ41" s="72">
        <v>0</v>
      </c>
      <c r="AK41" s="72">
        <v>0</v>
      </c>
      <c r="AL41" s="72">
        <v>0</v>
      </c>
      <c r="AM41" s="72">
        <v>0</v>
      </c>
      <c r="AN41" s="72">
        <v>0</v>
      </c>
      <c r="AO41" s="72">
        <v>0</v>
      </c>
      <c r="AP41" s="515">
        <v>0</v>
      </c>
      <c r="AQ41" s="72">
        <v>0</v>
      </c>
      <c r="AR41" s="515">
        <v>0</v>
      </c>
      <c r="AS41" s="72">
        <v>0</v>
      </c>
      <c r="AT41" s="72">
        <v>0</v>
      </c>
      <c r="AU41" s="72">
        <v>0</v>
      </c>
      <c r="AV41" s="515">
        <v>0</v>
      </c>
      <c r="AW41" s="72">
        <v>0</v>
      </c>
      <c r="AX41" s="72">
        <v>0</v>
      </c>
      <c r="AY41" s="72">
        <v>0</v>
      </c>
      <c r="AZ41" s="75">
        <v>0</v>
      </c>
      <c r="BA41" s="72">
        <f>+AB41</f>
        <v>0</v>
      </c>
      <c r="BB41" s="72">
        <f>+AY41</f>
        <v>0</v>
      </c>
      <c r="BC41" s="72">
        <f>+AZ41</f>
        <v>0</v>
      </c>
      <c r="BD41" s="72">
        <f>+G41</f>
        <v>0</v>
      </c>
      <c r="BE41" s="72">
        <f>+AZ41</f>
        <v>0</v>
      </c>
      <c r="BF41" s="141">
        <v>0</v>
      </c>
      <c r="BG41" s="72">
        <v>0</v>
      </c>
      <c r="BH41" s="72">
        <v>0</v>
      </c>
      <c r="BI41" s="72">
        <v>0</v>
      </c>
      <c r="BJ41" s="72">
        <v>0</v>
      </c>
      <c r="BK41" s="72">
        <v>0</v>
      </c>
      <c r="BL41" s="72">
        <v>0</v>
      </c>
      <c r="BM41" s="72">
        <v>0</v>
      </c>
      <c r="BN41" s="72">
        <v>0</v>
      </c>
      <c r="BO41" s="72">
        <v>0</v>
      </c>
      <c r="BP41" s="72">
        <v>0</v>
      </c>
      <c r="BQ41" s="72">
        <v>0</v>
      </c>
      <c r="BR41" s="72">
        <v>0</v>
      </c>
      <c r="BS41" s="72">
        <v>0</v>
      </c>
      <c r="BT41" s="72">
        <v>0</v>
      </c>
      <c r="BU41" s="72">
        <v>0</v>
      </c>
      <c r="BV41" s="72">
        <v>0</v>
      </c>
      <c r="BW41" s="72">
        <v>0</v>
      </c>
      <c r="BX41" s="72">
        <v>0</v>
      </c>
      <c r="BY41" s="72">
        <v>0</v>
      </c>
      <c r="BZ41" s="72">
        <v>0</v>
      </c>
      <c r="CA41" s="72">
        <v>0</v>
      </c>
      <c r="CB41" s="72">
        <v>0</v>
      </c>
      <c r="CC41" s="72">
        <v>0</v>
      </c>
      <c r="CD41" s="72">
        <v>0</v>
      </c>
      <c r="CE41" s="72">
        <f>BF41</f>
        <v>0</v>
      </c>
      <c r="CF41" s="72">
        <f>+CC41</f>
        <v>0</v>
      </c>
      <c r="CG41" s="72">
        <f>CD41</f>
        <v>0</v>
      </c>
      <c r="CH41" s="72">
        <f>+CC41</f>
        <v>0</v>
      </c>
      <c r="CI41" s="72">
        <f>+CD41</f>
        <v>0</v>
      </c>
      <c r="CJ41" s="72">
        <v>0</v>
      </c>
      <c r="CK41" s="72">
        <v>0</v>
      </c>
      <c r="CL41" s="72">
        <v>0</v>
      </c>
      <c r="CM41" s="72">
        <v>0</v>
      </c>
      <c r="CN41" s="72">
        <v>0</v>
      </c>
      <c r="CO41" s="72">
        <v>0</v>
      </c>
      <c r="CP41" s="72">
        <v>0</v>
      </c>
      <c r="CQ41" s="72">
        <v>0</v>
      </c>
      <c r="CR41" s="72">
        <v>0</v>
      </c>
      <c r="CS41" s="72">
        <v>0</v>
      </c>
      <c r="CT41" s="72">
        <v>0</v>
      </c>
      <c r="CU41" s="72">
        <v>0</v>
      </c>
      <c r="CV41" s="284">
        <v>0</v>
      </c>
      <c r="CW41" s="72">
        <v>0</v>
      </c>
      <c r="CX41" s="284">
        <v>0</v>
      </c>
      <c r="CY41" s="514">
        <v>0</v>
      </c>
      <c r="CZ41" s="284">
        <v>0</v>
      </c>
      <c r="DA41" s="514">
        <v>0</v>
      </c>
      <c r="DB41" s="284">
        <v>0</v>
      </c>
      <c r="DC41" s="514">
        <v>0</v>
      </c>
      <c r="DD41" s="284">
        <v>0</v>
      </c>
      <c r="DE41" s="517">
        <v>0</v>
      </c>
      <c r="DF41" s="284">
        <v>0</v>
      </c>
      <c r="DG41" s="514">
        <v>0</v>
      </c>
      <c r="DH41" s="284">
        <v>0</v>
      </c>
      <c r="DI41" s="72">
        <f>+CJ41</f>
        <v>0</v>
      </c>
      <c r="DJ41" s="76">
        <f>CK41+CM41+CO41+CQ41+CS41+CU41+CW41+CY41+DA41+DC41+DE41+DG41</f>
        <v>0</v>
      </c>
      <c r="DK41" s="76">
        <f>+CV41+CX41+CZ41+DB41+DD41+DF41+DH41</f>
        <v>0</v>
      </c>
      <c r="DL41" s="72">
        <f>+CJ41</f>
        <v>0</v>
      </c>
      <c r="DM41" s="72">
        <f>+CR41</f>
        <v>0</v>
      </c>
      <c r="DN41" s="72"/>
      <c r="DO41" s="548"/>
      <c r="DP41" s="548"/>
      <c r="DQ41" s="548"/>
      <c r="DR41" s="548"/>
      <c r="DS41" s="548"/>
      <c r="DT41" s="548"/>
      <c r="DU41" s="548"/>
      <c r="DV41" s="548"/>
      <c r="DW41" s="548"/>
      <c r="DX41" s="548"/>
      <c r="DY41" s="548"/>
      <c r="DZ41" s="548"/>
      <c r="EA41" s="548"/>
      <c r="EB41" s="548"/>
      <c r="EC41" s="548"/>
      <c r="ED41" s="548"/>
      <c r="EE41" s="548"/>
      <c r="EF41" s="548"/>
      <c r="EG41" s="549"/>
      <c r="EH41" s="548"/>
      <c r="EI41" s="549"/>
      <c r="EJ41" s="548"/>
      <c r="EK41" s="549"/>
      <c r="EL41" s="548"/>
      <c r="EM41" s="550"/>
      <c r="EN41" s="65">
        <f>DO41+DQ41+DS41+DU41</f>
        <v>0</v>
      </c>
      <c r="EO41" s="65">
        <f>DP41+DR41+DT41+DV41</f>
        <v>0</v>
      </c>
      <c r="EP41" s="65">
        <f>DQ41+DS41+DU41+DW41+DY41+EA41+EC41+EE41+EG41+EI41+EK41</f>
        <v>0</v>
      </c>
      <c r="EQ41" s="551">
        <v>0</v>
      </c>
      <c r="ER41" s="178">
        <f t="shared" si="7"/>
        <v>0</v>
      </c>
      <c r="ES41" s="143">
        <f>IFERROR(+DK41/DJ41,0)</f>
        <v>0</v>
      </c>
      <c r="ET41" s="344">
        <f>IFERROR(+DM41/DL41,0)</f>
        <v>0</v>
      </c>
      <c r="EU41" s="344">
        <f>IFERROR((AA41+BE41+CI41+DK41)/(Z41+BD41+CH41+DJ41),0)</f>
        <v>0</v>
      </c>
      <c r="EV41" s="344">
        <f>IFERROR((AA41+BE41+CI41+DM41)/G41,0)</f>
        <v>0</v>
      </c>
      <c r="EW41" s="622"/>
      <c r="EX41" s="624"/>
      <c r="EY41" s="624" t="s">
        <v>548</v>
      </c>
      <c r="EZ41" s="621"/>
      <c r="FA41" s="620"/>
      <c r="FB41" s="625"/>
    </row>
    <row r="42" spans="1:158" s="37" customFormat="1" ht="23.1" customHeight="1">
      <c r="A42" s="660"/>
      <c r="B42" s="660"/>
      <c r="C42" s="660"/>
      <c r="D42" s="660"/>
      <c r="E42" s="660"/>
      <c r="F42" s="243" t="s">
        <v>4</v>
      </c>
      <c r="G42" s="77">
        <f>+AA42+BE42+CI42+DL42+DN42</f>
        <v>676400970.8304193</v>
      </c>
      <c r="H42" s="76">
        <v>104209010</v>
      </c>
      <c r="I42" s="77">
        <v>0</v>
      </c>
      <c r="J42" s="77">
        <v>0</v>
      </c>
      <c r="K42" s="77">
        <v>0</v>
      </c>
      <c r="L42" s="77">
        <v>0</v>
      </c>
      <c r="M42" s="77">
        <v>0</v>
      </c>
      <c r="N42" s="77">
        <v>0</v>
      </c>
      <c r="O42" s="77">
        <v>0</v>
      </c>
      <c r="P42" s="77">
        <v>0</v>
      </c>
      <c r="Q42" s="77">
        <v>0</v>
      </c>
      <c r="R42" s="77">
        <v>0</v>
      </c>
      <c r="S42" s="77">
        <v>0</v>
      </c>
      <c r="T42" s="76">
        <v>0</v>
      </c>
      <c r="U42" s="87">
        <v>0</v>
      </c>
      <c r="V42" s="87">
        <v>0</v>
      </c>
      <c r="W42" s="76">
        <v>104209010</v>
      </c>
      <c r="X42" s="76">
        <v>104209010</v>
      </c>
      <c r="Y42" s="76">
        <v>0</v>
      </c>
      <c r="Z42" s="76">
        <v>104209010</v>
      </c>
      <c r="AA42" s="77">
        <v>0</v>
      </c>
      <c r="AB42" s="76">
        <v>88778010</v>
      </c>
      <c r="AC42" s="77">
        <v>15431000</v>
      </c>
      <c r="AD42" s="77">
        <v>15431000</v>
      </c>
      <c r="AE42" s="77">
        <v>26156334</v>
      </c>
      <c r="AF42" s="77">
        <f>41587334-AD42</f>
        <v>26156334</v>
      </c>
      <c r="AG42" s="77">
        <v>10660833</v>
      </c>
      <c r="AH42" s="77">
        <f>52248167-AF42-AD42</f>
        <v>10660833</v>
      </c>
      <c r="AI42" s="77">
        <v>15349934</v>
      </c>
      <c r="AJ42" s="77">
        <f>67598101-AH42-AF42-AD42</f>
        <v>15349934</v>
      </c>
      <c r="AK42" s="77">
        <v>1480833</v>
      </c>
      <c r="AL42" s="77">
        <f>69078934-AJ42-AH42-AF42-AD42</f>
        <v>1480833</v>
      </c>
      <c r="AM42" s="77">
        <v>2673933</v>
      </c>
      <c r="AN42" s="77">
        <v>4986645</v>
      </c>
      <c r="AO42" s="77">
        <v>0</v>
      </c>
      <c r="AP42" s="77">
        <v>0</v>
      </c>
      <c r="AQ42" s="77">
        <v>11094200</v>
      </c>
      <c r="AR42" s="77">
        <v>2650000</v>
      </c>
      <c r="AS42" s="77">
        <f>1195077</f>
        <v>1195077</v>
      </c>
      <c r="AT42" s="77">
        <v>0</v>
      </c>
      <c r="AU42" s="77">
        <v>-8431</v>
      </c>
      <c r="AV42" s="77">
        <v>0</v>
      </c>
      <c r="AW42" s="77">
        <v>0</v>
      </c>
      <c r="AX42" s="77">
        <v>2673933</v>
      </c>
      <c r="AY42" s="77">
        <v>0</v>
      </c>
      <c r="AZ42" s="77">
        <v>4255613.8304193616</v>
      </c>
      <c r="BA42" s="86">
        <f>AY42+AW42+AU42+AS42+AQ42+AO42+AM42+AK42+AI42+AG42+AE42+AC42</f>
        <v>84033713</v>
      </c>
      <c r="BB42" s="86">
        <f>AC42+AE42+AG42+AI42+AK42+AM42+AO42+AQ42+AS42+AU42+AW42+AY42</f>
        <v>84033713</v>
      </c>
      <c r="BC42" s="86">
        <f>AD42+AF42+AH42+AJ42+AL42+AN42+AP42+AR42+AT42+AV42+AX42+AZ42</f>
        <v>83645125.830419362</v>
      </c>
      <c r="BD42" s="86">
        <f>AE42+AG42+AI42+AK42+AM42+AO42+AQ42+AS42+AU42+AW42+AY42+AC42</f>
        <v>84033713</v>
      </c>
      <c r="BE42" s="86">
        <f>AD42+AF42+AH42+AJ42+AL42+AN42+AP42+AR42+AT42+AV42+AX42+AZ42</f>
        <v>83645125.830419362</v>
      </c>
      <c r="BF42" s="77">
        <v>169302984</v>
      </c>
      <c r="BG42" s="77">
        <v>6200833</v>
      </c>
      <c r="BH42" s="77"/>
      <c r="BI42" s="77">
        <f>8365466- 453333</f>
        <v>7912133</v>
      </c>
      <c r="BJ42" s="77">
        <v>14024632</v>
      </c>
      <c r="BK42" s="77">
        <v>154736685</v>
      </c>
      <c r="BL42" s="77">
        <v>0</v>
      </c>
      <c r="BM42" s="77"/>
      <c r="BN42" s="77">
        <v>0</v>
      </c>
      <c r="BO42" s="77"/>
      <c r="BP42" s="77">
        <v>0</v>
      </c>
      <c r="BQ42" s="77"/>
      <c r="BR42" s="77">
        <v>0</v>
      </c>
      <c r="BS42" s="77">
        <v>453333</v>
      </c>
      <c r="BT42" s="77">
        <v>154825019</v>
      </c>
      <c r="BU42" s="77">
        <v>0</v>
      </c>
      <c r="BV42" s="77">
        <v>0</v>
      </c>
      <c r="BW42" s="77">
        <v>-453334</v>
      </c>
      <c r="BX42" s="77">
        <v>-1</v>
      </c>
      <c r="BY42" s="77">
        <v>-82196508</v>
      </c>
      <c r="BZ42" s="77">
        <v>-96292309</v>
      </c>
      <c r="CA42" s="77">
        <v>82649842</v>
      </c>
      <c r="CB42" s="77">
        <v>96292309</v>
      </c>
      <c r="CC42" s="77">
        <v>-453334</v>
      </c>
      <c r="CD42" s="77">
        <v>0</v>
      </c>
      <c r="CE42" s="77">
        <f>CC42+CA42+BY42+BW42+BU42+BS42+BQ42+BO42+BM42+BK42+BI42+BG42</f>
        <v>168849650</v>
      </c>
      <c r="CF42" s="77">
        <f>+BG42+BI42+BK42+BM42+BO42+BQ42+BS42+BU42+BW42+BY42+CA42+CC42</f>
        <v>168849650</v>
      </c>
      <c r="CG42" s="77">
        <f>+BH42+BJ42+BL42+BN42+BP42+BR42+BT42+BV42+BX42+BZ42+CB42+CD42</f>
        <v>168849650</v>
      </c>
      <c r="CH42" s="76">
        <f>CC42+CA42+BY42+BW42+BU42+BS42+BQ42+BO42+BM42+BK42+BI42+BG42</f>
        <v>168849650</v>
      </c>
      <c r="CI42" s="76">
        <f>+BH42+BJ42+BL42+BN42+BP42+BR42+BT42+BV42+BX42+BZ42+CB42+CD42</f>
        <v>168849650</v>
      </c>
      <c r="CJ42" s="77">
        <v>424251661</v>
      </c>
      <c r="CK42" s="77">
        <v>18171580</v>
      </c>
      <c r="CL42" s="77">
        <v>0</v>
      </c>
      <c r="CM42" s="77">
        <v>59021327</v>
      </c>
      <c r="CN42" s="77">
        <v>55214566</v>
      </c>
      <c r="CO42" s="77">
        <v>30050967</v>
      </c>
      <c r="CP42" s="77">
        <v>28851621</v>
      </c>
      <c r="CQ42" s="77">
        <v>55152227</v>
      </c>
      <c r="CR42" s="77">
        <v>68767294</v>
      </c>
      <c r="CS42" s="238">
        <f>14631000-345466</f>
        <v>14285534</v>
      </c>
      <c r="CT42" s="552">
        <v>18116833</v>
      </c>
      <c r="CU42" s="238">
        <v>207951800</v>
      </c>
      <c r="CV42" s="238">
        <v>0</v>
      </c>
      <c r="CW42" s="238">
        <v>0</v>
      </c>
      <c r="CX42" s="553">
        <v>41067136</v>
      </c>
      <c r="CY42" s="238">
        <v>39272760</v>
      </c>
      <c r="CZ42" s="238">
        <v>0</v>
      </c>
      <c r="DA42" s="238">
        <v>0</v>
      </c>
      <c r="DB42" s="238">
        <v>1692667</v>
      </c>
      <c r="DC42" s="238">
        <f>-207807000+207807000</f>
        <v>0</v>
      </c>
      <c r="DD42" s="238">
        <v>167359280</v>
      </c>
      <c r="DE42" s="238">
        <v>0</v>
      </c>
      <c r="DF42" s="238">
        <v>0</v>
      </c>
      <c r="DG42" s="238">
        <v>0</v>
      </c>
      <c r="DH42" s="238">
        <v>41009084</v>
      </c>
      <c r="DI42" s="239">
        <f>DG42+DE42+DC42+DA42+CY42+CW42+CU42+CM42+CS42+CO42+CQ42+CK42</f>
        <v>423906195</v>
      </c>
      <c r="DJ42" s="76">
        <f>CK42+CM42+CO42+CQ42+CS42+CU42+CW42+CY42+DA42+DC42+DE42+DG42</f>
        <v>423906195</v>
      </c>
      <c r="DK42" s="76">
        <f>CL42+CN42+CP42+CR42+CT42+CV42+CX42+CZ42+DB42+DD42+DF42+DH42</f>
        <v>422078481</v>
      </c>
      <c r="DL42" s="76">
        <f>CM42+CO42+CQ42+CS42+CU42+CW42+CY42+DA42+DC42+DE42+DG42+CK42</f>
        <v>423906195</v>
      </c>
      <c r="DM42" s="76">
        <f>DK42</f>
        <v>422078481</v>
      </c>
      <c r="DN42" s="77"/>
      <c r="DO42" s="554"/>
      <c r="DP42" s="554"/>
      <c r="DQ42" s="554"/>
      <c r="DR42" s="554"/>
      <c r="DS42" s="554"/>
      <c r="DT42" s="554"/>
      <c r="DU42" s="554"/>
      <c r="DV42" s="554"/>
      <c r="DW42" s="554"/>
      <c r="DX42" s="554"/>
      <c r="DY42" s="554"/>
      <c r="DZ42" s="554"/>
      <c r="EA42" s="554"/>
      <c r="EB42" s="554"/>
      <c r="EC42" s="554"/>
      <c r="ED42" s="554"/>
      <c r="EE42" s="554"/>
      <c r="EF42" s="554"/>
      <c r="EG42" s="554"/>
      <c r="EH42" s="554"/>
      <c r="EI42" s="554"/>
      <c r="EJ42" s="554"/>
      <c r="EK42" s="554"/>
      <c r="EL42" s="554"/>
      <c r="EM42" s="534">
        <f>EI42+EG42+EE42+EC42+EA42+DY42+DW42+DU42+DS42+DQ42+DO42+EK42</f>
        <v>0</v>
      </c>
      <c r="EN42" s="64">
        <f>DO42+DQ42+DS42+DU42</f>
        <v>0</v>
      </c>
      <c r="EO42" s="555">
        <f>DP42+DR42+DT42+DV42</f>
        <v>0</v>
      </c>
      <c r="EP42" s="64">
        <f>DQ42+DS42+DU42+DW42+DY42+EA42+EC42+EE42+EG42+EI42+EK42+DO42</f>
        <v>0</v>
      </c>
      <c r="EQ42" s="66">
        <f>DP42+DR42+DT42+DV42</f>
        <v>0</v>
      </c>
      <c r="ER42" s="178">
        <f t="shared" si="7"/>
        <v>0</v>
      </c>
      <c r="ES42" s="143">
        <f t="shared" si="5"/>
        <v>0.99568839988290336</v>
      </c>
      <c r="ET42" s="344">
        <f t="shared" si="6"/>
        <v>0.99568839988290336</v>
      </c>
      <c r="EU42" s="344">
        <f t="shared" si="3"/>
        <v>0.86373174608742598</v>
      </c>
      <c r="EV42" s="344">
        <f t="shared" si="4"/>
        <v>0.99729788383101203</v>
      </c>
      <c r="EW42" s="622"/>
      <c r="EX42" s="624"/>
      <c r="EY42" s="624" t="s">
        <v>548</v>
      </c>
      <c r="EZ42" s="621"/>
      <c r="FA42" s="620"/>
      <c r="FB42" s="625"/>
    </row>
    <row r="43" spans="1:158" s="3" customFormat="1" ht="23.1" customHeight="1" thickBot="1">
      <c r="A43" s="660"/>
      <c r="B43" s="660"/>
      <c r="C43" s="660"/>
      <c r="D43" s="660"/>
      <c r="E43" s="660"/>
      <c r="F43" s="242" t="s">
        <v>42</v>
      </c>
      <c r="G43" s="170">
        <f>+G38+G41</f>
        <v>1</v>
      </c>
      <c r="H43" s="172">
        <f>+H38+H41</f>
        <v>1</v>
      </c>
      <c r="I43" s="519"/>
      <c r="J43" s="519"/>
      <c r="K43" s="519"/>
      <c r="L43" s="519"/>
      <c r="M43" s="519"/>
      <c r="N43" s="520"/>
      <c r="O43" s="519"/>
      <c r="P43" s="520"/>
      <c r="Q43" s="519"/>
      <c r="R43" s="521"/>
      <c r="S43" s="519"/>
      <c r="T43" s="520"/>
      <c r="U43" s="519"/>
      <c r="V43" s="519"/>
      <c r="W43" s="172" t="e">
        <f t="shared" ref="W43:AB43" si="68">+W38+W41</f>
        <v>#VALUE!</v>
      </c>
      <c r="X43" s="172" t="e">
        <f t="shared" si="68"/>
        <v>#VALUE!</v>
      </c>
      <c r="Y43" s="172" t="e">
        <f t="shared" si="68"/>
        <v>#VALUE!</v>
      </c>
      <c r="Z43" s="172">
        <f t="shared" si="68"/>
        <v>1</v>
      </c>
      <c r="AA43" s="172">
        <f t="shared" si="68"/>
        <v>1</v>
      </c>
      <c r="AB43" s="172">
        <f t="shared" si="68"/>
        <v>1</v>
      </c>
      <c r="AC43" s="172">
        <f t="shared" ref="AC43:AK43" si="69">+AC38+AC41</f>
        <v>1</v>
      </c>
      <c r="AD43" s="172">
        <f t="shared" si="69"/>
        <v>1</v>
      </c>
      <c r="AE43" s="172">
        <f t="shared" si="69"/>
        <v>1</v>
      </c>
      <c r="AF43" s="172">
        <f t="shared" si="69"/>
        <v>1</v>
      </c>
      <c r="AG43" s="172">
        <f t="shared" si="69"/>
        <v>1</v>
      </c>
      <c r="AH43" s="172">
        <f t="shared" si="69"/>
        <v>1</v>
      </c>
      <c r="AI43" s="172">
        <f t="shared" si="69"/>
        <v>1</v>
      </c>
      <c r="AJ43" s="172">
        <f t="shared" si="69"/>
        <v>1</v>
      </c>
      <c r="AK43" s="172">
        <f t="shared" si="69"/>
        <v>1</v>
      </c>
      <c r="AL43" s="172">
        <f t="shared" ref="AL43:AZ43" si="70">+AL38+AL41</f>
        <v>1</v>
      </c>
      <c r="AM43" s="172">
        <f t="shared" si="70"/>
        <v>1</v>
      </c>
      <c r="AN43" s="172">
        <f t="shared" si="70"/>
        <v>1</v>
      </c>
      <c r="AO43" s="172">
        <f t="shared" si="70"/>
        <v>1</v>
      </c>
      <c r="AP43" s="172">
        <f t="shared" si="70"/>
        <v>1</v>
      </c>
      <c r="AQ43" s="172">
        <f t="shared" si="70"/>
        <v>1</v>
      </c>
      <c r="AR43" s="172">
        <f t="shared" si="70"/>
        <v>1</v>
      </c>
      <c r="AS43" s="172">
        <f t="shared" si="70"/>
        <v>1</v>
      </c>
      <c r="AT43" s="172">
        <f t="shared" si="70"/>
        <v>1</v>
      </c>
      <c r="AU43" s="172">
        <f t="shared" si="70"/>
        <v>1</v>
      </c>
      <c r="AV43" s="172">
        <f t="shared" si="70"/>
        <v>1</v>
      </c>
      <c r="AW43" s="172">
        <f t="shared" si="70"/>
        <v>1</v>
      </c>
      <c r="AX43" s="172">
        <f t="shared" si="70"/>
        <v>1</v>
      </c>
      <c r="AY43" s="172">
        <f t="shared" si="70"/>
        <v>1</v>
      </c>
      <c r="AZ43" s="172">
        <f t="shared" si="70"/>
        <v>1</v>
      </c>
      <c r="BA43" s="172">
        <f t="shared" ref="BA43:BH44" si="71">+BA38+BA41</f>
        <v>1</v>
      </c>
      <c r="BB43" s="172">
        <f t="shared" si="71"/>
        <v>1</v>
      </c>
      <c r="BC43" s="172">
        <f t="shared" si="71"/>
        <v>1</v>
      </c>
      <c r="BD43" s="172">
        <f t="shared" si="71"/>
        <v>1</v>
      </c>
      <c r="BE43" s="172">
        <f t="shared" si="71"/>
        <v>1</v>
      </c>
      <c r="BF43" s="172">
        <f t="shared" si="71"/>
        <v>1</v>
      </c>
      <c r="BG43" s="172">
        <f t="shared" si="71"/>
        <v>1</v>
      </c>
      <c r="BH43" s="172">
        <f t="shared" si="71"/>
        <v>1</v>
      </c>
      <c r="BI43" s="172">
        <f t="shared" ref="BI43:BM44" si="72">+BI38+BI41</f>
        <v>1</v>
      </c>
      <c r="BJ43" s="172">
        <f>+BJ38+BJ41</f>
        <v>1</v>
      </c>
      <c r="BK43" s="172">
        <f t="shared" si="72"/>
        <v>1</v>
      </c>
      <c r="BL43" s="172">
        <f t="shared" si="72"/>
        <v>1</v>
      </c>
      <c r="BM43" s="172">
        <f t="shared" si="72"/>
        <v>1</v>
      </c>
      <c r="BN43" s="172">
        <f t="shared" ref="BN43:CS43" si="73">+BN38+BN41</f>
        <v>1</v>
      </c>
      <c r="BO43" s="172">
        <f t="shared" si="73"/>
        <v>1</v>
      </c>
      <c r="BP43" s="172">
        <f t="shared" si="73"/>
        <v>1</v>
      </c>
      <c r="BQ43" s="172">
        <f t="shared" si="73"/>
        <v>1</v>
      </c>
      <c r="BR43" s="172">
        <f t="shared" si="73"/>
        <v>1</v>
      </c>
      <c r="BS43" s="172">
        <f t="shared" si="73"/>
        <v>1</v>
      </c>
      <c r="BT43" s="172">
        <f t="shared" si="73"/>
        <v>1</v>
      </c>
      <c r="BU43" s="172">
        <f t="shared" si="73"/>
        <v>1</v>
      </c>
      <c r="BV43" s="172">
        <f t="shared" si="73"/>
        <v>1</v>
      </c>
      <c r="BW43" s="172">
        <f t="shared" si="73"/>
        <v>1</v>
      </c>
      <c r="BX43" s="172">
        <f t="shared" si="73"/>
        <v>1</v>
      </c>
      <c r="BY43" s="172">
        <f t="shared" si="73"/>
        <v>1</v>
      </c>
      <c r="BZ43" s="172">
        <f t="shared" si="73"/>
        <v>1</v>
      </c>
      <c r="CA43" s="172">
        <f t="shared" si="73"/>
        <v>1</v>
      </c>
      <c r="CB43" s="172">
        <f t="shared" si="73"/>
        <v>1</v>
      </c>
      <c r="CC43" s="172">
        <f t="shared" si="73"/>
        <v>1</v>
      </c>
      <c r="CD43" s="172">
        <f t="shared" si="73"/>
        <v>1</v>
      </c>
      <c r="CE43" s="172">
        <f t="shared" si="73"/>
        <v>1</v>
      </c>
      <c r="CF43" s="172">
        <f t="shared" si="73"/>
        <v>1</v>
      </c>
      <c r="CG43" s="172">
        <f t="shared" si="73"/>
        <v>1</v>
      </c>
      <c r="CH43" s="172">
        <f t="shared" si="73"/>
        <v>1</v>
      </c>
      <c r="CI43" s="172">
        <f t="shared" si="73"/>
        <v>1</v>
      </c>
      <c r="CJ43" s="170">
        <f t="shared" si="73"/>
        <v>1</v>
      </c>
      <c r="CK43" s="170">
        <f t="shared" si="73"/>
        <v>1</v>
      </c>
      <c r="CL43" s="170">
        <f t="shared" si="73"/>
        <v>1</v>
      </c>
      <c r="CM43" s="170">
        <f t="shared" si="73"/>
        <v>1</v>
      </c>
      <c r="CN43" s="170">
        <f t="shared" si="73"/>
        <v>1</v>
      </c>
      <c r="CO43" s="170">
        <f t="shared" si="73"/>
        <v>1</v>
      </c>
      <c r="CP43" s="170">
        <f t="shared" si="73"/>
        <v>1</v>
      </c>
      <c r="CQ43" s="170">
        <f t="shared" si="73"/>
        <v>1</v>
      </c>
      <c r="CR43" s="170">
        <f t="shared" si="73"/>
        <v>1</v>
      </c>
      <c r="CS43" s="170">
        <f t="shared" si="73"/>
        <v>1</v>
      </c>
      <c r="CT43" s="262">
        <f>CT38+CT41</f>
        <v>1</v>
      </c>
      <c r="CU43" s="170">
        <f t="shared" ref="CU43:DB43" si="74">+CU38+CU41</f>
        <v>1</v>
      </c>
      <c r="CV43" s="170">
        <f t="shared" si="74"/>
        <v>1</v>
      </c>
      <c r="CW43" s="170">
        <f t="shared" si="74"/>
        <v>1</v>
      </c>
      <c r="CX43" s="352">
        <f t="shared" si="74"/>
        <v>1</v>
      </c>
      <c r="CY43" s="170">
        <f t="shared" si="74"/>
        <v>1</v>
      </c>
      <c r="CZ43" s="170">
        <f t="shared" si="74"/>
        <v>1</v>
      </c>
      <c r="DA43" s="170">
        <f t="shared" si="74"/>
        <v>1</v>
      </c>
      <c r="DB43" s="352">
        <f t="shared" si="74"/>
        <v>1</v>
      </c>
      <c r="DC43" s="170">
        <f>+DC38+DC41</f>
        <v>1</v>
      </c>
      <c r="DD43" s="352"/>
      <c r="DE43" s="170">
        <f>+DE38+DE41</f>
        <v>1</v>
      </c>
      <c r="DF43" s="352">
        <f>+DF38+DF41</f>
        <v>1</v>
      </c>
      <c r="DG43" s="170">
        <f t="shared" ref="DG43:DN43" si="75">+DG38+DG41</f>
        <v>1</v>
      </c>
      <c r="DH43" s="352">
        <f t="shared" si="75"/>
        <v>1</v>
      </c>
      <c r="DI43" s="172">
        <f t="shared" si="75"/>
        <v>1</v>
      </c>
      <c r="DJ43" s="172">
        <f>+DJ38+DJ41</f>
        <v>1</v>
      </c>
      <c r="DK43" s="364">
        <f>+DK38+DK41</f>
        <v>1</v>
      </c>
      <c r="DL43" s="172">
        <f t="shared" si="75"/>
        <v>1</v>
      </c>
      <c r="DM43" s="172">
        <f t="shared" si="75"/>
        <v>1</v>
      </c>
      <c r="DN43" s="172">
        <f t="shared" si="75"/>
        <v>1</v>
      </c>
      <c r="DO43" s="207"/>
      <c r="DP43" s="207"/>
      <c r="DQ43" s="207"/>
      <c r="DR43" s="207"/>
      <c r="DS43" s="207"/>
      <c r="DT43" s="207"/>
      <c r="DU43" s="207"/>
      <c r="DV43" s="207"/>
      <c r="DW43" s="207"/>
      <c r="DX43" s="207"/>
      <c r="DY43" s="207"/>
      <c r="DZ43" s="207"/>
      <c r="EA43" s="207"/>
      <c r="EB43" s="207"/>
      <c r="EC43" s="207"/>
      <c r="ED43" s="207"/>
      <c r="EE43" s="207"/>
      <c r="EF43" s="207"/>
      <c r="EG43" s="207"/>
      <c r="EH43" s="207"/>
      <c r="EI43" s="207"/>
      <c r="EJ43" s="207"/>
      <c r="EK43" s="207"/>
      <c r="EL43" s="207"/>
      <c r="EM43" s="194">
        <f>EM38+EM41</f>
        <v>0</v>
      </c>
      <c r="EN43" s="556">
        <f>EN38+EN41</f>
        <v>0</v>
      </c>
      <c r="EO43" s="208">
        <f>EO38+EO41</f>
        <v>0</v>
      </c>
      <c r="EP43" s="209">
        <f>EP38+EP41</f>
        <v>1</v>
      </c>
      <c r="EQ43" s="194">
        <f>EQ38+EQ41</f>
        <v>1</v>
      </c>
      <c r="ER43" s="454">
        <f t="shared" si="7"/>
        <v>1</v>
      </c>
      <c r="ES43" s="345">
        <f t="shared" si="5"/>
        <v>1</v>
      </c>
      <c r="ET43" s="346">
        <f t="shared" si="6"/>
        <v>1</v>
      </c>
      <c r="EU43" s="346">
        <f t="shared" si="3"/>
        <v>1</v>
      </c>
      <c r="EV43" s="346">
        <f>+(AA43+BE43+CI43+DM43)/500%</f>
        <v>0.8</v>
      </c>
      <c r="EW43" s="622"/>
      <c r="EX43" s="624"/>
      <c r="EY43" s="624" t="s">
        <v>548</v>
      </c>
      <c r="EZ43" s="621"/>
      <c r="FA43" s="620"/>
      <c r="FB43" s="625"/>
    </row>
    <row r="44" spans="1:158" s="37" customFormat="1" ht="23.1" customHeight="1" thickBot="1">
      <c r="A44" s="660"/>
      <c r="B44" s="660"/>
      <c r="C44" s="660"/>
      <c r="D44" s="660"/>
      <c r="E44" s="660"/>
      <c r="F44" s="243" t="s">
        <v>44</v>
      </c>
      <c r="G44" s="179">
        <f>+G39+G42</f>
        <v>4340467789.8304195</v>
      </c>
      <c r="H44" s="180">
        <f>+H39+H42</f>
        <v>507619010</v>
      </c>
      <c r="I44" s="180"/>
      <c r="J44" s="180"/>
      <c r="K44" s="180"/>
      <c r="L44" s="180"/>
      <c r="M44" s="180"/>
      <c r="N44" s="180"/>
      <c r="O44" s="180"/>
      <c r="P44" s="180"/>
      <c r="Q44" s="180"/>
      <c r="R44" s="180"/>
      <c r="S44" s="180"/>
      <c r="T44" s="181"/>
      <c r="U44" s="180"/>
      <c r="V44" s="180"/>
      <c r="W44" s="180">
        <f t="shared" ref="W44:AB44" si="76">+W39+W42</f>
        <v>507619010</v>
      </c>
      <c r="X44" s="180">
        <f t="shared" si="76"/>
        <v>507619010</v>
      </c>
      <c r="Y44" s="180">
        <f t="shared" si="76"/>
        <v>232617000</v>
      </c>
      <c r="Z44" s="180">
        <f t="shared" si="76"/>
        <v>367619010</v>
      </c>
      <c r="AA44" s="180">
        <f t="shared" si="76"/>
        <v>232617000</v>
      </c>
      <c r="AB44" s="180">
        <f t="shared" si="76"/>
        <v>777848010</v>
      </c>
      <c r="AC44" s="180">
        <f t="shared" ref="AC44:AK44" si="77">+AC39+AC42</f>
        <v>15431000</v>
      </c>
      <c r="AD44" s="180">
        <f t="shared" si="77"/>
        <v>15431000</v>
      </c>
      <c r="AE44" s="180">
        <f t="shared" si="77"/>
        <v>60740334</v>
      </c>
      <c r="AF44" s="180">
        <f t="shared" si="77"/>
        <v>60740334</v>
      </c>
      <c r="AG44" s="180">
        <f t="shared" si="77"/>
        <v>319082833</v>
      </c>
      <c r="AH44" s="180">
        <f t="shared" si="77"/>
        <v>319082833</v>
      </c>
      <c r="AI44" s="180">
        <f t="shared" si="77"/>
        <v>17088568</v>
      </c>
      <c r="AJ44" s="180">
        <f t="shared" si="77"/>
        <v>17088568</v>
      </c>
      <c r="AK44" s="180">
        <f t="shared" si="77"/>
        <v>15722777</v>
      </c>
      <c r="AL44" s="180">
        <f t="shared" ref="AL44:AZ44" si="78">+AL39+AL42</f>
        <v>10722777</v>
      </c>
      <c r="AM44" s="180">
        <f t="shared" si="78"/>
        <v>2673933</v>
      </c>
      <c r="AN44" s="180">
        <f t="shared" si="78"/>
        <v>106766359</v>
      </c>
      <c r="AO44" s="180">
        <f t="shared" si="78"/>
        <v>0</v>
      </c>
      <c r="AP44" s="180">
        <f t="shared" si="78"/>
        <v>0</v>
      </c>
      <c r="AQ44" s="180">
        <f t="shared" si="78"/>
        <v>98678807.333333299</v>
      </c>
      <c r="AR44" s="180">
        <f t="shared" si="78"/>
        <v>39414000</v>
      </c>
      <c r="AS44" s="180">
        <f t="shared" si="78"/>
        <v>124099684.3333333</v>
      </c>
      <c r="AT44" s="180">
        <f t="shared" si="78"/>
        <v>0</v>
      </c>
      <c r="AU44" s="180">
        <f t="shared" si="78"/>
        <v>87576176.333333299</v>
      </c>
      <c r="AV44" s="180">
        <f t="shared" si="78"/>
        <v>11769667</v>
      </c>
      <c r="AW44" s="180">
        <f t="shared" si="78"/>
        <v>46164800</v>
      </c>
      <c r="AX44" s="180">
        <f t="shared" si="78"/>
        <v>21995433</v>
      </c>
      <c r="AY44" s="180">
        <f t="shared" si="78"/>
        <v>46164800</v>
      </c>
      <c r="AZ44" s="180">
        <f t="shared" si="78"/>
        <v>184481298.83041936</v>
      </c>
      <c r="BA44" s="180">
        <f t="shared" si="71"/>
        <v>833423713</v>
      </c>
      <c r="BB44" s="180">
        <f t="shared" si="71"/>
        <v>833423712.99999988</v>
      </c>
      <c r="BC44" s="180">
        <f t="shared" si="71"/>
        <v>787492269.8304193</v>
      </c>
      <c r="BD44" s="180">
        <f t="shared" si="71"/>
        <v>833423712.99999988</v>
      </c>
      <c r="BE44" s="180">
        <f t="shared" si="71"/>
        <v>787492269.8304193</v>
      </c>
      <c r="BF44" s="180">
        <f t="shared" si="71"/>
        <v>1012534984</v>
      </c>
      <c r="BG44" s="180">
        <f t="shared" si="71"/>
        <v>468432833</v>
      </c>
      <c r="BH44" s="180">
        <f t="shared" si="71"/>
        <v>455184000</v>
      </c>
      <c r="BI44" s="180">
        <f t="shared" si="72"/>
        <v>7912133</v>
      </c>
      <c r="BJ44" s="180">
        <f>+BJ39+BJ42</f>
        <v>14024632</v>
      </c>
      <c r="BK44" s="180">
        <f t="shared" si="72"/>
        <v>535736685</v>
      </c>
      <c r="BL44" s="180">
        <f t="shared" si="72"/>
        <v>0</v>
      </c>
      <c r="BM44" s="180">
        <f t="shared" si="72"/>
        <v>0</v>
      </c>
      <c r="BN44" s="180">
        <f t="shared" ref="BN44:CP44" si="79">+BN39+BN42</f>
        <v>0</v>
      </c>
      <c r="BO44" s="180">
        <f t="shared" si="79"/>
        <v>-7048000</v>
      </c>
      <c r="BP44" s="180">
        <f t="shared" si="79"/>
        <v>0</v>
      </c>
      <c r="BQ44" s="180">
        <f t="shared" si="79"/>
        <v>0</v>
      </c>
      <c r="BR44" s="180">
        <f t="shared" si="79"/>
        <v>0</v>
      </c>
      <c r="BS44" s="180">
        <f t="shared" si="79"/>
        <v>453333</v>
      </c>
      <c r="BT44" s="180">
        <f t="shared" si="79"/>
        <v>154825019</v>
      </c>
      <c r="BU44" s="180">
        <f t="shared" si="79"/>
        <v>60207700</v>
      </c>
      <c r="BV44" s="180">
        <f t="shared" si="79"/>
        <v>14028000</v>
      </c>
      <c r="BW44" s="180">
        <f t="shared" si="79"/>
        <v>56811164</v>
      </c>
      <c r="BX44" s="180">
        <f t="shared" si="79"/>
        <v>19349799</v>
      </c>
      <c r="BY44" s="180">
        <f t="shared" si="79"/>
        <v>52033594</v>
      </c>
      <c r="BZ44" s="180">
        <f t="shared" si="79"/>
        <v>-52172449</v>
      </c>
      <c r="CA44" s="180">
        <f t="shared" si="79"/>
        <v>82649842</v>
      </c>
      <c r="CB44" s="180">
        <f t="shared" si="79"/>
        <v>204260109</v>
      </c>
      <c r="CC44" s="180">
        <f t="shared" si="79"/>
        <v>-34453334</v>
      </c>
      <c r="CD44" s="180">
        <f t="shared" si="79"/>
        <v>383111048</v>
      </c>
      <c r="CE44" s="180">
        <f t="shared" si="79"/>
        <v>1222735950</v>
      </c>
      <c r="CF44" s="180">
        <f t="shared" si="79"/>
        <v>1222735950</v>
      </c>
      <c r="CG44" s="180">
        <f t="shared" si="79"/>
        <v>1192610158</v>
      </c>
      <c r="CH44" s="180">
        <f t="shared" si="79"/>
        <v>1222735950</v>
      </c>
      <c r="CI44" s="180">
        <f t="shared" si="79"/>
        <v>1192610158</v>
      </c>
      <c r="CJ44" s="180">
        <f t="shared" si="79"/>
        <v>978344661</v>
      </c>
      <c r="CK44" s="180">
        <f t="shared" si="79"/>
        <v>4677580</v>
      </c>
      <c r="CL44" s="180">
        <f t="shared" si="79"/>
        <v>0</v>
      </c>
      <c r="CM44" s="180">
        <f t="shared" si="79"/>
        <v>109113327</v>
      </c>
      <c r="CN44" s="180">
        <f t="shared" si="79"/>
        <v>238369066</v>
      </c>
      <c r="CO44" s="180">
        <f t="shared" si="79"/>
        <v>85439783</v>
      </c>
      <c r="CP44" s="180">
        <f t="shared" si="79"/>
        <v>266555164</v>
      </c>
      <c r="CQ44" s="180">
        <f>+CQ39+CS42</f>
        <v>69674350</v>
      </c>
      <c r="CR44" s="180">
        <f>+CR39+CU42</f>
        <v>231912701</v>
      </c>
      <c r="CS44" s="180">
        <f>+CS39+CV42</f>
        <v>75388816</v>
      </c>
      <c r="CT44" s="263">
        <f>+CT39+CT42</f>
        <v>18116833</v>
      </c>
      <c r="CU44" s="180">
        <f>+CU39+CZ42</f>
        <v>55388816</v>
      </c>
      <c r="CV44" s="180">
        <f>+CV39+DA42</f>
        <v>0</v>
      </c>
      <c r="CW44" s="180">
        <f>+CW39+CW42</f>
        <v>59555482</v>
      </c>
      <c r="CX44" s="354">
        <f>+CX39+CX42</f>
        <v>77915136</v>
      </c>
      <c r="CY44" s="180">
        <f>+CY39+DH42</f>
        <v>100564566</v>
      </c>
      <c r="CZ44" s="180">
        <f>+CZ39+DI42</f>
        <v>423906195</v>
      </c>
      <c r="DA44" s="180">
        <f>+DA39+DA42</f>
        <v>59555482</v>
      </c>
      <c r="DB44" s="180">
        <f>+DB39+DB42</f>
        <v>1692667</v>
      </c>
      <c r="DC44" s="180">
        <f>+DC39+DC42</f>
        <v>77802749</v>
      </c>
      <c r="DD44" s="180"/>
      <c r="DE44" s="180">
        <f>+DE39+DE42</f>
        <v>9463482</v>
      </c>
      <c r="DF44" s="180"/>
      <c r="DG44" s="180">
        <f>+DG39+DG42</f>
        <v>6195226</v>
      </c>
      <c r="DH44" s="180">
        <f t="shared" ref="DH44:DN44" si="80">+DH39+DH42</f>
        <v>65575526</v>
      </c>
      <c r="DI44" s="180">
        <f t="shared" si="80"/>
        <v>974187362</v>
      </c>
      <c r="DJ44" s="180">
        <f>+DJ39+DJ42</f>
        <v>974187362</v>
      </c>
      <c r="DK44" s="180">
        <f>+DK39+DK42</f>
        <v>960079267</v>
      </c>
      <c r="DL44" s="180">
        <f t="shared" si="80"/>
        <v>974187362</v>
      </c>
      <c r="DM44" s="180">
        <f t="shared" si="80"/>
        <v>960079267</v>
      </c>
      <c r="DN44" s="180">
        <f t="shared" si="80"/>
        <v>1153561000</v>
      </c>
      <c r="DO44" s="210"/>
      <c r="DP44" s="210"/>
      <c r="DQ44" s="210"/>
      <c r="DR44" s="210"/>
      <c r="DS44" s="210"/>
      <c r="DT44" s="210"/>
      <c r="DU44" s="210"/>
      <c r="DV44" s="210"/>
      <c r="DW44" s="210"/>
      <c r="DX44" s="210"/>
      <c r="DY44" s="210"/>
      <c r="DZ44" s="210"/>
      <c r="EA44" s="210"/>
      <c r="EB44" s="210"/>
      <c r="EC44" s="210"/>
      <c r="ED44" s="210"/>
      <c r="EE44" s="210"/>
      <c r="EF44" s="210"/>
      <c r="EG44" s="210"/>
      <c r="EH44" s="210"/>
      <c r="EI44" s="210"/>
      <c r="EJ44" s="210"/>
      <c r="EK44" s="210"/>
      <c r="EL44" s="210"/>
      <c r="EM44" s="200">
        <f>EK44+EI44+EG44+EE44+EC44+EA44+DY44+DW44+DU44+DS44+DQ44+DO44</f>
        <v>0</v>
      </c>
      <c r="EN44" s="201">
        <f>+EN39+EN42</f>
        <v>0</v>
      </c>
      <c r="EO44" s="201">
        <f>+EO39+EO42</f>
        <v>0</v>
      </c>
      <c r="EP44" s="201">
        <f>+EP39+EP42</f>
        <v>0</v>
      </c>
      <c r="EQ44" s="201">
        <f>+EQ39+EQ42</f>
        <v>0</v>
      </c>
      <c r="ER44" s="455">
        <f t="shared" si="7"/>
        <v>10.584848074953198</v>
      </c>
      <c r="ES44" s="347">
        <f t="shared" si="5"/>
        <v>0.98551808866516588</v>
      </c>
      <c r="ET44" s="348">
        <f t="shared" si="6"/>
        <v>0.98551808866516588</v>
      </c>
      <c r="EU44" s="348">
        <f t="shared" si="3"/>
        <v>0.93373467013787248</v>
      </c>
      <c r="EV44" s="349">
        <f>+(AA44+BE44+CI44+DM44)/G44</f>
        <v>0.73098081784276514</v>
      </c>
      <c r="EW44" s="623"/>
      <c r="EX44" s="624"/>
      <c r="EY44" s="624" t="s">
        <v>548</v>
      </c>
      <c r="EZ44" s="621"/>
      <c r="FA44" s="620"/>
      <c r="FB44" s="625"/>
    </row>
    <row r="45" spans="1:158" s="3" customFormat="1" ht="26.1" customHeight="1">
      <c r="A45" s="660" t="s">
        <v>295</v>
      </c>
      <c r="B45" s="660">
        <v>6</v>
      </c>
      <c r="C45" s="660" t="s">
        <v>793</v>
      </c>
      <c r="D45" s="660" t="s">
        <v>255</v>
      </c>
      <c r="E45" s="660">
        <v>268</v>
      </c>
      <c r="F45" s="242" t="s">
        <v>40</v>
      </c>
      <c r="G45" s="232">
        <f>+AA45+BE45+CI45+DI45+DN45</f>
        <v>8771</v>
      </c>
      <c r="H45" s="507">
        <v>1292</v>
      </c>
      <c r="I45" s="507"/>
      <c r="J45" s="507"/>
      <c r="K45" s="507"/>
      <c r="L45" s="507"/>
      <c r="M45" s="507"/>
      <c r="N45" s="507"/>
      <c r="O45" s="507"/>
      <c r="P45" s="507"/>
      <c r="Q45" s="507"/>
      <c r="R45" s="507"/>
      <c r="S45" s="507"/>
      <c r="T45" s="507"/>
      <c r="U45" s="507"/>
      <c r="V45" s="507"/>
      <c r="W45" s="507">
        <v>1292</v>
      </c>
      <c r="X45" s="507">
        <v>1292</v>
      </c>
      <c r="Y45" s="507">
        <v>1292</v>
      </c>
      <c r="Z45" s="507">
        <v>1292</v>
      </c>
      <c r="AA45" s="507">
        <v>1292</v>
      </c>
      <c r="AB45" s="507">
        <v>759</v>
      </c>
      <c r="AC45" s="507">
        <v>51</v>
      </c>
      <c r="AD45" s="507">
        <v>278</v>
      </c>
      <c r="AE45" s="507">
        <v>66</v>
      </c>
      <c r="AF45" s="507">
        <v>211</v>
      </c>
      <c r="AG45" s="507">
        <v>66</v>
      </c>
      <c r="AH45" s="507">
        <v>837</v>
      </c>
      <c r="AI45" s="507">
        <v>473</v>
      </c>
      <c r="AJ45" s="507">
        <v>488</v>
      </c>
      <c r="AK45" s="507">
        <v>2050</v>
      </c>
      <c r="AL45" s="507">
        <v>892</v>
      </c>
      <c r="AM45" s="507">
        <v>295</v>
      </c>
      <c r="AN45" s="507">
        <v>798</v>
      </c>
      <c r="AO45" s="507">
        <v>295</v>
      </c>
      <c r="AP45" s="507">
        <v>265</v>
      </c>
      <c r="AQ45" s="507">
        <v>295</v>
      </c>
      <c r="AR45" s="507">
        <v>203</v>
      </c>
      <c r="AS45" s="507">
        <v>295</v>
      </c>
      <c r="AT45" s="507">
        <v>294</v>
      </c>
      <c r="AU45" s="507">
        <v>295</v>
      </c>
      <c r="AV45" s="507">
        <v>575</v>
      </c>
      <c r="AW45" s="507">
        <v>295</v>
      </c>
      <c r="AX45" s="507">
        <v>57</v>
      </c>
      <c r="AY45" s="507">
        <f>231+243</f>
        <v>474</v>
      </c>
      <c r="AZ45" s="507">
        <v>52</v>
      </c>
      <c r="BA45" s="197">
        <f>AY45+AW45+AU45+AS45+AQ45+AO45+AM45+AK45+AI45+AG45+AE45+AC45</f>
        <v>4950</v>
      </c>
      <c r="BB45" s="197">
        <f t="shared" ref="BB45:BC49" si="81">AC45+AE45+AG45+AI45+AK45+AM45+AO45+AQ45+AS45+AU45+AW45+AY45</f>
        <v>4950</v>
      </c>
      <c r="BC45" s="197">
        <f t="shared" si="81"/>
        <v>4950</v>
      </c>
      <c r="BD45" s="197">
        <f>AE45+AG45+AI45+AK45+AM45+AO45+AQ45+AS45+AU45+AW45+AY45+AC45</f>
        <v>4950</v>
      </c>
      <c r="BE45" s="197">
        <f>AD45+AF45+AH45+AJ45+AL45+AN45+AP45+AR45+AT45+AV45+AX45+AZ45</f>
        <v>4950</v>
      </c>
      <c r="BF45" s="507">
        <v>1097</v>
      </c>
      <c r="BG45" s="507">
        <v>85</v>
      </c>
      <c r="BH45" s="507">
        <v>0</v>
      </c>
      <c r="BI45" s="507">
        <v>92</v>
      </c>
      <c r="BJ45" s="507">
        <v>32</v>
      </c>
      <c r="BK45" s="507">
        <v>92</v>
      </c>
      <c r="BL45" s="507">
        <v>55</v>
      </c>
      <c r="BM45" s="507">
        <v>92</v>
      </c>
      <c r="BN45" s="507">
        <v>110</v>
      </c>
      <c r="BO45" s="507">
        <v>92</v>
      </c>
      <c r="BP45" s="507">
        <v>263</v>
      </c>
      <c r="BQ45" s="507">
        <v>99</v>
      </c>
      <c r="BR45" s="507">
        <v>87</v>
      </c>
      <c r="BS45" s="507">
        <v>92</v>
      </c>
      <c r="BT45" s="507">
        <v>65</v>
      </c>
      <c r="BU45" s="507">
        <v>92</v>
      </c>
      <c r="BV45" s="507">
        <v>99</v>
      </c>
      <c r="BW45" s="507">
        <v>92</v>
      </c>
      <c r="BX45" s="507">
        <v>171</v>
      </c>
      <c r="BY45" s="507">
        <v>92</v>
      </c>
      <c r="BZ45" s="507">
        <v>103</v>
      </c>
      <c r="CA45" s="507">
        <v>92</v>
      </c>
      <c r="CB45" s="507">
        <v>94</v>
      </c>
      <c r="CC45" s="541">
        <f>85+86</f>
        <v>171</v>
      </c>
      <c r="CD45" s="507">
        <v>104</v>
      </c>
      <c r="CE45" s="507">
        <f>CC45+CA45+BY45+BW45+BU45+BS45+BQ45+BO45+BM45+BK45+BI45+BG45</f>
        <v>1183</v>
      </c>
      <c r="CF45" s="507">
        <f t="shared" ref="CF45:CG49" si="82">+BG45+BI45+BK45+BM45+BO45+BQ45+BS45+BU45+BW45+BY45+CA45+CC45</f>
        <v>1183</v>
      </c>
      <c r="CG45" s="198">
        <f t="shared" si="82"/>
        <v>1183</v>
      </c>
      <c r="CH45" s="198">
        <f>CC45+CA45+BY45+BW45+BU45+BS45+BQ45+BO45+BM45+BK45+BI45+BG45</f>
        <v>1183</v>
      </c>
      <c r="CI45" s="198">
        <f>+BH45+BJ45+BL45+BN45+BP45+BR45+BT45+BV45+BX45+BZ45+CB45+CD45</f>
        <v>1183</v>
      </c>
      <c r="CJ45" s="507">
        <v>370</v>
      </c>
      <c r="CK45" s="507">
        <v>10</v>
      </c>
      <c r="CL45" s="507">
        <v>10</v>
      </c>
      <c r="CM45" s="507">
        <v>13</v>
      </c>
      <c r="CN45" s="507">
        <v>13</v>
      </c>
      <c r="CO45" s="507">
        <v>34</v>
      </c>
      <c r="CP45" s="507">
        <v>34</v>
      </c>
      <c r="CQ45" s="507">
        <v>35</v>
      </c>
      <c r="CR45" s="557">
        <v>79</v>
      </c>
      <c r="CS45" s="507">
        <v>35</v>
      </c>
      <c r="CT45" s="558">
        <v>43</v>
      </c>
      <c r="CU45" s="507">
        <v>58</v>
      </c>
      <c r="CV45" s="559">
        <v>215</v>
      </c>
      <c r="CW45" s="560">
        <f>35+24</f>
        <v>59</v>
      </c>
      <c r="CX45" s="559">
        <v>24</v>
      </c>
      <c r="CY45" s="560">
        <f>35+82</f>
        <v>117</v>
      </c>
      <c r="CZ45" s="559">
        <v>117</v>
      </c>
      <c r="DA45" s="560">
        <f>35+103</f>
        <v>138</v>
      </c>
      <c r="DB45" s="559">
        <v>112</v>
      </c>
      <c r="DC45" s="560">
        <f>35+103</f>
        <v>138</v>
      </c>
      <c r="DD45" s="561">
        <v>196</v>
      </c>
      <c r="DE45" s="560">
        <f>35+103</f>
        <v>138</v>
      </c>
      <c r="DF45" s="559">
        <v>15</v>
      </c>
      <c r="DG45" s="560">
        <f>34+93+291</f>
        <v>418</v>
      </c>
      <c r="DH45" s="560">
        <v>335</v>
      </c>
      <c r="DI45" s="523">
        <f>DG45+DE45+DC45+DA45+CY45+CW45+CU45+CS45+CQ45+CO45+CM45+CK45</f>
        <v>1193</v>
      </c>
      <c r="DJ45" s="523">
        <f t="shared" ref="DJ45:DK47" si="83">CK45+CM45+CO45+CQ45+CS45+CU45+CW45+CY45+DA45+DC45+DE45+DG45</f>
        <v>1193</v>
      </c>
      <c r="DK45" s="523">
        <f t="shared" si="83"/>
        <v>1193</v>
      </c>
      <c r="DL45" s="176">
        <f>CM45+CO45+CQ45+CS45+CU45+CW45+CY45+DA45+DC45+DE45+DG45+CK45</f>
        <v>1193</v>
      </c>
      <c r="DM45" s="176">
        <f t="shared" ref="DM45:DM47" si="84">CN45+CP45+CR45+CT45+CV45+CX45+CZ45+DB45+DD45+DF45+DH45+CL45</f>
        <v>1193</v>
      </c>
      <c r="DN45" s="560">
        <f>105+48</f>
        <v>153</v>
      </c>
      <c r="DO45" s="531"/>
      <c r="DP45" s="531"/>
      <c r="DQ45" s="531"/>
      <c r="DR45" s="531"/>
      <c r="DS45" s="531"/>
      <c r="DT45" s="531"/>
      <c r="DU45" s="531"/>
      <c r="DV45" s="531"/>
      <c r="DW45" s="531"/>
      <c r="DX45" s="531"/>
      <c r="DY45" s="531"/>
      <c r="DZ45" s="531"/>
      <c r="EA45" s="531"/>
      <c r="EB45" s="531"/>
      <c r="EC45" s="531"/>
      <c r="ED45" s="531"/>
      <c r="EE45" s="531"/>
      <c r="EF45" s="531"/>
      <c r="EG45" s="532"/>
      <c r="EH45" s="532"/>
      <c r="EI45" s="532"/>
      <c r="EJ45" s="532"/>
      <c r="EK45" s="532"/>
      <c r="EL45" s="532"/>
      <c r="EM45" s="533">
        <f>EK45+EI45+EG45+EE45+EC45+EA45+DY45+DW45+DU45+DS45+DQ45+DO45</f>
        <v>0</v>
      </c>
      <c r="EN45" s="532">
        <f t="shared" ref="EN45:EN50" si="85">DO45+DQ45+DS45+DU45</f>
        <v>0</v>
      </c>
      <c r="EO45" s="532">
        <f t="shared" ref="EO45:EO50" si="86">DP45+DR45+DT45+DV45</f>
        <v>0</v>
      </c>
      <c r="EP45" s="190">
        <f>DQ45+DS45+DU45+DW45+DY45+EA45+EC45+EE45+EG45+EI45+EK45+DO45</f>
        <v>0</v>
      </c>
      <c r="EQ45" s="532">
        <f>DP45+DR45+DT45+DV45</f>
        <v>0</v>
      </c>
      <c r="ER45" s="178">
        <f t="shared" si="7"/>
        <v>0.80143540669856461</v>
      </c>
      <c r="ES45" s="350">
        <f t="shared" si="5"/>
        <v>1</v>
      </c>
      <c r="ET45" s="351">
        <f t="shared" si="6"/>
        <v>1</v>
      </c>
      <c r="EU45" s="351">
        <f t="shared" si="3"/>
        <v>1</v>
      </c>
      <c r="EV45" s="351">
        <f>+(AA45+BE45+CI45+DM45)/G45</f>
        <v>0.98255615095200088</v>
      </c>
      <c r="EW45" s="622" t="s">
        <v>784</v>
      </c>
      <c r="EX45" s="624" t="s">
        <v>548</v>
      </c>
      <c r="EY45" s="624" t="s">
        <v>548</v>
      </c>
      <c r="EZ45" s="626" t="s">
        <v>520</v>
      </c>
      <c r="FA45" s="619" t="s">
        <v>703</v>
      </c>
      <c r="FB45" s="625"/>
    </row>
    <row r="46" spans="1:158" s="40" customFormat="1" ht="26.1" customHeight="1">
      <c r="A46" s="660"/>
      <c r="B46" s="660"/>
      <c r="C46" s="660"/>
      <c r="D46" s="660"/>
      <c r="E46" s="660"/>
      <c r="F46" s="243" t="s">
        <v>3</v>
      </c>
      <c r="G46" s="77">
        <f>+AA46+BE46+CI46+DL46+DN46</f>
        <v>7387778864</v>
      </c>
      <c r="H46" s="76">
        <v>658814131</v>
      </c>
      <c r="I46" s="86"/>
      <c r="J46" s="86"/>
      <c r="K46" s="86"/>
      <c r="L46" s="86"/>
      <c r="M46" s="86"/>
      <c r="N46" s="86"/>
      <c r="O46" s="86"/>
      <c r="P46" s="86"/>
      <c r="Q46" s="86"/>
      <c r="R46" s="86"/>
      <c r="S46" s="86"/>
      <c r="T46" s="76"/>
      <c r="U46" s="76"/>
      <c r="V46" s="76"/>
      <c r="W46" s="76">
        <v>658814131</v>
      </c>
      <c r="X46" s="76">
        <v>658814131</v>
      </c>
      <c r="Y46" s="76">
        <v>644978000</v>
      </c>
      <c r="Z46" s="76">
        <v>658814131</v>
      </c>
      <c r="AA46" s="76">
        <v>644978000</v>
      </c>
      <c r="AB46" s="76">
        <v>1294148000</v>
      </c>
      <c r="AC46" s="86">
        <v>0</v>
      </c>
      <c r="AD46" s="76">
        <v>0</v>
      </c>
      <c r="AE46" s="76">
        <v>385283000</v>
      </c>
      <c r="AF46" s="76">
        <f>385283000-AD46</f>
        <v>385283000</v>
      </c>
      <c r="AG46" s="76">
        <v>752696000</v>
      </c>
      <c r="AH46" s="76">
        <f>1137979000-AF46-AD46</f>
        <v>752696000</v>
      </c>
      <c r="AI46" s="76">
        <v>0</v>
      </c>
      <c r="AJ46" s="76">
        <f>1137979000-AH46-AF46-AD46</f>
        <v>0</v>
      </c>
      <c r="AK46" s="86">
        <v>24066000</v>
      </c>
      <c r="AL46" s="86">
        <f>1162045000-AJ46-AH46-AF46-AD46</f>
        <v>24066000</v>
      </c>
      <c r="AM46" s="86">
        <v>0</v>
      </c>
      <c r="AN46" s="86">
        <v>0</v>
      </c>
      <c r="AO46" s="86">
        <v>0</v>
      </c>
      <c r="AP46" s="86">
        <v>0</v>
      </c>
      <c r="AQ46" s="86">
        <v>44034333.333333336</v>
      </c>
      <c r="AR46" s="86">
        <v>0</v>
      </c>
      <c r="AS46" s="86">
        <v>44034333.333333336</v>
      </c>
      <c r="AT46" s="86">
        <v>24595500</v>
      </c>
      <c r="AU46" s="86">
        <v>44034333.333333336</v>
      </c>
      <c r="AV46" s="86">
        <v>15965667</v>
      </c>
      <c r="AW46" s="86">
        <v>0</v>
      </c>
      <c r="AX46" s="86">
        <v>61570599</v>
      </c>
      <c r="AY46" s="86">
        <v>0</v>
      </c>
      <c r="AZ46" s="86">
        <v>8140033</v>
      </c>
      <c r="BA46" s="76">
        <f>AY46+AW46+AU46+AS46+AQ46+AO46+AM46+AK46+AI46+AG46+AE46+AC46</f>
        <v>1294148000</v>
      </c>
      <c r="BB46" s="76">
        <f t="shared" si="81"/>
        <v>1294147999.9999998</v>
      </c>
      <c r="BC46" s="76">
        <f t="shared" si="81"/>
        <v>1272316799</v>
      </c>
      <c r="BD46" s="76">
        <f>AE46+AG46+AI46+AK46+AM46+AO46+AQ46+AS46+AU46+AW46+AY46+AC46</f>
        <v>1294147999.9999998</v>
      </c>
      <c r="BE46" s="76">
        <f>AD46+AF46+AH46+AJ46+AL46+AN46+AP46+AR46+AT46+AV46+AX46+AZ46</f>
        <v>1272316799</v>
      </c>
      <c r="BF46" s="76">
        <v>1568833000</v>
      </c>
      <c r="BG46" s="86">
        <v>1443681000</v>
      </c>
      <c r="BH46" s="86">
        <v>1487818000</v>
      </c>
      <c r="BI46" s="86">
        <v>0</v>
      </c>
      <c r="BJ46" s="86">
        <v>0</v>
      </c>
      <c r="BK46" s="86">
        <f>82874000+ 48160000</f>
        <v>131034000</v>
      </c>
      <c r="BL46" s="86">
        <v>0</v>
      </c>
      <c r="BM46" s="86">
        <v>0</v>
      </c>
      <c r="BN46" s="86">
        <v>0</v>
      </c>
      <c r="BO46" s="86">
        <v>7048000</v>
      </c>
      <c r="BP46" s="86">
        <v>0</v>
      </c>
      <c r="BQ46" s="86">
        <v>7278000</v>
      </c>
      <c r="BR46" s="86">
        <v>6020000</v>
      </c>
      <c r="BS46" s="86">
        <v>0</v>
      </c>
      <c r="BT46" s="86">
        <v>0</v>
      </c>
      <c r="BU46" s="86">
        <v>0</v>
      </c>
      <c r="BV46" s="86">
        <v>0</v>
      </c>
      <c r="BW46" s="86">
        <f>35000000+213822900</f>
        <v>248822900</v>
      </c>
      <c r="BX46" s="86">
        <v>47940200</v>
      </c>
      <c r="BY46" s="86">
        <v>115523998</v>
      </c>
      <c r="BZ46" s="86">
        <v>223888000</v>
      </c>
      <c r="CA46" s="86">
        <v>0</v>
      </c>
      <c r="CB46" s="86">
        <v>122375900</v>
      </c>
      <c r="CC46" s="86">
        <v>84750000</v>
      </c>
      <c r="CD46" s="86">
        <v>124732133</v>
      </c>
      <c r="CE46" s="77">
        <f>CC46+CA46+BY46+BW46+BU46+BS46+BQ46+BO46+BM46+BK46+BI46+BG46</f>
        <v>2038137898</v>
      </c>
      <c r="CF46" s="77">
        <f t="shared" si="82"/>
        <v>2038137898</v>
      </c>
      <c r="CG46" s="77">
        <f t="shared" si="82"/>
        <v>2012774233</v>
      </c>
      <c r="CH46" s="76">
        <f>CC46+CA46+BY46+BW46+BU46+BS46+BQ46+BO46+BM46+BK46+BI46+BG46</f>
        <v>2038137898</v>
      </c>
      <c r="CI46" s="76">
        <f>+BH46+BJ46+BL46+BN46+BP46+BR46+BT46+BV46+BX46+BZ46+CB46+CD46</f>
        <v>2012774233</v>
      </c>
      <c r="CJ46" s="86">
        <v>1768085000</v>
      </c>
      <c r="CK46" s="86">
        <v>-137880500</v>
      </c>
      <c r="CL46" s="86">
        <v>0</v>
      </c>
      <c r="CM46" s="86">
        <v>198245000</v>
      </c>
      <c r="CN46" s="86">
        <v>411740000</v>
      </c>
      <c r="CO46" s="86">
        <v>198245000</v>
      </c>
      <c r="CP46" s="86">
        <v>856353500</v>
      </c>
      <c r="CQ46" s="86">
        <v>198245000</v>
      </c>
      <c r="CR46" s="86">
        <v>188055000</v>
      </c>
      <c r="CS46" s="86">
        <v>198245000</v>
      </c>
      <c r="CT46" s="266">
        <v>43233000</v>
      </c>
      <c r="CU46" s="240">
        <v>198245000</v>
      </c>
      <c r="CV46" s="240">
        <v>18060000</v>
      </c>
      <c r="CW46" s="240">
        <f>198245000-35905500</f>
        <v>162339500</v>
      </c>
      <c r="CX46" s="240">
        <v>0</v>
      </c>
      <c r="CY46" s="86">
        <f>186205000-36954500</f>
        <v>149250500</v>
      </c>
      <c r="CZ46" s="240">
        <v>0</v>
      </c>
      <c r="DA46" s="240">
        <f>186205000-20758000</f>
        <v>165447000</v>
      </c>
      <c r="DB46" s="240">
        <v>0</v>
      </c>
      <c r="DC46" s="240">
        <f>186205000+58295432</f>
        <v>244500432</v>
      </c>
      <c r="DD46" s="240">
        <v>0</v>
      </c>
      <c r="DE46" s="240">
        <v>4698900</v>
      </c>
      <c r="DF46" s="240">
        <v>49728800</v>
      </c>
      <c r="DG46" s="240">
        <f>20000000+25517000</f>
        <v>45517000</v>
      </c>
      <c r="DH46" s="240">
        <v>49410200</v>
      </c>
      <c r="DI46" s="76">
        <f>DG46+DE46+DC46+DA46+CY46+CW46+CU46+CS46+CQ46+CO46+CM46+CK46</f>
        <v>1625097832</v>
      </c>
      <c r="DJ46" s="76">
        <f t="shared" si="83"/>
        <v>1625097832</v>
      </c>
      <c r="DK46" s="76">
        <f t="shared" si="83"/>
        <v>1616580500</v>
      </c>
      <c r="DL46" s="76">
        <f>CM46+CO46+CQ46+CS46+CU46+CW46+CY46+DA46+DC46+DE46+DG46+CK46</f>
        <v>1625097832</v>
      </c>
      <c r="DM46" s="76">
        <f t="shared" si="84"/>
        <v>1616580500</v>
      </c>
      <c r="DN46" s="86">
        <v>1832612000</v>
      </c>
      <c r="DO46" s="50"/>
      <c r="DP46" s="50"/>
      <c r="DQ46" s="50"/>
      <c r="DR46" s="50"/>
      <c r="DS46" s="50"/>
      <c r="DT46" s="50"/>
      <c r="DU46" s="50"/>
      <c r="DV46" s="50"/>
      <c r="DW46" s="50"/>
      <c r="DX46" s="50"/>
      <c r="DY46" s="50"/>
      <c r="DZ46" s="50"/>
      <c r="EA46" s="50"/>
      <c r="EB46" s="50"/>
      <c r="EC46" s="50"/>
      <c r="ED46" s="50"/>
      <c r="EE46" s="50"/>
      <c r="EF46" s="50"/>
      <c r="EG46" s="50"/>
      <c r="EH46" s="50"/>
      <c r="EI46" s="50"/>
      <c r="EJ46" s="50"/>
      <c r="EK46" s="50"/>
      <c r="EL46" s="50"/>
      <c r="EM46" s="534">
        <f>EK46+EI46+EG46+EE46+EC46+EA46+DY46+DW46+DU46+DS46+DQ46+DO46</f>
        <v>0</v>
      </c>
      <c r="EN46" s="66">
        <f t="shared" si="85"/>
        <v>0</v>
      </c>
      <c r="EO46" s="66">
        <f t="shared" si="86"/>
        <v>0</v>
      </c>
      <c r="EP46" s="67">
        <f>DQ46+DS46+DU46+DW46+DY46+EA46+EC46+EE46+EG46+EI46+EK46+DO46</f>
        <v>0</v>
      </c>
      <c r="EQ46" s="66">
        <f>DP46+DR46+DT46+DV46</f>
        <v>0</v>
      </c>
      <c r="ER46" s="178">
        <f t="shared" si="7"/>
        <v>1.0855328778258673</v>
      </c>
      <c r="ES46" s="143">
        <f t="shared" si="5"/>
        <v>0.99475888046105032</v>
      </c>
      <c r="ET46" s="344">
        <f t="shared" si="6"/>
        <v>0.99475888046105032</v>
      </c>
      <c r="EU46" s="344">
        <f t="shared" si="3"/>
        <v>0.98761647457562751</v>
      </c>
      <c r="EV46" s="344">
        <f t="shared" si="4"/>
        <v>0.75078716270574064</v>
      </c>
      <c r="EW46" s="622"/>
      <c r="EX46" s="624"/>
      <c r="EY46" s="624" t="s">
        <v>548</v>
      </c>
      <c r="EZ46" s="626"/>
      <c r="FA46" s="620"/>
      <c r="FB46" s="625"/>
    </row>
    <row r="47" spans="1:158" s="40" customFormat="1" ht="26.1" customHeight="1">
      <c r="A47" s="660"/>
      <c r="B47" s="660"/>
      <c r="C47" s="660"/>
      <c r="D47" s="660"/>
      <c r="E47" s="660"/>
      <c r="F47" s="244" t="s">
        <v>205</v>
      </c>
      <c r="G47" s="77"/>
      <c r="H47" s="76"/>
      <c r="I47" s="86"/>
      <c r="J47" s="86"/>
      <c r="K47" s="86"/>
      <c r="L47" s="86"/>
      <c r="M47" s="86"/>
      <c r="N47" s="86"/>
      <c r="O47" s="86"/>
      <c r="P47" s="86"/>
      <c r="Q47" s="86"/>
      <c r="R47" s="86"/>
      <c r="S47" s="86"/>
      <c r="T47" s="76"/>
      <c r="U47" s="76"/>
      <c r="V47" s="76"/>
      <c r="W47" s="76"/>
      <c r="X47" s="76"/>
      <c r="Y47" s="76"/>
      <c r="Z47" s="76"/>
      <c r="AA47" s="76"/>
      <c r="AB47" s="76"/>
      <c r="AC47" s="86">
        <v>0</v>
      </c>
      <c r="AD47" s="86">
        <v>0</v>
      </c>
      <c r="AE47" s="76">
        <v>0</v>
      </c>
      <c r="AF47" s="76">
        <v>0</v>
      </c>
      <c r="AG47" s="76">
        <v>2672200</v>
      </c>
      <c r="AH47" s="76">
        <v>2672200</v>
      </c>
      <c r="AI47" s="76">
        <v>50155734</v>
      </c>
      <c r="AJ47" s="76">
        <f>52827934-AH47</f>
        <v>50155734</v>
      </c>
      <c r="AK47" s="86">
        <v>112069567</v>
      </c>
      <c r="AL47" s="86">
        <f>164897501-AJ47-AH47</f>
        <v>112069567</v>
      </c>
      <c r="AM47" s="86">
        <v>153388400</v>
      </c>
      <c r="AN47" s="86">
        <v>153388400</v>
      </c>
      <c r="AO47" s="86">
        <v>0</v>
      </c>
      <c r="AP47" s="86">
        <v>133716400</v>
      </c>
      <c r="AQ47" s="86">
        <v>0</v>
      </c>
      <c r="AR47" s="86">
        <v>134296967</v>
      </c>
      <c r="AS47" s="86">
        <v>0</v>
      </c>
      <c r="AT47" s="86">
        <v>143750933</v>
      </c>
      <c r="AU47" s="86">
        <v>0</v>
      </c>
      <c r="AV47" s="86">
        <v>139067500</v>
      </c>
      <c r="AW47" s="86">
        <v>0</v>
      </c>
      <c r="AX47" s="86">
        <v>120979400</v>
      </c>
      <c r="AY47" s="86">
        <v>0</v>
      </c>
      <c r="AZ47" s="86">
        <v>168419156</v>
      </c>
      <c r="BA47" s="76">
        <f>AY47+AW47+AU47+AS47+AQ47+AO47+AM47+AK47+AI47+AG47+AE47+AC47</f>
        <v>318285901</v>
      </c>
      <c r="BB47" s="76">
        <f t="shared" si="81"/>
        <v>318285901</v>
      </c>
      <c r="BC47" s="76">
        <f t="shared" si="81"/>
        <v>1158516257</v>
      </c>
      <c r="BD47" s="76">
        <f>AE47+AG47+AI47+AK47+AM47+AO47+AQ47+AS47+AU47+AW47+AY47+AC47</f>
        <v>318285901</v>
      </c>
      <c r="BE47" s="76">
        <f>AD47+AF47+AH47+AJ47+AL47+AN47+AP47+AR47+AT47+AV47+AX47+AZ47</f>
        <v>1158516257</v>
      </c>
      <c r="BF47" s="86">
        <v>0</v>
      </c>
      <c r="BG47" s="86">
        <v>0</v>
      </c>
      <c r="BH47" s="86">
        <v>0</v>
      </c>
      <c r="BI47" s="86"/>
      <c r="BJ47" s="86">
        <v>13187899</v>
      </c>
      <c r="BK47" s="86"/>
      <c r="BL47" s="86">
        <v>121091401</v>
      </c>
      <c r="BM47" s="86"/>
      <c r="BN47" s="86">
        <v>139007700</v>
      </c>
      <c r="BO47" s="86"/>
      <c r="BP47" s="86">
        <v>162956333</v>
      </c>
      <c r="BQ47" s="86"/>
      <c r="BR47" s="86">
        <v>159505900</v>
      </c>
      <c r="BS47" s="86"/>
      <c r="BT47" s="86">
        <v>149244000</v>
      </c>
      <c r="BU47" s="86">
        <v>0</v>
      </c>
      <c r="BV47" s="86">
        <v>136416000</v>
      </c>
      <c r="BW47" s="86">
        <v>0</v>
      </c>
      <c r="BX47" s="86">
        <v>174495600</v>
      </c>
      <c r="BY47" s="86">
        <v>0</v>
      </c>
      <c r="BZ47" s="86">
        <v>162654334</v>
      </c>
      <c r="CA47" s="86">
        <v>0</v>
      </c>
      <c r="CB47" s="86">
        <v>162774200</v>
      </c>
      <c r="CC47" s="86">
        <v>0</v>
      </c>
      <c r="CD47" s="86">
        <v>241406833</v>
      </c>
      <c r="CE47" s="77">
        <f>CC47+CA47+BY47+BW47+BU47+BS47+BQ47+BO47+BM47+BK47+BI47+BG47</f>
        <v>0</v>
      </c>
      <c r="CF47" s="77">
        <f t="shared" si="82"/>
        <v>0</v>
      </c>
      <c r="CG47" s="77">
        <f t="shared" si="82"/>
        <v>1622740200</v>
      </c>
      <c r="CH47" s="76">
        <f>CC47+CA47+BY47+BW47+BU47+BS47+BQ47+BO47+BM47+BK47+BI47+BG47</f>
        <v>0</v>
      </c>
      <c r="CI47" s="76">
        <f>+BH47+BJ47+BL47+BN47+BP47+BR47+BT47+BV47+BX47+BZ47+CB47+CD47</f>
        <v>1622740200</v>
      </c>
      <c r="CJ47" s="86">
        <v>1768085000</v>
      </c>
      <c r="CK47" s="86">
        <v>-137880500</v>
      </c>
      <c r="CL47" s="86">
        <v>0</v>
      </c>
      <c r="CM47" s="86">
        <v>198245000</v>
      </c>
      <c r="CN47" s="86">
        <v>0</v>
      </c>
      <c r="CO47" s="86">
        <v>198245000</v>
      </c>
      <c r="CP47" s="86">
        <v>10565366</v>
      </c>
      <c r="CQ47" s="86">
        <v>198245000</v>
      </c>
      <c r="CR47" s="86">
        <v>78559167</v>
      </c>
      <c r="CS47" s="86">
        <v>198245000</v>
      </c>
      <c r="CT47" s="266">
        <v>141862968</v>
      </c>
      <c r="CU47" s="240">
        <v>198245000</v>
      </c>
      <c r="CV47" s="240">
        <v>120115700</v>
      </c>
      <c r="CW47" s="240">
        <f>198245000-35905500</f>
        <v>162339500</v>
      </c>
      <c r="CX47" s="240">
        <v>153134600</v>
      </c>
      <c r="CY47" s="86">
        <f>186205000-36954500</f>
        <v>149250500</v>
      </c>
      <c r="CZ47" s="240">
        <v>152058333</v>
      </c>
      <c r="DA47" s="240">
        <f>186205000-20758000</f>
        <v>165447000</v>
      </c>
      <c r="DB47" s="240">
        <v>145040101</v>
      </c>
      <c r="DC47" s="240">
        <f>186205000+58295432</f>
        <v>244500432</v>
      </c>
      <c r="DD47" s="240">
        <v>167937266</v>
      </c>
      <c r="DE47" s="240">
        <v>4698900</v>
      </c>
      <c r="DF47" s="240">
        <v>171985734</v>
      </c>
      <c r="DG47" s="240">
        <f>20000000+25517000</f>
        <v>45517000</v>
      </c>
      <c r="DH47" s="240">
        <v>221280000</v>
      </c>
      <c r="DI47" s="466">
        <f>DG47+DE47+DC47+DA47+CY47+CW47+CU47+CS47+CQ47+CO47+CM47+CK47</f>
        <v>1625097832</v>
      </c>
      <c r="DJ47" s="76">
        <f t="shared" si="83"/>
        <v>1625097832</v>
      </c>
      <c r="DK47" s="76">
        <f t="shared" si="83"/>
        <v>1362539235</v>
      </c>
      <c r="DL47" s="76">
        <f>CM47+CO47+CQ47+CS47+CU47+CW47+CY47+DA47+DC47+DE47+DG47+CK47</f>
        <v>1625097832</v>
      </c>
      <c r="DM47" s="76">
        <f t="shared" si="84"/>
        <v>1362539235</v>
      </c>
      <c r="DN47" s="86">
        <v>0</v>
      </c>
      <c r="DO47" s="50"/>
      <c r="DP47" s="50"/>
      <c r="DQ47" s="50"/>
      <c r="DR47" s="50"/>
      <c r="DS47" s="50"/>
      <c r="DT47" s="50"/>
      <c r="DU47" s="50"/>
      <c r="DV47" s="50"/>
      <c r="DW47" s="50"/>
      <c r="DX47" s="50"/>
      <c r="DY47" s="50"/>
      <c r="DZ47" s="50"/>
      <c r="EA47" s="50"/>
      <c r="EB47" s="50"/>
      <c r="EC47" s="50"/>
      <c r="ED47" s="50"/>
      <c r="EE47" s="50"/>
      <c r="EF47" s="50"/>
      <c r="EG47" s="50"/>
      <c r="EH47" s="50"/>
      <c r="EI47" s="50"/>
      <c r="EJ47" s="50"/>
      <c r="EK47" s="50"/>
      <c r="EL47" s="50"/>
      <c r="EM47" s="534">
        <f>EI47+EG47+EE47+EC47+EA47+DY47+DW47+DU47+DS47+DQ47+DO47+EK47</f>
        <v>0</v>
      </c>
      <c r="EN47" s="66">
        <f t="shared" si="85"/>
        <v>0</v>
      </c>
      <c r="EO47" s="66">
        <f t="shared" si="86"/>
        <v>0</v>
      </c>
      <c r="EP47" s="64">
        <f>DQ47+DS47+DU47+DW47+DY47+EA47+EC47+EE47+EG47+EI47+EK47</f>
        <v>0</v>
      </c>
      <c r="EQ47" s="66">
        <f>DP47+DR47+DT47+DV47</f>
        <v>0</v>
      </c>
      <c r="ER47" s="178">
        <f t="shared" si="7"/>
        <v>4.8614803260320318</v>
      </c>
      <c r="ES47" s="143">
        <f t="shared" si="5"/>
        <v>0.83843520566582108</v>
      </c>
      <c r="ET47" s="344">
        <f t="shared" si="6"/>
        <v>0.83843520566582108</v>
      </c>
      <c r="EU47" s="344">
        <f t="shared" si="3"/>
        <v>2.1322580927459067</v>
      </c>
      <c r="EV47" s="344">
        <f>IFERROR((AA47+BE47+CI47+DM47)/G47,0)</f>
        <v>0</v>
      </c>
      <c r="EW47" s="622"/>
      <c r="EX47" s="624"/>
      <c r="EY47" s="624" t="s">
        <v>548</v>
      </c>
      <c r="EZ47" s="626"/>
      <c r="FA47" s="620"/>
      <c r="FB47" s="625"/>
    </row>
    <row r="48" spans="1:158" s="3" customFormat="1" ht="26.1" customHeight="1">
      <c r="A48" s="660"/>
      <c r="B48" s="660"/>
      <c r="C48" s="660"/>
      <c r="D48" s="660"/>
      <c r="E48" s="660"/>
      <c r="F48" s="242" t="s">
        <v>41</v>
      </c>
      <c r="G48" s="167">
        <f>+AA48+BE48+CI48+CJ48+DN48</f>
        <v>0</v>
      </c>
      <c r="H48" s="515">
        <v>0</v>
      </c>
      <c r="I48" s="515"/>
      <c r="J48" s="515"/>
      <c r="K48" s="515"/>
      <c r="L48" s="515"/>
      <c r="M48" s="515"/>
      <c r="N48" s="515"/>
      <c r="O48" s="515"/>
      <c r="P48" s="515"/>
      <c r="Q48" s="515"/>
      <c r="R48" s="515"/>
      <c r="S48" s="515"/>
      <c r="T48" s="515"/>
      <c r="U48" s="515"/>
      <c r="V48" s="515"/>
      <c r="W48" s="515">
        <v>0</v>
      </c>
      <c r="X48" s="515">
        <v>0</v>
      </c>
      <c r="Y48" s="515">
        <v>0</v>
      </c>
      <c r="Z48" s="515">
        <v>0</v>
      </c>
      <c r="AA48" s="515">
        <v>0</v>
      </c>
      <c r="AB48" s="515">
        <v>0</v>
      </c>
      <c r="AC48" s="515">
        <v>0</v>
      </c>
      <c r="AD48" s="515">
        <v>0</v>
      </c>
      <c r="AE48" s="515">
        <v>0</v>
      </c>
      <c r="AF48" s="515">
        <v>0</v>
      </c>
      <c r="AG48" s="515">
        <v>0</v>
      </c>
      <c r="AH48" s="515">
        <v>0</v>
      </c>
      <c r="AI48" s="515">
        <v>0</v>
      </c>
      <c r="AJ48" s="515">
        <v>0</v>
      </c>
      <c r="AK48" s="515">
        <v>0</v>
      </c>
      <c r="AL48" s="515">
        <v>0</v>
      </c>
      <c r="AM48" s="515">
        <v>0</v>
      </c>
      <c r="AN48" s="515">
        <v>0</v>
      </c>
      <c r="AO48" s="515">
        <v>0</v>
      </c>
      <c r="AP48" s="515">
        <v>0</v>
      </c>
      <c r="AQ48" s="515">
        <v>0</v>
      </c>
      <c r="AR48" s="515">
        <v>0</v>
      </c>
      <c r="AS48" s="515">
        <v>0</v>
      </c>
      <c r="AT48" s="515">
        <v>0</v>
      </c>
      <c r="AU48" s="515">
        <v>0</v>
      </c>
      <c r="AV48" s="515">
        <v>0</v>
      </c>
      <c r="AW48" s="515">
        <v>0</v>
      </c>
      <c r="AX48" s="515">
        <v>0</v>
      </c>
      <c r="AY48" s="515">
        <v>0</v>
      </c>
      <c r="AZ48" s="515">
        <v>0</v>
      </c>
      <c r="BA48" s="88">
        <f>AY48+AW48+AU48+AS48+AQ48+AO48+AM48+AK48+AI48+AG48+AE48+AC48</f>
        <v>0</v>
      </c>
      <c r="BB48" s="88">
        <f t="shared" si="81"/>
        <v>0</v>
      </c>
      <c r="BC48" s="88">
        <f t="shared" si="81"/>
        <v>0</v>
      </c>
      <c r="BD48" s="88">
        <f>BE49-BC49</f>
        <v>0</v>
      </c>
      <c r="BE48" s="88">
        <f>AD48+AF48+AH48+AJ48+AL48+AN48+AP48+AR48+AT48+AV48+AX48+AZ48</f>
        <v>0</v>
      </c>
      <c r="BF48" s="515">
        <v>0</v>
      </c>
      <c r="BG48" s="515">
        <v>0</v>
      </c>
      <c r="BH48" s="515">
        <v>0</v>
      </c>
      <c r="BI48" s="515"/>
      <c r="BJ48" s="515">
        <v>0</v>
      </c>
      <c r="BK48" s="515">
        <v>0</v>
      </c>
      <c r="BL48" s="515">
        <v>0</v>
      </c>
      <c r="BM48" s="515"/>
      <c r="BN48" s="515">
        <v>0</v>
      </c>
      <c r="BO48" s="515"/>
      <c r="BP48" s="515">
        <v>0</v>
      </c>
      <c r="BQ48" s="515"/>
      <c r="BR48" s="515">
        <v>0</v>
      </c>
      <c r="BS48" s="515"/>
      <c r="BT48" s="515">
        <v>0</v>
      </c>
      <c r="BU48" s="515">
        <v>0</v>
      </c>
      <c r="BV48" s="515">
        <v>0</v>
      </c>
      <c r="BW48" s="515">
        <v>0</v>
      </c>
      <c r="BX48" s="515">
        <v>0</v>
      </c>
      <c r="BY48" s="515">
        <v>0</v>
      </c>
      <c r="BZ48" s="515">
        <v>0</v>
      </c>
      <c r="CA48" s="515">
        <v>0</v>
      </c>
      <c r="CB48" s="515">
        <v>0</v>
      </c>
      <c r="CC48" s="515">
        <v>0</v>
      </c>
      <c r="CD48" s="515">
        <v>0</v>
      </c>
      <c r="CE48" s="525">
        <f>CC48+CA48+BY48+BW48+BU48+BS48+BQ48+BO48+BM48+BK48+BI48+BG48</f>
        <v>0</v>
      </c>
      <c r="CF48" s="526">
        <f t="shared" si="82"/>
        <v>0</v>
      </c>
      <c r="CG48" s="145">
        <f t="shared" si="82"/>
        <v>0</v>
      </c>
      <c r="CH48" s="144">
        <f>CC48+CA48+BY48+BW48+BU48+BS48+BQ48+BO48+BM48+BK48+BI48+BG48</f>
        <v>0</v>
      </c>
      <c r="CI48" s="145">
        <f>+BH48+BJ48+BL48+BN48+BP48+BR48+BT48+BV48+BX48+BZ48+CB48+CD48</f>
        <v>0</v>
      </c>
      <c r="CJ48" s="515">
        <v>0</v>
      </c>
      <c r="CK48" s="515">
        <v>0</v>
      </c>
      <c r="CL48" s="515">
        <v>0</v>
      </c>
      <c r="CM48" s="515">
        <v>0</v>
      </c>
      <c r="CN48" s="515">
        <v>0</v>
      </c>
      <c r="CO48" s="515">
        <v>0</v>
      </c>
      <c r="CP48" s="515">
        <v>0</v>
      </c>
      <c r="CQ48" s="515">
        <v>0</v>
      </c>
      <c r="CR48" s="515">
        <v>0</v>
      </c>
      <c r="CS48" s="515">
        <v>0</v>
      </c>
      <c r="CT48" s="515">
        <v>0</v>
      </c>
      <c r="CU48" s="515">
        <v>0</v>
      </c>
      <c r="CV48" s="536">
        <v>0</v>
      </c>
      <c r="CW48" s="515">
        <v>0</v>
      </c>
      <c r="CX48" s="536">
        <v>0</v>
      </c>
      <c r="CY48" s="515">
        <v>0</v>
      </c>
      <c r="CZ48" s="536">
        <v>0</v>
      </c>
      <c r="DA48" s="515">
        <v>0</v>
      </c>
      <c r="DB48" s="536">
        <v>0</v>
      </c>
      <c r="DC48" s="515">
        <v>0</v>
      </c>
      <c r="DD48" s="536">
        <v>0</v>
      </c>
      <c r="DE48" s="515">
        <v>0</v>
      </c>
      <c r="DF48" s="536">
        <v>0</v>
      </c>
      <c r="DG48" s="515">
        <v>0</v>
      </c>
      <c r="DH48" s="536">
        <v>0</v>
      </c>
      <c r="DI48" s="528">
        <f>DG48+DE48+DC48+CW48+CY48+CU48+CS48+CQ48+CO48+CM48+CK48</f>
        <v>0</v>
      </c>
      <c r="DJ48" s="526">
        <f ca="1">CK48+CM48+CO48+CQ48+CS48+CU48+CW48+CY48+DJ48+DA48+DC48+DG48</f>
        <v>0</v>
      </c>
      <c r="DK48" s="526">
        <f>CL48+CN48+CP48+CR48+CT48+CV48+CX48+CZ48+DB48+DD48+DF48+DH48</f>
        <v>0</v>
      </c>
      <c r="DL48" s="285">
        <f>CK48+CM48+CO48+CQ48+CS48+CU48+CW48+CY48+DA48+DC48+DE48+DG48</f>
        <v>0</v>
      </c>
      <c r="DM48" s="285">
        <f>CN48+CP48+CR48+CT48+CV48+CX48+CZ48+DB48+DD48+DF48+DH48+CL48</f>
        <v>0</v>
      </c>
      <c r="DN48" s="515"/>
      <c r="DO48" s="537"/>
      <c r="DP48" s="537"/>
      <c r="DQ48" s="537"/>
      <c r="DR48" s="537"/>
      <c r="DS48" s="537"/>
      <c r="DT48" s="537"/>
      <c r="DU48" s="537"/>
      <c r="DV48" s="537"/>
      <c r="DW48" s="537"/>
      <c r="DX48" s="537"/>
      <c r="DY48" s="537"/>
      <c r="DZ48" s="537"/>
      <c r="EA48" s="537"/>
      <c r="EB48" s="537"/>
      <c r="EC48" s="537"/>
      <c r="ED48" s="537"/>
      <c r="EE48" s="537"/>
      <c r="EF48" s="537"/>
      <c r="EG48" s="537"/>
      <c r="EH48" s="537"/>
      <c r="EI48" s="537"/>
      <c r="EJ48" s="537"/>
      <c r="EK48" s="537"/>
      <c r="EL48" s="537"/>
      <c r="EM48" s="538">
        <f>EI48+EG48+EE48+EC48+EA48+DY48+DW48+DU48+DS48+DQ48+DO48+EK48</f>
        <v>0</v>
      </c>
      <c r="EN48" s="68">
        <f t="shared" si="85"/>
        <v>0</v>
      </c>
      <c r="EO48" s="68">
        <f t="shared" si="86"/>
        <v>0</v>
      </c>
      <c r="EP48" s="69">
        <f>DQ48+DS48+DU48+DW48+DY48+EA48+EC48+EE48+EG48+EI48+EK48</f>
        <v>0</v>
      </c>
      <c r="EQ48" s="538">
        <f>DP48+DR48+DT48+DV48</f>
        <v>0</v>
      </c>
      <c r="ER48" s="178">
        <f t="shared" si="7"/>
        <v>0</v>
      </c>
      <c r="ES48" s="143">
        <f ca="1">IFERROR(+DK48/DJ48,0)</f>
        <v>0</v>
      </c>
      <c r="ET48" s="344">
        <f>IFERROR(+DM48/DL48,0)</f>
        <v>0</v>
      </c>
      <c r="EU48" s="344">
        <f ca="1">IFERROR((AA48+BE48+CI48+DK48)/(Z48+BD48+CH48+DJ48),0)</f>
        <v>0</v>
      </c>
      <c r="EV48" s="344">
        <f>IFERROR((AA48+BE48+CI48+DM48)/G48,0)</f>
        <v>0</v>
      </c>
      <c r="EW48" s="622"/>
      <c r="EX48" s="624"/>
      <c r="EY48" s="624" t="s">
        <v>548</v>
      </c>
      <c r="EZ48" s="626"/>
      <c r="FA48" s="620"/>
      <c r="FB48" s="625"/>
    </row>
    <row r="49" spans="1:158" s="3" customFormat="1" ht="26.1" customHeight="1">
      <c r="A49" s="660"/>
      <c r="B49" s="660"/>
      <c r="C49" s="660"/>
      <c r="D49" s="660"/>
      <c r="E49" s="660"/>
      <c r="F49" s="243" t="s">
        <v>4</v>
      </c>
      <c r="G49" s="77">
        <f>+AA49+BE49+CI49+DL49+DN49</f>
        <v>724396514</v>
      </c>
      <c r="H49" s="76">
        <v>0</v>
      </c>
      <c r="I49" s="86"/>
      <c r="J49" s="86"/>
      <c r="K49" s="86"/>
      <c r="L49" s="86"/>
      <c r="M49" s="86"/>
      <c r="N49" s="86"/>
      <c r="O49" s="86"/>
      <c r="P49" s="86"/>
      <c r="Q49" s="86"/>
      <c r="R49" s="86"/>
      <c r="S49" s="86"/>
      <c r="T49" s="76"/>
      <c r="U49" s="76"/>
      <c r="V49" s="76"/>
      <c r="W49" s="76">
        <v>0</v>
      </c>
      <c r="X49" s="76">
        <v>0</v>
      </c>
      <c r="Y49" s="76">
        <v>0</v>
      </c>
      <c r="Z49" s="76">
        <v>0</v>
      </c>
      <c r="AA49" s="76">
        <v>0</v>
      </c>
      <c r="AB49" s="76">
        <v>282323662</v>
      </c>
      <c r="AC49" s="76">
        <v>62610500</v>
      </c>
      <c r="AD49" s="76">
        <v>62610500</v>
      </c>
      <c r="AE49" s="76">
        <v>113705833</v>
      </c>
      <c r="AF49" s="76">
        <f>176316333-AD49</f>
        <v>113705833</v>
      </c>
      <c r="AG49" s="76">
        <v>41010499</v>
      </c>
      <c r="AH49" s="76">
        <f>217326832-AF49-AD49</f>
        <v>41010499</v>
      </c>
      <c r="AI49" s="76">
        <v>24710465</v>
      </c>
      <c r="AJ49" s="76">
        <f>242037297-AH49-AF49-AD49</f>
        <v>24710465</v>
      </c>
      <c r="AK49" s="86">
        <v>3094000</v>
      </c>
      <c r="AL49" s="86">
        <f>245131297-AJ49-AH49-AF49-AD49</f>
        <v>3094000</v>
      </c>
      <c r="AM49" s="86">
        <v>14803433</v>
      </c>
      <c r="AN49" s="86">
        <v>14803433</v>
      </c>
      <c r="AO49" s="86">
        <v>0</v>
      </c>
      <c r="AP49" s="86">
        <v>0</v>
      </c>
      <c r="AQ49" s="86">
        <f>30516833-3961969-22793465</f>
        <v>3761399</v>
      </c>
      <c r="AR49" s="86">
        <v>0</v>
      </c>
      <c r="AS49" s="86">
        <f>10636900+601</f>
        <v>10637501</v>
      </c>
      <c r="AT49" s="86">
        <v>0</v>
      </c>
      <c r="AU49" s="86"/>
      <c r="AV49" s="86">
        <v>0</v>
      </c>
      <c r="AW49" s="86">
        <v>0</v>
      </c>
      <c r="AX49" s="86">
        <v>1870410</v>
      </c>
      <c r="AY49" s="86"/>
      <c r="AZ49" s="86"/>
      <c r="BA49" s="76">
        <f>AY49+AW49+AU49+AS49+AQ49+AO49+AM49+AK49+AI49+AG49+AE49+AC49</f>
        <v>274333630</v>
      </c>
      <c r="BB49" s="76">
        <f t="shared" si="81"/>
        <v>274333630</v>
      </c>
      <c r="BC49" s="76">
        <f t="shared" si="81"/>
        <v>261805140</v>
      </c>
      <c r="BD49" s="76">
        <f>AE49+AG49+AI49+AK49+AM49+AO49+AQ49+AS49+AU49+AW49+AY49+AC49</f>
        <v>274333630</v>
      </c>
      <c r="BE49" s="76">
        <v>261805140</v>
      </c>
      <c r="BF49" s="86">
        <v>113800542</v>
      </c>
      <c r="BG49" s="86">
        <v>8850800</v>
      </c>
      <c r="BH49" s="86">
        <v>0</v>
      </c>
      <c r="BI49" s="86">
        <v>104949742</v>
      </c>
      <c r="BJ49" s="86">
        <v>51705541</v>
      </c>
      <c r="BK49" s="86"/>
      <c r="BL49" s="86">
        <v>0</v>
      </c>
      <c r="BM49" s="86"/>
      <c r="BN49" s="86">
        <v>0</v>
      </c>
      <c r="BO49" s="86"/>
      <c r="BP49" s="86">
        <v>0</v>
      </c>
      <c r="BQ49" s="86">
        <v>-27147400</v>
      </c>
      <c r="BR49" s="86">
        <v>0</v>
      </c>
      <c r="BS49" s="86">
        <v>27147400</v>
      </c>
      <c r="BT49" s="86">
        <v>34947601</v>
      </c>
      <c r="BU49" s="86">
        <v>0</v>
      </c>
      <c r="BV49" s="86">
        <v>0</v>
      </c>
      <c r="BW49" s="86">
        <v>-27147400</v>
      </c>
      <c r="BX49" s="86">
        <v>-14095801</v>
      </c>
      <c r="BY49" s="86">
        <v>82196508</v>
      </c>
      <c r="BZ49" s="86">
        <v>96292309</v>
      </c>
      <c r="CA49" s="86">
        <v>-55049108</v>
      </c>
      <c r="CB49" s="86">
        <v>-82196509</v>
      </c>
      <c r="CC49" s="86">
        <v>-27147401</v>
      </c>
      <c r="CD49" s="86">
        <v>-14095800</v>
      </c>
      <c r="CE49" s="77">
        <f>CC49+CA49+BY49+BW49+BU49+BS49+BQ49+BO49+BM49+BK49+BI49+BG49</f>
        <v>86653141</v>
      </c>
      <c r="CF49" s="77">
        <f t="shared" si="82"/>
        <v>86653141</v>
      </c>
      <c r="CG49" s="77">
        <f t="shared" si="82"/>
        <v>72557341</v>
      </c>
      <c r="CH49" s="76">
        <f>CC49+CA49+BY49+BW49+BU49+BS49+BQ49+BO49+BM49+BK49+BI49+BG49</f>
        <v>86653141</v>
      </c>
      <c r="CI49" s="76">
        <f>+BH49+BJ49+BL49+BN49+BP49+BR49+BT49+BV49+BX49+BZ49+CB49+CD49</f>
        <v>72557341</v>
      </c>
      <c r="CJ49" s="86">
        <v>390034033</v>
      </c>
      <c r="CK49" s="86">
        <v>86905033</v>
      </c>
      <c r="CL49" s="86">
        <v>65830733</v>
      </c>
      <c r="CM49" s="86">
        <v>170606833</v>
      </c>
      <c r="CN49" s="86">
        <v>119260266</v>
      </c>
      <c r="CO49" s="86">
        <v>67661867</v>
      </c>
      <c r="CP49" s="86">
        <v>71351366</v>
      </c>
      <c r="CQ49" s="86">
        <v>13188267</v>
      </c>
      <c r="CR49" s="86">
        <v>27416034</v>
      </c>
      <c r="CS49" s="86">
        <v>11980333</v>
      </c>
      <c r="CT49" s="266">
        <v>19707033</v>
      </c>
      <c r="CU49" s="240">
        <v>6462000</v>
      </c>
      <c r="CV49" s="240">
        <v>8292900</v>
      </c>
      <c r="CW49" s="86">
        <v>2261700</v>
      </c>
      <c r="CX49" s="240">
        <v>10254333</v>
      </c>
      <c r="CY49" s="86">
        <v>0</v>
      </c>
      <c r="CZ49" s="240">
        <v>8929667</v>
      </c>
      <c r="DA49" s="86">
        <v>0</v>
      </c>
      <c r="DB49" s="240">
        <v>4334667</v>
      </c>
      <c r="DC49" s="86">
        <v>0</v>
      </c>
      <c r="DD49" s="240">
        <v>2207333</v>
      </c>
      <c r="DE49" s="240"/>
      <c r="DF49" s="240">
        <v>0</v>
      </c>
      <c r="DG49" s="86">
        <v>30968000</v>
      </c>
      <c r="DH49" s="240">
        <v>1938600</v>
      </c>
      <c r="DI49" s="76">
        <f>DG49+DE49+DC49+DA49+CY49+CW49+CU49+CM49+CS49+CO49+CQ49+CK49</f>
        <v>390034033</v>
      </c>
      <c r="DJ49" s="76">
        <f>CK49+CM49+CO49+CQ49+CS49+CU49+CW49+CY49+DA49+DC49+DE49+DG49</f>
        <v>390034033</v>
      </c>
      <c r="DK49" s="76">
        <f>CL49+CN49+CP49+CR49+CT49+CV49+CX49+CZ49+DB49+DD49+DF49+DH49</f>
        <v>339522932</v>
      </c>
      <c r="DL49" s="76">
        <f>CM49+CO49+CQ49+CS49+CU49+CW49+CY49+DA49+DC49+DE49+DG49+CK49</f>
        <v>390034033</v>
      </c>
      <c r="DM49" s="76">
        <f>DK49</f>
        <v>339522932</v>
      </c>
      <c r="DN49" s="86">
        <v>0</v>
      </c>
      <c r="DO49" s="49"/>
      <c r="DP49" s="49"/>
      <c r="DQ49" s="49"/>
      <c r="DR49" s="49"/>
      <c r="DS49" s="49"/>
      <c r="DT49" s="49"/>
      <c r="DU49" s="49"/>
      <c r="DV49" s="49"/>
      <c r="DW49" s="49"/>
      <c r="DX49" s="49"/>
      <c r="DY49" s="49"/>
      <c r="DZ49" s="49"/>
      <c r="EA49" s="49"/>
      <c r="EB49" s="49"/>
      <c r="EC49" s="49"/>
      <c r="ED49" s="49"/>
      <c r="EE49" s="49"/>
      <c r="EF49" s="49"/>
      <c r="EG49" s="49"/>
      <c r="EH49" s="49"/>
      <c r="EI49" s="49"/>
      <c r="EJ49" s="49"/>
      <c r="EK49" s="49"/>
      <c r="EL49" s="49"/>
      <c r="EM49" s="538">
        <f>EI49+EG49+EE49+EC49+EA49+DY49+DW49+DU49+DS49+DQ49+DO49+EK49</f>
        <v>0</v>
      </c>
      <c r="EN49" s="66">
        <f t="shared" si="85"/>
        <v>0</v>
      </c>
      <c r="EO49" s="66">
        <f t="shared" si="86"/>
        <v>0</v>
      </c>
      <c r="EP49" s="64">
        <f>DQ49+DS49+DU49+DW49+DY49+EA49+EC49+EE49+EG49+EI49+EK49+DO49</f>
        <v>0</v>
      </c>
      <c r="EQ49" s="66">
        <f>DP49+DR49+DT49+DV49</f>
        <v>0</v>
      </c>
      <c r="ER49" s="178">
        <f t="shared" si="7"/>
        <v>6.2600103332472234E-2</v>
      </c>
      <c r="ES49" s="143">
        <f t="shared" si="5"/>
        <v>0.87049565749048363</v>
      </c>
      <c r="ET49" s="344">
        <f t="shared" si="6"/>
        <v>0.87049565749048363</v>
      </c>
      <c r="EU49" s="344">
        <f t="shared" si="3"/>
        <v>0.8972926041606698</v>
      </c>
      <c r="EV49" s="344">
        <f t="shared" si="4"/>
        <v>0.93027147422192036</v>
      </c>
      <c r="EW49" s="622"/>
      <c r="EX49" s="624"/>
      <c r="EY49" s="624" t="s">
        <v>548</v>
      </c>
      <c r="EZ49" s="626"/>
      <c r="FA49" s="620"/>
      <c r="FB49" s="625"/>
    </row>
    <row r="50" spans="1:158" s="3" customFormat="1" ht="26.1" customHeight="1" thickBot="1">
      <c r="A50" s="660"/>
      <c r="B50" s="660"/>
      <c r="C50" s="660"/>
      <c r="D50" s="660"/>
      <c r="E50" s="660"/>
      <c r="F50" s="242" t="s">
        <v>42</v>
      </c>
      <c r="G50" s="231">
        <f>+G45+G48</f>
        <v>8771</v>
      </c>
      <c r="H50" s="193">
        <f>+H45+H48</f>
        <v>1292</v>
      </c>
      <c r="I50" s="193">
        <f t="shared" ref="I50:AZ50" si="87">+I45+I48</f>
        <v>0</v>
      </c>
      <c r="J50" s="193">
        <f t="shared" si="87"/>
        <v>0</v>
      </c>
      <c r="K50" s="193">
        <f t="shared" si="87"/>
        <v>0</v>
      </c>
      <c r="L50" s="193">
        <f t="shared" si="87"/>
        <v>0</v>
      </c>
      <c r="M50" s="193">
        <f t="shared" si="87"/>
        <v>0</v>
      </c>
      <c r="N50" s="193">
        <f t="shared" si="87"/>
        <v>0</v>
      </c>
      <c r="O50" s="193">
        <f t="shared" si="87"/>
        <v>0</v>
      </c>
      <c r="P50" s="193">
        <f t="shared" si="87"/>
        <v>0</v>
      </c>
      <c r="Q50" s="193">
        <f t="shared" si="87"/>
        <v>0</v>
      </c>
      <c r="R50" s="193">
        <f t="shared" si="87"/>
        <v>0</v>
      </c>
      <c r="S50" s="193">
        <f t="shared" si="87"/>
        <v>0</v>
      </c>
      <c r="T50" s="193">
        <f t="shared" si="87"/>
        <v>0</v>
      </c>
      <c r="U50" s="193">
        <f t="shared" si="87"/>
        <v>0</v>
      </c>
      <c r="V50" s="193">
        <f t="shared" si="87"/>
        <v>0</v>
      </c>
      <c r="W50" s="193">
        <f>+W45+W48</f>
        <v>1292</v>
      </c>
      <c r="X50" s="193">
        <f>+X45+X48</f>
        <v>1292</v>
      </c>
      <c r="Y50" s="193">
        <f t="shared" si="87"/>
        <v>1292</v>
      </c>
      <c r="Z50" s="193">
        <f>+Z45+Z48</f>
        <v>1292</v>
      </c>
      <c r="AA50" s="193">
        <f t="shared" si="87"/>
        <v>1292</v>
      </c>
      <c r="AB50" s="520">
        <f>+AB45+AB48</f>
        <v>759</v>
      </c>
      <c r="AC50" s="193">
        <f>+AC45+AC48</f>
        <v>51</v>
      </c>
      <c r="AD50" s="193">
        <f t="shared" si="87"/>
        <v>278</v>
      </c>
      <c r="AE50" s="193">
        <f t="shared" si="87"/>
        <v>66</v>
      </c>
      <c r="AF50" s="193">
        <f t="shared" si="87"/>
        <v>211</v>
      </c>
      <c r="AG50" s="193">
        <f t="shared" si="87"/>
        <v>66</v>
      </c>
      <c r="AH50" s="193">
        <f t="shared" si="87"/>
        <v>837</v>
      </c>
      <c r="AI50" s="193">
        <f t="shared" si="87"/>
        <v>473</v>
      </c>
      <c r="AJ50" s="193">
        <f t="shared" si="87"/>
        <v>488</v>
      </c>
      <c r="AK50" s="193">
        <f t="shared" si="87"/>
        <v>2050</v>
      </c>
      <c r="AL50" s="193">
        <f t="shared" si="87"/>
        <v>892</v>
      </c>
      <c r="AM50" s="193">
        <f t="shared" si="87"/>
        <v>295</v>
      </c>
      <c r="AN50" s="193">
        <f>+AN45+AN48</f>
        <v>798</v>
      </c>
      <c r="AO50" s="193">
        <f t="shared" si="87"/>
        <v>295</v>
      </c>
      <c r="AP50" s="193">
        <f t="shared" si="87"/>
        <v>265</v>
      </c>
      <c r="AQ50" s="193">
        <f t="shared" si="87"/>
        <v>295</v>
      </c>
      <c r="AR50" s="193">
        <f t="shared" si="87"/>
        <v>203</v>
      </c>
      <c r="AS50" s="193">
        <f t="shared" si="87"/>
        <v>295</v>
      </c>
      <c r="AT50" s="193">
        <f t="shared" si="87"/>
        <v>294</v>
      </c>
      <c r="AU50" s="193">
        <f t="shared" si="87"/>
        <v>295</v>
      </c>
      <c r="AV50" s="193">
        <f>+AV45+AV48</f>
        <v>575</v>
      </c>
      <c r="AW50" s="193">
        <f t="shared" si="87"/>
        <v>295</v>
      </c>
      <c r="AX50" s="193">
        <f>+AX45+AX48</f>
        <v>57</v>
      </c>
      <c r="AY50" s="193">
        <f t="shared" si="87"/>
        <v>474</v>
      </c>
      <c r="AZ50" s="193">
        <f t="shared" si="87"/>
        <v>52</v>
      </c>
      <c r="BA50" s="193">
        <f t="shared" ref="BA50:BF51" si="88">+BA45+BA48</f>
        <v>4950</v>
      </c>
      <c r="BB50" s="520">
        <f t="shared" si="88"/>
        <v>4950</v>
      </c>
      <c r="BC50" s="520">
        <f t="shared" si="88"/>
        <v>4950</v>
      </c>
      <c r="BD50" s="520">
        <f t="shared" si="88"/>
        <v>4950</v>
      </c>
      <c r="BE50" s="520">
        <f t="shared" si="88"/>
        <v>4950</v>
      </c>
      <c r="BF50" s="520">
        <f t="shared" si="88"/>
        <v>1097</v>
      </c>
      <c r="BG50" s="520">
        <f t="shared" ref="BG50:CD50" si="89">+BG45+BG48</f>
        <v>85</v>
      </c>
      <c r="BH50" s="520">
        <f t="shared" si="89"/>
        <v>0</v>
      </c>
      <c r="BI50" s="520">
        <f t="shared" si="89"/>
        <v>92</v>
      </c>
      <c r="BJ50" s="520">
        <f>+BJ45+BJ48</f>
        <v>32</v>
      </c>
      <c r="BK50" s="520">
        <f t="shared" si="89"/>
        <v>92</v>
      </c>
      <c r="BL50" s="520">
        <f t="shared" si="89"/>
        <v>55</v>
      </c>
      <c r="BM50" s="520">
        <f t="shared" si="89"/>
        <v>92</v>
      </c>
      <c r="BN50" s="520">
        <f t="shared" si="89"/>
        <v>110</v>
      </c>
      <c r="BO50" s="520">
        <f t="shared" si="89"/>
        <v>92</v>
      </c>
      <c r="BP50" s="520">
        <f t="shared" si="89"/>
        <v>263</v>
      </c>
      <c r="BQ50" s="520">
        <f t="shared" si="89"/>
        <v>99</v>
      </c>
      <c r="BR50" s="520">
        <f t="shared" si="89"/>
        <v>87</v>
      </c>
      <c r="BS50" s="520">
        <f t="shared" si="89"/>
        <v>92</v>
      </c>
      <c r="BT50" s="520">
        <f t="shared" si="89"/>
        <v>65</v>
      </c>
      <c r="BU50" s="520">
        <f t="shared" si="89"/>
        <v>92</v>
      </c>
      <c r="BV50" s="520">
        <f t="shared" si="89"/>
        <v>99</v>
      </c>
      <c r="BW50" s="520">
        <f t="shared" si="89"/>
        <v>92</v>
      </c>
      <c r="BX50" s="520">
        <f t="shared" si="89"/>
        <v>171</v>
      </c>
      <c r="BY50" s="520">
        <f t="shared" si="89"/>
        <v>92</v>
      </c>
      <c r="BZ50" s="520">
        <f t="shared" si="89"/>
        <v>103</v>
      </c>
      <c r="CA50" s="520">
        <f t="shared" si="89"/>
        <v>92</v>
      </c>
      <c r="CB50" s="520">
        <f t="shared" si="89"/>
        <v>94</v>
      </c>
      <c r="CC50" s="520">
        <f t="shared" si="89"/>
        <v>171</v>
      </c>
      <c r="CD50" s="520">
        <f t="shared" si="89"/>
        <v>104</v>
      </c>
      <c r="CE50" s="520">
        <f t="shared" ref="CE50:CS51" si="90">+CE45+CE48</f>
        <v>1183</v>
      </c>
      <c r="CF50" s="520">
        <f t="shared" si="90"/>
        <v>1183</v>
      </c>
      <c r="CG50" s="520">
        <f t="shared" si="90"/>
        <v>1183</v>
      </c>
      <c r="CH50" s="186">
        <f t="shared" si="90"/>
        <v>1183</v>
      </c>
      <c r="CI50" s="186">
        <f t="shared" si="90"/>
        <v>1183</v>
      </c>
      <c r="CJ50" s="187">
        <f t="shared" si="90"/>
        <v>370</v>
      </c>
      <c r="CK50" s="187">
        <f t="shared" si="90"/>
        <v>10</v>
      </c>
      <c r="CL50" s="187">
        <f t="shared" si="90"/>
        <v>10</v>
      </c>
      <c r="CM50" s="187">
        <f>+CM45+CM48</f>
        <v>13</v>
      </c>
      <c r="CN50" s="187">
        <f t="shared" si="90"/>
        <v>13</v>
      </c>
      <c r="CO50" s="187">
        <f t="shared" si="90"/>
        <v>34</v>
      </c>
      <c r="CP50" s="187">
        <f>+CP45+CP48</f>
        <v>34</v>
      </c>
      <c r="CQ50" s="187">
        <f t="shared" si="90"/>
        <v>35</v>
      </c>
      <c r="CR50" s="187">
        <f t="shared" si="90"/>
        <v>79</v>
      </c>
      <c r="CS50" s="187">
        <f t="shared" si="90"/>
        <v>35</v>
      </c>
      <c r="CT50" s="265">
        <f>CT45+CT48</f>
        <v>43</v>
      </c>
      <c r="CU50" s="187">
        <f t="shared" ref="CU50:CX51" si="91">+CU45+CU48</f>
        <v>58</v>
      </c>
      <c r="CV50" s="187">
        <f t="shared" si="91"/>
        <v>215</v>
      </c>
      <c r="CW50" s="335">
        <f t="shared" si="91"/>
        <v>59</v>
      </c>
      <c r="CX50" s="335">
        <f t="shared" si="91"/>
        <v>24</v>
      </c>
      <c r="CY50" s="335">
        <f t="shared" ref="CY50:DB51" si="92">+CY45+CY48</f>
        <v>117</v>
      </c>
      <c r="CZ50" s="335">
        <f t="shared" si="92"/>
        <v>117</v>
      </c>
      <c r="DA50" s="335">
        <f t="shared" si="92"/>
        <v>138</v>
      </c>
      <c r="DB50" s="335">
        <f t="shared" si="92"/>
        <v>112</v>
      </c>
      <c r="DC50" s="335">
        <f>+DC45+DC48</f>
        <v>138</v>
      </c>
      <c r="DD50" s="335"/>
      <c r="DE50" s="335">
        <f>+DE45+DE48</f>
        <v>138</v>
      </c>
      <c r="DF50" s="335">
        <f>+DF45+DF48</f>
        <v>15</v>
      </c>
      <c r="DG50" s="352">
        <f>+DG45+DG48</f>
        <v>418</v>
      </c>
      <c r="DH50" s="352">
        <f>+DH45+DH48</f>
        <v>335</v>
      </c>
      <c r="DI50" s="520">
        <f>DI45+DI48</f>
        <v>1193</v>
      </c>
      <c r="DJ50" s="464">
        <v>902</v>
      </c>
      <c r="DK50" s="520">
        <f>+DK45+DK48</f>
        <v>1193</v>
      </c>
      <c r="DL50" s="520">
        <f t="shared" ref="DL50:DM51" si="93">DL45+DL48</f>
        <v>1193</v>
      </c>
      <c r="DM50" s="520">
        <f t="shared" si="93"/>
        <v>1193</v>
      </c>
      <c r="DN50" s="530">
        <f>+DN45+DN48</f>
        <v>153</v>
      </c>
      <c r="DO50" s="194"/>
      <c r="DP50" s="194"/>
      <c r="DQ50" s="194"/>
      <c r="DR50" s="194"/>
      <c r="DS50" s="194"/>
      <c r="DT50" s="194"/>
      <c r="DU50" s="194"/>
      <c r="DV50" s="194"/>
      <c r="DW50" s="194"/>
      <c r="DX50" s="194"/>
      <c r="DY50" s="194"/>
      <c r="DZ50" s="194"/>
      <c r="EA50" s="194"/>
      <c r="EB50" s="194"/>
      <c r="EC50" s="194"/>
      <c r="ED50" s="194"/>
      <c r="EE50" s="194"/>
      <c r="EF50" s="194"/>
      <c r="EG50" s="194"/>
      <c r="EH50" s="194"/>
      <c r="EI50" s="194"/>
      <c r="EJ50" s="194"/>
      <c r="EK50" s="194"/>
      <c r="EL50" s="194"/>
      <c r="EM50" s="540">
        <f>EI50+EG50+EE50+EC50+EA50+DY50+DW50+DU50+DS50+DQ50+DO50+EK50</f>
        <v>0</v>
      </c>
      <c r="EN50" s="195">
        <f t="shared" si="85"/>
        <v>0</v>
      </c>
      <c r="EO50" s="195">
        <f t="shared" si="86"/>
        <v>0</v>
      </c>
      <c r="EP50" s="196">
        <f>DQ50+DS50+DU50+DW50+DY50+EA50+EC50+EE50+EG50+EI50+EK50+DO50</f>
        <v>0</v>
      </c>
      <c r="EQ50" s="195">
        <f>DR50+DT50+DV50+DP50</f>
        <v>0</v>
      </c>
      <c r="ER50" s="454">
        <f t="shared" si="7"/>
        <v>0.80143540669856461</v>
      </c>
      <c r="ES50" s="345">
        <f t="shared" si="5"/>
        <v>1.3226164079822615</v>
      </c>
      <c r="ET50" s="346">
        <f t="shared" si="6"/>
        <v>1</v>
      </c>
      <c r="EU50" s="346">
        <f t="shared" si="3"/>
        <v>1.0349465593851328</v>
      </c>
      <c r="EV50" s="346">
        <f t="shared" si="4"/>
        <v>0.98255615095200088</v>
      </c>
      <c r="EW50" s="622"/>
      <c r="EX50" s="624"/>
      <c r="EY50" s="624" t="s">
        <v>548</v>
      </c>
      <c r="EZ50" s="626"/>
      <c r="FA50" s="620"/>
      <c r="FB50" s="625"/>
    </row>
    <row r="51" spans="1:158" s="24" customFormat="1" ht="26.1" customHeight="1" thickBot="1">
      <c r="A51" s="660"/>
      <c r="B51" s="660"/>
      <c r="C51" s="660"/>
      <c r="D51" s="660"/>
      <c r="E51" s="660"/>
      <c r="F51" s="243" t="s">
        <v>44</v>
      </c>
      <c r="G51" s="179">
        <f>+G46+G49</f>
        <v>8112175378</v>
      </c>
      <c r="H51" s="180">
        <f>+H46+H49</f>
        <v>658814131</v>
      </c>
      <c r="I51" s="180">
        <f t="shared" ref="I51:AZ51" si="94">+I46+I49</f>
        <v>0</v>
      </c>
      <c r="J51" s="180">
        <f t="shared" si="94"/>
        <v>0</v>
      </c>
      <c r="K51" s="180">
        <f t="shared" si="94"/>
        <v>0</v>
      </c>
      <c r="L51" s="180">
        <f t="shared" si="94"/>
        <v>0</v>
      </c>
      <c r="M51" s="180">
        <f t="shared" si="94"/>
        <v>0</v>
      </c>
      <c r="N51" s="180">
        <f t="shared" si="94"/>
        <v>0</v>
      </c>
      <c r="O51" s="180">
        <f t="shared" si="94"/>
        <v>0</v>
      </c>
      <c r="P51" s="180">
        <f t="shared" si="94"/>
        <v>0</v>
      </c>
      <c r="Q51" s="180">
        <f t="shared" si="94"/>
        <v>0</v>
      </c>
      <c r="R51" s="180">
        <f t="shared" si="94"/>
        <v>0</v>
      </c>
      <c r="S51" s="180">
        <f t="shared" si="94"/>
        <v>0</v>
      </c>
      <c r="T51" s="180">
        <f t="shared" si="94"/>
        <v>0</v>
      </c>
      <c r="U51" s="180">
        <f t="shared" si="94"/>
        <v>0</v>
      </c>
      <c r="V51" s="180">
        <f t="shared" si="94"/>
        <v>0</v>
      </c>
      <c r="W51" s="180">
        <f>+W46+W49</f>
        <v>658814131</v>
      </c>
      <c r="X51" s="180">
        <f>+X46+X49</f>
        <v>658814131</v>
      </c>
      <c r="Y51" s="180">
        <f t="shared" si="94"/>
        <v>644978000</v>
      </c>
      <c r="Z51" s="180">
        <f>+Z46+Z49</f>
        <v>658814131</v>
      </c>
      <c r="AA51" s="180">
        <f t="shared" si="94"/>
        <v>644978000</v>
      </c>
      <c r="AB51" s="191">
        <f>+AB46+AB49</f>
        <v>1576471662</v>
      </c>
      <c r="AC51" s="180">
        <f t="shared" si="94"/>
        <v>62610500</v>
      </c>
      <c r="AD51" s="180">
        <f t="shared" si="94"/>
        <v>62610500</v>
      </c>
      <c r="AE51" s="180">
        <f t="shared" si="94"/>
        <v>498988833</v>
      </c>
      <c r="AF51" s="180">
        <f t="shared" si="94"/>
        <v>498988833</v>
      </c>
      <c r="AG51" s="180">
        <f t="shared" si="94"/>
        <v>793706499</v>
      </c>
      <c r="AH51" s="180">
        <f t="shared" si="94"/>
        <v>793706499</v>
      </c>
      <c r="AI51" s="180">
        <f t="shared" si="94"/>
        <v>24710465</v>
      </c>
      <c r="AJ51" s="180">
        <f t="shared" si="94"/>
        <v>24710465</v>
      </c>
      <c r="AK51" s="180">
        <f t="shared" si="94"/>
        <v>27160000</v>
      </c>
      <c r="AL51" s="180">
        <f>+AL46+AL49</f>
        <v>27160000</v>
      </c>
      <c r="AM51" s="180">
        <f t="shared" si="94"/>
        <v>14803433</v>
      </c>
      <c r="AN51" s="180">
        <f>+AN46+AN49</f>
        <v>14803433</v>
      </c>
      <c r="AO51" s="180">
        <f t="shared" si="94"/>
        <v>0</v>
      </c>
      <c r="AP51" s="180">
        <f t="shared" si="94"/>
        <v>0</v>
      </c>
      <c r="AQ51" s="180">
        <f t="shared" si="94"/>
        <v>47795732.333333336</v>
      </c>
      <c r="AR51" s="180">
        <f t="shared" si="94"/>
        <v>0</v>
      </c>
      <c r="AS51" s="180">
        <f t="shared" si="94"/>
        <v>54671834.333333336</v>
      </c>
      <c r="AT51" s="180">
        <f t="shared" si="94"/>
        <v>24595500</v>
      </c>
      <c r="AU51" s="180">
        <f t="shared" si="94"/>
        <v>44034333.333333336</v>
      </c>
      <c r="AV51" s="180">
        <f>+AV46+AV49</f>
        <v>15965667</v>
      </c>
      <c r="AW51" s="180">
        <f t="shared" si="94"/>
        <v>0</v>
      </c>
      <c r="AX51" s="180">
        <f>+AX46+AX49</f>
        <v>63441009</v>
      </c>
      <c r="AY51" s="180">
        <f t="shared" si="94"/>
        <v>0</v>
      </c>
      <c r="AZ51" s="180">
        <f t="shared" si="94"/>
        <v>8140033</v>
      </c>
      <c r="BA51" s="181">
        <f>+BA46+BA49</f>
        <v>1568481630</v>
      </c>
      <c r="BB51" s="192">
        <f>+BB46+BB49</f>
        <v>1568481629.9999998</v>
      </c>
      <c r="BC51" s="192">
        <f>+BC46+BC49</f>
        <v>1534121939</v>
      </c>
      <c r="BD51" s="192">
        <f>+BD46+BD49</f>
        <v>1568481629.9999998</v>
      </c>
      <c r="BE51" s="192">
        <f>+BE46+BE49</f>
        <v>1534121939</v>
      </c>
      <c r="BF51" s="192">
        <f t="shared" si="88"/>
        <v>1682633542</v>
      </c>
      <c r="BG51" s="192">
        <f t="shared" ref="BG51:CD51" si="95">+BG46+BG49</f>
        <v>1452531800</v>
      </c>
      <c r="BH51" s="192">
        <f t="shared" si="95"/>
        <v>1487818000</v>
      </c>
      <c r="BI51" s="192">
        <f>+BI46+BI49</f>
        <v>104949742</v>
      </c>
      <c r="BJ51" s="192">
        <f>+BJ46+BJ49</f>
        <v>51705541</v>
      </c>
      <c r="BK51" s="192">
        <f t="shared" si="95"/>
        <v>131034000</v>
      </c>
      <c r="BL51" s="192">
        <f t="shared" si="95"/>
        <v>0</v>
      </c>
      <c r="BM51" s="192">
        <f t="shared" si="95"/>
        <v>0</v>
      </c>
      <c r="BN51" s="192">
        <f t="shared" si="95"/>
        <v>0</v>
      </c>
      <c r="BO51" s="192">
        <f t="shared" si="95"/>
        <v>7048000</v>
      </c>
      <c r="BP51" s="192">
        <f t="shared" si="95"/>
        <v>0</v>
      </c>
      <c r="BQ51" s="192">
        <f t="shared" si="95"/>
        <v>-19869400</v>
      </c>
      <c r="BR51" s="192">
        <f t="shared" si="95"/>
        <v>6020000</v>
      </c>
      <c r="BS51" s="192">
        <f t="shared" si="95"/>
        <v>27147400</v>
      </c>
      <c r="BT51" s="192">
        <f t="shared" si="95"/>
        <v>34947601</v>
      </c>
      <c r="BU51" s="192">
        <f t="shared" si="95"/>
        <v>0</v>
      </c>
      <c r="BV51" s="192">
        <f t="shared" si="95"/>
        <v>0</v>
      </c>
      <c r="BW51" s="192">
        <f t="shared" si="95"/>
        <v>221675500</v>
      </c>
      <c r="BX51" s="192">
        <f t="shared" si="95"/>
        <v>33844399</v>
      </c>
      <c r="BY51" s="192">
        <f t="shared" si="95"/>
        <v>197720506</v>
      </c>
      <c r="BZ51" s="192">
        <f t="shared" si="95"/>
        <v>320180309</v>
      </c>
      <c r="CA51" s="192">
        <f t="shared" si="95"/>
        <v>-55049108</v>
      </c>
      <c r="CB51" s="192">
        <f t="shared" si="95"/>
        <v>40179391</v>
      </c>
      <c r="CC51" s="192">
        <f t="shared" si="95"/>
        <v>57602599</v>
      </c>
      <c r="CD51" s="192">
        <f t="shared" si="95"/>
        <v>110636333</v>
      </c>
      <c r="CE51" s="192">
        <f t="shared" si="90"/>
        <v>2124791039</v>
      </c>
      <c r="CF51" s="192">
        <f t="shared" si="90"/>
        <v>2124791039</v>
      </c>
      <c r="CG51" s="192">
        <f t="shared" si="90"/>
        <v>2085331574</v>
      </c>
      <c r="CH51" s="181">
        <f t="shared" si="90"/>
        <v>2124791039</v>
      </c>
      <c r="CI51" s="181">
        <f t="shared" si="90"/>
        <v>2085331574</v>
      </c>
      <c r="CJ51" s="181">
        <f t="shared" si="90"/>
        <v>2158119033</v>
      </c>
      <c r="CK51" s="181">
        <f t="shared" si="90"/>
        <v>-50975467</v>
      </c>
      <c r="CL51" s="181">
        <f t="shared" si="90"/>
        <v>65830733</v>
      </c>
      <c r="CM51" s="181">
        <f>+CM46+CM49</f>
        <v>368851833</v>
      </c>
      <c r="CN51" s="181">
        <f>+CN46+CM49</f>
        <v>582346833</v>
      </c>
      <c r="CO51" s="181">
        <f t="shared" si="90"/>
        <v>265906867</v>
      </c>
      <c r="CP51" s="181">
        <f>+CP46+CP49</f>
        <v>927704866</v>
      </c>
      <c r="CQ51" s="181">
        <f>+CQ46+CS49</f>
        <v>210225333</v>
      </c>
      <c r="CR51" s="181">
        <f>+CR46+CU49</f>
        <v>194517000</v>
      </c>
      <c r="CS51" s="181">
        <f>+CS46+CW49</f>
        <v>200506700</v>
      </c>
      <c r="CT51" s="263">
        <f>+CT46+CT49</f>
        <v>62940033</v>
      </c>
      <c r="CU51" s="180">
        <f t="shared" si="91"/>
        <v>204707000</v>
      </c>
      <c r="CV51" s="180">
        <f t="shared" si="91"/>
        <v>26352900</v>
      </c>
      <c r="CW51" s="181">
        <f t="shared" si="91"/>
        <v>164601200</v>
      </c>
      <c r="CX51" s="355"/>
      <c r="CY51" s="181">
        <f t="shared" si="92"/>
        <v>149250500</v>
      </c>
      <c r="CZ51" s="181">
        <f t="shared" si="92"/>
        <v>8929667</v>
      </c>
      <c r="DA51" s="181">
        <f t="shared" si="92"/>
        <v>165447000</v>
      </c>
      <c r="DB51" s="181">
        <f t="shared" si="92"/>
        <v>4334667</v>
      </c>
      <c r="DC51" s="181">
        <f>+DC46+DC49</f>
        <v>244500432</v>
      </c>
      <c r="DD51" s="181"/>
      <c r="DE51" s="181">
        <f>+DE46+DE49</f>
        <v>4698900</v>
      </c>
      <c r="DF51" s="181"/>
      <c r="DG51" s="180">
        <f>+DG46+DG49</f>
        <v>76485000</v>
      </c>
      <c r="DH51" s="180">
        <f>+DH46+DH49</f>
        <v>51348800</v>
      </c>
      <c r="DI51" s="181">
        <f>DI46+DI49</f>
        <v>2015131865</v>
      </c>
      <c r="DJ51" s="181">
        <f>DJ46+DJ49</f>
        <v>2015131865</v>
      </c>
      <c r="DK51" s="192">
        <f>DK46+DK49</f>
        <v>1956103432</v>
      </c>
      <c r="DL51" s="181">
        <f t="shared" si="93"/>
        <v>2015131865</v>
      </c>
      <c r="DM51" s="192">
        <f t="shared" si="93"/>
        <v>1956103432</v>
      </c>
      <c r="DN51" s="192">
        <f>+DN46+DN49</f>
        <v>1832612000</v>
      </c>
      <c r="DO51" s="199"/>
      <c r="DP51" s="199"/>
      <c r="DQ51" s="199"/>
      <c r="DR51" s="199"/>
      <c r="DS51" s="199"/>
      <c r="DT51" s="199"/>
      <c r="DU51" s="199"/>
      <c r="DV51" s="199"/>
      <c r="DW51" s="199"/>
      <c r="DX51" s="199"/>
      <c r="DY51" s="199"/>
      <c r="DZ51" s="199"/>
      <c r="EA51" s="199"/>
      <c r="EB51" s="199"/>
      <c r="EC51" s="199"/>
      <c r="ED51" s="199"/>
      <c r="EE51" s="199"/>
      <c r="EF51" s="199"/>
      <c r="EG51" s="199"/>
      <c r="EH51" s="199"/>
      <c r="EI51" s="199"/>
      <c r="EJ51" s="199"/>
      <c r="EK51" s="199"/>
      <c r="EL51" s="199"/>
      <c r="EM51" s="200">
        <f>EK51+EI51+EG51+EE51+EC51+EA51+DY51+DW51+DU51+DS51+DQ51+DO51</f>
        <v>0</v>
      </c>
      <c r="EN51" s="201">
        <f>+EN46+EN49</f>
        <v>0</v>
      </c>
      <c r="EO51" s="202">
        <f>EO46+EO49</f>
        <v>0</v>
      </c>
      <c r="EP51" s="201">
        <f>+EP46+EP49</f>
        <v>0</v>
      </c>
      <c r="EQ51" s="201">
        <f>+EQ46+EQ49</f>
        <v>0</v>
      </c>
      <c r="ER51" s="455">
        <f t="shared" si="7"/>
        <v>0.67135778257174605</v>
      </c>
      <c r="ES51" s="347">
        <f>+DK51/DJ51</f>
        <v>0.9707074092642568</v>
      </c>
      <c r="ET51" s="348">
        <f t="shared" si="6"/>
        <v>0.9707074092642568</v>
      </c>
      <c r="EU51" s="348">
        <f t="shared" si="3"/>
        <v>0.9769626696180066</v>
      </c>
      <c r="EV51" s="349">
        <f>+(AA51+BE51+CI51+DM51)/G51</f>
        <v>0.76681465268489168</v>
      </c>
      <c r="EW51" s="623"/>
      <c r="EX51" s="624"/>
      <c r="EY51" s="624" t="s">
        <v>548</v>
      </c>
      <c r="EZ51" s="626"/>
      <c r="FA51" s="620"/>
      <c r="FB51" s="625"/>
    </row>
    <row r="52" spans="1:158" s="3" customFormat="1" ht="26.1" customHeight="1">
      <c r="A52" s="660" t="s">
        <v>295</v>
      </c>
      <c r="B52" s="660">
        <v>7</v>
      </c>
      <c r="C52" s="660" t="s">
        <v>299</v>
      </c>
      <c r="D52" s="660" t="s">
        <v>260</v>
      </c>
      <c r="E52" s="660">
        <v>268</v>
      </c>
      <c r="F52" s="242" t="s">
        <v>40</v>
      </c>
      <c r="G52" s="168">
        <v>1</v>
      </c>
      <c r="H52" s="203">
        <v>1</v>
      </c>
      <c r="I52" s="203">
        <v>1</v>
      </c>
      <c r="J52" s="203">
        <v>1</v>
      </c>
      <c r="K52" s="203">
        <v>1</v>
      </c>
      <c r="L52" s="203">
        <v>1</v>
      </c>
      <c r="M52" s="203">
        <v>1</v>
      </c>
      <c r="N52" s="203">
        <v>1</v>
      </c>
      <c r="O52" s="203">
        <v>1</v>
      </c>
      <c r="P52" s="203">
        <v>1</v>
      </c>
      <c r="Q52" s="203">
        <v>1</v>
      </c>
      <c r="R52" s="203">
        <v>1</v>
      </c>
      <c r="S52" s="203">
        <v>1</v>
      </c>
      <c r="T52" s="203">
        <v>1</v>
      </c>
      <c r="U52" s="203">
        <v>1</v>
      </c>
      <c r="V52" s="203">
        <v>1</v>
      </c>
      <c r="W52" s="203">
        <v>1</v>
      </c>
      <c r="X52" s="203">
        <v>1</v>
      </c>
      <c r="Y52" s="203">
        <v>1</v>
      </c>
      <c r="Z52" s="203">
        <v>1</v>
      </c>
      <c r="AA52" s="203">
        <v>1</v>
      </c>
      <c r="AB52" s="203">
        <v>1</v>
      </c>
      <c r="AC52" s="203">
        <v>1</v>
      </c>
      <c r="AD52" s="203">
        <v>1</v>
      </c>
      <c r="AE52" s="203">
        <v>1</v>
      </c>
      <c r="AF52" s="203">
        <v>1</v>
      </c>
      <c r="AG52" s="203">
        <v>1</v>
      </c>
      <c r="AH52" s="203">
        <v>1</v>
      </c>
      <c r="AI52" s="203">
        <v>1</v>
      </c>
      <c r="AJ52" s="203">
        <v>0.64</v>
      </c>
      <c r="AK52" s="203">
        <v>1</v>
      </c>
      <c r="AL52" s="203">
        <v>0.877</v>
      </c>
      <c r="AM52" s="203">
        <v>1</v>
      </c>
      <c r="AN52" s="211">
        <v>0.91600000000000004</v>
      </c>
      <c r="AO52" s="203">
        <v>1</v>
      </c>
      <c r="AP52" s="203">
        <v>1</v>
      </c>
      <c r="AQ52" s="203">
        <v>1</v>
      </c>
      <c r="AR52" s="211">
        <v>0.91300000000000003</v>
      </c>
      <c r="AS52" s="203">
        <v>1</v>
      </c>
      <c r="AT52" s="203">
        <v>1</v>
      </c>
      <c r="AU52" s="203">
        <v>1</v>
      </c>
      <c r="AV52" s="211">
        <v>1</v>
      </c>
      <c r="AW52" s="203">
        <v>1</v>
      </c>
      <c r="AX52" s="203">
        <v>1</v>
      </c>
      <c r="AY52" s="203">
        <v>1</v>
      </c>
      <c r="AZ52" s="211">
        <v>1</v>
      </c>
      <c r="BA52" s="203">
        <f>+AB52</f>
        <v>1</v>
      </c>
      <c r="BB52" s="203">
        <f>+AY52</f>
        <v>1</v>
      </c>
      <c r="BC52" s="203">
        <f>+AZ52</f>
        <v>1</v>
      </c>
      <c r="BD52" s="203">
        <f>+G52</f>
        <v>1</v>
      </c>
      <c r="BE52" s="203">
        <f>+AZ52</f>
        <v>1</v>
      </c>
      <c r="BF52" s="203">
        <v>1</v>
      </c>
      <c r="BG52" s="203">
        <v>1</v>
      </c>
      <c r="BH52" s="203">
        <v>1</v>
      </c>
      <c r="BI52" s="203">
        <v>1</v>
      </c>
      <c r="BJ52" s="203">
        <v>1</v>
      </c>
      <c r="BK52" s="203">
        <v>1</v>
      </c>
      <c r="BL52" s="203">
        <v>1</v>
      </c>
      <c r="BM52" s="203">
        <v>1</v>
      </c>
      <c r="BN52" s="203">
        <v>1</v>
      </c>
      <c r="BO52" s="203">
        <v>1</v>
      </c>
      <c r="BP52" s="203">
        <v>1</v>
      </c>
      <c r="BQ52" s="203">
        <v>1</v>
      </c>
      <c r="BR52" s="203">
        <v>1</v>
      </c>
      <c r="BS52" s="203">
        <v>1</v>
      </c>
      <c r="BT52" s="203">
        <v>1</v>
      </c>
      <c r="BU52" s="203">
        <v>1</v>
      </c>
      <c r="BV52" s="203">
        <v>1</v>
      </c>
      <c r="BW52" s="203">
        <v>1</v>
      </c>
      <c r="BX52" s="203">
        <v>1</v>
      </c>
      <c r="BY52" s="203">
        <v>1</v>
      </c>
      <c r="BZ52" s="203">
        <v>0.92849999999999999</v>
      </c>
      <c r="CA52" s="203">
        <v>1</v>
      </c>
      <c r="CB52" s="203">
        <v>1</v>
      </c>
      <c r="CC52" s="203">
        <v>1</v>
      </c>
      <c r="CD52" s="203">
        <v>1</v>
      </c>
      <c r="CE52" s="203">
        <f>BF52</f>
        <v>1</v>
      </c>
      <c r="CF52" s="203">
        <f>+CC52</f>
        <v>1</v>
      </c>
      <c r="CG52" s="203">
        <f>+CD52</f>
        <v>1</v>
      </c>
      <c r="CH52" s="203">
        <f>+CC52</f>
        <v>1</v>
      </c>
      <c r="CI52" s="203">
        <f>+CD52</f>
        <v>1</v>
      </c>
      <c r="CJ52" s="168">
        <v>1</v>
      </c>
      <c r="CK52" s="168">
        <v>1</v>
      </c>
      <c r="CL52" s="168">
        <v>1</v>
      </c>
      <c r="CM52" s="168">
        <v>1</v>
      </c>
      <c r="CN52" s="168">
        <v>1</v>
      </c>
      <c r="CO52" s="168">
        <v>1</v>
      </c>
      <c r="CP52" s="168">
        <v>1</v>
      </c>
      <c r="CQ52" s="168">
        <v>1</v>
      </c>
      <c r="CR52" s="168">
        <v>1</v>
      </c>
      <c r="CS52" s="168">
        <v>1</v>
      </c>
      <c r="CT52" s="546">
        <v>1</v>
      </c>
      <c r="CU52" s="168">
        <v>1</v>
      </c>
      <c r="CV52" s="512">
        <v>1</v>
      </c>
      <c r="CW52" s="168">
        <v>1</v>
      </c>
      <c r="CX52" s="512">
        <v>1</v>
      </c>
      <c r="CY52" s="168">
        <v>1</v>
      </c>
      <c r="CZ52" s="512">
        <v>1</v>
      </c>
      <c r="DA52" s="168">
        <v>1</v>
      </c>
      <c r="DB52" s="512">
        <v>1</v>
      </c>
      <c r="DC52" s="168">
        <v>1</v>
      </c>
      <c r="DD52" s="512">
        <v>1</v>
      </c>
      <c r="DE52" s="168">
        <v>1</v>
      </c>
      <c r="DF52" s="512">
        <v>1</v>
      </c>
      <c r="DG52" s="168">
        <v>1</v>
      </c>
      <c r="DH52" s="512">
        <v>1</v>
      </c>
      <c r="DI52" s="203">
        <f>+CJ52</f>
        <v>1</v>
      </c>
      <c r="DJ52" s="203">
        <f>DG52</f>
        <v>1</v>
      </c>
      <c r="DK52" s="203">
        <f>DH52</f>
        <v>1</v>
      </c>
      <c r="DL52" s="203">
        <f>+CJ52</f>
        <v>1</v>
      </c>
      <c r="DM52" s="203">
        <f>+CR52</f>
        <v>1</v>
      </c>
      <c r="DN52" s="203">
        <v>1</v>
      </c>
      <c r="DO52" s="212"/>
      <c r="DP52" s="212"/>
      <c r="DQ52" s="212"/>
      <c r="DR52" s="212"/>
      <c r="DS52" s="212"/>
      <c r="DT52" s="212"/>
      <c r="DU52" s="212"/>
      <c r="DV52" s="212"/>
      <c r="DW52" s="212"/>
      <c r="DX52" s="212"/>
      <c r="DY52" s="212"/>
      <c r="DZ52" s="212"/>
      <c r="EA52" s="212"/>
      <c r="EB52" s="212"/>
      <c r="EC52" s="212"/>
      <c r="ED52" s="212"/>
      <c r="EE52" s="212"/>
      <c r="EF52" s="212"/>
      <c r="EG52" s="212"/>
      <c r="EH52" s="212"/>
      <c r="EI52" s="212"/>
      <c r="EJ52" s="212"/>
      <c r="EK52" s="212"/>
      <c r="EL52" s="212"/>
      <c r="EM52" s="206">
        <f>EK52+EI52+EG52+EE52+EC52+EA52+DY52+DW52+DU52+DS52+DQ52+DO52</f>
        <v>0</v>
      </c>
      <c r="EN52" s="205">
        <f>DO52+DQ52+DS52+DU52</f>
        <v>0</v>
      </c>
      <c r="EO52" s="205">
        <f t="shared" ref="EO52:EO57" si="96">DP52+DR52+DT52+DV52</f>
        <v>0</v>
      </c>
      <c r="EP52" s="205">
        <f>DQ52+DS52+DU52+DW52+DY52+EA52+EC52+EE52+EG52+EI52+EK52+DO52</f>
        <v>0</v>
      </c>
      <c r="EQ52" s="205">
        <f>DP52+DR52+DT52+DV52</f>
        <v>0</v>
      </c>
      <c r="ER52" s="178">
        <f t="shared" si="7"/>
        <v>1</v>
      </c>
      <c r="ES52" s="350">
        <f t="shared" si="5"/>
        <v>1</v>
      </c>
      <c r="ET52" s="351">
        <f>+DM52/DL52</f>
        <v>1</v>
      </c>
      <c r="EU52" s="351">
        <f>+(AA52+BE52+CI52+DK52)/(Z52+BD52+CH52+DJ52)</f>
        <v>1</v>
      </c>
      <c r="EV52" s="351">
        <f>+(AA52+BE52+CI52+DM52)/500%</f>
        <v>0.8</v>
      </c>
      <c r="EW52" s="622" t="s">
        <v>778</v>
      </c>
      <c r="EX52" s="624" t="s">
        <v>548</v>
      </c>
      <c r="EY52" s="624" t="s">
        <v>548</v>
      </c>
      <c r="EZ52" s="626" t="s">
        <v>511</v>
      </c>
      <c r="FA52" s="619" t="s">
        <v>704</v>
      </c>
      <c r="FB52" s="625"/>
    </row>
    <row r="53" spans="1:158" s="37" customFormat="1" ht="23.1" customHeight="1">
      <c r="A53" s="660"/>
      <c r="B53" s="660"/>
      <c r="C53" s="660"/>
      <c r="D53" s="660"/>
      <c r="E53" s="660"/>
      <c r="F53" s="243" t="s">
        <v>3</v>
      </c>
      <c r="G53" s="77">
        <f>+AA53+BE53+CI53+DL53+DN53</f>
        <v>3485999018</v>
      </c>
      <c r="H53" s="76">
        <v>450000000</v>
      </c>
      <c r="I53" s="77"/>
      <c r="J53" s="77"/>
      <c r="K53" s="77"/>
      <c r="L53" s="77"/>
      <c r="M53" s="77"/>
      <c r="N53" s="77"/>
      <c r="O53" s="77"/>
      <c r="P53" s="77"/>
      <c r="Q53" s="77"/>
      <c r="R53" s="77"/>
      <c r="S53" s="77"/>
      <c r="T53" s="76"/>
      <c r="U53" s="87"/>
      <c r="V53" s="87"/>
      <c r="W53" s="76">
        <v>450000000</v>
      </c>
      <c r="X53" s="76">
        <v>450000000</v>
      </c>
      <c r="Y53" s="76">
        <v>447516000</v>
      </c>
      <c r="Z53" s="76">
        <v>450000000</v>
      </c>
      <c r="AA53" s="76">
        <v>447516000</v>
      </c>
      <c r="AB53" s="76">
        <v>691670000</v>
      </c>
      <c r="AC53" s="77">
        <v>0</v>
      </c>
      <c r="AD53" s="77">
        <v>0</v>
      </c>
      <c r="AE53" s="77">
        <v>326043000</v>
      </c>
      <c r="AF53" s="77">
        <f>326043000-AD53</f>
        <v>326043000</v>
      </c>
      <c r="AG53" s="77">
        <v>89595000</v>
      </c>
      <c r="AH53" s="77">
        <f>415638000-AF53-AD53</f>
        <v>89595000</v>
      </c>
      <c r="AI53" s="77">
        <v>100480000</v>
      </c>
      <c r="AJ53" s="77">
        <f>516118000-AH53-AF53-AD53</f>
        <v>100480000</v>
      </c>
      <c r="AK53" s="77">
        <v>0</v>
      </c>
      <c r="AL53" s="77">
        <f>516118000-AJ53-AH53-AF53-AD53</f>
        <v>0</v>
      </c>
      <c r="AM53" s="77">
        <v>0</v>
      </c>
      <c r="AN53" s="77">
        <v>0</v>
      </c>
      <c r="AO53" s="77">
        <v>0</v>
      </c>
      <c r="AP53" s="77">
        <v>0</v>
      </c>
      <c r="AQ53" s="77">
        <f>4186666.66666667+32598400</f>
        <v>36785066.666666672</v>
      </c>
      <c r="AR53" s="77">
        <v>0</v>
      </c>
      <c r="AS53" s="77">
        <f>4186666.66666667+32598400-133727930</f>
        <v>-96942863.333333328</v>
      </c>
      <c r="AT53" s="77">
        <v>0</v>
      </c>
      <c r="AU53" s="77">
        <f>4186666.66666667+32598400</f>
        <v>36785066.666666672</v>
      </c>
      <c r="AV53" s="77">
        <v>27531699</v>
      </c>
      <c r="AW53" s="77">
        <v>32598400</v>
      </c>
      <c r="AX53" s="77">
        <v>13283666</v>
      </c>
      <c r="AY53" s="77">
        <v>32598400</v>
      </c>
      <c r="AZ53" s="77">
        <v>0</v>
      </c>
      <c r="BA53" s="77">
        <f>AY53+AW53+AU53+AS53+AQ53+AO53+AM53+AK53+AI53+AG53+AE53+AC53</f>
        <v>557942070</v>
      </c>
      <c r="BB53" s="86">
        <f>AC53+AE53+AG53+AI53+AK53+AM53+AO53+AQ53+AS53+AU53+AW53+AY53</f>
        <v>557942070</v>
      </c>
      <c r="BC53" s="77">
        <f>AD53+AF53+AH53+AJ53+AL53+AN53+AP53+AR53+AT53+AV53+AX53+AZ53</f>
        <v>556933365</v>
      </c>
      <c r="BD53" s="86">
        <f>AE53+AG53+AI53+AK53+AM53+AO53+AQ53+AS53+AU53+AW53+AY53+AC53</f>
        <v>557942070</v>
      </c>
      <c r="BE53" s="77">
        <f>AD53+AF53+AH53+AJ53+AL53+AN53+AP53+AR53+AT53+AV53+AX53+AZ53</f>
        <v>556933365</v>
      </c>
      <c r="BF53" s="86">
        <v>725040000</v>
      </c>
      <c r="BG53" s="77">
        <v>722400000</v>
      </c>
      <c r="BH53" s="77">
        <v>585413000</v>
      </c>
      <c r="BI53" s="77">
        <v>0</v>
      </c>
      <c r="BJ53" s="77">
        <v>0</v>
      </c>
      <c r="BK53" s="247">
        <v>-136987000</v>
      </c>
      <c r="BL53" s="77">
        <v>0</v>
      </c>
      <c r="BM53" s="247">
        <v>0</v>
      </c>
      <c r="BN53" s="77">
        <v>0</v>
      </c>
      <c r="BO53" s="247">
        <v>0</v>
      </c>
      <c r="BP53" s="77">
        <v>0</v>
      </c>
      <c r="BQ53" s="247">
        <v>0</v>
      </c>
      <c r="BR53" s="77">
        <v>0</v>
      </c>
      <c r="BS53" s="247">
        <v>0</v>
      </c>
      <c r="BT53" s="77">
        <v>0</v>
      </c>
      <c r="BU53" s="248">
        <v>2640000</v>
      </c>
      <c r="BV53" s="77">
        <v>0</v>
      </c>
      <c r="BW53" s="248">
        <v>76803767</v>
      </c>
      <c r="BX53" s="77">
        <v>12040000</v>
      </c>
      <c r="BY53" s="77">
        <v>-793767</v>
      </c>
      <c r="BZ53" s="77">
        <v>46709200</v>
      </c>
      <c r="CA53" s="77">
        <v>0</v>
      </c>
      <c r="CB53" s="77">
        <v>19900800</v>
      </c>
      <c r="CC53" s="77">
        <v>0</v>
      </c>
      <c r="CD53" s="77">
        <v>0</v>
      </c>
      <c r="CE53" s="77">
        <f>CC53+CA53+BY53+BW53+BU53+BS53+BQ53+BO53+BM53+BK53+BI53+BG53</f>
        <v>664063000</v>
      </c>
      <c r="CF53" s="77">
        <f>+BG53+BI53+BK53+BM53+BO53+BQ53+BS53+BU53+BW53+BY53+CA53+CC53</f>
        <v>664063000</v>
      </c>
      <c r="CG53" s="77">
        <f>+BH53+BJ53+BL53+BN53+BP53+BR53+BT53+BV53+BX53+BZ53+CB53+CD53</f>
        <v>664063000</v>
      </c>
      <c r="CH53" s="76">
        <f>CC53+CA53+BY53+BW53+BU53+BS53+BQ53+BO53+BM53+BK53+BI53+BG53</f>
        <v>664063000</v>
      </c>
      <c r="CI53" s="76">
        <f>+BH53+BJ53+BL53+BN53+BP53+BR53+BT53+BV53+BX53+BZ53+CB53+CD53</f>
        <v>664063000</v>
      </c>
      <c r="CJ53" s="77">
        <v>758280000</v>
      </c>
      <c r="CK53" s="77">
        <v>77547000</v>
      </c>
      <c r="CL53" s="77">
        <v>0</v>
      </c>
      <c r="CM53" s="77">
        <v>20516333</v>
      </c>
      <c r="CN53" s="77">
        <v>366737000</v>
      </c>
      <c r="CO53" s="77">
        <v>61549000</v>
      </c>
      <c r="CP53" s="77">
        <v>324728000</v>
      </c>
      <c r="CQ53" s="77">
        <v>61549000</v>
      </c>
      <c r="CR53" s="77">
        <v>22192000</v>
      </c>
      <c r="CS53" s="77">
        <v>61549000</v>
      </c>
      <c r="CT53" s="260">
        <v>0</v>
      </c>
      <c r="CU53" s="238">
        <v>61549000</v>
      </c>
      <c r="CV53" s="238">
        <v>12186000</v>
      </c>
      <c r="CW53" s="77">
        <v>59211000</v>
      </c>
      <c r="CX53" s="238">
        <v>27366000</v>
      </c>
      <c r="CY53" s="77">
        <f>54203000-26187000</f>
        <v>28016000</v>
      </c>
      <c r="CZ53" s="238">
        <v>0</v>
      </c>
      <c r="DA53" s="238">
        <f>47521000-40501000</f>
        <v>7020000</v>
      </c>
      <c r="DB53" s="238">
        <v>0</v>
      </c>
      <c r="DC53" s="238">
        <f>47521000+24948053</f>
        <v>72469053</v>
      </c>
      <c r="DD53" s="238">
        <v>4482652</v>
      </c>
      <c r="DE53" s="238">
        <f>44889000-8374400</f>
        <v>36514600</v>
      </c>
      <c r="DF53" s="238">
        <v>28021001</v>
      </c>
      <c r="DG53" s="238">
        <v>238222667</v>
      </c>
      <c r="DH53" s="238">
        <v>0</v>
      </c>
      <c r="DI53" s="76">
        <f>DG53+DE53+DC53+DA53+CY53+CW53+CU53+CS53+CQ53+CO53+CM53+CK53</f>
        <v>785712653</v>
      </c>
      <c r="DJ53" s="76">
        <f>CK53+CM53+CO53+CQ53+CS53+CU53+CW53+CY53+DA53+DC53+DE53+DG53</f>
        <v>785712653</v>
      </c>
      <c r="DK53" s="76">
        <f>CL53+CN53+CP53+CR53+CT53+CV53+CX53+CZ53+DB53+DD53+DF53+DH53</f>
        <v>785712653</v>
      </c>
      <c r="DL53" s="76">
        <f>CM53+CO53+CQ53+CS53+CU53+CW53+CY53+DA53+DC53+DE53+DG53+CK53</f>
        <v>785712653</v>
      </c>
      <c r="DM53" s="76">
        <f>CN53+CP53+CR53+CT53+CV53+CX53+CZ53+DB53+DD53+DF53+DH53+CL53</f>
        <v>785712653</v>
      </c>
      <c r="DN53" s="77">
        <v>1031774000</v>
      </c>
      <c r="DO53" s="49"/>
      <c r="DP53" s="49"/>
      <c r="DQ53" s="49"/>
      <c r="DR53" s="49"/>
      <c r="DS53" s="49"/>
      <c r="DT53" s="49"/>
      <c r="DU53" s="49"/>
      <c r="DV53" s="49"/>
      <c r="DW53" s="49"/>
      <c r="DX53" s="49"/>
      <c r="DY53" s="49"/>
      <c r="DZ53" s="49"/>
      <c r="EA53" s="49"/>
      <c r="EB53" s="49"/>
      <c r="EC53" s="49"/>
      <c r="ED53" s="49"/>
      <c r="EE53" s="49"/>
      <c r="EF53" s="49"/>
      <c r="EG53" s="49"/>
      <c r="EH53" s="49"/>
      <c r="EI53" s="49"/>
      <c r="EJ53" s="49"/>
      <c r="EK53" s="49"/>
      <c r="EL53" s="49"/>
      <c r="EM53" s="534">
        <f>EK53+EI53+EG53+EE53+EC53+EA53+DY53+DW53+DU53+DS53+DQ53+DO53</f>
        <v>0</v>
      </c>
      <c r="EN53" s="66">
        <f>DO53+DQ53+DS53+DU53</f>
        <v>0</v>
      </c>
      <c r="EO53" s="66">
        <f t="shared" si="96"/>
        <v>0</v>
      </c>
      <c r="EP53" s="67">
        <f>DQ53+DS53+DU53+DW53+DY53+EA53+EC53+EE53+EG53+EI53+EK53+DO53</f>
        <v>0</v>
      </c>
      <c r="EQ53" s="66">
        <f>DP53+DR53+DT53+DV53</f>
        <v>0</v>
      </c>
      <c r="ER53" s="178">
        <f t="shared" si="7"/>
        <v>0</v>
      </c>
      <c r="ES53" s="143">
        <f>+DK53/DJ53</f>
        <v>1</v>
      </c>
      <c r="ET53" s="344">
        <f t="shared" si="6"/>
        <v>1</v>
      </c>
      <c r="EU53" s="344">
        <f>+(AA53+BE53+CI53+DK53)/(Z53+BD53+CH53+DJ53)</f>
        <v>0.99857888277107076</v>
      </c>
      <c r="EV53" s="344">
        <f>+(AA53+BE53+CI53+DM53)/G53</f>
        <v>0.70402343928600608</v>
      </c>
      <c r="EW53" s="622"/>
      <c r="EX53" s="624" t="s">
        <v>548</v>
      </c>
      <c r="EY53" s="624" t="s">
        <v>548</v>
      </c>
      <c r="EZ53" s="626"/>
      <c r="FA53" s="620"/>
      <c r="FB53" s="625"/>
    </row>
    <row r="54" spans="1:158" s="37" customFormat="1" ht="23.1" customHeight="1">
      <c r="A54" s="660"/>
      <c r="B54" s="660"/>
      <c r="C54" s="660"/>
      <c r="D54" s="660"/>
      <c r="E54" s="660"/>
      <c r="F54" s="244" t="s">
        <v>205</v>
      </c>
      <c r="G54" s="77"/>
      <c r="H54" s="76"/>
      <c r="I54" s="77"/>
      <c r="J54" s="77"/>
      <c r="K54" s="77"/>
      <c r="L54" s="77"/>
      <c r="M54" s="77"/>
      <c r="N54" s="77"/>
      <c r="O54" s="77"/>
      <c r="P54" s="77"/>
      <c r="Q54" s="77"/>
      <c r="R54" s="77"/>
      <c r="S54" s="77"/>
      <c r="T54" s="76"/>
      <c r="U54" s="87"/>
      <c r="V54" s="87"/>
      <c r="W54" s="76"/>
      <c r="X54" s="76"/>
      <c r="Y54" s="76"/>
      <c r="Z54" s="76"/>
      <c r="AA54" s="77"/>
      <c r="AB54" s="76"/>
      <c r="AC54" s="77">
        <v>0</v>
      </c>
      <c r="AD54" s="77">
        <v>0</v>
      </c>
      <c r="AE54" s="77">
        <v>0</v>
      </c>
      <c r="AF54" s="77">
        <v>0</v>
      </c>
      <c r="AG54" s="77">
        <v>13025300</v>
      </c>
      <c r="AH54" s="77">
        <v>13025300</v>
      </c>
      <c r="AI54" s="77">
        <v>41275300</v>
      </c>
      <c r="AJ54" s="77">
        <f>54300600-AH54</f>
        <v>41275300</v>
      </c>
      <c r="AK54" s="77">
        <v>49826100</v>
      </c>
      <c r="AL54" s="77">
        <f>104126700-AJ54-AH54</f>
        <v>49826100</v>
      </c>
      <c r="AM54" s="77">
        <v>59253467</v>
      </c>
      <c r="AN54" s="77">
        <v>59253467</v>
      </c>
      <c r="AO54" s="77">
        <v>0</v>
      </c>
      <c r="AP54" s="77">
        <v>58742000</v>
      </c>
      <c r="AQ54" s="77">
        <v>0</v>
      </c>
      <c r="AR54" s="77">
        <v>58742000</v>
      </c>
      <c r="AS54" s="77">
        <v>0</v>
      </c>
      <c r="AT54" s="77">
        <v>58742000</v>
      </c>
      <c r="AU54" s="77">
        <v>0</v>
      </c>
      <c r="AV54" s="77">
        <v>58742000</v>
      </c>
      <c r="AW54" s="77">
        <v>0</v>
      </c>
      <c r="AX54" s="77">
        <v>58742000</v>
      </c>
      <c r="AY54" s="77">
        <v>0</v>
      </c>
      <c r="AZ54" s="77">
        <v>0</v>
      </c>
      <c r="BA54" s="77">
        <f>AY54+AW54+AU54+AS54+AQ54+AO54+AM54+AK54+AI54+AG54+AE54+AC54</f>
        <v>163380167</v>
      </c>
      <c r="BB54" s="86">
        <f>AC54+AE54+AG54+AI54+AK54+AM54+AO54+AQ54+AS54+AU54+AW54+AY54</f>
        <v>163380167</v>
      </c>
      <c r="BC54" s="77">
        <f>AD54+AF54+AH54+AJ54+AL54+AN54+AP54+AR54+AT54+AV54+AX54+AZ54</f>
        <v>457090167</v>
      </c>
      <c r="BD54" s="86">
        <f>AE54+AG54+AI54+AK54+AM54+AO54+AQ54+AS54+AU54+AW54+AY54+AC54</f>
        <v>163380167</v>
      </c>
      <c r="BE54" s="77">
        <f>AD54+AF54+AH54+AJ54+AL54+AN54+AP54+AR54+AT54+AV54+AX54+AZ54</f>
        <v>457090167</v>
      </c>
      <c r="BF54" s="77">
        <v>0</v>
      </c>
      <c r="BG54" s="77">
        <v>0</v>
      </c>
      <c r="BH54" s="77">
        <v>0</v>
      </c>
      <c r="BI54" s="77"/>
      <c r="BJ54" s="77">
        <v>1771000</v>
      </c>
      <c r="BK54" s="77"/>
      <c r="BL54" s="77">
        <v>55558600</v>
      </c>
      <c r="BM54" s="77"/>
      <c r="BN54" s="77">
        <v>75173000</v>
      </c>
      <c r="BO54" s="77"/>
      <c r="BP54" s="77">
        <v>67583000</v>
      </c>
      <c r="BQ54" s="77">
        <v>0</v>
      </c>
      <c r="BR54" s="77">
        <v>67583000</v>
      </c>
      <c r="BS54" s="77"/>
      <c r="BT54" s="77">
        <v>67583000</v>
      </c>
      <c r="BU54" s="77">
        <v>0</v>
      </c>
      <c r="BV54" s="77">
        <v>59667000</v>
      </c>
      <c r="BW54" s="77">
        <v>0</v>
      </c>
      <c r="BX54" s="77">
        <v>72489000</v>
      </c>
      <c r="BY54" s="77">
        <v>0</v>
      </c>
      <c r="BZ54" s="77">
        <v>47759000</v>
      </c>
      <c r="CA54" s="77">
        <v>0</v>
      </c>
      <c r="CB54" s="77">
        <v>45262000</v>
      </c>
      <c r="CC54" s="77">
        <v>0</v>
      </c>
      <c r="CD54" s="77">
        <v>69310900</v>
      </c>
      <c r="CE54" s="77">
        <f>CC54+CA54+BY54+BW54+BU54+BS54+BQ54+BO54+BM54+BK54+BI54+BG54</f>
        <v>0</v>
      </c>
      <c r="CF54" s="77">
        <f>+BG54+BI54+BK54+BM54+BO54+BQ54+BS54+BU54+BW54+BY54+CA54+CC54</f>
        <v>0</v>
      </c>
      <c r="CG54" s="77">
        <f>+BH54+BJ54+BL54+BN54+BP54+BR54+BT54+BV54+BX54+BZ54+CB54+CD54</f>
        <v>629739500</v>
      </c>
      <c r="CH54" s="76">
        <f>CC54+CA54+BY54+BW54+BU54+BS54+BQ54+BO54+BM54+BK54+BI54+BG54</f>
        <v>0</v>
      </c>
      <c r="CI54" s="76">
        <f>+BH54+BJ54+BL54+BN54+BP54+BR54+BT54+BV54+BX54+BZ54+CB54+CD54</f>
        <v>629739500</v>
      </c>
      <c r="CJ54" s="77">
        <v>758280000</v>
      </c>
      <c r="CK54" s="77">
        <v>77547000</v>
      </c>
      <c r="CL54" s="77">
        <v>0</v>
      </c>
      <c r="CM54" s="77">
        <v>20516333</v>
      </c>
      <c r="CN54" s="77">
        <v>0</v>
      </c>
      <c r="CO54" s="77">
        <v>61549000</v>
      </c>
      <c r="CP54" s="77">
        <v>16333866</v>
      </c>
      <c r="CQ54" s="77">
        <v>61549000</v>
      </c>
      <c r="CR54" s="77">
        <v>53490200</v>
      </c>
      <c r="CS54" s="77">
        <v>61549000</v>
      </c>
      <c r="CT54" s="260">
        <v>67516133</v>
      </c>
      <c r="CU54" s="238">
        <v>61549000</v>
      </c>
      <c r="CV54" s="238">
        <v>68320300</v>
      </c>
      <c r="CW54" s="77">
        <v>59211000</v>
      </c>
      <c r="CX54" s="238">
        <v>87270767</v>
      </c>
      <c r="CY54" s="77">
        <f>54203000-26187000</f>
        <v>28016000</v>
      </c>
      <c r="CZ54" s="238">
        <v>84716400</v>
      </c>
      <c r="DA54" s="238">
        <f>47521000-40501000</f>
        <v>7020000</v>
      </c>
      <c r="DB54" s="238">
        <v>78818000</v>
      </c>
      <c r="DC54" s="238">
        <f>47521000+24948053</f>
        <v>72469053</v>
      </c>
      <c r="DD54" s="238">
        <v>76830000</v>
      </c>
      <c r="DE54" s="238">
        <f>44889000-8374400</f>
        <v>36514600</v>
      </c>
      <c r="DF54" s="238">
        <v>68149652</v>
      </c>
      <c r="DG54" s="238">
        <v>238222667</v>
      </c>
      <c r="DH54" s="238">
        <v>86427734</v>
      </c>
      <c r="DI54" s="76">
        <f>DG54+DE54+DC54+DA54+CY54+CW54+CU54+CS54+CQ54+CO54+CM54+CK54</f>
        <v>785712653</v>
      </c>
      <c r="DJ54" s="76">
        <f>CK54+CM54+CO54+CQ54+CS54+CU54+CW54+CY54+DA54+DC54+DE54+DG54</f>
        <v>785712653</v>
      </c>
      <c r="DK54" s="76">
        <f>CL54+CN54+CP54+CR54+CT54+CV54+CX54+CZ54+DB54+DD54+DF54+DH54</f>
        <v>687873052</v>
      </c>
      <c r="DL54" s="76">
        <f>CM54+CO54+CQ54+CS54+CU54+CW54+CY54+DA54+DC54+DE54+DG54+CK54</f>
        <v>785712653</v>
      </c>
      <c r="DM54" s="76">
        <f>CN54+CP54+CR54+CT54+CV54+CX54+CZ54+DB54+DD54+DF54+DH54+CL54</f>
        <v>687873052</v>
      </c>
      <c r="DN54" s="77"/>
      <c r="DO54" s="49"/>
      <c r="DP54" s="49"/>
      <c r="DQ54" s="49"/>
      <c r="DR54" s="49"/>
      <c r="DS54" s="49"/>
      <c r="DT54" s="49"/>
      <c r="DU54" s="49"/>
      <c r="DV54" s="49"/>
      <c r="DW54" s="49"/>
      <c r="DX54" s="49"/>
      <c r="DY54" s="49"/>
      <c r="DZ54" s="49"/>
      <c r="EA54" s="49"/>
      <c r="EB54" s="49"/>
      <c r="EC54" s="49"/>
      <c r="ED54" s="49"/>
      <c r="EE54" s="49"/>
      <c r="EF54" s="49"/>
      <c r="EG54" s="49"/>
      <c r="EH54" s="49"/>
      <c r="EI54" s="49"/>
      <c r="EJ54" s="49"/>
      <c r="EK54" s="49"/>
      <c r="EL54" s="49"/>
      <c r="EM54" s="534">
        <f>EI54+EG54+EE54+EC54+EA54+DY54+DW54+DU54+DS54+DQ54+DO54+EK54</f>
        <v>0</v>
      </c>
      <c r="EN54" s="66">
        <f>DO54+DQ54+DS54+DU54</f>
        <v>0</v>
      </c>
      <c r="EO54" s="66">
        <f t="shared" si="96"/>
        <v>0</v>
      </c>
      <c r="EP54" s="64">
        <f>DQ54+DS54+DU54+DW54+DY54+EA54+EC54+EE54+EG54+EI54+EK54</f>
        <v>0</v>
      </c>
      <c r="EQ54" s="66">
        <f>DP54+DR54+DT54+DV54</f>
        <v>0</v>
      </c>
      <c r="ER54" s="178">
        <f t="shared" si="7"/>
        <v>0.36280231049549955</v>
      </c>
      <c r="ES54" s="143">
        <f>+DK54/DJ54</f>
        <v>0.87547661269494659</v>
      </c>
      <c r="ET54" s="344">
        <f t="shared" si="6"/>
        <v>0.87547661269494659</v>
      </c>
      <c r="EU54" s="344">
        <f>+(AA54+BE54+CI54+DK54)/(Z54+BD54+CH54+DJ54)</f>
        <v>1.8698937359993937</v>
      </c>
      <c r="EV54" s="344">
        <f>IFERROR((AA54+BE54+CI54+DM54)/G54,0)</f>
        <v>0</v>
      </c>
      <c r="EW54" s="622"/>
      <c r="EX54" s="624" t="s">
        <v>548</v>
      </c>
      <c r="EY54" s="624" t="s">
        <v>548</v>
      </c>
      <c r="EZ54" s="626"/>
      <c r="FA54" s="620"/>
      <c r="FB54" s="625"/>
    </row>
    <row r="55" spans="1:158" s="3" customFormat="1" ht="23.1" customHeight="1">
      <c r="A55" s="660"/>
      <c r="B55" s="660"/>
      <c r="C55" s="660"/>
      <c r="D55" s="660"/>
      <c r="E55" s="660"/>
      <c r="F55" s="242" t="s">
        <v>41</v>
      </c>
      <c r="G55" s="75">
        <v>0</v>
      </c>
      <c r="H55" s="75">
        <v>0</v>
      </c>
      <c r="I55" s="514">
        <v>0</v>
      </c>
      <c r="J55" s="514">
        <v>0</v>
      </c>
      <c r="K55" s="514">
        <v>0</v>
      </c>
      <c r="L55" s="514">
        <v>0</v>
      </c>
      <c r="M55" s="514">
        <v>0</v>
      </c>
      <c r="N55" s="515">
        <v>0</v>
      </c>
      <c r="O55" s="514">
        <v>0</v>
      </c>
      <c r="P55" s="515">
        <v>0</v>
      </c>
      <c r="Q55" s="514">
        <v>0</v>
      </c>
      <c r="R55" s="516">
        <v>0</v>
      </c>
      <c r="S55" s="514">
        <v>0</v>
      </c>
      <c r="T55" s="515">
        <v>0</v>
      </c>
      <c r="U55" s="514">
        <v>0</v>
      </c>
      <c r="V55" s="514">
        <v>0</v>
      </c>
      <c r="W55" s="72">
        <v>0</v>
      </c>
      <c r="X55" s="72">
        <v>0</v>
      </c>
      <c r="Y55" s="72">
        <v>0</v>
      </c>
      <c r="Z55" s="72">
        <v>0</v>
      </c>
      <c r="AA55" s="72">
        <v>0</v>
      </c>
      <c r="AB55" s="72">
        <v>0</v>
      </c>
      <c r="AC55" s="72">
        <v>0</v>
      </c>
      <c r="AD55" s="72">
        <v>0</v>
      </c>
      <c r="AE55" s="72">
        <v>0</v>
      </c>
      <c r="AF55" s="72">
        <v>0</v>
      </c>
      <c r="AG55" s="72">
        <v>0</v>
      </c>
      <c r="AH55" s="72">
        <v>0</v>
      </c>
      <c r="AI55" s="72">
        <v>0</v>
      </c>
      <c r="AJ55" s="72">
        <v>0</v>
      </c>
      <c r="AK55" s="72">
        <v>0</v>
      </c>
      <c r="AL55" s="72">
        <v>0</v>
      </c>
      <c r="AM55" s="72">
        <v>0</v>
      </c>
      <c r="AN55" s="72">
        <v>0</v>
      </c>
      <c r="AO55" s="72">
        <v>0</v>
      </c>
      <c r="AP55" s="72">
        <v>0</v>
      </c>
      <c r="AQ55" s="72">
        <v>0</v>
      </c>
      <c r="AR55" s="72">
        <v>0</v>
      </c>
      <c r="AS55" s="72">
        <v>0</v>
      </c>
      <c r="AT55" s="72">
        <v>0</v>
      </c>
      <c r="AU55" s="72">
        <v>0</v>
      </c>
      <c r="AV55" s="72">
        <v>0</v>
      </c>
      <c r="AW55" s="72">
        <v>0</v>
      </c>
      <c r="AX55" s="72">
        <v>0</v>
      </c>
      <c r="AY55" s="72">
        <v>0</v>
      </c>
      <c r="AZ55" s="72">
        <v>0</v>
      </c>
      <c r="BA55" s="72">
        <f>+AB55</f>
        <v>0</v>
      </c>
      <c r="BB55" s="72">
        <f>+AY55</f>
        <v>0</v>
      </c>
      <c r="BC55" s="72">
        <f>+AZ55</f>
        <v>0</v>
      </c>
      <c r="BD55" s="72">
        <f>+G55</f>
        <v>0</v>
      </c>
      <c r="BE55" s="72">
        <f>+AZ55</f>
        <v>0</v>
      </c>
      <c r="BF55" s="141">
        <v>0</v>
      </c>
      <c r="BG55" s="72">
        <v>0</v>
      </c>
      <c r="BH55" s="72">
        <v>0</v>
      </c>
      <c r="BI55" s="72">
        <v>0</v>
      </c>
      <c r="BJ55" s="72">
        <v>0</v>
      </c>
      <c r="BK55" s="72">
        <v>0</v>
      </c>
      <c r="BL55" s="72">
        <v>0</v>
      </c>
      <c r="BM55" s="72">
        <v>0</v>
      </c>
      <c r="BN55" s="72">
        <v>0</v>
      </c>
      <c r="BO55" s="72">
        <v>0</v>
      </c>
      <c r="BP55" s="72">
        <v>0</v>
      </c>
      <c r="BQ55" s="72">
        <v>0</v>
      </c>
      <c r="BR55" s="72">
        <v>0</v>
      </c>
      <c r="BS55" s="72">
        <v>0</v>
      </c>
      <c r="BT55" s="72">
        <v>0</v>
      </c>
      <c r="BU55" s="72">
        <v>0</v>
      </c>
      <c r="BV55" s="72">
        <v>0</v>
      </c>
      <c r="BW55" s="72">
        <v>0</v>
      </c>
      <c r="BX55" s="72">
        <v>0</v>
      </c>
      <c r="BY55" s="72">
        <v>0</v>
      </c>
      <c r="BZ55" s="72">
        <v>0</v>
      </c>
      <c r="CA55" s="72">
        <v>0</v>
      </c>
      <c r="CB55" s="72">
        <v>0</v>
      </c>
      <c r="CC55" s="72">
        <v>0</v>
      </c>
      <c r="CD55" s="72">
        <v>0</v>
      </c>
      <c r="CE55" s="72">
        <f>BF55</f>
        <v>0</v>
      </c>
      <c r="CF55" s="72">
        <f>+CC55</f>
        <v>0</v>
      </c>
      <c r="CG55" s="72">
        <f>CD55</f>
        <v>0</v>
      </c>
      <c r="CH55" s="72">
        <f>+CC55</f>
        <v>0</v>
      </c>
      <c r="CI55" s="72">
        <f>+CD55</f>
        <v>0</v>
      </c>
      <c r="CJ55" s="75">
        <v>0</v>
      </c>
      <c r="CK55" s="75">
        <v>0</v>
      </c>
      <c r="CL55" s="75">
        <v>0</v>
      </c>
      <c r="CM55" s="75">
        <v>0</v>
      </c>
      <c r="CN55" s="75">
        <v>0</v>
      </c>
      <c r="CO55" s="75">
        <v>0</v>
      </c>
      <c r="CP55" s="75">
        <v>0</v>
      </c>
      <c r="CQ55" s="75">
        <v>0</v>
      </c>
      <c r="CR55" s="75">
        <v>0</v>
      </c>
      <c r="CS55" s="75">
        <v>0</v>
      </c>
      <c r="CT55" s="267">
        <v>0</v>
      </c>
      <c r="CU55" s="75">
        <v>0</v>
      </c>
      <c r="CV55" s="241">
        <v>0</v>
      </c>
      <c r="CW55" s="75">
        <v>0</v>
      </c>
      <c r="CX55" s="241">
        <v>0</v>
      </c>
      <c r="CY55" s="75">
        <v>0</v>
      </c>
      <c r="CZ55" s="241">
        <v>0</v>
      </c>
      <c r="DA55" s="75">
        <v>0</v>
      </c>
      <c r="DB55" s="241">
        <v>0</v>
      </c>
      <c r="DC55" s="75">
        <v>0</v>
      </c>
      <c r="DD55" s="241">
        <v>0</v>
      </c>
      <c r="DE55" s="75">
        <v>0</v>
      </c>
      <c r="DF55" s="241">
        <v>0</v>
      </c>
      <c r="DG55" s="75">
        <v>0</v>
      </c>
      <c r="DH55" s="241">
        <v>0</v>
      </c>
      <c r="DI55" s="72">
        <f>+CJ55</f>
        <v>0</v>
      </c>
      <c r="DJ55" s="76">
        <f>CK55+CM55+CO55+CQ55+CS55+CU55+CW55+CY55+DA55+DC55+DG55</f>
        <v>0</v>
      </c>
      <c r="DK55" s="237">
        <f>+CV55+CX55+CZ55+DB55+DD55+DF55+DH55</f>
        <v>0</v>
      </c>
      <c r="DL55" s="72">
        <f>+CJ55</f>
        <v>0</v>
      </c>
      <c r="DM55" s="72">
        <f>+CR55</f>
        <v>0</v>
      </c>
      <c r="DN55" s="72"/>
      <c r="DO55" s="99"/>
      <c r="DP55" s="99"/>
      <c r="DQ55" s="99"/>
      <c r="DR55" s="99"/>
      <c r="DS55" s="99"/>
      <c r="DT55" s="99"/>
      <c r="DU55" s="99"/>
      <c r="DV55" s="99"/>
      <c r="DW55" s="99"/>
      <c r="DX55" s="99"/>
      <c r="DY55" s="99"/>
      <c r="DZ55" s="99"/>
      <c r="EA55" s="99"/>
      <c r="EB55" s="99"/>
      <c r="EC55" s="99"/>
      <c r="ED55" s="99"/>
      <c r="EE55" s="99"/>
      <c r="EF55" s="99"/>
      <c r="EG55" s="99"/>
      <c r="EH55" s="99"/>
      <c r="EI55" s="99"/>
      <c r="EJ55" s="99"/>
      <c r="EK55" s="99"/>
      <c r="EL55" s="99"/>
      <c r="EM55" s="100">
        <f>EI55+EG55+EE55+EC55+EA55+DY55+DW55+DU55+DS55+DQ55+DO55+EK55</f>
        <v>0</v>
      </c>
      <c r="EN55" s="101">
        <f>DO55+DQ55+DS55+DU55</f>
        <v>0</v>
      </c>
      <c r="EO55" s="101">
        <f t="shared" si="96"/>
        <v>0</v>
      </c>
      <c r="EP55" s="100">
        <f>DQ55+DS55+DU55+DW55+DY55+EA55+EC55+EE55+EG55+EI55+EK55</f>
        <v>0</v>
      </c>
      <c r="EQ55" s="101">
        <v>0</v>
      </c>
      <c r="ER55" s="178">
        <f t="shared" si="7"/>
        <v>0</v>
      </c>
      <c r="ES55" s="143">
        <f>IFERROR(+DK55/DJ55,0)</f>
        <v>0</v>
      </c>
      <c r="ET55" s="344">
        <f>IFERROR(+DM55/DL55,0)</f>
        <v>0</v>
      </c>
      <c r="EU55" s="344">
        <f>IFERROR((AA55+BE55+CI55+DK55)/(Z55+BD55+CH55+DJ55),0)</f>
        <v>0</v>
      </c>
      <c r="EV55" s="344">
        <f>IFERROR((AA55+BE55+CI55+DM55)/G55,0)</f>
        <v>0</v>
      </c>
      <c r="EW55" s="622"/>
      <c r="EX55" s="624" t="s">
        <v>548</v>
      </c>
      <c r="EY55" s="624" t="s">
        <v>548</v>
      </c>
      <c r="EZ55" s="626"/>
      <c r="FA55" s="620"/>
      <c r="FB55" s="625"/>
    </row>
    <row r="56" spans="1:158" s="37" customFormat="1" ht="23.1" customHeight="1">
      <c r="A56" s="660"/>
      <c r="B56" s="660"/>
      <c r="C56" s="660"/>
      <c r="D56" s="660"/>
      <c r="E56" s="660"/>
      <c r="F56" s="243" t="s">
        <v>4</v>
      </c>
      <c r="G56" s="77">
        <f>+AA56+BE56+CI56+DL56+DN56</f>
        <v>191300034</v>
      </c>
      <c r="H56" s="76">
        <v>187668702</v>
      </c>
      <c r="I56" s="77">
        <v>0</v>
      </c>
      <c r="J56" s="77">
        <v>0</v>
      </c>
      <c r="K56" s="77">
        <v>0</v>
      </c>
      <c r="L56" s="77">
        <v>0</v>
      </c>
      <c r="M56" s="77">
        <v>0</v>
      </c>
      <c r="N56" s="77">
        <v>0</v>
      </c>
      <c r="O56" s="77">
        <v>0</v>
      </c>
      <c r="P56" s="77">
        <v>0</v>
      </c>
      <c r="Q56" s="77">
        <v>0</v>
      </c>
      <c r="R56" s="77">
        <v>0</v>
      </c>
      <c r="S56" s="77">
        <v>0</v>
      </c>
      <c r="T56" s="76">
        <v>0</v>
      </c>
      <c r="U56" s="87">
        <v>0</v>
      </c>
      <c r="V56" s="87">
        <v>0</v>
      </c>
      <c r="W56" s="76">
        <v>187668702</v>
      </c>
      <c r="X56" s="76">
        <v>187668702</v>
      </c>
      <c r="Y56" s="76">
        <v>0</v>
      </c>
      <c r="Z56" s="76">
        <v>187668702</v>
      </c>
      <c r="AA56" s="77">
        <v>0</v>
      </c>
      <c r="AB56" s="76">
        <v>131174135</v>
      </c>
      <c r="AC56" s="77">
        <v>56494567</v>
      </c>
      <c r="AD56" s="77">
        <v>56494567</v>
      </c>
      <c r="AE56" s="77">
        <v>56557034</v>
      </c>
      <c r="AF56" s="77">
        <f>113051601-AD56</f>
        <v>56557034</v>
      </c>
      <c r="AG56" s="77">
        <v>7384000</v>
      </c>
      <c r="AH56" s="77">
        <f>120435601-AF56-AD56</f>
        <v>7384000</v>
      </c>
      <c r="AI56" s="77">
        <v>3121667</v>
      </c>
      <c r="AJ56" s="77">
        <f>123557268-AH56-AF56-AD56</f>
        <v>3121667</v>
      </c>
      <c r="AK56" s="77">
        <v>3746000</v>
      </c>
      <c r="AL56" s="77">
        <f>127303268-AJ56-AH56-AF56-AD56</f>
        <v>3746000</v>
      </c>
      <c r="AM56" s="77">
        <v>3870867</v>
      </c>
      <c r="AN56" s="77">
        <v>3870867</v>
      </c>
      <c r="AO56" s="77">
        <v>0</v>
      </c>
      <c r="AP56" s="77">
        <v>0</v>
      </c>
      <c r="AQ56" s="77">
        <v>0</v>
      </c>
      <c r="AR56" s="77">
        <v>0</v>
      </c>
      <c r="AS56" s="77">
        <v>0</v>
      </c>
      <c r="AT56" s="77">
        <v>0</v>
      </c>
      <c r="AU56" s="77">
        <v>0</v>
      </c>
      <c r="AV56" s="77">
        <v>0</v>
      </c>
      <c r="AW56" s="77">
        <v>0</v>
      </c>
      <c r="AX56" s="77">
        <v>0</v>
      </c>
      <c r="AY56" s="77">
        <v>0</v>
      </c>
      <c r="AZ56" s="77">
        <v>0</v>
      </c>
      <c r="BA56" s="77">
        <f>AY56+AW56+AU56+AS56+AQ56+AO56+AM56+AK56+AI56+AG56+AE56+AC56</f>
        <v>131174135</v>
      </c>
      <c r="BB56" s="86">
        <f>AC56+AE56+AG56+AI56+AK56+AM56+AO56+AQ56+AS56+AU56+AW56+AY56</f>
        <v>131174135</v>
      </c>
      <c r="BC56" s="77">
        <f>AD56+AF56+AH56+AJ56+AL56+AN56+AP56+AR56+AT56+AV56+AX56+AZ56</f>
        <v>131174135</v>
      </c>
      <c r="BD56" s="86">
        <f>AE56+AG56+AI56+AK56+AM56+AO56+AQ56+AS56+AU56+AW56+AY56+AC56</f>
        <v>131174135</v>
      </c>
      <c r="BE56" s="77">
        <f>AD56+AF56+AH56+AJ56+AL56+AN56+AP56+AR56+AT56+AV56+AX56+AZ56</f>
        <v>131174135</v>
      </c>
      <c r="BF56" s="77">
        <v>25802399</v>
      </c>
      <c r="BG56" s="77">
        <v>25802399</v>
      </c>
      <c r="BH56" s="77"/>
      <c r="BI56" s="77"/>
      <c r="BJ56" s="77">
        <v>25802399</v>
      </c>
      <c r="BK56" s="77"/>
      <c r="BL56" s="77">
        <v>0</v>
      </c>
      <c r="BM56" s="77"/>
      <c r="BN56" s="77">
        <v>0</v>
      </c>
      <c r="BO56" s="77"/>
      <c r="BP56" s="77">
        <v>0</v>
      </c>
      <c r="BQ56" s="77">
        <v>0</v>
      </c>
      <c r="BR56" s="77">
        <v>0</v>
      </c>
      <c r="BS56" s="77">
        <v>0</v>
      </c>
      <c r="BT56" s="77">
        <v>0</v>
      </c>
      <c r="BU56" s="77">
        <v>0</v>
      </c>
      <c r="BV56" s="77">
        <v>0</v>
      </c>
      <c r="BW56" s="77">
        <v>0</v>
      </c>
      <c r="BX56" s="77">
        <v>0</v>
      </c>
      <c r="BY56" s="77">
        <v>0</v>
      </c>
      <c r="BZ56" s="77">
        <v>0</v>
      </c>
      <c r="CA56" s="77">
        <v>0</v>
      </c>
      <c r="CB56" s="77">
        <v>0</v>
      </c>
      <c r="CC56" s="77">
        <v>0</v>
      </c>
      <c r="CD56" s="77">
        <v>0</v>
      </c>
      <c r="CE56" s="77">
        <f>CC56+CA56+BY56+BW56+BU56+BS56+BQ56+BO56+BM56+BK56+BI56+BG56</f>
        <v>25802399</v>
      </c>
      <c r="CF56" s="77">
        <f>+BG56+BI56+BK56+BM56+BO56+BQ56+BS56+BU56+BW56+BY56+CA56+CC56</f>
        <v>25802399</v>
      </c>
      <c r="CG56" s="77">
        <f>+BH56+BJ56+BL56+BN56+BP56+BR56+BT56+BV56+BX56+BZ56+CB56+CD56</f>
        <v>25802399</v>
      </c>
      <c r="CH56" s="76">
        <f>CC56+CA56+BY56+BW56+BU56+BS56+BQ56+BO56+BM56+BK56+BI56+BG56</f>
        <v>25802399</v>
      </c>
      <c r="CI56" s="76">
        <f>+BH56+BJ56+BL56+BN56+BP56+BR56+BT56+BV56+BX56+BZ56+CB56+CD56</f>
        <v>25802399</v>
      </c>
      <c r="CJ56" s="77">
        <v>34323500</v>
      </c>
      <c r="CK56" s="77">
        <v>19794000</v>
      </c>
      <c r="CL56" s="77">
        <v>16758000</v>
      </c>
      <c r="CM56" s="77">
        <v>2489500</v>
      </c>
      <c r="CN56" s="77">
        <v>5525500</v>
      </c>
      <c r="CO56" s="77">
        <v>0</v>
      </c>
      <c r="CP56" s="77">
        <v>0</v>
      </c>
      <c r="CQ56" s="77">
        <v>0</v>
      </c>
      <c r="CR56" s="77">
        <v>0</v>
      </c>
      <c r="CS56" s="77">
        <v>0</v>
      </c>
      <c r="CT56" s="260">
        <v>0</v>
      </c>
      <c r="CU56" s="238">
        <v>0</v>
      </c>
      <c r="CV56" s="238">
        <v>0</v>
      </c>
      <c r="CW56" s="77">
        <v>0</v>
      </c>
      <c r="CX56" s="238">
        <v>0</v>
      </c>
      <c r="CY56" s="77">
        <v>0</v>
      </c>
      <c r="CZ56" s="238">
        <v>0</v>
      </c>
      <c r="DA56" s="77">
        <v>0</v>
      </c>
      <c r="DB56" s="238">
        <v>0</v>
      </c>
      <c r="DC56" s="77">
        <v>0</v>
      </c>
      <c r="DD56" s="238">
        <v>0</v>
      </c>
      <c r="DE56" s="77">
        <v>0</v>
      </c>
      <c r="DF56" s="238">
        <v>0</v>
      </c>
      <c r="DG56" s="77">
        <v>12040000</v>
      </c>
      <c r="DH56" s="238">
        <v>9030000</v>
      </c>
      <c r="DI56" s="76">
        <f>DG56+DE56+DC56+DA56+CY56+CW56+CU56+CM56+CS56+CO56+CQ56+CK56</f>
        <v>34323500</v>
      </c>
      <c r="DJ56" s="76">
        <f>CK56+CM56+CO56+CQ56+CS56+CU56+CW56+CY56+DA56+DC56+DE56+DG56</f>
        <v>34323500</v>
      </c>
      <c r="DK56" s="76">
        <f>CL56+CN56+CP56+CR56+CT56+CV56+CX56+CZ56+DB56+DD56+DF56+DH56</f>
        <v>31313500</v>
      </c>
      <c r="DL56" s="76">
        <f>CM56+CO56+CQ56+CS56+CU56+CW56+CY56+DA56+DC56+DE56+DG56+CK56</f>
        <v>34323500</v>
      </c>
      <c r="DM56" s="76">
        <f>DK56</f>
        <v>31313500</v>
      </c>
      <c r="DN56" s="77"/>
      <c r="DO56" s="49"/>
      <c r="DP56" s="49"/>
      <c r="DQ56" s="49"/>
      <c r="DR56" s="49"/>
      <c r="DS56" s="49"/>
      <c r="DT56" s="49"/>
      <c r="DU56" s="49"/>
      <c r="DV56" s="49"/>
      <c r="DW56" s="49"/>
      <c r="DX56" s="49"/>
      <c r="DY56" s="49"/>
      <c r="DZ56" s="49"/>
      <c r="EA56" s="49"/>
      <c r="EB56" s="49"/>
      <c r="EC56" s="49"/>
      <c r="ED56" s="49"/>
      <c r="EE56" s="49"/>
      <c r="EF56" s="49"/>
      <c r="EG56" s="49"/>
      <c r="EH56" s="49"/>
      <c r="EI56" s="49"/>
      <c r="EJ56" s="49"/>
      <c r="EK56" s="49"/>
      <c r="EL56" s="49"/>
      <c r="EM56" s="538">
        <f>EI56+EG56+EE56+EC56+EA56+DY56+DW56+DU56+DS56+DQ56+DO56+EK56</f>
        <v>0</v>
      </c>
      <c r="EN56" s="66">
        <f>DO56+DQ56+DS56+DU56</f>
        <v>0</v>
      </c>
      <c r="EO56" s="66">
        <f t="shared" si="96"/>
        <v>0</v>
      </c>
      <c r="EP56" s="64">
        <f>DQ56+DS56+DU56+DW56+DY56+EA56+EC56+EE56+EG56+EI56+EK56+DO56</f>
        <v>0</v>
      </c>
      <c r="EQ56" s="66">
        <f>DP56+DR56+DT56+DV56</f>
        <v>0</v>
      </c>
      <c r="ER56" s="178">
        <f t="shared" si="7"/>
        <v>0.75</v>
      </c>
      <c r="ES56" s="143">
        <f t="shared" si="5"/>
        <v>0.91230498055268261</v>
      </c>
      <c r="ET56" s="344">
        <f t="shared" si="6"/>
        <v>0.91230498055268261</v>
      </c>
      <c r="EU56" s="344">
        <f t="shared" si="3"/>
        <v>0.49684846298244506</v>
      </c>
      <c r="EV56" s="344">
        <f t="shared" si="4"/>
        <v>0.98426555428631024</v>
      </c>
      <c r="EW56" s="622"/>
      <c r="EX56" s="624" t="s">
        <v>548</v>
      </c>
      <c r="EY56" s="624" t="s">
        <v>548</v>
      </c>
      <c r="EZ56" s="626"/>
      <c r="FA56" s="620"/>
      <c r="FB56" s="625"/>
    </row>
    <row r="57" spans="1:158" s="3" customFormat="1" ht="23.1" customHeight="1" thickBot="1">
      <c r="A57" s="660"/>
      <c r="B57" s="660"/>
      <c r="C57" s="660"/>
      <c r="D57" s="660"/>
      <c r="E57" s="660"/>
      <c r="F57" s="242" t="s">
        <v>42</v>
      </c>
      <c r="G57" s="170">
        <f>+G52+G55</f>
        <v>1</v>
      </c>
      <c r="H57" s="172">
        <f>+H52+H55</f>
        <v>1</v>
      </c>
      <c r="I57" s="172"/>
      <c r="J57" s="172"/>
      <c r="K57" s="172"/>
      <c r="L57" s="172"/>
      <c r="M57" s="172"/>
      <c r="N57" s="172"/>
      <c r="O57" s="172"/>
      <c r="P57" s="172"/>
      <c r="Q57" s="172"/>
      <c r="R57" s="172"/>
      <c r="S57" s="172"/>
      <c r="T57" s="172"/>
      <c r="U57" s="172"/>
      <c r="V57" s="172"/>
      <c r="W57" s="172">
        <f t="shared" ref="W57:AM57" si="97">+W52+W55</f>
        <v>1</v>
      </c>
      <c r="X57" s="172">
        <f t="shared" si="97"/>
        <v>1</v>
      </c>
      <c r="Y57" s="172">
        <f t="shared" si="97"/>
        <v>1</v>
      </c>
      <c r="Z57" s="172">
        <f t="shared" si="97"/>
        <v>1</v>
      </c>
      <c r="AA57" s="172">
        <f t="shared" si="97"/>
        <v>1</v>
      </c>
      <c r="AB57" s="172">
        <f>+AB52+AB55</f>
        <v>1</v>
      </c>
      <c r="AC57" s="172">
        <f t="shared" si="97"/>
        <v>1</v>
      </c>
      <c r="AD57" s="172">
        <f t="shared" si="97"/>
        <v>1</v>
      </c>
      <c r="AE57" s="172">
        <f t="shared" si="97"/>
        <v>1</v>
      </c>
      <c r="AF57" s="172">
        <f t="shared" si="97"/>
        <v>1</v>
      </c>
      <c r="AG57" s="172">
        <f t="shared" si="97"/>
        <v>1</v>
      </c>
      <c r="AH57" s="172">
        <f t="shared" si="97"/>
        <v>1</v>
      </c>
      <c r="AI57" s="172">
        <f t="shared" si="97"/>
        <v>1</v>
      </c>
      <c r="AJ57" s="172">
        <f t="shared" si="97"/>
        <v>0.64</v>
      </c>
      <c r="AK57" s="172">
        <f t="shared" si="97"/>
        <v>1</v>
      </c>
      <c r="AL57" s="172">
        <f t="shared" si="97"/>
        <v>0.877</v>
      </c>
      <c r="AM57" s="172">
        <f t="shared" si="97"/>
        <v>1</v>
      </c>
      <c r="AN57" s="172">
        <f t="shared" ref="AN57:AZ57" si="98">+AN52+AN55</f>
        <v>0.91600000000000004</v>
      </c>
      <c r="AO57" s="172">
        <f t="shared" si="98"/>
        <v>1</v>
      </c>
      <c r="AP57" s="172">
        <f t="shared" si="98"/>
        <v>1</v>
      </c>
      <c r="AQ57" s="172">
        <f t="shared" si="98"/>
        <v>1</v>
      </c>
      <c r="AR57" s="172">
        <f t="shared" si="98"/>
        <v>0.91300000000000003</v>
      </c>
      <c r="AS57" s="172">
        <f t="shared" si="98"/>
        <v>1</v>
      </c>
      <c r="AT57" s="172">
        <f t="shared" si="98"/>
        <v>1</v>
      </c>
      <c r="AU57" s="172">
        <f t="shared" si="98"/>
        <v>1</v>
      </c>
      <c r="AV57" s="172">
        <f t="shared" si="98"/>
        <v>1</v>
      </c>
      <c r="AW57" s="172">
        <f t="shared" si="98"/>
        <v>1</v>
      </c>
      <c r="AX57" s="172">
        <f t="shared" si="98"/>
        <v>1</v>
      </c>
      <c r="AY57" s="172">
        <f t="shared" si="98"/>
        <v>1</v>
      </c>
      <c r="AZ57" s="172">
        <f t="shared" si="98"/>
        <v>1</v>
      </c>
      <c r="BA57" s="172">
        <f t="shared" ref="BA57:DL57" si="99">+BA52+BA55</f>
        <v>1</v>
      </c>
      <c r="BB57" s="172">
        <f t="shared" si="99"/>
        <v>1</v>
      </c>
      <c r="BC57" s="172">
        <f t="shared" si="99"/>
        <v>1</v>
      </c>
      <c r="BD57" s="172">
        <f t="shared" si="99"/>
        <v>1</v>
      </c>
      <c r="BE57" s="172">
        <f t="shared" si="99"/>
        <v>1</v>
      </c>
      <c r="BF57" s="172">
        <f t="shared" si="99"/>
        <v>1</v>
      </c>
      <c r="BG57" s="172">
        <f t="shared" si="99"/>
        <v>1</v>
      </c>
      <c r="BH57" s="172">
        <f t="shared" si="99"/>
        <v>1</v>
      </c>
      <c r="BI57" s="172">
        <f t="shared" si="99"/>
        <v>1</v>
      </c>
      <c r="BJ57" s="172">
        <f>+BJ52+BJ55</f>
        <v>1</v>
      </c>
      <c r="BK57" s="172">
        <f t="shared" si="99"/>
        <v>1</v>
      </c>
      <c r="BL57" s="172">
        <f t="shared" si="99"/>
        <v>1</v>
      </c>
      <c r="BM57" s="172">
        <f t="shared" si="99"/>
        <v>1</v>
      </c>
      <c r="BN57" s="172">
        <f t="shared" si="99"/>
        <v>1</v>
      </c>
      <c r="BO57" s="172">
        <f t="shared" si="99"/>
        <v>1</v>
      </c>
      <c r="BP57" s="172">
        <f t="shared" si="99"/>
        <v>1</v>
      </c>
      <c r="BQ57" s="172">
        <f t="shared" si="99"/>
        <v>1</v>
      </c>
      <c r="BR57" s="172">
        <f t="shared" si="99"/>
        <v>1</v>
      </c>
      <c r="BS57" s="172">
        <f t="shared" si="99"/>
        <v>1</v>
      </c>
      <c r="BT57" s="172">
        <f t="shared" si="99"/>
        <v>1</v>
      </c>
      <c r="BU57" s="172">
        <f t="shared" si="99"/>
        <v>1</v>
      </c>
      <c r="BV57" s="172">
        <f t="shared" si="99"/>
        <v>1</v>
      </c>
      <c r="BW57" s="172">
        <f t="shared" si="99"/>
        <v>1</v>
      </c>
      <c r="BX57" s="172">
        <f t="shared" si="99"/>
        <v>1</v>
      </c>
      <c r="BY57" s="172">
        <f t="shared" si="99"/>
        <v>1</v>
      </c>
      <c r="BZ57" s="172">
        <f t="shared" si="99"/>
        <v>0.92849999999999999</v>
      </c>
      <c r="CA57" s="172">
        <f t="shared" si="99"/>
        <v>1</v>
      </c>
      <c r="CB57" s="172">
        <f t="shared" si="99"/>
        <v>1</v>
      </c>
      <c r="CC57" s="172">
        <f t="shared" si="99"/>
        <v>1</v>
      </c>
      <c r="CD57" s="172">
        <f t="shared" si="99"/>
        <v>1</v>
      </c>
      <c r="CE57" s="172">
        <f t="shared" ref="CE57:CK57" si="100">+CE52+CE55</f>
        <v>1</v>
      </c>
      <c r="CF57" s="172">
        <f t="shared" si="100"/>
        <v>1</v>
      </c>
      <c r="CG57" s="172">
        <f t="shared" si="100"/>
        <v>1</v>
      </c>
      <c r="CH57" s="172">
        <f t="shared" si="100"/>
        <v>1</v>
      </c>
      <c r="CI57" s="172">
        <f t="shared" si="100"/>
        <v>1</v>
      </c>
      <c r="CJ57" s="170">
        <f t="shared" si="100"/>
        <v>1</v>
      </c>
      <c r="CK57" s="170">
        <f t="shared" si="100"/>
        <v>1</v>
      </c>
      <c r="CL57" s="170">
        <f t="shared" ref="CL57:DH58" si="101">+CL52+CL55</f>
        <v>1</v>
      </c>
      <c r="CM57" s="170">
        <f>+CM52+CM55</f>
        <v>1</v>
      </c>
      <c r="CN57" s="170">
        <f t="shared" si="101"/>
        <v>1</v>
      </c>
      <c r="CO57" s="170">
        <f t="shared" si="101"/>
        <v>1</v>
      </c>
      <c r="CP57" s="170">
        <f>+CP52+CP55</f>
        <v>1</v>
      </c>
      <c r="CQ57" s="170">
        <f t="shared" si="101"/>
        <v>1</v>
      </c>
      <c r="CR57" s="170">
        <f t="shared" si="101"/>
        <v>1</v>
      </c>
      <c r="CS57" s="170">
        <f t="shared" si="101"/>
        <v>1</v>
      </c>
      <c r="CT57" s="262">
        <f>CT52+CT55</f>
        <v>1</v>
      </c>
      <c r="CU57" s="170">
        <f>+CU52+CU55</f>
        <v>1</v>
      </c>
      <c r="CV57" s="170">
        <f>+CV52+CV55</f>
        <v>1</v>
      </c>
      <c r="CW57" s="170">
        <f t="shared" si="101"/>
        <v>1</v>
      </c>
      <c r="CX57" s="352">
        <f t="shared" si="101"/>
        <v>1</v>
      </c>
      <c r="CY57" s="170">
        <f t="shared" si="101"/>
        <v>1</v>
      </c>
      <c r="CZ57" s="170">
        <f t="shared" ref="CZ57" si="102">+CZ52+CZ55</f>
        <v>1</v>
      </c>
      <c r="DA57" s="170">
        <f t="shared" si="101"/>
        <v>1</v>
      </c>
      <c r="DB57" s="352">
        <f t="shared" si="101"/>
        <v>1</v>
      </c>
      <c r="DC57" s="170">
        <f t="shared" si="101"/>
        <v>1</v>
      </c>
      <c r="DD57" s="352"/>
      <c r="DE57" s="170">
        <f t="shared" si="101"/>
        <v>1</v>
      </c>
      <c r="DF57" s="352">
        <f t="shared" si="101"/>
        <v>1</v>
      </c>
      <c r="DG57" s="170">
        <f t="shared" si="101"/>
        <v>1</v>
      </c>
      <c r="DH57" s="352">
        <f t="shared" si="101"/>
        <v>1</v>
      </c>
      <c r="DI57" s="172">
        <f t="shared" si="99"/>
        <v>1</v>
      </c>
      <c r="DJ57" s="172">
        <f>+DJ52+DJ55</f>
        <v>1</v>
      </c>
      <c r="DK57" s="172">
        <f>+DK52+DK55</f>
        <v>1</v>
      </c>
      <c r="DL57" s="172">
        <f t="shared" si="99"/>
        <v>1</v>
      </c>
      <c r="DM57" s="172">
        <f>+DM52+DM55</f>
        <v>1</v>
      </c>
      <c r="DN57" s="172">
        <f>+DN52+DN55</f>
        <v>1</v>
      </c>
      <c r="DO57" s="213"/>
      <c r="DP57" s="213"/>
      <c r="DQ57" s="213"/>
      <c r="DR57" s="213"/>
      <c r="DS57" s="213"/>
      <c r="DT57" s="213"/>
      <c r="DU57" s="213"/>
      <c r="DV57" s="213"/>
      <c r="DW57" s="213"/>
      <c r="DX57" s="213"/>
      <c r="DY57" s="213"/>
      <c r="DZ57" s="213"/>
      <c r="EA57" s="213"/>
      <c r="EB57" s="213"/>
      <c r="EC57" s="213"/>
      <c r="ED57" s="213"/>
      <c r="EE57" s="213"/>
      <c r="EF57" s="213"/>
      <c r="EG57" s="213"/>
      <c r="EH57" s="213"/>
      <c r="EI57" s="213"/>
      <c r="EJ57" s="213"/>
      <c r="EK57" s="213"/>
      <c r="EL57" s="213"/>
      <c r="EM57" s="214">
        <f>EI57+EG57+EE57+EC57+EA57+DY57+DW57+DU57+DS57+DQ57+DO57+EK57</f>
        <v>0</v>
      </c>
      <c r="EN57" s="215"/>
      <c r="EO57" s="215">
        <f t="shared" si="96"/>
        <v>0</v>
      </c>
      <c r="EP57" s="214">
        <f>DQ57+DS57+DU57+DW57+DY57+EA57+EC57+EE57+EG57+EI57+EK57+DO57</f>
        <v>0</v>
      </c>
      <c r="EQ57" s="215">
        <f>DR57+DT57+DV57+DP57</f>
        <v>0</v>
      </c>
      <c r="ER57" s="454">
        <f t="shared" si="7"/>
        <v>1</v>
      </c>
      <c r="ES57" s="345">
        <f t="shared" si="5"/>
        <v>1</v>
      </c>
      <c r="ET57" s="346">
        <f t="shared" si="6"/>
        <v>1</v>
      </c>
      <c r="EU57" s="346">
        <f t="shared" si="3"/>
        <v>1</v>
      </c>
      <c r="EV57" s="346">
        <f>+(AA57+BE57+CI57+DM57)/500%</f>
        <v>0.8</v>
      </c>
      <c r="EW57" s="622"/>
      <c r="EX57" s="624" t="s">
        <v>548</v>
      </c>
      <c r="EY57" s="624" t="s">
        <v>548</v>
      </c>
      <c r="EZ57" s="626"/>
      <c r="FA57" s="620"/>
      <c r="FB57" s="625"/>
    </row>
    <row r="58" spans="1:158" s="38" customFormat="1" ht="23.1" customHeight="1" thickBot="1">
      <c r="A58" s="660"/>
      <c r="B58" s="660"/>
      <c r="C58" s="660"/>
      <c r="D58" s="660"/>
      <c r="E58" s="660"/>
      <c r="F58" s="243" t="s">
        <v>44</v>
      </c>
      <c r="G58" s="179">
        <f>+G53+G56</f>
        <v>3677299052</v>
      </c>
      <c r="H58" s="180">
        <f>+H53+H56</f>
        <v>637668702</v>
      </c>
      <c r="I58" s="180"/>
      <c r="J58" s="180"/>
      <c r="K58" s="180"/>
      <c r="L58" s="180"/>
      <c r="M58" s="180"/>
      <c r="N58" s="180"/>
      <c r="O58" s="180"/>
      <c r="P58" s="180"/>
      <c r="Q58" s="180"/>
      <c r="R58" s="180"/>
      <c r="S58" s="180"/>
      <c r="T58" s="181"/>
      <c r="U58" s="180"/>
      <c r="V58" s="180"/>
      <c r="W58" s="180">
        <f t="shared" ref="W58:AM58" si="103">+W53+W56</f>
        <v>637668702</v>
      </c>
      <c r="X58" s="180">
        <f t="shared" si="103"/>
        <v>637668702</v>
      </c>
      <c r="Y58" s="180">
        <f t="shared" si="103"/>
        <v>447516000</v>
      </c>
      <c r="Z58" s="180">
        <f t="shared" si="103"/>
        <v>637668702</v>
      </c>
      <c r="AA58" s="180">
        <f t="shared" si="103"/>
        <v>447516000</v>
      </c>
      <c r="AB58" s="180">
        <f>+AB53+AB56</f>
        <v>822844135</v>
      </c>
      <c r="AC58" s="180">
        <f t="shared" si="103"/>
        <v>56494567</v>
      </c>
      <c r="AD58" s="180">
        <f t="shared" si="103"/>
        <v>56494567</v>
      </c>
      <c r="AE58" s="180">
        <f t="shared" si="103"/>
        <v>382600034</v>
      </c>
      <c r="AF58" s="180">
        <f t="shared" si="103"/>
        <v>382600034</v>
      </c>
      <c r="AG58" s="180">
        <f t="shared" si="103"/>
        <v>96979000</v>
      </c>
      <c r="AH58" s="180">
        <f t="shared" si="103"/>
        <v>96979000</v>
      </c>
      <c r="AI58" s="180">
        <f t="shared" si="103"/>
        <v>103601667</v>
      </c>
      <c r="AJ58" s="180">
        <f t="shared" si="103"/>
        <v>103601667</v>
      </c>
      <c r="AK58" s="180">
        <f t="shared" si="103"/>
        <v>3746000</v>
      </c>
      <c r="AL58" s="180">
        <f t="shared" si="103"/>
        <v>3746000</v>
      </c>
      <c r="AM58" s="180">
        <f t="shared" si="103"/>
        <v>3870867</v>
      </c>
      <c r="AN58" s="180">
        <f t="shared" ref="AN58:AZ58" si="104">+AN53+AN56</f>
        <v>3870867</v>
      </c>
      <c r="AO58" s="180">
        <f t="shared" si="104"/>
        <v>0</v>
      </c>
      <c r="AP58" s="180">
        <f t="shared" si="104"/>
        <v>0</v>
      </c>
      <c r="AQ58" s="180">
        <f t="shared" si="104"/>
        <v>36785066.666666672</v>
      </c>
      <c r="AR58" s="180">
        <f t="shared" si="104"/>
        <v>0</v>
      </c>
      <c r="AS58" s="180">
        <f t="shared" si="104"/>
        <v>-96942863.333333328</v>
      </c>
      <c r="AT58" s="180">
        <f t="shared" si="104"/>
        <v>0</v>
      </c>
      <c r="AU58" s="180">
        <f t="shared" si="104"/>
        <v>36785066.666666672</v>
      </c>
      <c r="AV58" s="180">
        <f t="shared" si="104"/>
        <v>27531699</v>
      </c>
      <c r="AW58" s="180">
        <f t="shared" si="104"/>
        <v>32598400</v>
      </c>
      <c r="AX58" s="180">
        <f t="shared" si="104"/>
        <v>13283666</v>
      </c>
      <c r="AY58" s="180">
        <f t="shared" si="104"/>
        <v>32598400</v>
      </c>
      <c r="AZ58" s="180">
        <f t="shared" si="104"/>
        <v>0</v>
      </c>
      <c r="BA58" s="180">
        <f t="shared" ref="BA58:DL58" si="105">+BA53+BA56</f>
        <v>689116205</v>
      </c>
      <c r="BB58" s="180">
        <f>+BB53+BB56</f>
        <v>689116205</v>
      </c>
      <c r="BC58" s="180">
        <f t="shared" si="105"/>
        <v>688107500</v>
      </c>
      <c r="BD58" s="180">
        <f t="shared" si="105"/>
        <v>689116205</v>
      </c>
      <c r="BE58" s="180">
        <f t="shared" si="105"/>
        <v>688107500</v>
      </c>
      <c r="BF58" s="180">
        <f t="shared" si="105"/>
        <v>750842399</v>
      </c>
      <c r="BG58" s="180">
        <f t="shared" si="105"/>
        <v>748202399</v>
      </c>
      <c r="BH58" s="180">
        <f t="shared" si="105"/>
        <v>585413000</v>
      </c>
      <c r="BI58" s="180">
        <f t="shared" si="105"/>
        <v>0</v>
      </c>
      <c r="BJ58" s="180">
        <f>+BJ53+BJ56</f>
        <v>25802399</v>
      </c>
      <c r="BK58" s="180">
        <f>+BK53+BK56</f>
        <v>-136987000</v>
      </c>
      <c r="BL58" s="180">
        <f>+BL53+BL56</f>
        <v>0</v>
      </c>
      <c r="BM58" s="180">
        <f t="shared" si="105"/>
        <v>0</v>
      </c>
      <c r="BN58" s="180">
        <f>+BN53+BN56</f>
        <v>0</v>
      </c>
      <c r="BO58" s="180">
        <f t="shared" si="105"/>
        <v>0</v>
      </c>
      <c r="BP58" s="180">
        <f t="shared" si="105"/>
        <v>0</v>
      </c>
      <c r="BQ58" s="180">
        <f t="shared" si="105"/>
        <v>0</v>
      </c>
      <c r="BR58" s="180">
        <f t="shared" si="105"/>
        <v>0</v>
      </c>
      <c r="BS58" s="180">
        <f t="shared" si="105"/>
        <v>0</v>
      </c>
      <c r="BT58" s="180">
        <f t="shared" si="105"/>
        <v>0</v>
      </c>
      <c r="BU58" s="180">
        <f t="shared" si="105"/>
        <v>2640000</v>
      </c>
      <c r="BV58" s="180">
        <f t="shared" si="105"/>
        <v>0</v>
      </c>
      <c r="BW58" s="180">
        <f t="shared" si="105"/>
        <v>76803767</v>
      </c>
      <c r="BX58" s="180">
        <f t="shared" si="105"/>
        <v>12040000</v>
      </c>
      <c r="BY58" s="180">
        <f t="shared" si="105"/>
        <v>-793767</v>
      </c>
      <c r="BZ58" s="180">
        <f t="shared" si="105"/>
        <v>46709200</v>
      </c>
      <c r="CA58" s="180">
        <f t="shared" si="105"/>
        <v>0</v>
      </c>
      <c r="CB58" s="180">
        <f t="shared" si="105"/>
        <v>19900800</v>
      </c>
      <c r="CC58" s="180">
        <f t="shared" si="105"/>
        <v>0</v>
      </c>
      <c r="CD58" s="180">
        <f t="shared" si="105"/>
        <v>0</v>
      </c>
      <c r="CE58" s="180">
        <f t="shared" si="105"/>
        <v>689865399</v>
      </c>
      <c r="CF58" s="180">
        <f t="shared" si="105"/>
        <v>689865399</v>
      </c>
      <c r="CG58" s="180">
        <f t="shared" si="105"/>
        <v>689865399</v>
      </c>
      <c r="CH58" s="180">
        <f t="shared" si="105"/>
        <v>689865399</v>
      </c>
      <c r="CI58" s="180">
        <f t="shared" si="105"/>
        <v>689865399</v>
      </c>
      <c r="CJ58" s="180">
        <f>+CJ53+CJ56</f>
        <v>792603500</v>
      </c>
      <c r="CK58" s="180">
        <f>+CK53+CK56</f>
        <v>97341000</v>
      </c>
      <c r="CL58" s="180">
        <f t="shared" si="101"/>
        <v>16758000</v>
      </c>
      <c r="CM58" s="180">
        <f>+CM53+CM56</f>
        <v>23005833</v>
      </c>
      <c r="CN58" s="180">
        <f>+CN53+CM56</f>
        <v>369226500</v>
      </c>
      <c r="CO58" s="180">
        <f t="shared" si="101"/>
        <v>61549000</v>
      </c>
      <c r="CP58" s="180">
        <f>+CP53+CP56</f>
        <v>324728000</v>
      </c>
      <c r="CQ58" s="180">
        <f t="shared" si="101"/>
        <v>61549000</v>
      </c>
      <c r="CR58" s="180">
        <f t="shared" si="101"/>
        <v>22192000</v>
      </c>
      <c r="CS58" s="180">
        <f t="shared" si="101"/>
        <v>61549000</v>
      </c>
      <c r="CT58" s="263">
        <f>+CT53+CT56</f>
        <v>0</v>
      </c>
      <c r="CU58" s="180">
        <f>+CU53+CU56</f>
        <v>61549000</v>
      </c>
      <c r="CV58" s="180">
        <f>+CV53+CV56</f>
        <v>12186000</v>
      </c>
      <c r="CW58" s="180">
        <f t="shared" si="101"/>
        <v>59211000</v>
      </c>
      <c r="CX58" s="354">
        <f t="shared" si="101"/>
        <v>27366000</v>
      </c>
      <c r="CY58" s="180">
        <f t="shared" si="101"/>
        <v>28016000</v>
      </c>
      <c r="CZ58" s="180">
        <f t="shared" ref="CZ58" si="106">+CZ53+CZ56</f>
        <v>0</v>
      </c>
      <c r="DA58" s="180">
        <f t="shared" si="101"/>
        <v>7020000</v>
      </c>
      <c r="DB58" s="180">
        <f>+DB53+DB56</f>
        <v>0</v>
      </c>
      <c r="DC58" s="180">
        <f t="shared" si="101"/>
        <v>72469053</v>
      </c>
      <c r="DD58" s="180">
        <f>+DD53+DD56</f>
        <v>4482652</v>
      </c>
      <c r="DE58" s="180">
        <f t="shared" si="101"/>
        <v>36514600</v>
      </c>
      <c r="DF58" s="180"/>
      <c r="DG58" s="180">
        <f t="shared" si="101"/>
        <v>250262667</v>
      </c>
      <c r="DH58" s="180">
        <f t="shared" si="101"/>
        <v>9030000</v>
      </c>
      <c r="DI58" s="180">
        <f>+DI53+DI56</f>
        <v>820036153</v>
      </c>
      <c r="DJ58" s="180">
        <f>+DJ53+DJ56</f>
        <v>820036153</v>
      </c>
      <c r="DK58" s="180">
        <f>+DK53+DK56</f>
        <v>817026153</v>
      </c>
      <c r="DL58" s="180">
        <f t="shared" si="105"/>
        <v>820036153</v>
      </c>
      <c r="DM58" s="180">
        <f>+DM53+DM56</f>
        <v>817026153</v>
      </c>
      <c r="DN58" s="180">
        <f>+DN53+DN56</f>
        <v>1031774000</v>
      </c>
      <c r="DO58" s="199"/>
      <c r="DP58" s="199"/>
      <c r="DQ58" s="199"/>
      <c r="DR58" s="199"/>
      <c r="DS58" s="199"/>
      <c r="DT58" s="199"/>
      <c r="DU58" s="199"/>
      <c r="DV58" s="199"/>
      <c r="DW58" s="199"/>
      <c r="DX58" s="199"/>
      <c r="DY58" s="199"/>
      <c r="DZ58" s="199"/>
      <c r="EA58" s="199"/>
      <c r="EB58" s="199"/>
      <c r="EC58" s="199"/>
      <c r="ED58" s="199"/>
      <c r="EE58" s="199"/>
      <c r="EF58" s="199"/>
      <c r="EG58" s="199"/>
      <c r="EH58" s="199"/>
      <c r="EI58" s="199"/>
      <c r="EJ58" s="199"/>
      <c r="EK58" s="199"/>
      <c r="EL58" s="199"/>
      <c r="EM58" s="200">
        <f>EK58+EI58+EG58+EE58+EC58+EA58+DY58+DW58+DU58+DS58+DQ58+DO58</f>
        <v>0</v>
      </c>
      <c r="EN58" s="201">
        <f>+EN53+EN56</f>
        <v>0</v>
      </c>
      <c r="EO58" s="202">
        <f>EO53+EO56</f>
        <v>0</v>
      </c>
      <c r="EP58" s="201">
        <f>+EP53+EP56</f>
        <v>0</v>
      </c>
      <c r="EQ58" s="379">
        <f>+EQ53+EQ56</f>
        <v>0</v>
      </c>
      <c r="ER58" s="455">
        <f>IFERROR(DH58/DG58,0)</f>
        <v>3.6082089702975953E-2</v>
      </c>
      <c r="ES58" s="347">
        <f>+DK58/DJ58</f>
        <v>0.99632943012452768</v>
      </c>
      <c r="ET58" s="348">
        <f>+DM58/DL58</f>
        <v>0.99632943012452768</v>
      </c>
      <c r="EU58" s="348">
        <f>+(AA58+BE58+CI58+DK58)/(Z58+BD58+CH58+DJ58)</f>
        <v>0.93154992283904015</v>
      </c>
      <c r="EV58" s="349">
        <f>+(AA58+BE58+CI58+DM58)/G58</f>
        <v>0.71860216279195344</v>
      </c>
      <c r="EW58" s="623"/>
      <c r="EX58" s="624" t="s">
        <v>548</v>
      </c>
      <c r="EY58" s="624" t="s">
        <v>548</v>
      </c>
      <c r="EZ58" s="626"/>
      <c r="FA58" s="620"/>
      <c r="FB58" s="625"/>
    </row>
    <row r="59" spans="1:158" s="98" customFormat="1" ht="48" customHeight="1">
      <c r="A59" s="667" t="s">
        <v>5</v>
      </c>
      <c r="B59" s="667"/>
      <c r="C59" s="667"/>
      <c r="D59" s="667"/>
      <c r="E59" s="667"/>
      <c r="F59" s="245" t="s">
        <v>43</v>
      </c>
      <c r="G59" s="220">
        <f>G11+G18+G25+G32+G39+G46+G53</f>
        <v>60290575822</v>
      </c>
      <c r="H59" s="221">
        <f t="shared" ref="H59:BS59" si="107">+H11+H18+H25+H32+H39+H46+H53</f>
        <v>4935454528</v>
      </c>
      <c r="I59" s="221">
        <f t="shared" si="107"/>
        <v>0</v>
      </c>
      <c r="J59" s="221">
        <f t="shared" si="107"/>
        <v>0</v>
      </c>
      <c r="K59" s="221">
        <f t="shared" si="107"/>
        <v>0</v>
      </c>
      <c r="L59" s="221">
        <f t="shared" si="107"/>
        <v>0</v>
      </c>
      <c r="M59" s="221">
        <f t="shared" si="107"/>
        <v>0</v>
      </c>
      <c r="N59" s="221">
        <f t="shared" si="107"/>
        <v>0</v>
      </c>
      <c r="O59" s="221">
        <f t="shared" si="107"/>
        <v>0</v>
      </c>
      <c r="P59" s="221">
        <f t="shared" si="107"/>
        <v>0</v>
      </c>
      <c r="Q59" s="221">
        <f t="shared" si="107"/>
        <v>0</v>
      </c>
      <c r="R59" s="221">
        <f t="shared" si="107"/>
        <v>0</v>
      </c>
      <c r="S59" s="221">
        <f t="shared" si="107"/>
        <v>0</v>
      </c>
      <c r="T59" s="221">
        <f t="shared" si="107"/>
        <v>0</v>
      </c>
      <c r="U59" s="221">
        <f t="shared" si="107"/>
        <v>0</v>
      </c>
      <c r="V59" s="221">
        <f t="shared" si="107"/>
        <v>0</v>
      </c>
      <c r="W59" s="221">
        <f t="shared" si="107"/>
        <v>4935454528</v>
      </c>
      <c r="X59" s="221">
        <f t="shared" si="107"/>
        <v>4935454528</v>
      </c>
      <c r="Y59" s="221">
        <f t="shared" si="107"/>
        <v>4588924316</v>
      </c>
      <c r="Z59" s="221">
        <f t="shared" si="107"/>
        <v>4935454528</v>
      </c>
      <c r="AA59" s="221">
        <f t="shared" si="107"/>
        <v>4588924316</v>
      </c>
      <c r="AB59" s="221">
        <f>+AB11+AB18+AB25+AB32+AB39+AB46+AB53</f>
        <v>10067880000</v>
      </c>
      <c r="AC59" s="221">
        <f t="shared" si="107"/>
        <v>0</v>
      </c>
      <c r="AD59" s="221">
        <f t="shared" si="107"/>
        <v>0</v>
      </c>
      <c r="AE59" s="221">
        <f t="shared" si="107"/>
        <v>2665269000</v>
      </c>
      <c r="AF59" s="221">
        <f t="shared" si="107"/>
        <v>2665269000</v>
      </c>
      <c r="AG59" s="221">
        <f t="shared" si="107"/>
        <v>3685714150</v>
      </c>
      <c r="AH59" s="221">
        <f t="shared" si="107"/>
        <v>3685714150</v>
      </c>
      <c r="AI59" s="221">
        <f t="shared" si="107"/>
        <v>881440491</v>
      </c>
      <c r="AJ59" s="221">
        <f t="shared" si="107"/>
        <v>472650491</v>
      </c>
      <c r="AK59" s="221">
        <f t="shared" si="107"/>
        <v>38307944</v>
      </c>
      <c r="AL59" s="221">
        <f t="shared" si="107"/>
        <v>38307944</v>
      </c>
      <c r="AM59" s="221">
        <f>+AM11+AM18+AM25+AM32+AM39+AM46+AM53</f>
        <v>602029987.66666663</v>
      </c>
      <c r="AN59" s="221">
        <f>+AN11+AN18+AN25+AN32+AN39+AN46+AN53</f>
        <v>702989174</v>
      </c>
      <c r="AO59" s="221">
        <f t="shared" si="107"/>
        <v>0</v>
      </c>
      <c r="AP59" s="221">
        <f t="shared" si="107"/>
        <v>24890000</v>
      </c>
      <c r="AQ59" s="221">
        <f t="shared" si="107"/>
        <v>570434551.00000024</v>
      </c>
      <c r="AR59" s="221">
        <f t="shared" si="107"/>
        <v>36764000</v>
      </c>
      <c r="AS59" s="221">
        <f t="shared" si="107"/>
        <v>546934551.00000024</v>
      </c>
      <c r="AT59" s="221">
        <f t="shared" si="107"/>
        <v>81226335</v>
      </c>
      <c r="AU59" s="221">
        <f t="shared" si="107"/>
        <v>425505170.33333331</v>
      </c>
      <c r="AV59" s="222">
        <f>+AV11+AV18+AV25+AV32+AV39+AV46+AV53</f>
        <v>334066472</v>
      </c>
      <c r="AW59" s="222">
        <f t="shared" si="107"/>
        <v>314372077</v>
      </c>
      <c r="AX59" s="222">
        <f>+AX11+AX18+AX25+AX32+AX39+AX46+AX53</f>
        <v>783609288</v>
      </c>
      <c r="AY59" s="222">
        <f t="shared" si="107"/>
        <v>314372078</v>
      </c>
      <c r="AZ59" s="222">
        <f t="shared" si="107"/>
        <v>811678864</v>
      </c>
      <c r="BA59" s="222">
        <f>+BA11+BA18+BA25+BA32+BA39+BA46+BA53</f>
        <v>10044380000</v>
      </c>
      <c r="BB59" s="222">
        <f>+BB11+BB18+BB25+BB32+BB39+BB46+BB53</f>
        <v>10044380000</v>
      </c>
      <c r="BC59" s="222">
        <f>+BC11+BC18+BC25+BC32+BC39+BC46+BC53</f>
        <v>9637165718</v>
      </c>
      <c r="BD59" s="222">
        <f t="shared" si="107"/>
        <v>10044380000</v>
      </c>
      <c r="BE59" s="222">
        <f t="shared" si="107"/>
        <v>9637165718</v>
      </c>
      <c r="BF59" s="221">
        <f t="shared" si="107"/>
        <v>16468441000</v>
      </c>
      <c r="BG59" s="221">
        <f t="shared" si="107"/>
        <v>9170512000</v>
      </c>
      <c r="BH59" s="221">
        <f t="shared" si="107"/>
        <v>8662799908</v>
      </c>
      <c r="BI59" s="221">
        <f>+BI11+BI18+BI25+BI32+BI39+BI46+BI53</f>
        <v>28000000</v>
      </c>
      <c r="BJ59" s="221">
        <f>+BJ11+BJ18+BJ25+BJ32+BJ39+BJ46+BJ53</f>
        <v>0</v>
      </c>
      <c r="BK59" s="221">
        <f t="shared" si="107"/>
        <v>1968874000</v>
      </c>
      <c r="BL59" s="221">
        <f>+BL11+BL18+BL25+BL32+BL39+BL46+BL53</f>
        <v>50000000</v>
      </c>
      <c r="BM59" s="221">
        <f t="shared" si="107"/>
        <v>871146000</v>
      </c>
      <c r="BN59" s="221">
        <f>+BN11+BN18+BN25+BN32+BN39+BN46+BN53</f>
        <v>0</v>
      </c>
      <c r="BO59" s="221">
        <f t="shared" si="107"/>
        <v>20000000</v>
      </c>
      <c r="BP59" s="221">
        <f t="shared" si="107"/>
        <v>274596000</v>
      </c>
      <c r="BQ59" s="221">
        <f t="shared" si="107"/>
        <v>4197269000</v>
      </c>
      <c r="BR59" s="221">
        <f t="shared" si="107"/>
        <v>134020000</v>
      </c>
      <c r="BS59" s="221">
        <f t="shared" si="107"/>
        <v>0</v>
      </c>
      <c r="BT59" s="221">
        <f t="shared" ref="BT59:CU59" si="108">+BT11+BT18+BT25+BT32+BT39+BT46+BT53</f>
        <v>-45866000</v>
      </c>
      <c r="BU59" s="221">
        <f t="shared" si="108"/>
        <v>172640000</v>
      </c>
      <c r="BV59" s="221">
        <f t="shared" si="108"/>
        <v>14028000</v>
      </c>
      <c r="BW59" s="221">
        <f t="shared" si="108"/>
        <v>35000000</v>
      </c>
      <c r="BX59" s="221">
        <f t="shared" si="108"/>
        <v>456347834</v>
      </c>
      <c r="BY59" s="221">
        <f t="shared" si="108"/>
        <v>1382688113</v>
      </c>
      <c r="BZ59" s="221">
        <f t="shared" si="108"/>
        <v>1309394460</v>
      </c>
      <c r="CA59" s="221">
        <f t="shared" si="108"/>
        <v>211140743</v>
      </c>
      <c r="CB59" s="221">
        <f t="shared" si="108"/>
        <v>3776030439</v>
      </c>
      <c r="CC59" s="221">
        <f t="shared" si="108"/>
        <v>-250000000</v>
      </c>
      <c r="CD59" s="221">
        <f t="shared" si="108"/>
        <v>2358468147</v>
      </c>
      <c r="CE59" s="221">
        <f t="shared" si="108"/>
        <v>17807269856</v>
      </c>
      <c r="CF59" s="221">
        <f t="shared" si="108"/>
        <v>17807269856</v>
      </c>
      <c r="CG59" s="221">
        <f t="shared" si="108"/>
        <v>16989818788</v>
      </c>
      <c r="CH59" s="221">
        <f t="shared" si="108"/>
        <v>17807269856</v>
      </c>
      <c r="CI59" s="221">
        <f t="shared" si="108"/>
        <v>16989818788</v>
      </c>
      <c r="CJ59" s="221">
        <f t="shared" si="108"/>
        <v>12385882000</v>
      </c>
      <c r="CK59" s="221">
        <f t="shared" si="108"/>
        <v>0</v>
      </c>
      <c r="CL59" s="221">
        <f t="shared" si="108"/>
        <v>46330000</v>
      </c>
      <c r="CM59" s="221">
        <f t="shared" si="108"/>
        <v>961838695</v>
      </c>
      <c r="CN59" s="221">
        <f t="shared" si="108"/>
        <v>3201729500</v>
      </c>
      <c r="CO59" s="221">
        <f t="shared" si="108"/>
        <v>1058231814</v>
      </c>
      <c r="CP59" s="221">
        <f t="shared" si="108"/>
        <v>4223679543</v>
      </c>
      <c r="CQ59" s="221">
        <f t="shared" si="108"/>
        <v>1018118178</v>
      </c>
      <c r="CR59" s="221">
        <f t="shared" si="108"/>
        <v>702575901</v>
      </c>
      <c r="CS59" s="221">
        <f t="shared" si="108"/>
        <v>1080481814</v>
      </c>
      <c r="CT59" s="268">
        <f t="shared" si="108"/>
        <v>341099195</v>
      </c>
      <c r="CU59" s="221">
        <f t="shared" si="108"/>
        <v>1370738178</v>
      </c>
      <c r="CV59" s="272">
        <f t="shared" ref="CV59" si="109">+CV11+CV18+CV25+CV32+CV39+CV46+CV53</f>
        <v>465384064</v>
      </c>
      <c r="CW59" s="221">
        <f t="shared" ref="CW59:DC59" si="110">+CW11+CW18+CW25+CW32+CW39+CW46+CW53</f>
        <v>1280728480</v>
      </c>
      <c r="CX59" s="272">
        <f t="shared" si="110"/>
        <v>98049780</v>
      </c>
      <c r="CY59" s="221">
        <f t="shared" si="110"/>
        <v>1182015844</v>
      </c>
      <c r="CZ59" s="221">
        <f t="shared" si="110"/>
        <v>38742780</v>
      </c>
      <c r="DA59" s="221">
        <f t="shared" si="110"/>
        <v>1306798480</v>
      </c>
      <c r="DB59" s="221">
        <f t="shared" si="110"/>
        <v>356482989</v>
      </c>
      <c r="DC59" s="221">
        <f t="shared" si="110"/>
        <v>1007834844</v>
      </c>
      <c r="DD59" s="221">
        <f t="shared" ref="DD59" si="111">+DD11+DD18+DD25+DD32+DD39+DD46+DD53</f>
        <v>285433349</v>
      </c>
      <c r="DE59" s="221">
        <f>+DE11+DE18+DE25+DE32+DE39+DE46+DE53</f>
        <v>225722480</v>
      </c>
      <c r="DF59" s="221"/>
      <c r="DG59" s="221">
        <f t="shared" ref="DG59:DL59" si="112">+DG11+DG18+DG25+DG32+DG39+DG46+DG53</f>
        <v>1243373193</v>
      </c>
      <c r="DH59" s="221">
        <f t="shared" si="112"/>
        <v>1029311305</v>
      </c>
      <c r="DI59" s="234">
        <f>+DI11+DI18+DI25+DI32+DI39+DI46+DI53</f>
        <v>11735882000</v>
      </c>
      <c r="DJ59" s="223">
        <f>+DJ11+DJ18+DJ25+DJ32+DJ39+DJ46+DJ53</f>
        <v>11735882000</v>
      </c>
      <c r="DK59" s="223">
        <f>+DK11+DK18+DK25+DK32+DK39+DK46+DK53</f>
        <v>11074276787</v>
      </c>
      <c r="DL59" s="234">
        <f t="shared" si="112"/>
        <v>11735882000</v>
      </c>
      <c r="DM59" s="234">
        <f>+DM11+DM18+DM25+DM32+DM39+DM46+DM53</f>
        <v>11074276787</v>
      </c>
      <c r="DN59" s="224">
        <f>+DN11+DN18+DN25+DN32+DN39+D46+DN53</f>
        <v>15506173000</v>
      </c>
      <c r="DO59" s="217"/>
      <c r="DP59" s="216"/>
      <c r="DQ59" s="216"/>
      <c r="DR59" s="216"/>
      <c r="DS59" s="216"/>
      <c r="DT59" s="216"/>
      <c r="DU59" s="216"/>
      <c r="DV59" s="216"/>
      <c r="DW59" s="216"/>
      <c r="DX59" s="216"/>
      <c r="DY59" s="216"/>
      <c r="DZ59" s="216"/>
      <c r="EA59" s="216"/>
      <c r="EB59" s="216"/>
      <c r="EC59" s="216"/>
      <c r="ED59" s="216"/>
      <c r="EE59" s="216"/>
      <c r="EF59" s="216"/>
      <c r="EG59" s="216"/>
      <c r="EH59" s="216"/>
      <c r="EI59" s="216"/>
      <c r="EJ59" s="216"/>
      <c r="EK59" s="216"/>
      <c r="EL59" s="216"/>
      <c r="EM59" s="216"/>
      <c r="EN59" s="216"/>
      <c r="EO59" s="216"/>
      <c r="EP59" s="216"/>
      <c r="EQ59" s="216"/>
      <c r="ER59" s="874"/>
      <c r="ES59" s="874"/>
      <c r="ET59" s="874"/>
      <c r="EU59" s="874"/>
      <c r="EV59" s="874"/>
      <c r="EW59" s="875"/>
      <c r="EX59" s="875"/>
      <c r="EY59" s="875"/>
      <c r="EZ59" s="875"/>
      <c r="FA59" s="875"/>
    </row>
    <row r="60" spans="1:158" s="98" customFormat="1" ht="48" customHeight="1">
      <c r="A60" s="667"/>
      <c r="B60" s="667"/>
      <c r="C60" s="667"/>
      <c r="D60" s="667"/>
      <c r="E60" s="667"/>
      <c r="F60" s="246" t="s">
        <v>45</v>
      </c>
      <c r="G60" s="225">
        <f>+G14+G21+G28+G35+G42+G49+G56</f>
        <v>7526218194.8304195</v>
      </c>
      <c r="H60" s="138">
        <f t="shared" ref="H60:BB60" si="113">+H14+H21+H28+H35+H42+H49+H56</f>
        <v>492875980</v>
      </c>
      <c r="I60" s="138">
        <f t="shared" si="113"/>
        <v>0</v>
      </c>
      <c r="J60" s="138">
        <f t="shared" si="113"/>
        <v>0</v>
      </c>
      <c r="K60" s="138">
        <f t="shared" si="113"/>
        <v>0</v>
      </c>
      <c r="L60" s="138">
        <f t="shared" si="113"/>
        <v>0</v>
      </c>
      <c r="M60" s="138">
        <f t="shared" si="113"/>
        <v>0</v>
      </c>
      <c r="N60" s="138">
        <f t="shared" si="113"/>
        <v>0</v>
      </c>
      <c r="O60" s="138">
        <f t="shared" si="113"/>
        <v>0</v>
      </c>
      <c r="P60" s="138">
        <f t="shared" si="113"/>
        <v>0</v>
      </c>
      <c r="Q60" s="138">
        <f t="shared" si="113"/>
        <v>0</v>
      </c>
      <c r="R60" s="138">
        <f t="shared" si="113"/>
        <v>0</v>
      </c>
      <c r="S60" s="138">
        <f t="shared" si="113"/>
        <v>0</v>
      </c>
      <c r="T60" s="138">
        <f t="shared" si="113"/>
        <v>0</v>
      </c>
      <c r="U60" s="138">
        <f t="shared" si="113"/>
        <v>0</v>
      </c>
      <c r="V60" s="138">
        <f t="shared" si="113"/>
        <v>0</v>
      </c>
      <c r="W60" s="138">
        <f t="shared" si="113"/>
        <v>492875980</v>
      </c>
      <c r="X60" s="138">
        <f t="shared" si="113"/>
        <v>492875980</v>
      </c>
      <c r="Y60" s="138">
        <f t="shared" si="113"/>
        <v>0</v>
      </c>
      <c r="Z60" s="138">
        <f t="shared" si="113"/>
        <v>492875980</v>
      </c>
      <c r="AA60" s="138">
        <f t="shared" si="113"/>
        <v>0</v>
      </c>
      <c r="AB60" s="138">
        <f>+AB14+AB21+AB28+AB35+AB42+AB49+AB56</f>
        <v>1796461446</v>
      </c>
      <c r="AC60" s="138">
        <f>+AC14+AC21+AC28+AC35+AC42+AC49+AC56</f>
        <v>420302557</v>
      </c>
      <c r="AD60" s="138">
        <f t="shared" si="113"/>
        <v>420302557</v>
      </c>
      <c r="AE60" s="138">
        <f t="shared" si="113"/>
        <v>475612458</v>
      </c>
      <c r="AF60" s="138">
        <f t="shared" si="113"/>
        <v>475612458</v>
      </c>
      <c r="AG60" s="138">
        <f t="shared" si="113"/>
        <v>237108188</v>
      </c>
      <c r="AH60" s="138">
        <f t="shared" si="113"/>
        <v>237108188</v>
      </c>
      <c r="AI60" s="138">
        <f t="shared" si="113"/>
        <v>109178008</v>
      </c>
      <c r="AJ60" s="138">
        <f t="shared" si="113"/>
        <v>109178008</v>
      </c>
      <c r="AK60" s="138">
        <f>+AK14+AK21+AK28+AK35+AK42+AK49+AK56</f>
        <v>142791967</v>
      </c>
      <c r="AL60" s="138">
        <f>+AL14+AL21+AL28+AL35+AL42+AL49+AL56</f>
        <v>142791967</v>
      </c>
      <c r="AM60" s="138">
        <f>+AM14+AM21+AM28+AM35+AM42+AM49+AM56</f>
        <v>135933686</v>
      </c>
      <c r="AN60" s="138">
        <f>+AN14+AN21+AN28+AN35+AN42+AN49+AN56</f>
        <v>140092408</v>
      </c>
      <c r="AO60" s="138">
        <f t="shared" si="113"/>
        <v>63971107</v>
      </c>
      <c r="AP60" s="138">
        <f t="shared" si="113"/>
        <v>0</v>
      </c>
      <c r="AQ60" s="138">
        <f>+AQ14+AQ21+AQ28+AQ35+AQ42+AQ49+AQ56</f>
        <v>81086539</v>
      </c>
      <c r="AR60" s="138">
        <f t="shared" si="113"/>
        <v>112211559</v>
      </c>
      <c r="AS60" s="138">
        <f t="shared" si="113"/>
        <v>105781038</v>
      </c>
      <c r="AT60" s="138">
        <f>+AT14+AT21+AT28+AT35+AT42+AT49+AT56</f>
        <v>1564253</v>
      </c>
      <c r="AU60" s="138">
        <f t="shared" si="113"/>
        <v>-8431</v>
      </c>
      <c r="AV60" s="226">
        <f>+AV14+AV21+AV28+AV35+AV42+AV49+AV56</f>
        <v>12817727</v>
      </c>
      <c r="AW60" s="226">
        <f t="shared" si="113"/>
        <v>-1342800</v>
      </c>
      <c r="AX60" s="226">
        <f>+AX14+AX21+AX28+AX35+AX42+AX49+AX56</f>
        <v>34756414</v>
      </c>
      <c r="AY60" s="226">
        <f t="shared" si="113"/>
        <v>0</v>
      </c>
      <c r="AZ60" s="226">
        <f>+AZ14+AZ21+AZ28+AZ35+AZ42+AZ49+AZ56</f>
        <v>14850182.830419362</v>
      </c>
      <c r="BA60" s="226">
        <f t="shared" si="113"/>
        <v>1770414317</v>
      </c>
      <c r="BB60" s="226">
        <f t="shared" si="113"/>
        <v>1770414317</v>
      </c>
      <c r="BC60" s="226">
        <f>+BC14+BC21+BC28+BC35+BC42+BC49+BC56</f>
        <v>1701285721.8304193</v>
      </c>
      <c r="BD60" s="226">
        <f>+BD14+BD21+BD28+BD35+BD42+BD49+BD56</f>
        <v>1770414317</v>
      </c>
      <c r="BE60" s="226">
        <f>+BE14+BE21+BE28+BE35+BE42+BE49+BE56</f>
        <v>1701285721.8304193</v>
      </c>
      <c r="BF60" s="138">
        <f t="shared" ref="BF60:BR60" si="114">+BF14+BF21+BF28+BF35+BF42+BF49+BF56</f>
        <v>2043657525</v>
      </c>
      <c r="BG60" s="138">
        <f t="shared" si="114"/>
        <v>103664081</v>
      </c>
      <c r="BH60" s="138">
        <f t="shared" si="114"/>
        <v>0</v>
      </c>
      <c r="BI60" s="138">
        <f t="shared" si="114"/>
        <v>384363706</v>
      </c>
      <c r="BJ60" s="138">
        <f t="shared" si="114"/>
        <v>275548817</v>
      </c>
      <c r="BK60" s="138">
        <f t="shared" si="114"/>
        <v>319253417</v>
      </c>
      <c r="BL60" s="138">
        <f t="shared" si="114"/>
        <v>0</v>
      </c>
      <c r="BM60" s="138">
        <f t="shared" si="114"/>
        <v>412348492</v>
      </c>
      <c r="BN60" s="138">
        <f t="shared" si="114"/>
        <v>0</v>
      </c>
      <c r="BO60" s="138">
        <f t="shared" si="114"/>
        <v>124201978</v>
      </c>
      <c r="BP60" s="138">
        <f t="shared" si="114"/>
        <v>0</v>
      </c>
      <c r="BQ60" s="138">
        <f t="shared" si="114"/>
        <v>231880399</v>
      </c>
      <c r="BR60" s="138">
        <f t="shared" si="114"/>
        <v>0</v>
      </c>
      <c r="BS60" s="138">
        <f t="shared" ref="BS60:CC60" si="115">+BV14+BS21+BV28+BV35+BS42+BS49+BS56</f>
        <v>18335267</v>
      </c>
      <c r="BT60" s="138">
        <f>+BW14+BT21+BW28+BW35+BT42+BT49+BT56</f>
        <v>225496550</v>
      </c>
      <c r="BU60" s="138">
        <f>+BU14+BU21+BU28+BU35+BU42+BU49+BU56</f>
        <v>42033582</v>
      </c>
      <c r="BV60" s="138">
        <f>+BV14+BV21+BV28+BV35+BV42+BV49+BV56</f>
        <v>-9265466</v>
      </c>
      <c r="BW60" s="138">
        <f>+BZ14+BW21+BW28+BW35+BW42+BW49+BW56</f>
        <v>60424662</v>
      </c>
      <c r="BX60" s="138">
        <f t="shared" si="115"/>
        <v>31251791</v>
      </c>
      <c r="BY60" s="138">
        <f t="shared" si="115"/>
        <v>136466287</v>
      </c>
      <c r="BZ60" s="138">
        <f t="shared" si="115"/>
        <v>-16387605</v>
      </c>
      <c r="CA60" s="138">
        <f t="shared" si="115"/>
        <v>28762268</v>
      </c>
      <c r="CB60" s="138">
        <f>+CB14+CB21+CB28+CB35+CB42+CB49+CB56</f>
        <v>152719221</v>
      </c>
      <c r="CC60" s="138">
        <f t="shared" si="115"/>
        <v>1634738092</v>
      </c>
      <c r="CD60" s="138">
        <f t="shared" ref="CD60:CM60" si="116">+CD14+CD21+CD28+CD35+CD42+CD49+CD56</f>
        <v>-14095800</v>
      </c>
      <c r="CE60" s="138">
        <f t="shared" si="116"/>
        <v>1998507651</v>
      </c>
      <c r="CF60" s="138">
        <f t="shared" si="116"/>
        <v>1998507651</v>
      </c>
      <c r="CG60" s="138">
        <f t="shared" si="116"/>
        <v>1952995740</v>
      </c>
      <c r="CH60" s="138">
        <f t="shared" si="116"/>
        <v>1998507651</v>
      </c>
      <c r="CI60" s="138">
        <f t="shared" si="116"/>
        <v>1952995740</v>
      </c>
      <c r="CJ60" s="138">
        <f t="shared" si="116"/>
        <v>3947497832</v>
      </c>
      <c r="CK60" s="138">
        <f t="shared" si="116"/>
        <v>466599268</v>
      </c>
      <c r="CL60" s="138">
        <f t="shared" si="116"/>
        <v>308171914</v>
      </c>
      <c r="CM60" s="138">
        <f t="shared" si="116"/>
        <v>1179255905</v>
      </c>
      <c r="CN60" s="138">
        <f>+CM14+CM21+CN28+CN35+CN42+CM49+CM56</f>
        <v>1109894898</v>
      </c>
      <c r="CO60" s="138">
        <f>+CO14+CO21+CO28+CO35+CO42+CO49+CO56</f>
        <v>428186779</v>
      </c>
      <c r="CP60" s="138">
        <f>+CP14+CP21+CP28+CP35+CP42+CP49+CP56</f>
        <v>365600732</v>
      </c>
      <c r="CQ60" s="138">
        <f>+CQ14+CR21+CR28+CR35+CR42+CR49+CQ56</f>
        <v>182078358</v>
      </c>
      <c r="CR60" s="138">
        <f>+CR14+CR21+CR28+CR35+CU42+CU49+CR56</f>
        <v>369809144</v>
      </c>
      <c r="CS60" s="138">
        <f>+CS14+CS21+CS28+CS35+CV42+CV49+CS56</f>
        <v>41183179</v>
      </c>
      <c r="CT60" s="249">
        <f>+CT14+CT21+CT28+CT35+CT42+CT49+CT56</f>
        <v>178693726</v>
      </c>
      <c r="CU60" s="138">
        <f t="shared" ref="CU60:CZ60" si="117">+CU14+CU21+CU28+CU35+CX42+CX49+CU56</f>
        <v>82976424</v>
      </c>
      <c r="CV60" s="273">
        <f t="shared" si="117"/>
        <v>99653804</v>
      </c>
      <c r="CW60" s="138">
        <f t="shared" si="117"/>
        <v>496283846</v>
      </c>
      <c r="CX60" s="273">
        <f t="shared" si="117"/>
        <v>63473658</v>
      </c>
      <c r="CY60" s="138">
        <f t="shared" si="117"/>
        <v>12404099</v>
      </c>
      <c r="CZ60" s="138">
        <f t="shared" si="117"/>
        <v>183916357</v>
      </c>
      <c r="DA60" s="138">
        <f>+DA14+DA21+DA28+DA35+DA42+DA49+DA56</f>
        <v>35754941</v>
      </c>
      <c r="DB60" s="138">
        <f>+DB14+DB21+DB28+DB35+DB42+DB49+DB56</f>
        <v>158201322</v>
      </c>
      <c r="DC60" s="138">
        <f>+DC14+DC21+DC28+DC35+DC42+DC49+DC56</f>
        <v>36132431</v>
      </c>
      <c r="DD60" s="138">
        <f>+DD14+DD21+DD28+DD35+DD42+DD49+DD56</f>
        <v>545721692</v>
      </c>
      <c r="DE60" s="138">
        <f>+DE14+DE21+DE28+DE35+DE42+DE49+DE56</f>
        <v>36132432</v>
      </c>
      <c r="DF60" s="138"/>
      <c r="DG60" s="138">
        <f>+DG14+DG21+DG28+DG35+DJ42+DJ49+DG56</f>
        <v>1253080040</v>
      </c>
      <c r="DH60" s="138">
        <f t="shared" ref="DH60:DN60" si="118">+DH14+DH21+DH28+DH35+DH42+DH49+DH56</f>
        <v>354609535</v>
      </c>
      <c r="DI60" s="138">
        <f>+DI14+DI21+DI28+DI35+DI42+DI49+DI56</f>
        <v>3871936733</v>
      </c>
      <c r="DJ60" s="138">
        <f>+DJ14+DJ21+DJ28+DJ35+DJ42+DJ49+DJ56</f>
        <v>3857676818</v>
      </c>
      <c r="DK60" s="249">
        <f>+DK14+DK21+DK28+DK35+DK42+DK49+DK56</f>
        <v>3772775420</v>
      </c>
      <c r="DL60" s="138">
        <f t="shared" si="118"/>
        <v>3871936732.9999995</v>
      </c>
      <c r="DM60" s="138">
        <f>+DM14+DM21+DM28+DM35+DM42+DM49+DM56</f>
        <v>3772775420</v>
      </c>
      <c r="DN60" s="227">
        <f t="shared" si="118"/>
        <v>0</v>
      </c>
      <c r="DO60" s="218"/>
      <c r="DP60" s="79"/>
      <c r="DQ60" s="79"/>
      <c r="DR60" s="79"/>
      <c r="DS60" s="79"/>
      <c r="DT60" s="79"/>
      <c r="DU60" s="79"/>
      <c r="DV60" s="79"/>
      <c r="DW60" s="79"/>
      <c r="DX60" s="79"/>
      <c r="DY60" s="79"/>
      <c r="DZ60" s="79"/>
      <c r="EA60" s="79"/>
      <c r="EB60" s="79"/>
      <c r="EC60" s="79"/>
      <c r="ED60" s="79"/>
      <c r="EE60" s="79"/>
      <c r="EF60" s="79"/>
      <c r="EG60" s="562"/>
      <c r="EH60" s="562"/>
      <c r="EI60" s="562"/>
      <c r="EJ60" s="562"/>
      <c r="EK60" s="562"/>
      <c r="EL60" s="562"/>
      <c r="EM60" s="79"/>
      <c r="EN60" s="80"/>
      <c r="EO60" s="80"/>
      <c r="EP60" s="80"/>
      <c r="EQ60" s="80"/>
      <c r="ER60" s="875"/>
      <c r="ES60" s="875"/>
      <c r="ET60" s="875"/>
      <c r="EU60" s="875"/>
      <c r="EV60" s="875"/>
      <c r="EW60" s="875"/>
      <c r="EX60" s="875"/>
      <c r="EY60" s="875"/>
      <c r="EZ60" s="875"/>
      <c r="FA60" s="875"/>
    </row>
    <row r="61" spans="1:158" s="98" customFormat="1" ht="48" customHeight="1" thickBot="1">
      <c r="A61" s="667"/>
      <c r="B61" s="667"/>
      <c r="C61" s="667"/>
      <c r="D61" s="667"/>
      <c r="E61" s="667"/>
      <c r="F61" s="245" t="s">
        <v>46</v>
      </c>
      <c r="G61" s="228">
        <f>SUM(G59:G60)</f>
        <v>67816794016.830421</v>
      </c>
      <c r="H61" s="229">
        <f t="shared" ref="H61:BS61" si="119">SUM(H59:H60)</f>
        <v>5428330508</v>
      </c>
      <c r="I61" s="229">
        <f t="shared" si="119"/>
        <v>0</v>
      </c>
      <c r="J61" s="229">
        <f t="shared" si="119"/>
        <v>0</v>
      </c>
      <c r="K61" s="229">
        <f t="shared" si="119"/>
        <v>0</v>
      </c>
      <c r="L61" s="229">
        <f t="shared" si="119"/>
        <v>0</v>
      </c>
      <c r="M61" s="229">
        <f t="shared" si="119"/>
        <v>0</v>
      </c>
      <c r="N61" s="229">
        <f t="shared" si="119"/>
        <v>0</v>
      </c>
      <c r="O61" s="229">
        <f t="shared" si="119"/>
        <v>0</v>
      </c>
      <c r="P61" s="229">
        <f t="shared" si="119"/>
        <v>0</v>
      </c>
      <c r="Q61" s="229">
        <f t="shared" si="119"/>
        <v>0</v>
      </c>
      <c r="R61" s="229">
        <f t="shared" si="119"/>
        <v>0</v>
      </c>
      <c r="S61" s="229">
        <f t="shared" si="119"/>
        <v>0</v>
      </c>
      <c r="T61" s="229">
        <f t="shared" si="119"/>
        <v>0</v>
      </c>
      <c r="U61" s="229">
        <f t="shared" si="119"/>
        <v>0</v>
      </c>
      <c r="V61" s="229">
        <f t="shared" si="119"/>
        <v>0</v>
      </c>
      <c r="W61" s="229">
        <f t="shared" si="119"/>
        <v>5428330508</v>
      </c>
      <c r="X61" s="229">
        <f t="shared" si="119"/>
        <v>5428330508</v>
      </c>
      <c r="Y61" s="229">
        <f t="shared" si="119"/>
        <v>4588924316</v>
      </c>
      <c r="Z61" s="229">
        <f t="shared" si="119"/>
        <v>5428330508</v>
      </c>
      <c r="AA61" s="229">
        <f t="shared" si="119"/>
        <v>4588924316</v>
      </c>
      <c r="AB61" s="229">
        <f t="shared" si="119"/>
        <v>11864341446</v>
      </c>
      <c r="AC61" s="229">
        <f t="shared" si="119"/>
        <v>420302557</v>
      </c>
      <c r="AD61" s="229">
        <f t="shared" si="119"/>
        <v>420302557</v>
      </c>
      <c r="AE61" s="229">
        <f t="shared" si="119"/>
        <v>3140881458</v>
      </c>
      <c r="AF61" s="229">
        <f t="shared" si="119"/>
        <v>3140881458</v>
      </c>
      <c r="AG61" s="229">
        <f t="shared" si="119"/>
        <v>3922822338</v>
      </c>
      <c r="AH61" s="229">
        <f t="shared" si="119"/>
        <v>3922822338</v>
      </c>
      <c r="AI61" s="229">
        <f t="shared" si="119"/>
        <v>990618499</v>
      </c>
      <c r="AJ61" s="229">
        <f t="shared" si="119"/>
        <v>581828499</v>
      </c>
      <c r="AK61" s="229">
        <f t="shared" si="119"/>
        <v>181099911</v>
      </c>
      <c r="AL61" s="229">
        <f t="shared" si="119"/>
        <v>181099911</v>
      </c>
      <c r="AM61" s="229">
        <f t="shared" si="119"/>
        <v>737963673.66666663</v>
      </c>
      <c r="AN61" s="229">
        <f>SUM(AN59:AN60)</f>
        <v>843081582</v>
      </c>
      <c r="AO61" s="229">
        <f t="shared" si="119"/>
        <v>63971107</v>
      </c>
      <c r="AP61" s="229">
        <f t="shared" si="119"/>
        <v>24890000</v>
      </c>
      <c r="AQ61" s="229">
        <f t="shared" si="119"/>
        <v>651521090.00000024</v>
      </c>
      <c r="AR61" s="229">
        <f t="shared" si="119"/>
        <v>148975559</v>
      </c>
      <c r="AS61" s="229">
        <f t="shared" si="119"/>
        <v>652715589.00000024</v>
      </c>
      <c r="AT61" s="229">
        <f t="shared" si="119"/>
        <v>82790588</v>
      </c>
      <c r="AU61" s="229">
        <f t="shared" si="119"/>
        <v>425496739.33333331</v>
      </c>
      <c r="AV61" s="229">
        <f>SUM(AV59:AV60)</f>
        <v>346884199</v>
      </c>
      <c r="AW61" s="229">
        <f t="shared" si="119"/>
        <v>313029277</v>
      </c>
      <c r="AX61" s="229">
        <f>SUM(AX59:AX60)</f>
        <v>818365702</v>
      </c>
      <c r="AY61" s="229">
        <f t="shared" si="119"/>
        <v>314372078</v>
      </c>
      <c r="AZ61" s="229">
        <f t="shared" si="119"/>
        <v>826529046.8304193</v>
      </c>
      <c r="BA61" s="229">
        <f t="shared" si="119"/>
        <v>11814794317</v>
      </c>
      <c r="BB61" s="229">
        <f t="shared" si="119"/>
        <v>11814794317</v>
      </c>
      <c r="BC61" s="229">
        <f t="shared" si="119"/>
        <v>11338451439.83042</v>
      </c>
      <c r="BD61" s="229">
        <f t="shared" si="119"/>
        <v>11814794317</v>
      </c>
      <c r="BE61" s="229">
        <f t="shared" si="119"/>
        <v>11338451439.83042</v>
      </c>
      <c r="BF61" s="229">
        <f t="shared" si="119"/>
        <v>18512098525</v>
      </c>
      <c r="BG61" s="229">
        <f t="shared" si="119"/>
        <v>9274176081</v>
      </c>
      <c r="BH61" s="229">
        <f t="shared" si="119"/>
        <v>8662799908</v>
      </c>
      <c r="BI61" s="229">
        <f t="shared" si="119"/>
        <v>412363706</v>
      </c>
      <c r="BJ61" s="229">
        <f>SUM(BJ59:BJ60)</f>
        <v>275548817</v>
      </c>
      <c r="BK61" s="229">
        <f t="shared" si="119"/>
        <v>2288127417</v>
      </c>
      <c r="BL61" s="229">
        <f t="shared" si="119"/>
        <v>50000000</v>
      </c>
      <c r="BM61" s="229">
        <f t="shared" si="119"/>
        <v>1283494492</v>
      </c>
      <c r="BN61" s="229">
        <f t="shared" si="119"/>
        <v>0</v>
      </c>
      <c r="BO61" s="229">
        <f t="shared" si="119"/>
        <v>144201978</v>
      </c>
      <c r="BP61" s="229">
        <f t="shared" si="119"/>
        <v>274596000</v>
      </c>
      <c r="BQ61" s="229">
        <f t="shared" si="119"/>
        <v>4429149399</v>
      </c>
      <c r="BR61" s="229">
        <f t="shared" si="119"/>
        <v>134020000</v>
      </c>
      <c r="BS61" s="229">
        <f t="shared" si="119"/>
        <v>18335267</v>
      </c>
      <c r="BT61" s="229">
        <f t="shared" ref="BT61:DN61" si="120">SUM(BT59:BT60)</f>
        <v>179630550</v>
      </c>
      <c r="BU61" s="229">
        <f t="shared" si="120"/>
        <v>214673582</v>
      </c>
      <c r="BV61" s="229">
        <f>SUM(BV59:BV60)</f>
        <v>4762534</v>
      </c>
      <c r="BW61" s="229">
        <f t="shared" si="120"/>
        <v>95424662</v>
      </c>
      <c r="BX61" s="229">
        <f t="shared" si="120"/>
        <v>487599625</v>
      </c>
      <c r="BY61" s="229">
        <f t="shared" si="120"/>
        <v>1519154400</v>
      </c>
      <c r="BZ61" s="229">
        <f t="shared" si="120"/>
        <v>1293006855</v>
      </c>
      <c r="CA61" s="229">
        <f t="shared" si="120"/>
        <v>239903011</v>
      </c>
      <c r="CB61" s="229">
        <f t="shared" si="120"/>
        <v>3928749660</v>
      </c>
      <c r="CC61" s="229">
        <f t="shared" si="120"/>
        <v>1384738092</v>
      </c>
      <c r="CD61" s="229">
        <f t="shared" si="120"/>
        <v>2344372347</v>
      </c>
      <c r="CE61" s="229">
        <f t="shared" si="120"/>
        <v>19805777507</v>
      </c>
      <c r="CF61" s="229">
        <f t="shared" si="120"/>
        <v>19805777507</v>
      </c>
      <c r="CG61" s="229">
        <f t="shared" si="120"/>
        <v>18942814528</v>
      </c>
      <c r="CH61" s="229">
        <f t="shared" si="120"/>
        <v>19805777507</v>
      </c>
      <c r="CI61" s="229">
        <f t="shared" si="120"/>
        <v>18942814528</v>
      </c>
      <c r="CJ61" s="229">
        <f t="shared" si="120"/>
        <v>16333379832</v>
      </c>
      <c r="CK61" s="229">
        <f t="shared" si="120"/>
        <v>466599268</v>
      </c>
      <c r="CL61" s="229">
        <f t="shared" si="120"/>
        <v>354501914</v>
      </c>
      <c r="CM61" s="229">
        <f>SUM(CM59:CM60)</f>
        <v>2141094600</v>
      </c>
      <c r="CN61" s="229">
        <f t="shared" si="120"/>
        <v>4311624398</v>
      </c>
      <c r="CO61" s="229">
        <f t="shared" si="120"/>
        <v>1486418593</v>
      </c>
      <c r="CP61" s="229">
        <f>SUM(CP59:CP60)</f>
        <v>4589280275</v>
      </c>
      <c r="CQ61" s="229">
        <f>SUM(CQ59:CQ60)</f>
        <v>1200196536</v>
      </c>
      <c r="CR61" s="229">
        <f t="shared" si="120"/>
        <v>1072385045</v>
      </c>
      <c r="CS61" s="229">
        <f t="shared" ref="CS61:CY61" si="121">SUM(CS59:CS60)</f>
        <v>1121664993</v>
      </c>
      <c r="CT61" s="229">
        <f t="shared" si="121"/>
        <v>519792921</v>
      </c>
      <c r="CU61" s="229">
        <f t="shared" si="121"/>
        <v>1453714602</v>
      </c>
      <c r="CV61" s="274">
        <f t="shared" si="121"/>
        <v>565037868</v>
      </c>
      <c r="CW61" s="229">
        <f>SUM(CW59:CW60)</f>
        <v>1777012326</v>
      </c>
      <c r="CX61" s="274">
        <f t="shared" si="121"/>
        <v>161523438</v>
      </c>
      <c r="CY61" s="229">
        <f t="shared" si="121"/>
        <v>1194419943</v>
      </c>
      <c r="CZ61" s="229">
        <f t="shared" ref="CZ61" si="122">SUM(CZ59:CZ60)</f>
        <v>222659137</v>
      </c>
      <c r="DA61" s="229">
        <f t="shared" si="120"/>
        <v>1342553421</v>
      </c>
      <c r="DB61" s="229">
        <f t="shared" ref="DB61" si="123">SUM(DB59:DB60)</f>
        <v>514684311</v>
      </c>
      <c r="DC61" s="229">
        <f t="shared" si="120"/>
        <v>1043967275</v>
      </c>
      <c r="DD61" s="229">
        <f t="shared" ref="DD61" si="124">SUM(DD59:DD60)</f>
        <v>831155041</v>
      </c>
      <c r="DE61" s="229">
        <f t="shared" si="120"/>
        <v>261854912</v>
      </c>
      <c r="DF61" s="229"/>
      <c r="DG61" s="229">
        <f>SUM(DG59:DG60)</f>
        <v>2496453233</v>
      </c>
      <c r="DH61" s="229">
        <f t="shared" si="120"/>
        <v>1383920840</v>
      </c>
      <c r="DI61" s="229">
        <f t="shared" si="120"/>
        <v>15607818733</v>
      </c>
      <c r="DJ61" s="229">
        <f>SUM(DJ59:DJ60)</f>
        <v>15593558818</v>
      </c>
      <c r="DK61" s="229">
        <f>SUM(DK59:DK60)</f>
        <v>14847052207</v>
      </c>
      <c r="DL61" s="229">
        <f>SUM(DL59:DL60)</f>
        <v>15607818733</v>
      </c>
      <c r="DM61" s="229">
        <f>SUM(DM59:DM60)</f>
        <v>14847052207</v>
      </c>
      <c r="DN61" s="230">
        <f t="shared" si="120"/>
        <v>15506173000</v>
      </c>
      <c r="DO61" s="563"/>
      <c r="DP61" s="564"/>
      <c r="DQ61" s="564"/>
      <c r="DR61" s="564"/>
      <c r="DS61" s="564"/>
      <c r="DT61" s="564"/>
      <c r="DU61" s="564"/>
      <c r="DV61" s="564"/>
      <c r="DW61" s="564"/>
      <c r="DX61" s="564"/>
      <c r="DY61" s="564"/>
      <c r="DZ61" s="564"/>
      <c r="EA61" s="564"/>
      <c r="EB61" s="564"/>
      <c r="EC61" s="564"/>
      <c r="ED61" s="564"/>
      <c r="EE61" s="564"/>
      <c r="EF61" s="564"/>
      <c r="EG61" s="564"/>
      <c r="EH61" s="564"/>
      <c r="EI61" s="564"/>
      <c r="EJ61" s="564"/>
      <c r="EK61" s="564"/>
      <c r="EL61" s="564"/>
      <c r="EM61" s="564"/>
      <c r="EN61" s="564"/>
      <c r="EO61" s="564"/>
      <c r="EP61" s="564"/>
      <c r="EQ61" s="564"/>
      <c r="ER61" s="875"/>
      <c r="ES61" s="875"/>
      <c r="ET61" s="875"/>
      <c r="EU61" s="875"/>
      <c r="EV61" s="875"/>
      <c r="EW61" s="875"/>
      <c r="EX61" s="875"/>
      <c r="EY61" s="875"/>
      <c r="EZ61" s="875"/>
      <c r="FA61" s="875"/>
    </row>
    <row r="62" spans="1:158" ht="48" customHeight="1">
      <c r="H62" s="31"/>
      <c r="I62" s="31"/>
      <c r="J62" s="31"/>
      <c r="K62" s="31"/>
      <c r="L62" s="31"/>
      <c r="M62" s="31"/>
      <c r="N62" s="31"/>
      <c r="O62" s="31"/>
      <c r="P62" s="31"/>
      <c r="Q62" s="31"/>
      <c r="R62" s="31"/>
      <c r="S62" s="31"/>
      <c r="T62" s="31"/>
      <c r="U62" s="31"/>
      <c r="V62" s="31"/>
      <c r="W62" s="31"/>
      <c r="X62" s="31"/>
      <c r="Y62" s="31"/>
      <c r="Z62" s="31"/>
      <c r="AA62" s="31"/>
      <c r="AB62" s="31"/>
      <c r="AC62" s="31"/>
      <c r="AD62" s="31"/>
      <c r="AE62" s="31"/>
      <c r="AF62" s="31"/>
      <c r="AG62" s="31"/>
      <c r="AH62" s="31"/>
      <c r="AI62" s="31"/>
      <c r="AJ62" s="31"/>
      <c r="AK62" s="31"/>
      <c r="AL62" s="31"/>
      <c r="AM62" s="31"/>
      <c r="AN62" s="31"/>
      <c r="AO62" s="31"/>
      <c r="AP62" s="31"/>
      <c r="AQ62" s="31"/>
      <c r="AR62" s="31"/>
      <c r="AS62" s="31"/>
      <c r="AT62" s="31"/>
      <c r="AU62" s="31"/>
      <c r="AV62" s="31"/>
      <c r="AW62" s="31"/>
      <c r="AX62" s="31"/>
      <c r="AY62" s="31"/>
      <c r="AZ62" s="31"/>
      <c r="BA62" s="31"/>
      <c r="BB62" s="31"/>
      <c r="BC62" s="132"/>
      <c r="BD62" s="128"/>
      <c r="BE62" s="31"/>
      <c r="BF62" s="31"/>
      <c r="BG62" s="31"/>
      <c r="BH62" s="31"/>
      <c r="BI62" s="31"/>
      <c r="BJ62" s="31"/>
      <c r="BK62" s="31"/>
      <c r="BL62" s="31"/>
      <c r="BM62" s="31"/>
      <c r="BN62" s="31"/>
      <c r="BO62" s="31"/>
      <c r="BP62" s="31"/>
      <c r="BQ62" s="31"/>
      <c r="BR62" s="31"/>
      <c r="BS62" s="31"/>
      <c r="BT62" s="31"/>
      <c r="BU62" s="31"/>
      <c r="BV62" s="31"/>
      <c r="BW62" s="31"/>
      <c r="BX62" s="31"/>
      <c r="BY62" s="31"/>
      <c r="BZ62" s="31"/>
      <c r="CA62" s="31"/>
      <c r="CB62" s="31"/>
      <c r="CC62" s="31"/>
      <c r="CD62" s="31"/>
      <c r="CE62" s="31"/>
      <c r="CF62" s="31"/>
      <c r="CG62" s="219">
        <f>+CG12+CG19+CG26+CG33+CG40+CG47+CG54</f>
        <v>13042320956</v>
      </c>
      <c r="CH62" s="31"/>
      <c r="CI62" s="31"/>
      <c r="CJ62" s="31"/>
      <c r="CK62" s="31"/>
      <c r="CL62" s="31"/>
      <c r="CM62" s="31"/>
      <c r="CN62" s="31"/>
      <c r="CO62" s="31"/>
      <c r="CP62" s="31"/>
      <c r="CQ62" s="31"/>
      <c r="CR62" s="31"/>
      <c r="CS62" s="31"/>
      <c r="CT62" s="31"/>
      <c r="CU62" s="31"/>
      <c r="CV62" s="31"/>
      <c r="CW62" s="31"/>
      <c r="CX62" s="31"/>
      <c r="CY62" s="31"/>
      <c r="CZ62" s="31"/>
      <c r="DA62" s="31"/>
      <c r="DB62" s="31"/>
      <c r="DC62" s="31"/>
      <c r="DD62" s="31"/>
      <c r="DE62" s="31"/>
      <c r="DF62" s="31"/>
      <c r="DG62" s="31"/>
      <c r="DH62" s="31"/>
      <c r="DI62" s="31"/>
      <c r="DJ62" s="31"/>
      <c r="DK62" s="31"/>
      <c r="DL62" s="31"/>
      <c r="DM62" s="31"/>
      <c r="DN62" s="31"/>
      <c r="DO62" s="31"/>
      <c r="DP62" s="31"/>
      <c r="DQ62" s="31"/>
      <c r="DR62" s="31"/>
      <c r="DS62" s="31"/>
      <c r="DT62" s="31"/>
      <c r="DU62" s="31"/>
      <c r="DV62" s="31"/>
      <c r="DW62" s="31"/>
      <c r="DX62" s="31"/>
      <c r="DY62" s="31"/>
      <c r="DZ62" s="31"/>
      <c r="EA62" s="31"/>
      <c r="EB62" s="31"/>
      <c r="EC62" s="31"/>
      <c r="ED62" s="31"/>
      <c r="EE62" s="31"/>
      <c r="EF62" s="31"/>
    </row>
    <row r="63" spans="1:158" ht="48" customHeight="1">
      <c r="F63" s="22" t="s">
        <v>34</v>
      </c>
      <c r="G63" s="20"/>
      <c r="H63" s="20"/>
      <c r="I63" s="21"/>
      <c r="J63" s="39"/>
      <c r="K63" s="21"/>
      <c r="L63" s="21"/>
      <c r="M63" s="21"/>
      <c r="N63" s="21"/>
      <c r="O63" s="21"/>
      <c r="P63" s="21"/>
      <c r="Q63" s="21"/>
      <c r="R63" s="21"/>
      <c r="S63" s="21"/>
      <c r="T63" s="21"/>
      <c r="U63"/>
      <c r="V63"/>
      <c r="W63"/>
      <c r="X63"/>
      <c r="Y63"/>
      <c r="Z63"/>
      <c r="AA63"/>
      <c r="AB63"/>
      <c r="AC63"/>
      <c r="AD63"/>
      <c r="AE63"/>
      <c r="AF63"/>
      <c r="AG63"/>
      <c r="AH63"/>
      <c r="AI63"/>
      <c r="AJ63"/>
      <c r="AK63"/>
      <c r="AL63"/>
      <c r="AM63"/>
      <c r="AN63"/>
      <c r="AO63"/>
      <c r="AP63"/>
      <c r="AQ63"/>
      <c r="AR63"/>
      <c r="AS63"/>
      <c r="AT63"/>
      <c r="AU63"/>
      <c r="AV63"/>
      <c r="AW63"/>
      <c r="AX63"/>
      <c r="AY63"/>
      <c r="AZ63"/>
      <c r="BA63"/>
      <c r="BB63"/>
      <c r="BC63"/>
      <c r="BD63" s="25"/>
      <c r="BE63"/>
      <c r="BF63" s="32"/>
      <c r="BW63"/>
      <c r="BX63"/>
      <c r="BY63"/>
      <c r="BZ63"/>
      <c r="CA63"/>
      <c r="CB63"/>
      <c r="CC63"/>
      <c r="CD63"/>
      <c r="CE63"/>
      <c r="CF63"/>
      <c r="CG63"/>
      <c r="CH63"/>
      <c r="CI63"/>
    </row>
    <row r="64" spans="1:158" ht="48" customHeight="1">
      <c r="F64" s="134" t="s">
        <v>35</v>
      </c>
      <c r="G64" s="663" t="s">
        <v>36</v>
      </c>
      <c r="H64" s="663"/>
      <c r="I64" s="663"/>
      <c r="J64" s="663"/>
      <c r="K64" s="663"/>
      <c r="L64" s="663"/>
      <c r="M64" s="663"/>
      <c r="N64" s="572" t="s">
        <v>37</v>
      </c>
      <c r="O64" s="573"/>
      <c r="P64" s="573"/>
      <c r="Q64" s="573"/>
      <c r="R64" s="573"/>
      <c r="S64" s="573"/>
      <c r="T64" s="574"/>
      <c r="U64" s="664"/>
      <c r="V64" s="664"/>
      <c r="W64" s="664"/>
      <c r="X64" s="664"/>
      <c r="Y64" s="664"/>
      <c r="Z64" s="664"/>
      <c r="AA64" s="664"/>
      <c r="AB64" s="664"/>
      <c r="AC64" s="664"/>
      <c r="AD64" s="664"/>
      <c r="AE64" s="664"/>
      <c r="AF64" s="664"/>
      <c r="AG64" s="664"/>
      <c r="AH64" s="664"/>
      <c r="AI64" s="664"/>
      <c r="AJ64" s="664"/>
      <c r="AK64" s="664"/>
      <c r="AL64" s="664"/>
      <c r="AM64" s="664"/>
      <c r="AN64" s="664"/>
      <c r="AO64" s="664"/>
      <c r="AP64" s="664"/>
      <c r="AQ64" s="664"/>
      <c r="AR64" s="664"/>
      <c r="AS64" s="664"/>
      <c r="AT64" s="664"/>
      <c r="AU64" s="664"/>
      <c r="AV64" s="664"/>
      <c r="AW64" s="664"/>
      <c r="AX64" s="664"/>
      <c r="AY64" s="664"/>
      <c r="AZ64" s="664"/>
      <c r="BA64" s="664"/>
      <c r="BB64" s="664"/>
      <c r="BC64" s="664"/>
      <c r="BD64" s="664"/>
      <c r="BE64" s="664"/>
    </row>
    <row r="65" spans="6:153" ht="48" customHeight="1">
      <c r="F65" s="135">
        <v>13</v>
      </c>
      <c r="G65" s="565" t="s">
        <v>89</v>
      </c>
      <c r="H65" s="565"/>
      <c r="I65" s="565"/>
      <c r="J65" s="565"/>
      <c r="K65" s="565"/>
      <c r="L65" s="565"/>
      <c r="M65" s="565"/>
      <c r="N65" s="565" t="s">
        <v>80</v>
      </c>
      <c r="O65" s="565"/>
      <c r="P65" s="565"/>
      <c r="Q65" s="565"/>
      <c r="R65" s="565"/>
      <c r="S65" s="565"/>
      <c r="T65" s="565"/>
      <c r="U65" s="665"/>
      <c r="V65" s="666"/>
      <c r="W65" s="666"/>
      <c r="X65" s="666"/>
      <c r="Y65" s="666"/>
      <c r="Z65" s="666"/>
      <c r="AA65" s="666"/>
      <c r="AB65" s="666"/>
      <c r="AC65" s="666"/>
      <c r="AD65" s="666"/>
      <c r="AE65" s="666"/>
      <c r="AF65" s="666"/>
      <c r="AG65" s="666"/>
      <c r="AH65" s="666"/>
      <c r="AI65" s="666"/>
      <c r="AJ65" s="666"/>
      <c r="AK65" s="666"/>
      <c r="AL65" s="666"/>
      <c r="AM65" s="666"/>
      <c r="AN65" s="666"/>
      <c r="AO65" s="666"/>
      <c r="AP65" s="666"/>
      <c r="AQ65" s="666"/>
      <c r="AR65" s="666"/>
      <c r="AS65" s="666"/>
      <c r="AT65" s="666"/>
      <c r="AU65" s="666"/>
      <c r="AV65" s="666"/>
      <c r="AW65" s="666"/>
      <c r="AX65" s="666"/>
      <c r="AY65" s="666"/>
      <c r="AZ65" s="666"/>
      <c r="BA65" s="666"/>
      <c r="BB65" s="666"/>
      <c r="BC65" s="666"/>
      <c r="BD65" s="666"/>
      <c r="BE65" s="666"/>
    </row>
    <row r="66" spans="6:153" ht="48" customHeight="1">
      <c r="F66" s="135">
        <v>14</v>
      </c>
      <c r="G66" s="565" t="s">
        <v>247</v>
      </c>
      <c r="H66" s="565"/>
      <c r="I66" s="565"/>
      <c r="J66" s="565"/>
      <c r="K66" s="565"/>
      <c r="L66" s="565"/>
      <c r="M66" s="565"/>
      <c r="N66" s="566" t="s">
        <v>509</v>
      </c>
      <c r="O66" s="566"/>
      <c r="P66" s="566"/>
      <c r="Q66" s="566"/>
      <c r="R66" s="566"/>
      <c r="S66" s="566"/>
      <c r="T66" s="566"/>
      <c r="AA66" s="146"/>
      <c r="BF66" s="41"/>
      <c r="EV66" s="275"/>
    </row>
    <row r="67" spans="6:153" ht="48" customHeight="1">
      <c r="AH67" s="42"/>
      <c r="AI67" s="42"/>
      <c r="AJ67" s="42"/>
      <c r="AK67" s="42"/>
      <c r="AL67" s="42"/>
      <c r="AM67" s="42"/>
      <c r="AN67" s="42"/>
      <c r="AO67" s="42"/>
      <c r="AP67" s="42"/>
      <c r="AQ67" s="42"/>
      <c r="AR67" s="42"/>
      <c r="AS67" s="42"/>
      <c r="AT67" s="42"/>
      <c r="AU67" s="42"/>
      <c r="AV67" s="31"/>
      <c r="AW67" s="31"/>
      <c r="AX67" s="42"/>
      <c r="BF67" s="44"/>
      <c r="CJ67" s="45"/>
      <c r="CK67" s="45"/>
      <c r="CL67" s="45"/>
      <c r="CM67" s="45"/>
      <c r="CN67" s="45"/>
      <c r="CO67" s="45"/>
      <c r="CP67" s="45"/>
      <c r="CQ67" s="45"/>
      <c r="CR67" s="45"/>
      <c r="CS67" s="45"/>
      <c r="CT67" s="45"/>
      <c r="CU67" s="45"/>
      <c r="CV67" s="45"/>
      <c r="CW67" s="45"/>
      <c r="CX67" s="45"/>
      <c r="CY67" s="45"/>
      <c r="CZ67" s="45"/>
      <c r="DA67" s="45"/>
      <c r="DB67" s="45"/>
      <c r="DC67" s="45"/>
      <c r="DD67" s="45"/>
      <c r="DE67" s="45"/>
      <c r="DF67" s="45"/>
      <c r="DG67" s="45"/>
      <c r="DH67" s="45"/>
      <c r="DM67" s="149"/>
      <c r="EW67" s="356"/>
    </row>
    <row r="68" spans="6:153" ht="48" customHeight="1">
      <c r="AW68" s="31"/>
      <c r="BF68" s="46"/>
      <c r="CJ68" s="45"/>
      <c r="CK68" s="45"/>
      <c r="CL68" s="45"/>
      <c r="CM68" s="45"/>
      <c r="CN68" s="45"/>
      <c r="CO68" s="45"/>
      <c r="CP68" s="45"/>
      <c r="CQ68" s="45"/>
      <c r="CR68" s="45"/>
      <c r="CS68" s="45"/>
      <c r="CT68" s="45"/>
      <c r="CU68" s="45"/>
      <c r="CV68" s="45"/>
      <c r="CW68" s="45"/>
      <c r="CX68" s="45"/>
      <c r="CY68" s="45"/>
      <c r="CZ68" s="45"/>
      <c r="DA68" s="45"/>
      <c r="DB68" s="45"/>
      <c r="DC68" s="45"/>
      <c r="DD68" s="45"/>
      <c r="DE68" s="45"/>
      <c r="DF68" s="45"/>
      <c r="DG68" s="45"/>
      <c r="DH68" s="45"/>
      <c r="EV68" s="357"/>
    </row>
    <row r="69" spans="6:153" ht="48" customHeight="1">
      <c r="G69" s="32"/>
      <c r="AW69" s="31"/>
      <c r="CJ69" s="45"/>
      <c r="CK69" s="45"/>
      <c r="CL69" s="45"/>
      <c r="CM69" s="45"/>
      <c r="CN69" s="45"/>
      <c r="CO69" s="45"/>
      <c r="CP69" s="45"/>
      <c r="CQ69" s="45"/>
      <c r="CR69" s="45"/>
      <c r="CS69" s="45"/>
      <c r="CT69" s="45"/>
      <c r="CU69" s="45"/>
      <c r="CV69" s="45"/>
      <c r="CW69" s="45"/>
      <c r="CX69" s="45"/>
      <c r="CY69" s="45"/>
      <c r="CZ69" s="45"/>
      <c r="DA69" s="45"/>
      <c r="DB69" s="45"/>
      <c r="DC69" s="45"/>
      <c r="DD69" s="45"/>
      <c r="DE69" s="45"/>
      <c r="DF69" s="45"/>
      <c r="DG69" s="45"/>
      <c r="DH69" s="45"/>
      <c r="DN69" s="45"/>
      <c r="DO69" s="45"/>
      <c r="DP69" s="45"/>
      <c r="DQ69" s="45"/>
      <c r="DR69" s="45"/>
      <c r="DS69" s="45"/>
      <c r="DT69" s="45"/>
      <c r="DU69" s="45"/>
      <c r="DV69" s="45"/>
      <c r="DW69" s="45"/>
      <c r="DX69" s="45"/>
      <c r="DY69" s="45"/>
      <c r="DZ69" s="45"/>
      <c r="EA69" s="45"/>
      <c r="EB69" s="45"/>
      <c r="EC69" s="45"/>
      <c r="ED69" s="45"/>
      <c r="EE69" s="45"/>
      <c r="EF69" s="45"/>
    </row>
    <row r="70" spans="6:153" ht="48" customHeight="1">
      <c r="AW70" s="31"/>
      <c r="BF70" s="47"/>
      <c r="CI70" s="149"/>
      <c r="CJ70" s="45"/>
      <c r="CK70" s="45"/>
      <c r="CL70" s="45"/>
      <c r="CM70" s="45"/>
      <c r="CN70" s="45"/>
      <c r="CO70" s="45"/>
      <c r="CP70" s="45"/>
      <c r="CQ70" s="45"/>
      <c r="CR70" s="45"/>
      <c r="CS70" s="45"/>
      <c r="CT70" s="45"/>
      <c r="CU70" s="45"/>
      <c r="CV70" s="45"/>
      <c r="CW70" s="45"/>
      <c r="CX70" s="45"/>
      <c r="CY70" s="45"/>
      <c r="CZ70" s="45"/>
      <c r="DA70" s="45"/>
      <c r="DB70" s="45"/>
      <c r="DC70" s="45"/>
      <c r="DD70" s="45"/>
      <c r="DE70" s="45"/>
      <c r="DF70" s="45"/>
      <c r="DG70" s="45"/>
      <c r="DH70" s="45"/>
      <c r="EW70" s="433"/>
    </row>
    <row r="71" spans="6:153" ht="48" customHeight="1">
      <c r="G71" s="32"/>
      <c r="Q71" s="32"/>
      <c r="AW71" s="31"/>
    </row>
    <row r="72" spans="6:153" ht="48" customHeight="1">
      <c r="AW72" s="31"/>
      <c r="BF72" s="42"/>
      <c r="CJ72" s="43"/>
      <c r="CK72" s="43"/>
      <c r="CL72" s="43"/>
      <c r="CM72" s="149"/>
      <c r="CN72" s="43"/>
      <c r="CO72" s="43"/>
      <c r="CP72" s="43"/>
      <c r="CQ72" s="43"/>
      <c r="CR72" s="43"/>
      <c r="CS72" s="43"/>
      <c r="CT72" s="43"/>
      <c r="CU72" s="43"/>
      <c r="CV72" s="43"/>
      <c r="CW72" s="43"/>
      <c r="CX72" s="43"/>
      <c r="CY72" s="43"/>
      <c r="CZ72" s="43"/>
      <c r="DA72" s="43"/>
      <c r="DB72" s="43"/>
      <c r="DC72" s="43"/>
      <c r="DD72" s="43"/>
      <c r="DE72" s="43"/>
      <c r="DF72" s="43"/>
      <c r="DG72" s="43"/>
      <c r="DH72" s="43"/>
      <c r="ES72" s="10">
        <v>2</v>
      </c>
      <c r="ET72">
        <v>1.84</v>
      </c>
      <c r="EU72">
        <f>ET72/ES72</f>
        <v>0.92</v>
      </c>
      <c r="EV72" s="275"/>
    </row>
    <row r="73" spans="6:153" ht="48" customHeight="1">
      <c r="AW73" s="31"/>
    </row>
    <row r="74" spans="6:153" ht="48" customHeight="1">
      <c r="AW74" s="31"/>
      <c r="BF74" s="42"/>
      <c r="CJ74" s="236"/>
      <c r="CK74" s="235"/>
      <c r="CL74" s="42"/>
      <c r="CM74" s="42"/>
      <c r="CN74" s="42"/>
      <c r="CO74" s="42"/>
      <c r="CP74" s="42"/>
      <c r="CQ74" s="42"/>
      <c r="CR74" s="42"/>
      <c r="CS74" s="42"/>
      <c r="CT74" s="42"/>
      <c r="CU74" s="42"/>
      <c r="CV74" s="42"/>
      <c r="CW74" s="42"/>
      <c r="CX74" s="42"/>
      <c r="CY74" s="42"/>
      <c r="CZ74" s="42"/>
      <c r="DA74" s="42"/>
      <c r="DB74" s="42"/>
      <c r="DC74" s="42"/>
      <c r="DD74" s="42"/>
      <c r="DE74" s="42"/>
      <c r="DF74" s="42"/>
      <c r="DG74" s="42"/>
      <c r="DH74" s="42"/>
    </row>
    <row r="75" spans="6:153" ht="48" customHeight="1">
      <c r="AW75" s="31"/>
    </row>
    <row r="76" spans="6:153" ht="48" customHeight="1">
      <c r="AW76" s="31"/>
      <c r="CK76" s="149"/>
    </row>
    <row r="77" spans="6:153" ht="48" customHeight="1">
      <c r="AW77" s="31"/>
    </row>
    <row r="78" spans="6:153" ht="48" customHeight="1">
      <c r="AW78" s="31"/>
    </row>
    <row r="79" spans="6:153" ht="48" customHeight="1">
      <c r="AW79" s="31"/>
    </row>
    <row r="80" spans="6:153" ht="48" customHeight="1">
      <c r="AW80" s="31"/>
    </row>
  </sheetData>
  <sheetProtection formatCells="0" formatColumns="0" formatRows="0" insertHyperlinks="0" sort="0" autoFilter="0" pivotTables="0"/>
  <mergeCells count="113">
    <mergeCell ref="FB31:FB37"/>
    <mergeCell ref="A10:A16"/>
    <mergeCell ref="A17:A23"/>
    <mergeCell ref="A24:A30"/>
    <mergeCell ref="A31:A37"/>
    <mergeCell ref="EW31:EW37"/>
    <mergeCell ref="EX31:EX37"/>
    <mergeCell ref="EY31:EY37"/>
    <mergeCell ref="EZ31:EZ37"/>
    <mergeCell ref="FA31:FA37"/>
    <mergeCell ref="EX24:EX30"/>
    <mergeCell ref="EY24:EY30"/>
    <mergeCell ref="EZ24:EZ30"/>
    <mergeCell ref="FA24:FA30"/>
    <mergeCell ref="FB24:FB30"/>
    <mergeCell ref="B24:B30"/>
    <mergeCell ref="C24:C30"/>
    <mergeCell ref="D24:D30"/>
    <mergeCell ref="E24:E30"/>
    <mergeCell ref="EW24:EW30"/>
    <mergeCell ref="EX17:EX23"/>
    <mergeCell ref="FB10:FB16"/>
    <mergeCell ref="B10:B16"/>
    <mergeCell ref="C10:C16"/>
    <mergeCell ref="EY17:EY23"/>
    <mergeCell ref="EZ17:EZ23"/>
    <mergeCell ref="FA17:FA23"/>
    <mergeCell ref="FB17:FB23"/>
    <mergeCell ref="B17:B23"/>
    <mergeCell ref="C17:C23"/>
    <mergeCell ref="D17:D23"/>
    <mergeCell ref="E17:E23"/>
    <mergeCell ref="EW17:EW23"/>
    <mergeCell ref="G66:M66"/>
    <mergeCell ref="N66:T66"/>
    <mergeCell ref="G64:M64"/>
    <mergeCell ref="N64:T64"/>
    <mergeCell ref="U64:BE64"/>
    <mergeCell ref="G65:M65"/>
    <mergeCell ref="N65:T65"/>
    <mergeCell ref="U65:BE65"/>
    <mergeCell ref="A59:E61"/>
    <mergeCell ref="EW7:EW9"/>
    <mergeCell ref="A45:A51"/>
    <mergeCell ref="A52:A58"/>
    <mergeCell ref="B52:B58"/>
    <mergeCell ref="D31:D37"/>
    <mergeCell ref="E31:E37"/>
    <mergeCell ref="C45:C51"/>
    <mergeCell ref="B45:B51"/>
    <mergeCell ref="B31:B37"/>
    <mergeCell ref="C31:C37"/>
    <mergeCell ref="D38:D44"/>
    <mergeCell ref="A38:A44"/>
    <mergeCell ref="B38:B44"/>
    <mergeCell ref="C38:C44"/>
    <mergeCell ref="E38:E44"/>
    <mergeCell ref="D45:D51"/>
    <mergeCell ref="E45:E51"/>
    <mergeCell ref="C52:C58"/>
    <mergeCell ref="D52:D58"/>
    <mergeCell ref="E52:E58"/>
    <mergeCell ref="D10:D16"/>
    <mergeCell ref="E10:E16"/>
    <mergeCell ref="EW10:EW16"/>
    <mergeCell ref="FA10:FA16"/>
    <mergeCell ref="A1:E3"/>
    <mergeCell ref="A4:E4"/>
    <mergeCell ref="A5:E5"/>
    <mergeCell ref="A7:G8"/>
    <mergeCell ref="F1:FA1"/>
    <mergeCell ref="F2:FA2"/>
    <mergeCell ref="F3:EQ3"/>
    <mergeCell ref="H7:EQ7"/>
    <mergeCell ref="H8:AA8"/>
    <mergeCell ref="AB8:BE8"/>
    <mergeCell ref="BF8:CI8"/>
    <mergeCell ref="ER3:FA3"/>
    <mergeCell ref="F5:FA5"/>
    <mergeCell ref="F4:FA4"/>
    <mergeCell ref="FA7:FA9"/>
    <mergeCell ref="EY7:EY9"/>
    <mergeCell ref="EZ7:EZ9"/>
    <mergeCell ref="ER7:ER9"/>
    <mergeCell ref="EU7:EU9"/>
    <mergeCell ref="DN8:EQ8"/>
    <mergeCell ref="CJ8:DM8"/>
    <mergeCell ref="EX7:EX9"/>
    <mergeCell ref="EV7:EV9"/>
    <mergeCell ref="ER59:FA61"/>
    <mergeCell ref="ET7:ET9"/>
    <mergeCell ref="ES7:ES9"/>
    <mergeCell ref="FA52:FA58"/>
    <mergeCell ref="EZ38:EZ44"/>
    <mergeCell ref="EW45:EW51"/>
    <mergeCell ref="EX38:EX44"/>
    <mergeCell ref="FB52:FB58"/>
    <mergeCell ref="EW38:EW44"/>
    <mergeCell ref="FB38:FB44"/>
    <mergeCell ref="FB45:FB51"/>
    <mergeCell ref="EY38:EY44"/>
    <mergeCell ref="FA45:FA51"/>
    <mergeCell ref="FA38:FA44"/>
    <mergeCell ref="EZ52:EZ58"/>
    <mergeCell ref="EY45:EY51"/>
    <mergeCell ref="EY52:EY58"/>
    <mergeCell ref="EW52:EW58"/>
    <mergeCell ref="EX52:EX58"/>
    <mergeCell ref="EX45:EX51"/>
    <mergeCell ref="EZ45:EZ51"/>
    <mergeCell ref="EX10:EX16"/>
    <mergeCell ref="EY10:EY16"/>
    <mergeCell ref="EZ10:EZ16"/>
  </mergeCells>
  <dataValidations count="2">
    <dataValidation type="textLength" operator="lessThanOrEqual" showInputMessage="1" showErrorMessage="1" sqref="EW10:EW58" xr:uid="{00000000-0002-0000-0100-000000000000}">
      <formula1>2000</formula1>
    </dataValidation>
    <dataValidation type="textLength" operator="lessThanOrEqual" showInputMessage="1" showErrorMessage="1" sqref="EX10:EY58" xr:uid="{00000000-0002-0000-0100-000001000000}">
      <formula1>500</formula1>
    </dataValidation>
  </dataValidations>
  <printOptions horizontalCentered="1" verticalCentered="1"/>
  <pageMargins left="0" right="0" top="0.74803149606299213" bottom="0" header="0.31496062992125984" footer="0"/>
  <pageSetup scale="20" fitToHeight="0" orientation="landscape" r:id="rId1"/>
  <ignoredErrors>
    <ignoredError sqref="DM13" formula="1"/>
    <ignoredError sqref="DA11:DA12 DA18:DA19 DA25:DA26 DA32:DA33 DA46:DA47 DA53 DA14 DA21 DI21" unlockedFormula="1"/>
  </ignoredErrors>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E123"/>
  <sheetViews>
    <sheetView showGridLines="0" topLeftCell="A3" zoomScale="69" zoomScaleNormal="69" zoomScalePageLayoutView="75" workbookViewId="0">
      <selection activeCell="V19" sqref="V19:V20"/>
    </sheetView>
  </sheetViews>
  <sheetFormatPr baseColWidth="10" defaultColWidth="9.7109375" defaultRowHeight="27" customHeight="1"/>
  <cols>
    <col min="1" max="1" width="12.42578125" style="6" customWidth="1"/>
    <col min="2" max="2" width="15.85546875" style="6" customWidth="1"/>
    <col min="3" max="3" width="37.5703125" style="12" customWidth="1"/>
    <col min="4" max="5" width="10" style="6" customWidth="1"/>
    <col min="6" max="6" width="9.28515625" style="6" customWidth="1"/>
    <col min="7" max="13" width="8.140625" style="6" customWidth="1"/>
    <col min="14" max="18" width="8.140625" style="7" customWidth="1"/>
    <col min="19" max="19" width="8.42578125" style="7" customWidth="1"/>
    <col min="20" max="21" width="15.42578125" style="7" customWidth="1"/>
    <col min="22" max="22" width="48.140625" style="34" customWidth="1"/>
    <col min="23" max="24" width="9.7109375" style="8"/>
    <col min="25" max="16384" width="9.7109375" style="6"/>
  </cols>
  <sheetData>
    <row r="1" spans="1:31" s="89" customFormat="1" ht="27" customHeight="1">
      <c r="A1" s="705"/>
      <c r="B1" s="706"/>
      <c r="C1" s="706"/>
      <c r="D1" s="711" t="s">
        <v>38</v>
      </c>
      <c r="E1" s="640"/>
      <c r="F1" s="640"/>
      <c r="G1" s="640"/>
      <c r="H1" s="640"/>
      <c r="I1" s="640"/>
      <c r="J1" s="640"/>
      <c r="K1" s="640"/>
      <c r="L1" s="640"/>
      <c r="M1" s="640"/>
      <c r="N1" s="640"/>
      <c r="O1" s="640"/>
      <c r="P1" s="640"/>
      <c r="Q1" s="640"/>
      <c r="R1" s="640"/>
      <c r="S1" s="640"/>
      <c r="T1" s="640"/>
      <c r="U1" s="640"/>
      <c r="V1" s="641"/>
    </row>
    <row r="2" spans="1:31" s="89" customFormat="1" ht="46.5" customHeight="1">
      <c r="A2" s="707"/>
      <c r="B2" s="708"/>
      <c r="C2" s="708"/>
      <c r="D2" s="712" t="s">
        <v>245</v>
      </c>
      <c r="E2" s="642"/>
      <c r="F2" s="642"/>
      <c r="G2" s="642"/>
      <c r="H2" s="642"/>
      <c r="I2" s="642"/>
      <c r="J2" s="642"/>
      <c r="K2" s="642"/>
      <c r="L2" s="642"/>
      <c r="M2" s="642"/>
      <c r="N2" s="642"/>
      <c r="O2" s="642"/>
      <c r="P2" s="642"/>
      <c r="Q2" s="642"/>
      <c r="R2" s="642"/>
      <c r="S2" s="642"/>
      <c r="T2" s="642"/>
      <c r="U2" s="642"/>
      <c r="V2" s="643"/>
    </row>
    <row r="3" spans="1:31" s="89" customFormat="1" ht="27" customHeight="1" thickBot="1">
      <c r="A3" s="709"/>
      <c r="B3" s="710"/>
      <c r="C3" s="710"/>
      <c r="D3" s="731" t="s">
        <v>39</v>
      </c>
      <c r="E3" s="732"/>
      <c r="F3" s="732"/>
      <c r="G3" s="732"/>
      <c r="H3" s="732"/>
      <c r="I3" s="732"/>
      <c r="J3" s="732"/>
      <c r="K3" s="732"/>
      <c r="L3" s="732"/>
      <c r="M3" s="732"/>
      <c r="N3" s="732"/>
      <c r="O3" s="732"/>
      <c r="P3" s="732"/>
      <c r="Q3" s="732"/>
      <c r="R3" s="732"/>
      <c r="S3" s="732"/>
      <c r="T3" s="732"/>
      <c r="U3" s="733"/>
      <c r="V3" s="33" t="s">
        <v>227</v>
      </c>
    </row>
    <row r="4" spans="1:31" ht="27" customHeight="1" thickBot="1">
      <c r="A4" s="726" t="s">
        <v>0</v>
      </c>
      <c r="B4" s="727"/>
      <c r="C4" s="728"/>
      <c r="D4" s="720" t="s">
        <v>302</v>
      </c>
      <c r="E4" s="721"/>
      <c r="F4" s="721"/>
      <c r="G4" s="721"/>
      <c r="H4" s="721"/>
      <c r="I4" s="721"/>
      <c r="J4" s="721"/>
      <c r="K4" s="721"/>
      <c r="L4" s="721"/>
      <c r="M4" s="721"/>
      <c r="N4" s="721"/>
      <c r="O4" s="721"/>
      <c r="P4" s="721"/>
      <c r="Q4" s="721"/>
      <c r="R4" s="721"/>
      <c r="S4" s="721"/>
      <c r="T4" s="721"/>
      <c r="U4" s="721"/>
      <c r="V4" s="722"/>
      <c r="W4" s="6"/>
      <c r="X4" s="6"/>
    </row>
    <row r="5" spans="1:31" ht="27" customHeight="1" thickBot="1">
      <c r="A5" s="717" t="s">
        <v>2</v>
      </c>
      <c r="B5" s="718"/>
      <c r="C5" s="719"/>
      <c r="D5" s="723" t="s">
        <v>303</v>
      </c>
      <c r="E5" s="724"/>
      <c r="F5" s="724"/>
      <c r="G5" s="724"/>
      <c r="H5" s="724"/>
      <c r="I5" s="724"/>
      <c r="J5" s="724"/>
      <c r="K5" s="724"/>
      <c r="L5" s="724"/>
      <c r="M5" s="724"/>
      <c r="N5" s="724"/>
      <c r="O5" s="724"/>
      <c r="P5" s="724"/>
      <c r="Q5" s="724"/>
      <c r="R5" s="724"/>
      <c r="S5" s="724"/>
      <c r="T5" s="724"/>
      <c r="U5" s="724"/>
      <c r="V5" s="725"/>
      <c r="W5" s="6"/>
      <c r="X5" s="6"/>
    </row>
    <row r="6" spans="1:31" ht="27" customHeight="1" thickBot="1">
      <c r="A6" s="734"/>
      <c r="B6" s="735"/>
      <c r="C6" s="735"/>
      <c r="D6" s="735"/>
      <c r="E6" s="735"/>
      <c r="F6" s="735"/>
      <c r="G6" s="735"/>
      <c r="H6" s="735"/>
      <c r="I6" s="735"/>
      <c r="J6" s="735"/>
      <c r="K6" s="735"/>
      <c r="L6" s="735"/>
      <c r="M6" s="735"/>
      <c r="N6" s="735"/>
      <c r="O6" s="735"/>
      <c r="P6" s="735"/>
      <c r="Q6" s="735"/>
      <c r="R6" s="735"/>
      <c r="S6" s="735"/>
      <c r="T6" s="735"/>
      <c r="U6" s="735"/>
      <c r="V6" s="736"/>
      <c r="W6" s="6"/>
      <c r="X6" s="6"/>
    </row>
    <row r="7" spans="1:31" s="8" customFormat="1" ht="27" customHeight="1">
      <c r="A7" s="729" t="s">
        <v>22</v>
      </c>
      <c r="B7" s="713" t="s">
        <v>23</v>
      </c>
      <c r="C7" s="713" t="s">
        <v>68</v>
      </c>
      <c r="D7" s="715" t="s">
        <v>24</v>
      </c>
      <c r="E7" s="715"/>
      <c r="F7" s="716" t="s">
        <v>617</v>
      </c>
      <c r="G7" s="716"/>
      <c r="H7" s="716"/>
      <c r="I7" s="716"/>
      <c r="J7" s="716"/>
      <c r="K7" s="716"/>
      <c r="L7" s="716"/>
      <c r="M7" s="716"/>
      <c r="N7" s="716"/>
      <c r="O7" s="716"/>
      <c r="P7" s="716"/>
      <c r="Q7" s="716"/>
      <c r="R7" s="716"/>
      <c r="S7" s="716"/>
      <c r="T7" s="737" t="s">
        <v>28</v>
      </c>
      <c r="U7" s="737"/>
      <c r="V7" s="738" t="s">
        <v>747</v>
      </c>
    </row>
    <row r="8" spans="1:31" s="8" customFormat="1" ht="27" customHeight="1" thickBot="1">
      <c r="A8" s="730"/>
      <c r="B8" s="714"/>
      <c r="C8" s="714"/>
      <c r="D8" s="425" t="s">
        <v>25</v>
      </c>
      <c r="E8" s="425" t="s">
        <v>26</v>
      </c>
      <c r="F8" s="425" t="s">
        <v>27</v>
      </c>
      <c r="G8" s="29" t="s">
        <v>6</v>
      </c>
      <c r="H8" s="29" t="s">
        <v>7</v>
      </c>
      <c r="I8" s="29" t="s">
        <v>8</v>
      </c>
      <c r="J8" s="29" t="s">
        <v>9</v>
      </c>
      <c r="K8" s="29" t="s">
        <v>10</v>
      </c>
      <c r="L8" s="29" t="s">
        <v>11</v>
      </c>
      <c r="M8" s="29" t="s">
        <v>12</v>
      </c>
      <c r="N8" s="29" t="s">
        <v>13</v>
      </c>
      <c r="O8" s="29" t="s">
        <v>14</v>
      </c>
      <c r="P8" s="29" t="s">
        <v>15</v>
      </c>
      <c r="Q8" s="29" t="s">
        <v>16</v>
      </c>
      <c r="R8" s="29" t="s">
        <v>17</v>
      </c>
      <c r="S8" s="160" t="s">
        <v>18</v>
      </c>
      <c r="T8" s="160" t="s">
        <v>29</v>
      </c>
      <c r="U8" s="160" t="s">
        <v>30</v>
      </c>
      <c r="V8" s="739"/>
    </row>
    <row r="9" spans="1:31" ht="27" customHeight="1">
      <c r="A9" s="682" t="s">
        <v>292</v>
      </c>
      <c r="B9" s="702" t="s">
        <v>304</v>
      </c>
      <c r="C9" s="704" t="s">
        <v>621</v>
      </c>
      <c r="D9" s="701" t="s">
        <v>305</v>
      </c>
      <c r="E9" s="701" t="s">
        <v>305</v>
      </c>
      <c r="F9" s="423" t="s">
        <v>19</v>
      </c>
      <c r="G9" s="481">
        <v>8.3299999999999999E-2</v>
      </c>
      <c r="H9" s="481">
        <v>8.3299999999999999E-2</v>
      </c>
      <c r="I9" s="481">
        <v>8.3299999999999999E-2</v>
      </c>
      <c r="J9" s="481">
        <v>8.3299999999999999E-2</v>
      </c>
      <c r="K9" s="481">
        <v>8.3299999999999999E-2</v>
      </c>
      <c r="L9" s="481">
        <v>8.3299999999999999E-2</v>
      </c>
      <c r="M9" s="481">
        <v>8.3299999999999999E-2</v>
      </c>
      <c r="N9" s="481">
        <v>8.3299999999999999E-2</v>
      </c>
      <c r="O9" s="481">
        <v>8.3299999999999999E-2</v>
      </c>
      <c r="P9" s="481">
        <v>8.3299999999999999E-2</v>
      </c>
      <c r="Q9" s="481">
        <v>8.3299999999999999E-2</v>
      </c>
      <c r="R9" s="481">
        <v>8.3699999999999997E-2</v>
      </c>
      <c r="S9" s="424">
        <f>SUM(G9:R9)</f>
        <v>1</v>
      </c>
      <c r="T9" s="685">
        <v>0.15</v>
      </c>
      <c r="U9" s="685">
        <v>0.05</v>
      </c>
      <c r="V9" s="698" t="s">
        <v>790</v>
      </c>
    </row>
    <row r="10" spans="1:31" ht="27" customHeight="1">
      <c r="A10" s="678"/>
      <c r="B10" s="703"/>
      <c r="C10" s="700"/>
      <c r="D10" s="688"/>
      <c r="E10" s="688"/>
      <c r="F10" s="91" t="s">
        <v>20</v>
      </c>
      <c r="G10" s="482">
        <v>8.3299999999999999E-2</v>
      </c>
      <c r="H10" s="482">
        <v>8.3299999999999999E-2</v>
      </c>
      <c r="I10" s="482">
        <v>8.3299999999999999E-2</v>
      </c>
      <c r="J10" s="482">
        <v>8.3299999999999999E-2</v>
      </c>
      <c r="K10" s="483">
        <v>8.3299999999999999E-2</v>
      </c>
      <c r="L10" s="483">
        <v>8.3299999999999999E-2</v>
      </c>
      <c r="M10" s="484">
        <v>8.3299999999999999E-2</v>
      </c>
      <c r="N10" s="484">
        <v>8.3299999999999999E-2</v>
      </c>
      <c r="O10" s="484">
        <v>8.3299999999999999E-2</v>
      </c>
      <c r="P10" s="484">
        <v>8.3299999999999999E-2</v>
      </c>
      <c r="Q10" s="484">
        <v>8.3299999999999999E-2</v>
      </c>
      <c r="R10" s="485">
        <v>8.3699999999999997E-2</v>
      </c>
      <c r="S10" s="133">
        <f>SUM(G10:R10)</f>
        <v>1</v>
      </c>
      <c r="T10" s="679"/>
      <c r="U10" s="679"/>
      <c r="V10" s="693"/>
    </row>
    <row r="11" spans="1:31" ht="27" customHeight="1">
      <c r="A11" s="678"/>
      <c r="B11" s="703"/>
      <c r="C11" s="700" t="s">
        <v>622</v>
      </c>
      <c r="D11" s="688" t="s">
        <v>305</v>
      </c>
      <c r="E11" s="688" t="s">
        <v>305</v>
      </c>
      <c r="F11" s="92" t="s">
        <v>19</v>
      </c>
      <c r="G11" s="483">
        <v>8.3299999999999999E-2</v>
      </c>
      <c r="H11" s="483">
        <v>8.3299999999999999E-2</v>
      </c>
      <c r="I11" s="483">
        <v>8.3299999999999999E-2</v>
      </c>
      <c r="J11" s="483">
        <v>8.3299999999999999E-2</v>
      </c>
      <c r="K11" s="483">
        <v>8.3299999999999999E-2</v>
      </c>
      <c r="L11" s="483">
        <v>8.3299999999999999E-2</v>
      </c>
      <c r="M11" s="483">
        <v>8.3299999999999999E-2</v>
      </c>
      <c r="N11" s="483">
        <v>8.3299999999999999E-2</v>
      </c>
      <c r="O11" s="483">
        <v>8.3299999999999999E-2</v>
      </c>
      <c r="P11" s="483">
        <v>8.3299999999999999E-2</v>
      </c>
      <c r="Q11" s="483">
        <v>8.3299999999999999E-2</v>
      </c>
      <c r="R11" s="483">
        <v>8.3699999999999997E-2</v>
      </c>
      <c r="S11" s="90">
        <f t="shared" ref="S11:S64" si="0">SUM(G11:R11)</f>
        <v>1</v>
      </c>
      <c r="T11" s="679"/>
      <c r="U11" s="679">
        <v>0.03</v>
      </c>
      <c r="V11" s="699" t="s">
        <v>761</v>
      </c>
    </row>
    <row r="12" spans="1:31" ht="27" customHeight="1">
      <c r="A12" s="678"/>
      <c r="B12" s="703"/>
      <c r="C12" s="700"/>
      <c r="D12" s="688"/>
      <c r="E12" s="688"/>
      <c r="F12" s="93" t="s">
        <v>20</v>
      </c>
      <c r="G12" s="482">
        <v>8.3299999999999999E-2</v>
      </c>
      <c r="H12" s="482">
        <v>8.3299999999999999E-2</v>
      </c>
      <c r="I12" s="482">
        <v>8.3299999999999999E-2</v>
      </c>
      <c r="J12" s="482">
        <v>8.3299999999999999E-2</v>
      </c>
      <c r="K12" s="484">
        <v>8.3299999999999999E-2</v>
      </c>
      <c r="L12" s="483">
        <v>8.3299999999999999E-2</v>
      </c>
      <c r="M12" s="484">
        <v>8.3299999999999999E-2</v>
      </c>
      <c r="N12" s="484">
        <v>8.3299999999999999E-2</v>
      </c>
      <c r="O12" s="484">
        <v>8.3299999999999999E-2</v>
      </c>
      <c r="P12" s="484">
        <v>8.3299999999999999E-2</v>
      </c>
      <c r="Q12" s="484">
        <v>8.3299999999999999E-2</v>
      </c>
      <c r="R12" s="485">
        <v>8.3699999999999997E-2</v>
      </c>
      <c r="S12" s="136">
        <f t="shared" si="0"/>
        <v>1</v>
      </c>
      <c r="T12" s="679"/>
      <c r="U12" s="679"/>
      <c r="V12" s="698"/>
      <c r="Y12" s="8"/>
      <c r="Z12" s="8"/>
      <c r="AA12" s="8"/>
      <c r="AB12" s="8"/>
      <c r="AC12" s="8"/>
      <c r="AD12" s="8"/>
      <c r="AE12" s="8"/>
    </row>
    <row r="13" spans="1:31" ht="27" customHeight="1">
      <c r="A13" s="678"/>
      <c r="B13" s="703"/>
      <c r="C13" s="700" t="s">
        <v>623</v>
      </c>
      <c r="D13" s="688" t="s">
        <v>305</v>
      </c>
      <c r="E13" s="688" t="s">
        <v>305</v>
      </c>
      <c r="F13" s="92" t="s">
        <v>19</v>
      </c>
      <c r="G13" s="483">
        <v>5.8799999999999998E-2</v>
      </c>
      <c r="H13" s="483">
        <v>5.8799999999999998E-2</v>
      </c>
      <c r="I13" s="483">
        <v>0.1176</v>
      </c>
      <c r="J13" s="483">
        <v>5.8799999999999998E-2</v>
      </c>
      <c r="K13" s="483">
        <v>5.8799999999999998E-2</v>
      </c>
      <c r="L13" s="483">
        <v>0.17649999999999999</v>
      </c>
      <c r="M13" s="483">
        <v>5.8799999999999998E-2</v>
      </c>
      <c r="N13" s="483">
        <v>5.8799999999999998E-2</v>
      </c>
      <c r="O13" s="483">
        <v>0.1176</v>
      </c>
      <c r="P13" s="483">
        <v>5.8799999999999998E-2</v>
      </c>
      <c r="Q13" s="483">
        <v>5.8799999999999998E-2</v>
      </c>
      <c r="R13" s="483">
        <v>0.1179</v>
      </c>
      <c r="S13" s="94">
        <f>SUM(G13:R13)</f>
        <v>0.99999999999999989</v>
      </c>
      <c r="T13" s="679"/>
      <c r="U13" s="679">
        <v>0.03</v>
      </c>
      <c r="V13" s="693" t="s">
        <v>785</v>
      </c>
      <c r="Y13" s="8"/>
      <c r="Z13" s="8"/>
      <c r="AA13" s="8"/>
      <c r="AB13" s="8"/>
      <c r="AC13" s="8"/>
      <c r="AD13" s="8"/>
      <c r="AE13" s="8"/>
    </row>
    <row r="14" spans="1:31" ht="27" customHeight="1">
      <c r="A14" s="678"/>
      <c r="B14" s="703"/>
      <c r="C14" s="700"/>
      <c r="D14" s="688"/>
      <c r="E14" s="688"/>
      <c r="F14" s="93" t="s">
        <v>20</v>
      </c>
      <c r="G14" s="482">
        <v>5.8799999999999998E-2</v>
      </c>
      <c r="H14" s="482">
        <v>5.8799999999999998E-2</v>
      </c>
      <c r="I14" s="482">
        <v>0.1178</v>
      </c>
      <c r="J14" s="482">
        <v>0</v>
      </c>
      <c r="K14" s="484">
        <f>5.88%+5.88%</f>
        <v>0.1176</v>
      </c>
      <c r="L14" s="483">
        <v>0.17649999999999999</v>
      </c>
      <c r="M14" s="484">
        <v>5.8799999999999998E-2</v>
      </c>
      <c r="N14" s="484">
        <v>5.8799999999999998E-2</v>
      </c>
      <c r="O14" s="484">
        <v>0.1176</v>
      </c>
      <c r="P14" s="484">
        <v>5.8799999999999998E-2</v>
      </c>
      <c r="Q14" s="484">
        <v>5.8799999999999998E-2</v>
      </c>
      <c r="R14" s="485">
        <v>0.1177</v>
      </c>
      <c r="S14" s="136">
        <f t="shared" si="0"/>
        <v>0.99999999999999989</v>
      </c>
      <c r="T14" s="679"/>
      <c r="U14" s="679"/>
      <c r="V14" s="693"/>
      <c r="Y14" s="8"/>
      <c r="Z14" s="8"/>
      <c r="AA14" s="8"/>
      <c r="AB14" s="8"/>
      <c r="AC14" s="8"/>
      <c r="AD14" s="8"/>
      <c r="AE14" s="8"/>
    </row>
    <row r="15" spans="1:31" ht="27" customHeight="1">
      <c r="A15" s="678"/>
      <c r="B15" s="703"/>
      <c r="C15" s="700" t="s">
        <v>624</v>
      </c>
      <c r="D15" s="688" t="s">
        <v>305</v>
      </c>
      <c r="E15" s="688" t="s">
        <v>305</v>
      </c>
      <c r="F15" s="92" t="s">
        <v>19</v>
      </c>
      <c r="G15" s="483">
        <v>0</v>
      </c>
      <c r="H15" s="483">
        <v>0</v>
      </c>
      <c r="I15" s="483">
        <v>0.25</v>
      </c>
      <c r="J15" s="483">
        <v>0</v>
      </c>
      <c r="K15" s="483">
        <v>0</v>
      </c>
      <c r="L15" s="483">
        <v>0.25</v>
      </c>
      <c r="M15" s="483">
        <v>0</v>
      </c>
      <c r="N15" s="483">
        <v>0</v>
      </c>
      <c r="O15" s="483">
        <v>0.25</v>
      </c>
      <c r="P15" s="483">
        <v>0</v>
      </c>
      <c r="Q15" s="483">
        <v>0</v>
      </c>
      <c r="R15" s="483">
        <v>0.25</v>
      </c>
      <c r="S15" s="90">
        <f t="shared" si="0"/>
        <v>1</v>
      </c>
      <c r="T15" s="679"/>
      <c r="U15" s="679">
        <v>0.02</v>
      </c>
      <c r="V15" s="693" t="s">
        <v>762</v>
      </c>
    </row>
    <row r="16" spans="1:31" ht="27" customHeight="1">
      <c r="A16" s="678"/>
      <c r="B16" s="703"/>
      <c r="C16" s="700"/>
      <c r="D16" s="688"/>
      <c r="E16" s="688"/>
      <c r="F16" s="93" t="s">
        <v>20</v>
      </c>
      <c r="G16" s="482">
        <v>0</v>
      </c>
      <c r="H16" s="482">
        <v>0</v>
      </c>
      <c r="I16" s="482">
        <v>0.25</v>
      </c>
      <c r="J16" s="482">
        <v>0</v>
      </c>
      <c r="K16" s="484">
        <v>0</v>
      </c>
      <c r="L16" s="483">
        <v>0.25</v>
      </c>
      <c r="M16" s="484">
        <v>0</v>
      </c>
      <c r="N16" s="484">
        <v>0</v>
      </c>
      <c r="O16" s="484">
        <v>0.25</v>
      </c>
      <c r="P16" s="484">
        <v>0</v>
      </c>
      <c r="Q16" s="484">
        <v>0</v>
      </c>
      <c r="R16" s="485">
        <v>0.25</v>
      </c>
      <c r="S16" s="137">
        <f t="shared" si="0"/>
        <v>1</v>
      </c>
      <c r="T16" s="679"/>
      <c r="U16" s="679"/>
      <c r="V16" s="686"/>
    </row>
    <row r="17" spans="1:22" ht="27" customHeight="1">
      <c r="A17" s="678"/>
      <c r="B17" s="703"/>
      <c r="C17" s="689" t="s">
        <v>625</v>
      </c>
      <c r="D17" s="688" t="s">
        <v>305</v>
      </c>
      <c r="E17" s="688" t="s">
        <v>305</v>
      </c>
      <c r="F17" s="92" t="s">
        <v>19</v>
      </c>
      <c r="G17" s="483">
        <v>0</v>
      </c>
      <c r="H17" s="483">
        <v>0</v>
      </c>
      <c r="I17" s="483">
        <v>0.25</v>
      </c>
      <c r="J17" s="483">
        <v>0</v>
      </c>
      <c r="K17" s="483">
        <v>0</v>
      </c>
      <c r="L17" s="483">
        <v>0.25</v>
      </c>
      <c r="M17" s="483">
        <v>0</v>
      </c>
      <c r="N17" s="483">
        <v>0</v>
      </c>
      <c r="O17" s="483">
        <v>0.25</v>
      </c>
      <c r="P17" s="483">
        <v>0</v>
      </c>
      <c r="Q17" s="483">
        <v>0</v>
      </c>
      <c r="R17" s="483">
        <v>0.25</v>
      </c>
      <c r="S17" s="90">
        <f t="shared" si="0"/>
        <v>1</v>
      </c>
      <c r="T17" s="679"/>
      <c r="U17" s="679">
        <v>0.02</v>
      </c>
      <c r="V17" s="686" t="s">
        <v>763</v>
      </c>
    </row>
    <row r="18" spans="1:22" ht="27" customHeight="1">
      <c r="A18" s="678"/>
      <c r="B18" s="703"/>
      <c r="C18" s="689"/>
      <c r="D18" s="688"/>
      <c r="E18" s="688"/>
      <c r="F18" s="93" t="s">
        <v>20</v>
      </c>
      <c r="G18" s="482">
        <v>0</v>
      </c>
      <c r="H18" s="482">
        <v>0</v>
      </c>
      <c r="I18" s="482">
        <v>0.25</v>
      </c>
      <c r="J18" s="482">
        <v>0</v>
      </c>
      <c r="K18" s="484">
        <v>0</v>
      </c>
      <c r="L18" s="483">
        <v>0.25</v>
      </c>
      <c r="M18" s="484">
        <v>0</v>
      </c>
      <c r="N18" s="484">
        <v>0</v>
      </c>
      <c r="O18" s="484">
        <v>0.25</v>
      </c>
      <c r="P18" s="484">
        <v>0</v>
      </c>
      <c r="Q18" s="484">
        <v>0</v>
      </c>
      <c r="R18" s="485">
        <v>0.25</v>
      </c>
      <c r="S18" s="137">
        <f t="shared" si="0"/>
        <v>1</v>
      </c>
      <c r="T18" s="679"/>
      <c r="U18" s="679"/>
      <c r="V18" s="686"/>
    </row>
    <row r="19" spans="1:22" ht="27" customHeight="1">
      <c r="A19" s="678" t="s">
        <v>292</v>
      </c>
      <c r="B19" s="678" t="s">
        <v>601</v>
      </c>
      <c r="C19" s="689" t="s">
        <v>640</v>
      </c>
      <c r="D19" s="688" t="s">
        <v>305</v>
      </c>
      <c r="E19" s="688" t="s">
        <v>305</v>
      </c>
      <c r="F19" s="92" t="s">
        <v>19</v>
      </c>
      <c r="G19" s="483">
        <v>2.5000000000000001E-2</v>
      </c>
      <c r="H19" s="483">
        <v>2.5000000000000001E-2</v>
      </c>
      <c r="I19" s="483">
        <v>0.1</v>
      </c>
      <c r="J19" s="483">
        <v>0.1</v>
      </c>
      <c r="K19" s="483">
        <v>0.125</v>
      </c>
      <c r="L19" s="483">
        <v>0.125</v>
      </c>
      <c r="M19" s="483">
        <v>2.5000000000000001E-2</v>
      </c>
      <c r="N19" s="483">
        <v>2.5000000000000001E-2</v>
      </c>
      <c r="O19" s="483">
        <v>0.1</v>
      </c>
      <c r="P19" s="483">
        <v>0.1</v>
      </c>
      <c r="Q19" s="483">
        <v>0.125</v>
      </c>
      <c r="R19" s="483">
        <v>0.125</v>
      </c>
      <c r="S19" s="90">
        <f t="shared" si="0"/>
        <v>1</v>
      </c>
      <c r="T19" s="679">
        <v>0.15</v>
      </c>
      <c r="U19" s="679">
        <v>0.05</v>
      </c>
      <c r="V19" s="740" t="s">
        <v>765</v>
      </c>
    </row>
    <row r="20" spans="1:22" ht="27" customHeight="1">
      <c r="A20" s="678"/>
      <c r="B20" s="678"/>
      <c r="C20" s="689"/>
      <c r="D20" s="688"/>
      <c r="E20" s="688"/>
      <c r="F20" s="93" t="s">
        <v>20</v>
      </c>
      <c r="G20" s="482">
        <v>2.5000000000000001E-2</v>
      </c>
      <c r="H20" s="482">
        <v>2.5000000000000001E-2</v>
      </c>
      <c r="I20" s="482">
        <v>0.1</v>
      </c>
      <c r="J20" s="482">
        <v>0.1</v>
      </c>
      <c r="K20" s="484">
        <v>0.125</v>
      </c>
      <c r="L20" s="483">
        <v>0.125</v>
      </c>
      <c r="M20" s="484">
        <v>2.5000000000000001E-2</v>
      </c>
      <c r="N20" s="484">
        <v>2.5000000000000001E-2</v>
      </c>
      <c r="O20" s="484">
        <v>0.1</v>
      </c>
      <c r="P20" s="484">
        <v>0.1</v>
      </c>
      <c r="Q20" s="484">
        <v>0.125</v>
      </c>
      <c r="R20" s="485">
        <v>0.125</v>
      </c>
      <c r="S20" s="137">
        <f t="shared" si="0"/>
        <v>1</v>
      </c>
      <c r="T20" s="679"/>
      <c r="U20" s="679"/>
      <c r="V20" s="696"/>
    </row>
    <row r="21" spans="1:22" ht="27" customHeight="1">
      <c r="A21" s="678"/>
      <c r="B21" s="678"/>
      <c r="C21" s="689" t="s">
        <v>641</v>
      </c>
      <c r="D21" s="688" t="s">
        <v>305</v>
      </c>
      <c r="E21" s="688" t="s">
        <v>305</v>
      </c>
      <c r="F21" s="92" t="s">
        <v>19</v>
      </c>
      <c r="G21" s="483">
        <v>2.5000000000000001E-2</v>
      </c>
      <c r="H21" s="483">
        <v>2.5000000000000001E-2</v>
      </c>
      <c r="I21" s="483">
        <v>0.1</v>
      </c>
      <c r="J21" s="483">
        <v>0.1</v>
      </c>
      <c r="K21" s="483">
        <v>0.125</v>
      </c>
      <c r="L21" s="483">
        <v>0.125</v>
      </c>
      <c r="M21" s="483">
        <v>2.5000000000000001E-2</v>
      </c>
      <c r="N21" s="483">
        <v>2.5000000000000001E-2</v>
      </c>
      <c r="O21" s="483">
        <v>0.1</v>
      </c>
      <c r="P21" s="483">
        <v>0.1</v>
      </c>
      <c r="Q21" s="483">
        <v>0.125</v>
      </c>
      <c r="R21" s="483">
        <v>0.125</v>
      </c>
      <c r="S21" s="90">
        <f t="shared" si="0"/>
        <v>1</v>
      </c>
      <c r="T21" s="679"/>
      <c r="U21" s="679">
        <v>0.05</v>
      </c>
      <c r="V21" s="694" t="s">
        <v>766</v>
      </c>
    </row>
    <row r="22" spans="1:22" ht="27" customHeight="1">
      <c r="A22" s="678"/>
      <c r="B22" s="678"/>
      <c r="C22" s="689"/>
      <c r="D22" s="688"/>
      <c r="E22" s="688"/>
      <c r="F22" s="93" t="s">
        <v>20</v>
      </c>
      <c r="G22" s="482">
        <v>2.5000000000000001E-2</v>
      </c>
      <c r="H22" s="482">
        <v>2.5000000000000001E-2</v>
      </c>
      <c r="I22" s="482">
        <v>0.1</v>
      </c>
      <c r="J22" s="482">
        <v>0.1</v>
      </c>
      <c r="K22" s="484">
        <v>0.125</v>
      </c>
      <c r="L22" s="483">
        <v>0.125</v>
      </c>
      <c r="M22" s="484">
        <v>2.5000000000000001E-2</v>
      </c>
      <c r="N22" s="484">
        <v>2.5000000000000001E-2</v>
      </c>
      <c r="O22" s="484">
        <v>0.1</v>
      </c>
      <c r="P22" s="484">
        <v>0.1</v>
      </c>
      <c r="Q22" s="484">
        <v>0.125</v>
      </c>
      <c r="R22" s="485">
        <v>0.125</v>
      </c>
      <c r="S22" s="137">
        <f t="shared" si="0"/>
        <v>1</v>
      </c>
      <c r="T22" s="679"/>
      <c r="U22" s="679"/>
      <c r="V22" s="695"/>
    </row>
    <row r="23" spans="1:22" ht="27" customHeight="1">
      <c r="A23" s="678"/>
      <c r="B23" s="678"/>
      <c r="C23" s="689" t="s">
        <v>642</v>
      </c>
      <c r="D23" s="688" t="s">
        <v>305</v>
      </c>
      <c r="E23" s="688" t="s">
        <v>305</v>
      </c>
      <c r="F23" s="92" t="s">
        <v>19</v>
      </c>
      <c r="G23" s="483">
        <v>3.3300000000000003E-2</v>
      </c>
      <c r="H23" s="483">
        <v>4.9999999999999996E-2</v>
      </c>
      <c r="I23" s="483">
        <v>4.9999999999999996E-2</v>
      </c>
      <c r="J23" s="483">
        <v>6.6699999999999995E-2</v>
      </c>
      <c r="K23" s="483">
        <v>6.6699999999999995E-2</v>
      </c>
      <c r="L23" s="483">
        <v>6.6699999999999995E-2</v>
      </c>
      <c r="M23" s="483">
        <v>3.3300000000000003E-2</v>
      </c>
      <c r="N23" s="483">
        <v>4.9999999999999996E-2</v>
      </c>
      <c r="O23" s="483">
        <v>4.9999999999999996E-2</v>
      </c>
      <c r="P23" s="483">
        <v>6.6699999999999995E-2</v>
      </c>
      <c r="Q23" s="483">
        <v>6.6600000000000006E-2</v>
      </c>
      <c r="R23" s="483">
        <v>0.39999999999999997</v>
      </c>
      <c r="S23" s="90">
        <f t="shared" si="0"/>
        <v>1</v>
      </c>
      <c r="T23" s="679"/>
      <c r="U23" s="679">
        <v>0.05</v>
      </c>
      <c r="V23" s="696" t="s">
        <v>767</v>
      </c>
    </row>
    <row r="24" spans="1:22" ht="27" customHeight="1">
      <c r="A24" s="678"/>
      <c r="B24" s="678"/>
      <c r="C24" s="689"/>
      <c r="D24" s="688"/>
      <c r="E24" s="688"/>
      <c r="F24" s="93" t="s">
        <v>20</v>
      </c>
      <c r="G24" s="482">
        <v>3.3300000000000003E-2</v>
      </c>
      <c r="H24" s="482">
        <v>0.05</v>
      </c>
      <c r="I24" s="482">
        <v>0.05</v>
      </c>
      <c r="J24" s="482">
        <v>6.6699999999999995E-2</v>
      </c>
      <c r="K24" s="484">
        <v>6.6699999999999995E-2</v>
      </c>
      <c r="L24" s="483">
        <v>6.6699999999999995E-2</v>
      </c>
      <c r="M24" s="484">
        <v>3.3300000000000003E-2</v>
      </c>
      <c r="N24" s="484">
        <v>0.05</v>
      </c>
      <c r="O24" s="484">
        <v>0.05</v>
      </c>
      <c r="P24" s="484">
        <v>6.6699999999999995E-2</v>
      </c>
      <c r="Q24" s="484">
        <v>6.6600000000000006E-2</v>
      </c>
      <c r="R24" s="485">
        <v>0.4</v>
      </c>
      <c r="S24" s="137">
        <f t="shared" si="0"/>
        <v>1</v>
      </c>
      <c r="T24" s="679"/>
      <c r="U24" s="679"/>
      <c r="V24" s="697"/>
    </row>
    <row r="25" spans="1:22" ht="27" customHeight="1">
      <c r="A25" s="678" t="s">
        <v>292</v>
      </c>
      <c r="B25" s="678" t="s">
        <v>325</v>
      </c>
      <c r="C25" s="689" t="s">
        <v>639</v>
      </c>
      <c r="D25" s="688" t="s">
        <v>305</v>
      </c>
      <c r="E25" s="688" t="s">
        <v>305</v>
      </c>
      <c r="F25" s="92" t="s">
        <v>19</v>
      </c>
      <c r="G25" s="483">
        <v>2.01E-2</v>
      </c>
      <c r="H25" s="483">
        <v>5.9700000000000003E-2</v>
      </c>
      <c r="I25" s="483">
        <v>0.05</v>
      </c>
      <c r="J25" s="483">
        <v>0.1</v>
      </c>
      <c r="K25" s="483">
        <v>0.1</v>
      </c>
      <c r="L25" s="483">
        <v>0.05</v>
      </c>
      <c r="M25" s="483">
        <v>0.1</v>
      </c>
      <c r="N25" s="483">
        <v>0.1</v>
      </c>
      <c r="O25" s="483">
        <v>0.1</v>
      </c>
      <c r="P25" s="483">
        <v>0.1</v>
      </c>
      <c r="Q25" s="483">
        <v>0.1</v>
      </c>
      <c r="R25" s="483">
        <v>0.1202</v>
      </c>
      <c r="S25" s="90">
        <f t="shared" si="0"/>
        <v>0.99999999999999989</v>
      </c>
      <c r="T25" s="679">
        <v>0.15</v>
      </c>
      <c r="U25" s="679">
        <v>4.4999999999999998E-2</v>
      </c>
      <c r="V25" s="742" t="s">
        <v>772</v>
      </c>
    </row>
    <row r="26" spans="1:22" ht="27" customHeight="1">
      <c r="A26" s="678"/>
      <c r="B26" s="678"/>
      <c r="C26" s="689"/>
      <c r="D26" s="688"/>
      <c r="E26" s="688"/>
      <c r="F26" s="93" t="s">
        <v>20</v>
      </c>
      <c r="G26" s="482">
        <v>2.01E-2</v>
      </c>
      <c r="H26" s="482">
        <v>5.9700000000000003E-2</v>
      </c>
      <c r="I26" s="482">
        <v>0.05</v>
      </c>
      <c r="J26" s="482">
        <v>0.34820000000000001</v>
      </c>
      <c r="K26" s="484">
        <v>0.1</v>
      </c>
      <c r="L26" s="483">
        <v>3.4000000000000002E-2</v>
      </c>
      <c r="M26" s="484">
        <v>4.24E-2</v>
      </c>
      <c r="N26" s="484">
        <v>0</v>
      </c>
      <c r="O26" s="484">
        <v>5.4399999999999997E-2</v>
      </c>
      <c r="P26" s="484">
        <v>7.1099999999999997E-2</v>
      </c>
      <c r="Q26" s="484">
        <v>6.3200000000000006E-2</v>
      </c>
      <c r="R26" s="485">
        <v>6.5299999999999997E-2</v>
      </c>
      <c r="S26" s="136">
        <f t="shared" si="0"/>
        <v>0.9084000000000001</v>
      </c>
      <c r="T26" s="679"/>
      <c r="U26" s="679"/>
      <c r="V26" s="743"/>
    </row>
    <row r="27" spans="1:22" ht="27" customHeight="1">
      <c r="A27" s="678"/>
      <c r="B27" s="678"/>
      <c r="C27" s="689" t="s">
        <v>626</v>
      </c>
      <c r="D27" s="688" t="s">
        <v>305</v>
      </c>
      <c r="E27" s="688" t="s">
        <v>305</v>
      </c>
      <c r="F27" s="92" t="s">
        <v>19</v>
      </c>
      <c r="G27" s="483">
        <v>8.3299999999999999E-2</v>
      </c>
      <c r="H27" s="483">
        <v>8.3299999999999999E-2</v>
      </c>
      <c r="I27" s="483">
        <v>8.3299999999999999E-2</v>
      </c>
      <c r="J27" s="483">
        <v>8.3299999999999999E-2</v>
      </c>
      <c r="K27" s="483">
        <v>8.3299999999999999E-2</v>
      </c>
      <c r="L27" s="483">
        <v>8.3299999999999999E-2</v>
      </c>
      <c r="M27" s="483">
        <v>8.3299999999999999E-2</v>
      </c>
      <c r="N27" s="483">
        <v>8.3299999999999999E-2</v>
      </c>
      <c r="O27" s="483">
        <v>8.3299999999999999E-2</v>
      </c>
      <c r="P27" s="483">
        <v>8.3299999999999999E-2</v>
      </c>
      <c r="Q27" s="483">
        <v>8.3299999999999999E-2</v>
      </c>
      <c r="R27" s="483">
        <v>8.3699999999999997E-2</v>
      </c>
      <c r="S27" s="90">
        <f t="shared" si="0"/>
        <v>1</v>
      </c>
      <c r="T27" s="679"/>
      <c r="U27" s="679">
        <v>0.03</v>
      </c>
      <c r="V27" s="686" t="s">
        <v>789</v>
      </c>
    </row>
    <row r="28" spans="1:22" ht="27" customHeight="1">
      <c r="A28" s="678"/>
      <c r="B28" s="678"/>
      <c r="C28" s="689"/>
      <c r="D28" s="688"/>
      <c r="E28" s="688"/>
      <c r="F28" s="93" t="s">
        <v>20</v>
      </c>
      <c r="G28" s="482">
        <v>8.3299999999999999E-2</v>
      </c>
      <c r="H28" s="482">
        <v>8.3299999999999999E-2</v>
      </c>
      <c r="I28" s="482">
        <v>8.3299999999999999E-2</v>
      </c>
      <c r="J28" s="482">
        <v>8.3299999999999999E-2</v>
      </c>
      <c r="K28" s="484">
        <v>8.3299999999999999E-2</v>
      </c>
      <c r="L28" s="483">
        <v>8.3299999999999999E-2</v>
      </c>
      <c r="M28" s="484">
        <v>8.3299999999999999E-2</v>
      </c>
      <c r="N28" s="484">
        <v>8.3299999999999999E-2</v>
      </c>
      <c r="O28" s="484">
        <v>8.3299999999999999E-2</v>
      </c>
      <c r="P28" s="484">
        <v>8.3299999999999999E-2</v>
      </c>
      <c r="Q28" s="484">
        <v>8.3299999999999999E-2</v>
      </c>
      <c r="R28" s="485">
        <v>8.3699999999999997E-2</v>
      </c>
      <c r="S28" s="136">
        <f t="shared" si="0"/>
        <v>1</v>
      </c>
      <c r="T28" s="679"/>
      <c r="U28" s="679"/>
      <c r="V28" s="686"/>
    </row>
    <row r="29" spans="1:22" ht="27" customHeight="1">
      <c r="A29" s="678"/>
      <c r="B29" s="678"/>
      <c r="C29" s="689" t="s">
        <v>627</v>
      </c>
      <c r="D29" s="688" t="s">
        <v>305</v>
      </c>
      <c r="E29" s="688" t="s">
        <v>305</v>
      </c>
      <c r="F29" s="92" t="s">
        <v>19</v>
      </c>
      <c r="G29" s="483">
        <v>4.2311507936507939E-2</v>
      </c>
      <c r="H29" s="483">
        <v>7.1081349206349204E-2</v>
      </c>
      <c r="I29" s="483">
        <v>8.442460317460318E-2</v>
      </c>
      <c r="J29" s="483">
        <v>8.9136904761904764E-2</v>
      </c>
      <c r="K29" s="483">
        <v>8.9136904761904764E-2</v>
      </c>
      <c r="L29" s="483">
        <v>8.9136904761904764E-2</v>
      </c>
      <c r="M29" s="483">
        <v>8.9136904761904764E-2</v>
      </c>
      <c r="N29" s="483">
        <v>8.9136904761904764E-2</v>
      </c>
      <c r="O29" s="483">
        <v>8.9136904761904764E-2</v>
      </c>
      <c r="P29" s="483">
        <v>8.9136904761904764E-2</v>
      </c>
      <c r="Q29" s="483">
        <v>8.9136904761904764E-2</v>
      </c>
      <c r="R29" s="483">
        <v>8.9399999999999993E-2</v>
      </c>
      <c r="S29" s="90">
        <f t="shared" si="0"/>
        <v>1.0003126984126982</v>
      </c>
      <c r="T29" s="679"/>
      <c r="U29" s="679">
        <v>4.4999999999999998E-2</v>
      </c>
      <c r="V29" s="741" t="s">
        <v>788</v>
      </c>
    </row>
    <row r="30" spans="1:22" ht="27" customHeight="1">
      <c r="A30" s="678"/>
      <c r="B30" s="678"/>
      <c r="C30" s="689"/>
      <c r="D30" s="688"/>
      <c r="E30" s="688"/>
      <c r="F30" s="93" t="s">
        <v>20</v>
      </c>
      <c r="G30" s="482">
        <v>4.2299999999999997E-2</v>
      </c>
      <c r="H30" s="482">
        <v>7.1099999999999997E-2</v>
      </c>
      <c r="I30" s="482">
        <v>8.4400000000000003E-2</v>
      </c>
      <c r="J30" s="482">
        <v>6.8099999999999994E-2</v>
      </c>
      <c r="K30" s="484">
        <v>6.2399999999999997E-2</v>
      </c>
      <c r="L30" s="483">
        <v>7.8799999999999995E-2</v>
      </c>
      <c r="M30" s="484">
        <v>8.6900000000000005E-2</v>
      </c>
      <c r="N30" s="484">
        <v>9.2600000000000002E-2</v>
      </c>
      <c r="O30" s="484">
        <v>0.1105</v>
      </c>
      <c r="P30" s="484">
        <v>8.8900000000000007E-2</v>
      </c>
      <c r="Q30" s="484">
        <v>8.9099999999999999E-2</v>
      </c>
      <c r="R30" s="485">
        <v>9.0700000000000003E-2</v>
      </c>
      <c r="S30" s="136">
        <f t="shared" si="0"/>
        <v>0.96579999999999999</v>
      </c>
      <c r="T30" s="679"/>
      <c r="U30" s="679"/>
      <c r="V30" s="741"/>
    </row>
    <row r="31" spans="1:22" ht="27" customHeight="1">
      <c r="A31" s="678"/>
      <c r="B31" s="678"/>
      <c r="C31" s="689" t="s">
        <v>628</v>
      </c>
      <c r="D31" s="688" t="s">
        <v>305</v>
      </c>
      <c r="E31" s="688" t="s">
        <v>305</v>
      </c>
      <c r="F31" s="92" t="s">
        <v>19</v>
      </c>
      <c r="G31" s="483">
        <v>2.86E-2</v>
      </c>
      <c r="H31" s="483">
        <v>5.7099999999999998E-2</v>
      </c>
      <c r="I31" s="483">
        <v>5.7099999999999998E-2</v>
      </c>
      <c r="J31" s="483">
        <v>9.5200000000000007E-2</v>
      </c>
      <c r="K31" s="483">
        <v>9.5200000000000007E-2</v>
      </c>
      <c r="L31" s="483">
        <v>9.5200000000000007E-2</v>
      </c>
      <c r="M31" s="483">
        <v>9.5200000000000007E-2</v>
      </c>
      <c r="N31" s="483">
        <v>9.5200000000000007E-2</v>
      </c>
      <c r="O31" s="483">
        <v>9.5200000000000007E-2</v>
      </c>
      <c r="P31" s="483">
        <v>9.5200000000000007E-2</v>
      </c>
      <c r="Q31" s="483">
        <v>9.5200000000000007E-2</v>
      </c>
      <c r="R31" s="483">
        <v>9.5600000000000004E-2</v>
      </c>
      <c r="S31" s="94">
        <f t="shared" si="0"/>
        <v>0.99999999999999989</v>
      </c>
      <c r="T31" s="679"/>
      <c r="U31" s="679">
        <v>0.03</v>
      </c>
      <c r="V31" s="744" t="s">
        <v>787</v>
      </c>
    </row>
    <row r="32" spans="1:22" ht="27" customHeight="1">
      <c r="A32" s="678"/>
      <c r="B32" s="678"/>
      <c r="C32" s="689"/>
      <c r="D32" s="688"/>
      <c r="E32" s="688"/>
      <c r="F32" s="93" t="s">
        <v>20</v>
      </c>
      <c r="G32" s="482">
        <v>2.86E-2</v>
      </c>
      <c r="H32" s="482">
        <v>5.7099999999999998E-2</v>
      </c>
      <c r="I32" s="482">
        <v>5.7099999999999998E-2</v>
      </c>
      <c r="J32" s="482">
        <v>9.5200000000000007E-2</v>
      </c>
      <c r="K32" s="484">
        <v>1.9E-2</v>
      </c>
      <c r="L32" s="483">
        <v>5.7099999999999998E-2</v>
      </c>
      <c r="M32" s="484">
        <v>9.5200000000000007E-2</v>
      </c>
      <c r="N32" s="484">
        <v>4.7800000000000002E-2</v>
      </c>
      <c r="O32" s="484">
        <v>7.1400000000000005E-2</v>
      </c>
      <c r="P32" s="484">
        <v>4.2900000000000001E-2</v>
      </c>
      <c r="Q32" s="484">
        <v>8.5699999999999998E-2</v>
      </c>
      <c r="R32" s="485">
        <v>5.7200000000000001E-2</v>
      </c>
      <c r="S32" s="136">
        <f t="shared" si="0"/>
        <v>0.71430000000000005</v>
      </c>
      <c r="T32" s="679"/>
      <c r="U32" s="679"/>
      <c r="V32" s="745"/>
    </row>
    <row r="33" spans="1:22" ht="27" customHeight="1">
      <c r="A33" s="678" t="s">
        <v>306</v>
      </c>
      <c r="B33" s="678" t="s">
        <v>317</v>
      </c>
      <c r="C33" s="689" t="s">
        <v>629</v>
      </c>
      <c r="D33" s="688" t="s">
        <v>305</v>
      </c>
      <c r="E33" s="688" t="s">
        <v>305</v>
      </c>
      <c r="F33" s="92" t="s">
        <v>19</v>
      </c>
      <c r="G33" s="483">
        <v>3.4700000000000002E-2</v>
      </c>
      <c r="H33" s="483">
        <v>4.8399999999999999E-2</v>
      </c>
      <c r="I33" s="483">
        <v>5.7799999999999997E-2</v>
      </c>
      <c r="J33" s="483">
        <v>0.10249999999999999</v>
      </c>
      <c r="K33" s="483">
        <v>0.10249999999999999</v>
      </c>
      <c r="L33" s="483">
        <v>0.10249999999999999</v>
      </c>
      <c r="M33" s="483">
        <v>0.10249999999999999</v>
      </c>
      <c r="N33" s="483">
        <v>0.10249999999999999</v>
      </c>
      <c r="O33" s="483">
        <v>0.10249999999999999</v>
      </c>
      <c r="P33" s="483">
        <v>0.10249999999999999</v>
      </c>
      <c r="Q33" s="483">
        <v>5.7799999999999997E-2</v>
      </c>
      <c r="R33" s="483">
        <v>8.3799999999999999E-2</v>
      </c>
      <c r="S33" s="94">
        <f t="shared" si="0"/>
        <v>1</v>
      </c>
      <c r="T33" s="679">
        <v>0.15</v>
      </c>
      <c r="U33" s="679">
        <v>0.1275</v>
      </c>
      <c r="V33" s="746" t="s">
        <v>786</v>
      </c>
    </row>
    <row r="34" spans="1:22" ht="27" customHeight="1">
      <c r="A34" s="678"/>
      <c r="B34" s="678"/>
      <c r="C34" s="689"/>
      <c r="D34" s="688"/>
      <c r="E34" s="688"/>
      <c r="F34" s="93" t="s">
        <v>20</v>
      </c>
      <c r="G34" s="482">
        <v>3.4700000000000002E-2</v>
      </c>
      <c r="H34" s="482">
        <v>4.8399999999999999E-2</v>
      </c>
      <c r="I34" s="482">
        <v>5.7799999999999997E-2</v>
      </c>
      <c r="J34" s="482">
        <v>7.1499999999999994E-2</v>
      </c>
      <c r="K34" s="484">
        <v>8.3799999999999999E-2</v>
      </c>
      <c r="L34" s="483">
        <v>8.0100000000000005E-2</v>
      </c>
      <c r="M34" s="484">
        <v>8.7400000000000005E-2</v>
      </c>
      <c r="N34" s="484">
        <v>0.1061</v>
      </c>
      <c r="O34" s="484">
        <v>6.7900000000000002E-2</v>
      </c>
      <c r="P34" s="484">
        <v>0.1047</v>
      </c>
      <c r="Q34" s="484">
        <v>9.2399999999999996E-2</v>
      </c>
      <c r="R34" s="485">
        <v>7.4399999999999994E-2</v>
      </c>
      <c r="S34" s="136">
        <f t="shared" si="0"/>
        <v>0.90920000000000001</v>
      </c>
      <c r="T34" s="679"/>
      <c r="U34" s="679"/>
      <c r="V34" s="747"/>
    </row>
    <row r="35" spans="1:22" ht="27" customHeight="1">
      <c r="A35" s="678"/>
      <c r="B35" s="678"/>
      <c r="C35" s="689" t="s">
        <v>630</v>
      </c>
      <c r="D35" s="688" t="s">
        <v>305</v>
      </c>
      <c r="E35" s="688" t="s">
        <v>305</v>
      </c>
      <c r="F35" s="92" t="s">
        <v>19</v>
      </c>
      <c r="G35" s="483">
        <v>7.0000000000000007E-2</v>
      </c>
      <c r="H35" s="483">
        <v>0.05</v>
      </c>
      <c r="I35" s="483">
        <v>0.11</v>
      </c>
      <c r="J35" s="483">
        <v>0.1</v>
      </c>
      <c r="K35" s="483">
        <v>0.1</v>
      </c>
      <c r="L35" s="483">
        <v>0.1</v>
      </c>
      <c r="M35" s="483">
        <v>0.1</v>
      </c>
      <c r="N35" s="483">
        <v>0.1</v>
      </c>
      <c r="O35" s="483">
        <v>0.1</v>
      </c>
      <c r="P35" s="483">
        <v>0.1</v>
      </c>
      <c r="Q35" s="483">
        <v>3.5000000000000003E-2</v>
      </c>
      <c r="R35" s="483">
        <v>3.5000000000000003E-2</v>
      </c>
      <c r="S35" s="95">
        <f t="shared" si="0"/>
        <v>1</v>
      </c>
      <c r="T35" s="679"/>
      <c r="U35" s="679">
        <v>2.2499999999999999E-2</v>
      </c>
      <c r="V35" s="690" t="s">
        <v>792</v>
      </c>
    </row>
    <row r="36" spans="1:22" ht="27" customHeight="1">
      <c r="A36" s="678"/>
      <c r="B36" s="678"/>
      <c r="C36" s="689"/>
      <c r="D36" s="688"/>
      <c r="E36" s="688"/>
      <c r="F36" s="93" t="s">
        <v>20</v>
      </c>
      <c r="G36" s="482">
        <v>7.0000000000000007E-2</v>
      </c>
      <c r="H36" s="482">
        <v>0.05</v>
      </c>
      <c r="I36" s="482">
        <v>0.11</v>
      </c>
      <c r="J36" s="482">
        <v>0.105</v>
      </c>
      <c r="K36" s="484">
        <v>0.115</v>
      </c>
      <c r="L36" s="483">
        <v>0.1</v>
      </c>
      <c r="M36" s="484">
        <v>0.11</v>
      </c>
      <c r="N36" s="484">
        <v>0.1</v>
      </c>
      <c r="O36" s="484">
        <v>0.115</v>
      </c>
      <c r="P36" s="484">
        <v>0.11</v>
      </c>
      <c r="Q36" s="484">
        <v>1.4999999999999999E-2</v>
      </c>
      <c r="R36" s="485">
        <v>0</v>
      </c>
      <c r="S36" s="136">
        <f t="shared" si="0"/>
        <v>1</v>
      </c>
      <c r="T36" s="679"/>
      <c r="U36" s="679"/>
      <c r="V36" s="691"/>
    </row>
    <row r="37" spans="1:22" ht="27" customHeight="1">
      <c r="A37" s="680" t="s">
        <v>307</v>
      </c>
      <c r="B37" s="680" t="s">
        <v>308</v>
      </c>
      <c r="C37" s="689" t="s">
        <v>643</v>
      </c>
      <c r="D37" s="688" t="s">
        <v>305</v>
      </c>
      <c r="E37" s="688" t="s">
        <v>305</v>
      </c>
      <c r="F37" s="92" t="s">
        <v>19</v>
      </c>
      <c r="G37" s="483">
        <v>8.3299999999999999E-2</v>
      </c>
      <c r="H37" s="483">
        <v>8.3299999999999999E-2</v>
      </c>
      <c r="I37" s="483">
        <v>8.3299999999999999E-2</v>
      </c>
      <c r="J37" s="483">
        <v>8.3299999999999999E-2</v>
      </c>
      <c r="K37" s="483">
        <v>8.3299999999999999E-2</v>
      </c>
      <c r="L37" s="483">
        <v>8.3299999999999999E-2</v>
      </c>
      <c r="M37" s="483">
        <v>8.3299999999999999E-2</v>
      </c>
      <c r="N37" s="483">
        <v>8.3299999999999999E-2</v>
      </c>
      <c r="O37" s="483">
        <v>8.3299999999999999E-2</v>
      </c>
      <c r="P37" s="483">
        <v>8.3299999999999999E-2</v>
      </c>
      <c r="Q37" s="483">
        <v>8.3299999999999999E-2</v>
      </c>
      <c r="R37" s="483">
        <v>8.3699999999999997E-2</v>
      </c>
      <c r="S37" s="90">
        <f t="shared" si="0"/>
        <v>1</v>
      </c>
      <c r="T37" s="683">
        <v>0.15</v>
      </c>
      <c r="U37" s="679">
        <v>0.05</v>
      </c>
      <c r="V37" s="686" t="s">
        <v>754</v>
      </c>
    </row>
    <row r="38" spans="1:22" ht="27" customHeight="1">
      <c r="A38" s="681"/>
      <c r="B38" s="681"/>
      <c r="C38" s="689"/>
      <c r="D38" s="688"/>
      <c r="E38" s="688"/>
      <c r="F38" s="93" t="s">
        <v>20</v>
      </c>
      <c r="G38" s="482">
        <v>8.3299999999999999E-2</v>
      </c>
      <c r="H38" s="482">
        <v>8.3299999999999999E-2</v>
      </c>
      <c r="I38" s="482">
        <v>8.3299999999999999E-2</v>
      </c>
      <c r="J38" s="482">
        <v>8.3299999999999999E-2</v>
      </c>
      <c r="K38" s="484">
        <v>8.3299999999999999E-2</v>
      </c>
      <c r="L38" s="483">
        <v>8.3299999999999999E-2</v>
      </c>
      <c r="M38" s="484">
        <v>8.3299999999999999E-2</v>
      </c>
      <c r="N38" s="484">
        <v>8.3299999999999999E-2</v>
      </c>
      <c r="O38" s="484">
        <v>8.3299999999999999E-2</v>
      </c>
      <c r="P38" s="484">
        <v>8.3299999999999999E-2</v>
      </c>
      <c r="Q38" s="484">
        <v>8.3299999999999999E-2</v>
      </c>
      <c r="R38" s="485">
        <v>8.3699999999999997E-2</v>
      </c>
      <c r="S38" s="136">
        <f t="shared" si="0"/>
        <v>1</v>
      </c>
      <c r="T38" s="684"/>
      <c r="U38" s="679"/>
      <c r="V38" s="692"/>
    </row>
    <row r="39" spans="1:22" ht="27" customHeight="1">
      <c r="A39" s="681"/>
      <c r="B39" s="681"/>
      <c r="C39" s="689" t="s">
        <v>644</v>
      </c>
      <c r="D39" s="688" t="s">
        <v>305</v>
      </c>
      <c r="E39" s="688" t="s">
        <v>305</v>
      </c>
      <c r="F39" s="92" t="s">
        <v>19</v>
      </c>
      <c r="G39" s="483">
        <v>8.3299999999999999E-2</v>
      </c>
      <c r="H39" s="483">
        <v>8.3299999999999999E-2</v>
      </c>
      <c r="I39" s="483">
        <v>8.3299999999999999E-2</v>
      </c>
      <c r="J39" s="483">
        <v>8.3299999999999999E-2</v>
      </c>
      <c r="K39" s="483">
        <v>8.3299999999999999E-2</v>
      </c>
      <c r="L39" s="483">
        <v>8.3299999999999999E-2</v>
      </c>
      <c r="M39" s="483">
        <v>8.3299999999999999E-2</v>
      </c>
      <c r="N39" s="483">
        <v>8.3299999999999999E-2</v>
      </c>
      <c r="O39" s="483">
        <v>8.3299999999999999E-2</v>
      </c>
      <c r="P39" s="483">
        <v>8.3299999999999999E-2</v>
      </c>
      <c r="Q39" s="483">
        <v>8.3299999999999999E-2</v>
      </c>
      <c r="R39" s="483">
        <v>8.3699999999999997E-2</v>
      </c>
      <c r="S39" s="90">
        <f t="shared" si="0"/>
        <v>1</v>
      </c>
      <c r="T39" s="684"/>
      <c r="U39" s="679">
        <v>0.02</v>
      </c>
      <c r="V39" s="686" t="s">
        <v>755</v>
      </c>
    </row>
    <row r="40" spans="1:22" ht="27" customHeight="1">
      <c r="A40" s="681"/>
      <c r="B40" s="681"/>
      <c r="C40" s="689"/>
      <c r="D40" s="688"/>
      <c r="E40" s="688"/>
      <c r="F40" s="93" t="s">
        <v>20</v>
      </c>
      <c r="G40" s="482">
        <v>8.3299999999999999E-2</v>
      </c>
      <c r="H40" s="482">
        <v>8.3299999999999999E-2</v>
      </c>
      <c r="I40" s="482">
        <v>8.3299999999999999E-2</v>
      </c>
      <c r="J40" s="482">
        <v>8.3299999999999999E-2</v>
      </c>
      <c r="K40" s="484">
        <v>8.3299999999999999E-2</v>
      </c>
      <c r="L40" s="483">
        <v>8.3299999999999999E-2</v>
      </c>
      <c r="M40" s="484">
        <v>8.3299999999999999E-2</v>
      </c>
      <c r="N40" s="484">
        <v>8.3299999999999999E-2</v>
      </c>
      <c r="O40" s="484">
        <v>8.3299999999999999E-2</v>
      </c>
      <c r="P40" s="484">
        <v>8.3299999999999999E-2</v>
      </c>
      <c r="Q40" s="484">
        <v>8.3299999999999999E-2</v>
      </c>
      <c r="R40" s="485">
        <v>8.3699999999999997E-2</v>
      </c>
      <c r="S40" s="136">
        <f t="shared" si="0"/>
        <v>1</v>
      </c>
      <c r="T40" s="684"/>
      <c r="U40" s="679"/>
      <c r="V40" s="686"/>
    </row>
    <row r="41" spans="1:22" ht="27" customHeight="1">
      <c r="A41" s="681"/>
      <c r="B41" s="681"/>
      <c r="C41" s="689" t="s">
        <v>631</v>
      </c>
      <c r="D41" s="688" t="s">
        <v>305</v>
      </c>
      <c r="E41" s="688" t="s">
        <v>305</v>
      </c>
      <c r="F41" s="92" t="s">
        <v>19</v>
      </c>
      <c r="G41" s="483">
        <v>0</v>
      </c>
      <c r="H41" s="483">
        <v>0</v>
      </c>
      <c r="I41" s="483">
        <v>0.25</v>
      </c>
      <c r="J41" s="483">
        <v>0</v>
      </c>
      <c r="K41" s="483">
        <v>0</v>
      </c>
      <c r="L41" s="483">
        <v>0.25</v>
      </c>
      <c r="M41" s="483">
        <v>0</v>
      </c>
      <c r="N41" s="483">
        <v>0</v>
      </c>
      <c r="O41" s="483">
        <v>0.25</v>
      </c>
      <c r="P41" s="483">
        <v>0</v>
      </c>
      <c r="Q41" s="483">
        <v>0</v>
      </c>
      <c r="R41" s="483">
        <v>0.25</v>
      </c>
      <c r="S41" s="90">
        <f t="shared" si="0"/>
        <v>1</v>
      </c>
      <c r="T41" s="684"/>
      <c r="U41" s="679">
        <v>0.05</v>
      </c>
      <c r="V41" s="686" t="s">
        <v>756</v>
      </c>
    </row>
    <row r="42" spans="1:22" ht="27" customHeight="1">
      <c r="A42" s="681"/>
      <c r="B42" s="681"/>
      <c r="C42" s="689"/>
      <c r="D42" s="688"/>
      <c r="E42" s="688"/>
      <c r="F42" s="93" t="s">
        <v>20</v>
      </c>
      <c r="G42" s="482">
        <v>0</v>
      </c>
      <c r="H42" s="482">
        <v>0</v>
      </c>
      <c r="I42" s="482">
        <v>0.25</v>
      </c>
      <c r="J42" s="482">
        <v>0</v>
      </c>
      <c r="K42" s="484">
        <v>0</v>
      </c>
      <c r="L42" s="483">
        <v>0.25</v>
      </c>
      <c r="M42" s="484">
        <v>0</v>
      </c>
      <c r="N42" s="484">
        <v>0</v>
      </c>
      <c r="O42" s="484">
        <v>0.25</v>
      </c>
      <c r="P42" s="484">
        <v>0</v>
      </c>
      <c r="Q42" s="484">
        <v>0</v>
      </c>
      <c r="R42" s="485">
        <v>0.25</v>
      </c>
      <c r="S42" s="136">
        <f t="shared" si="0"/>
        <v>1</v>
      </c>
      <c r="T42" s="684"/>
      <c r="U42" s="679"/>
      <c r="V42" s="686"/>
    </row>
    <row r="43" spans="1:22" ht="27" customHeight="1">
      <c r="A43" s="681"/>
      <c r="B43" s="681"/>
      <c r="C43" s="689" t="s">
        <v>632</v>
      </c>
      <c r="D43" s="688" t="s">
        <v>305</v>
      </c>
      <c r="E43" s="688" t="s">
        <v>305</v>
      </c>
      <c r="F43" s="92" t="s">
        <v>19</v>
      </c>
      <c r="G43" s="483">
        <v>8.3299999999999999E-2</v>
      </c>
      <c r="H43" s="483">
        <v>8.3299999999999999E-2</v>
      </c>
      <c r="I43" s="483">
        <v>8.3299999999999999E-2</v>
      </c>
      <c r="J43" s="483">
        <v>8.3299999999999999E-2</v>
      </c>
      <c r="K43" s="483">
        <v>8.3299999999999999E-2</v>
      </c>
      <c r="L43" s="483">
        <v>8.3299999999999999E-2</v>
      </c>
      <c r="M43" s="483">
        <v>8.3299999999999999E-2</v>
      </c>
      <c r="N43" s="483">
        <v>8.3299999999999999E-2</v>
      </c>
      <c r="O43" s="483">
        <v>8.3299999999999999E-2</v>
      </c>
      <c r="P43" s="483">
        <v>8.3299999999999999E-2</v>
      </c>
      <c r="Q43" s="483">
        <v>8.3299999999999999E-2</v>
      </c>
      <c r="R43" s="483">
        <v>8.3699999999999997E-2</v>
      </c>
      <c r="S43" s="90">
        <f t="shared" si="0"/>
        <v>1</v>
      </c>
      <c r="T43" s="684"/>
      <c r="U43" s="679">
        <v>0.02</v>
      </c>
      <c r="V43" s="686" t="s">
        <v>757</v>
      </c>
    </row>
    <row r="44" spans="1:22" ht="27" customHeight="1">
      <c r="A44" s="681"/>
      <c r="B44" s="681"/>
      <c r="C44" s="689"/>
      <c r="D44" s="688"/>
      <c r="E44" s="688"/>
      <c r="F44" s="93" t="s">
        <v>20</v>
      </c>
      <c r="G44" s="482">
        <v>8.3299999999999999E-2</v>
      </c>
      <c r="H44" s="482">
        <v>8.3299999999999999E-2</v>
      </c>
      <c r="I44" s="482">
        <v>8.3299999999999999E-2</v>
      </c>
      <c r="J44" s="486">
        <v>8.3299999999999999E-2</v>
      </c>
      <c r="K44" s="487">
        <v>8.3299999999999999E-2</v>
      </c>
      <c r="L44" s="483">
        <v>8.3299999999999999E-2</v>
      </c>
      <c r="M44" s="484">
        <v>8.3299999999999999E-2</v>
      </c>
      <c r="N44" s="484">
        <v>8.3299999999999999E-2</v>
      </c>
      <c r="O44" s="484">
        <v>8.3299999999999999E-2</v>
      </c>
      <c r="P44" s="484">
        <v>8.3299999999999999E-2</v>
      </c>
      <c r="Q44" s="484">
        <v>8.3299999999999999E-2</v>
      </c>
      <c r="R44" s="485">
        <v>8.3699999999999997E-2</v>
      </c>
      <c r="S44" s="136">
        <f t="shared" si="0"/>
        <v>1</v>
      </c>
      <c r="T44" s="684"/>
      <c r="U44" s="679"/>
      <c r="V44" s="686"/>
    </row>
    <row r="45" spans="1:22" ht="27" customHeight="1">
      <c r="A45" s="681"/>
      <c r="B45" s="681"/>
      <c r="C45" s="689" t="s">
        <v>633</v>
      </c>
      <c r="D45" s="688" t="s">
        <v>305</v>
      </c>
      <c r="E45" s="688" t="s">
        <v>305</v>
      </c>
      <c r="F45" s="92" t="s">
        <v>19</v>
      </c>
      <c r="G45" s="483">
        <v>0</v>
      </c>
      <c r="H45" s="483">
        <v>0</v>
      </c>
      <c r="I45" s="483">
        <v>0</v>
      </c>
      <c r="J45" s="483">
        <v>0</v>
      </c>
      <c r="K45" s="483">
        <v>0</v>
      </c>
      <c r="L45" s="483">
        <v>0.5</v>
      </c>
      <c r="M45" s="483">
        <v>0</v>
      </c>
      <c r="N45" s="483">
        <v>0</v>
      </c>
      <c r="O45" s="483">
        <v>0</v>
      </c>
      <c r="P45" s="483">
        <v>0</v>
      </c>
      <c r="Q45" s="483">
        <v>0</v>
      </c>
      <c r="R45" s="483">
        <v>0.5</v>
      </c>
      <c r="S45" s="90">
        <f t="shared" si="0"/>
        <v>1</v>
      </c>
      <c r="T45" s="684"/>
      <c r="U45" s="679">
        <v>0.01</v>
      </c>
      <c r="V45" s="686" t="s">
        <v>758</v>
      </c>
    </row>
    <row r="46" spans="1:22" ht="27" customHeight="1">
      <c r="A46" s="682"/>
      <c r="B46" s="682"/>
      <c r="C46" s="689"/>
      <c r="D46" s="688"/>
      <c r="E46" s="688"/>
      <c r="F46" s="93" t="s">
        <v>20</v>
      </c>
      <c r="G46" s="482">
        <v>0</v>
      </c>
      <c r="H46" s="482">
        <v>0</v>
      </c>
      <c r="I46" s="482">
        <v>0</v>
      </c>
      <c r="J46" s="482">
        <v>0</v>
      </c>
      <c r="K46" s="484">
        <v>0</v>
      </c>
      <c r="L46" s="483">
        <v>0.5</v>
      </c>
      <c r="M46" s="484">
        <v>0</v>
      </c>
      <c r="N46" s="484">
        <v>0</v>
      </c>
      <c r="O46" s="484">
        <v>0</v>
      </c>
      <c r="P46" s="484">
        <v>0</v>
      </c>
      <c r="Q46" s="484">
        <v>0</v>
      </c>
      <c r="R46" s="485">
        <v>0.5</v>
      </c>
      <c r="S46" s="136">
        <f t="shared" si="0"/>
        <v>1</v>
      </c>
      <c r="T46" s="685"/>
      <c r="U46" s="679"/>
      <c r="V46" s="686"/>
    </row>
    <row r="47" spans="1:22" ht="27" customHeight="1">
      <c r="A47" s="678" t="s">
        <v>295</v>
      </c>
      <c r="B47" s="678" t="s">
        <v>729</v>
      </c>
      <c r="C47" s="689" t="s">
        <v>645</v>
      </c>
      <c r="D47" s="688" t="s">
        <v>305</v>
      </c>
      <c r="E47" s="688" t="s">
        <v>305</v>
      </c>
      <c r="F47" s="92" t="s">
        <v>19</v>
      </c>
      <c r="G47" s="483">
        <v>8.3299999999999999E-2</v>
      </c>
      <c r="H47" s="483">
        <v>8.3299999999999999E-2</v>
      </c>
      <c r="I47" s="483">
        <v>8.3299999999999999E-2</v>
      </c>
      <c r="J47" s="483">
        <v>8.3299999999999999E-2</v>
      </c>
      <c r="K47" s="483">
        <v>8.3299999999999999E-2</v>
      </c>
      <c r="L47" s="483">
        <v>8.3299999999999999E-2</v>
      </c>
      <c r="M47" s="483">
        <v>8.3299999999999999E-2</v>
      </c>
      <c r="N47" s="483">
        <v>8.3299999999999999E-2</v>
      </c>
      <c r="O47" s="483">
        <v>8.3299999999999999E-2</v>
      </c>
      <c r="P47" s="483">
        <v>8.3299999999999999E-2</v>
      </c>
      <c r="Q47" s="483">
        <v>8.3299999999999999E-2</v>
      </c>
      <c r="R47" s="483">
        <v>8.3699999999999997E-2</v>
      </c>
      <c r="S47" s="90">
        <f t="shared" si="0"/>
        <v>1</v>
      </c>
      <c r="T47" s="679">
        <v>0.15</v>
      </c>
      <c r="U47" s="679">
        <v>4.4999999999999998E-2</v>
      </c>
      <c r="V47" s="686" t="s">
        <v>749</v>
      </c>
    </row>
    <row r="48" spans="1:22" ht="27" customHeight="1">
      <c r="A48" s="678"/>
      <c r="B48" s="678"/>
      <c r="C48" s="689"/>
      <c r="D48" s="688"/>
      <c r="E48" s="688"/>
      <c r="F48" s="93" t="s">
        <v>20</v>
      </c>
      <c r="G48" s="482">
        <v>0</v>
      </c>
      <c r="H48" s="482">
        <v>0</v>
      </c>
      <c r="I48" s="482">
        <v>0</v>
      </c>
      <c r="J48" s="482">
        <v>0</v>
      </c>
      <c r="K48" s="484">
        <v>8.3299999999999999E-2</v>
      </c>
      <c r="L48" s="483">
        <v>8.3299999999999999E-2</v>
      </c>
      <c r="M48" s="484">
        <v>0.41649999999999998</v>
      </c>
      <c r="N48" s="484">
        <v>8.3299999999999999E-2</v>
      </c>
      <c r="O48" s="484">
        <v>8.3299999999999999E-2</v>
      </c>
      <c r="P48" s="484">
        <v>8.3299999999999999E-2</v>
      </c>
      <c r="Q48" s="484">
        <v>8.3299999999999999E-2</v>
      </c>
      <c r="R48" s="485">
        <v>8.3699999999999997E-2</v>
      </c>
      <c r="S48" s="136">
        <f t="shared" si="0"/>
        <v>1</v>
      </c>
      <c r="T48" s="679"/>
      <c r="U48" s="679"/>
      <c r="V48" s="686"/>
    </row>
    <row r="49" spans="1:22" ht="27" customHeight="1">
      <c r="A49" s="678"/>
      <c r="B49" s="678"/>
      <c r="C49" s="689" t="s">
        <v>708</v>
      </c>
      <c r="D49" s="688" t="s">
        <v>305</v>
      </c>
      <c r="E49" s="688" t="s">
        <v>305</v>
      </c>
      <c r="F49" s="92" t="s">
        <v>19</v>
      </c>
      <c r="G49" s="483">
        <v>3.7499999999999999E-2</v>
      </c>
      <c r="H49" s="483">
        <v>0.05</v>
      </c>
      <c r="I49" s="483">
        <v>4.1999999999999997E-3</v>
      </c>
      <c r="J49" s="483">
        <v>0.1011</v>
      </c>
      <c r="K49" s="483">
        <v>0.1011</v>
      </c>
      <c r="L49" s="483">
        <v>0.1011</v>
      </c>
      <c r="M49" s="483">
        <v>0.1011</v>
      </c>
      <c r="N49" s="483">
        <v>0.1011</v>
      </c>
      <c r="O49" s="483">
        <v>0.1011</v>
      </c>
      <c r="P49" s="483">
        <v>0.1011</v>
      </c>
      <c r="Q49" s="483">
        <v>0.10059999999999999</v>
      </c>
      <c r="R49" s="483">
        <v>0.1</v>
      </c>
      <c r="S49" s="90">
        <f>SUM(G49:R49)</f>
        <v>0.99999999999999978</v>
      </c>
      <c r="T49" s="679"/>
      <c r="U49" s="679">
        <v>0.03</v>
      </c>
      <c r="V49" s="686" t="s">
        <v>753</v>
      </c>
    </row>
    <row r="50" spans="1:22" ht="27" customHeight="1">
      <c r="A50" s="678"/>
      <c r="B50" s="678"/>
      <c r="C50" s="689"/>
      <c r="D50" s="688"/>
      <c r="E50" s="688"/>
      <c r="F50" s="93" t="s">
        <v>20</v>
      </c>
      <c r="G50" s="482">
        <v>3.7499999999999999E-2</v>
      </c>
      <c r="H50" s="482">
        <v>0.05</v>
      </c>
      <c r="I50" s="482">
        <v>4.1999999999999997E-3</v>
      </c>
      <c r="J50" s="482">
        <v>0.05</v>
      </c>
      <c r="K50" s="484">
        <v>0.1211</v>
      </c>
      <c r="L50" s="483">
        <v>0</v>
      </c>
      <c r="M50" s="484">
        <v>8.4400000000000003E-2</v>
      </c>
      <c r="N50" s="484">
        <v>4.2099999999999999E-2</v>
      </c>
      <c r="O50" s="484">
        <v>6.8400000000000002E-2</v>
      </c>
      <c r="P50" s="484">
        <v>5.28E-2</v>
      </c>
      <c r="Q50" s="484">
        <v>0.10059999999999999</v>
      </c>
      <c r="R50" s="485">
        <v>0.38890000000000002</v>
      </c>
      <c r="S50" s="133">
        <f t="shared" si="0"/>
        <v>1</v>
      </c>
      <c r="T50" s="679"/>
      <c r="U50" s="679"/>
      <c r="V50" s="686"/>
    </row>
    <row r="51" spans="1:22" ht="27" customHeight="1">
      <c r="A51" s="678"/>
      <c r="B51" s="678"/>
      <c r="C51" s="689" t="s">
        <v>646</v>
      </c>
      <c r="D51" s="688" t="s">
        <v>305</v>
      </c>
      <c r="E51" s="688" t="s">
        <v>305</v>
      </c>
      <c r="F51" s="92" t="s">
        <v>19</v>
      </c>
      <c r="G51" s="483">
        <v>0</v>
      </c>
      <c r="H51" s="483">
        <v>0</v>
      </c>
      <c r="I51" s="483">
        <v>8.3299999999999999E-2</v>
      </c>
      <c r="J51" s="483">
        <v>0.1022</v>
      </c>
      <c r="K51" s="483">
        <v>0.1022</v>
      </c>
      <c r="L51" s="483">
        <v>0.1022</v>
      </c>
      <c r="M51" s="483">
        <v>0.1022</v>
      </c>
      <c r="N51" s="483">
        <v>0.1022</v>
      </c>
      <c r="O51" s="483">
        <v>0.1022</v>
      </c>
      <c r="P51" s="483">
        <v>0.1022</v>
      </c>
      <c r="Q51" s="483">
        <v>0.1013</v>
      </c>
      <c r="R51" s="483">
        <v>0.1</v>
      </c>
      <c r="S51" s="94">
        <f t="shared" si="0"/>
        <v>0.99999999999999989</v>
      </c>
      <c r="T51" s="679"/>
      <c r="U51" s="679">
        <v>0.03</v>
      </c>
      <c r="V51" s="686" t="s">
        <v>750</v>
      </c>
    </row>
    <row r="52" spans="1:22" ht="27" customHeight="1">
      <c r="A52" s="678"/>
      <c r="B52" s="678"/>
      <c r="C52" s="689"/>
      <c r="D52" s="688"/>
      <c r="E52" s="688"/>
      <c r="F52" s="93" t="s">
        <v>20</v>
      </c>
      <c r="G52" s="482">
        <v>0</v>
      </c>
      <c r="H52" s="482">
        <v>0</v>
      </c>
      <c r="I52" s="482">
        <v>8.3299999999999999E-2</v>
      </c>
      <c r="J52" s="482">
        <v>0.1022</v>
      </c>
      <c r="K52" s="484">
        <v>0.1022</v>
      </c>
      <c r="L52" s="483">
        <v>0.1022</v>
      </c>
      <c r="M52" s="484">
        <v>0.1022</v>
      </c>
      <c r="N52" s="484">
        <v>0.1022</v>
      </c>
      <c r="O52" s="484">
        <v>0.1022</v>
      </c>
      <c r="P52" s="484">
        <v>0.1022</v>
      </c>
      <c r="Q52" s="484">
        <v>0.1013</v>
      </c>
      <c r="R52" s="485">
        <v>0.1</v>
      </c>
      <c r="S52" s="133">
        <f t="shared" si="0"/>
        <v>0.99999999999999989</v>
      </c>
      <c r="T52" s="679"/>
      <c r="U52" s="679"/>
      <c r="V52" s="686"/>
    </row>
    <row r="53" spans="1:22" ht="27" customHeight="1">
      <c r="A53" s="678"/>
      <c r="B53" s="678"/>
      <c r="C53" s="689" t="s">
        <v>634</v>
      </c>
      <c r="D53" s="688" t="s">
        <v>305</v>
      </c>
      <c r="E53" s="688" t="s">
        <v>305</v>
      </c>
      <c r="F53" s="92" t="s">
        <v>19</v>
      </c>
      <c r="G53" s="483">
        <v>8.3299999999999999E-2</v>
      </c>
      <c r="H53" s="483">
        <v>8.3299999999999999E-2</v>
      </c>
      <c r="I53" s="483">
        <v>8.3299999999999999E-2</v>
      </c>
      <c r="J53" s="483">
        <v>8.3299999999999999E-2</v>
      </c>
      <c r="K53" s="483">
        <v>8.3299999999999999E-2</v>
      </c>
      <c r="L53" s="483">
        <v>8.3299999999999999E-2</v>
      </c>
      <c r="M53" s="483">
        <v>8.3299999999999999E-2</v>
      </c>
      <c r="N53" s="483">
        <v>8.3299999999999999E-2</v>
      </c>
      <c r="O53" s="483">
        <v>8.3299999999999999E-2</v>
      </c>
      <c r="P53" s="483">
        <v>8.3299999999999999E-2</v>
      </c>
      <c r="Q53" s="483">
        <v>8.3299999999999999E-2</v>
      </c>
      <c r="R53" s="483">
        <v>8.3699999999999997E-2</v>
      </c>
      <c r="S53" s="90">
        <f t="shared" si="0"/>
        <v>1</v>
      </c>
      <c r="T53" s="679"/>
      <c r="U53" s="679">
        <v>1.4999999999999999E-2</v>
      </c>
      <c r="V53" s="686" t="s">
        <v>751</v>
      </c>
    </row>
    <row r="54" spans="1:22" ht="27" customHeight="1">
      <c r="A54" s="678"/>
      <c r="B54" s="678"/>
      <c r="C54" s="689"/>
      <c r="D54" s="688"/>
      <c r="E54" s="688"/>
      <c r="F54" s="93" t="s">
        <v>20</v>
      </c>
      <c r="G54" s="482">
        <v>8.3299999999999999E-2</v>
      </c>
      <c r="H54" s="482">
        <v>8.3299999999999999E-2</v>
      </c>
      <c r="I54" s="482">
        <v>8.3299999999999999E-2</v>
      </c>
      <c r="J54" s="482">
        <v>8.3299999999999999E-2</v>
      </c>
      <c r="K54" s="484">
        <v>8.3299999999999999E-2</v>
      </c>
      <c r="L54" s="483">
        <v>8.3299999999999999E-2</v>
      </c>
      <c r="M54" s="484">
        <v>8.3299999999999999E-2</v>
      </c>
      <c r="N54" s="484">
        <v>8.3299999999999999E-2</v>
      </c>
      <c r="O54" s="484">
        <v>8.3299999999999999E-2</v>
      </c>
      <c r="P54" s="484">
        <v>8.3299999999999999E-2</v>
      </c>
      <c r="Q54" s="484">
        <v>8.3299999999999999E-2</v>
      </c>
      <c r="R54" s="485">
        <v>8.3699999999999997E-2</v>
      </c>
      <c r="S54" s="133">
        <f t="shared" si="0"/>
        <v>1</v>
      </c>
      <c r="T54" s="679"/>
      <c r="U54" s="679"/>
      <c r="V54" s="686"/>
    </row>
    <row r="55" spans="1:22" ht="27" customHeight="1">
      <c r="A55" s="678"/>
      <c r="B55" s="678"/>
      <c r="C55" s="689" t="s">
        <v>647</v>
      </c>
      <c r="D55" s="688" t="s">
        <v>305</v>
      </c>
      <c r="E55" s="688" t="s">
        <v>305</v>
      </c>
      <c r="F55" s="92" t="s">
        <v>19</v>
      </c>
      <c r="G55" s="483">
        <v>0</v>
      </c>
      <c r="H55" s="483">
        <v>0</v>
      </c>
      <c r="I55" s="483">
        <v>8.5000000000000006E-3</v>
      </c>
      <c r="J55" s="483">
        <v>0.11</v>
      </c>
      <c r="K55" s="483">
        <v>0.11</v>
      </c>
      <c r="L55" s="483">
        <v>0.11</v>
      </c>
      <c r="M55" s="483">
        <v>0.11</v>
      </c>
      <c r="N55" s="483">
        <v>0.11</v>
      </c>
      <c r="O55" s="483">
        <v>0.11</v>
      </c>
      <c r="P55" s="483">
        <v>0.11</v>
      </c>
      <c r="Q55" s="483">
        <v>0.11</v>
      </c>
      <c r="R55" s="483">
        <v>0.1115</v>
      </c>
      <c r="S55" s="90">
        <f>SUM(G55:R55)</f>
        <v>1</v>
      </c>
      <c r="T55" s="679"/>
      <c r="U55" s="679">
        <v>0.03</v>
      </c>
      <c r="V55" s="686" t="s">
        <v>752</v>
      </c>
    </row>
    <row r="56" spans="1:22" ht="27" customHeight="1">
      <c r="A56" s="678"/>
      <c r="B56" s="678"/>
      <c r="C56" s="689"/>
      <c r="D56" s="688"/>
      <c r="E56" s="688"/>
      <c r="F56" s="93" t="s">
        <v>20</v>
      </c>
      <c r="G56" s="482">
        <v>0</v>
      </c>
      <c r="H56" s="482">
        <v>0</v>
      </c>
      <c r="I56" s="482">
        <v>8.5000000000000006E-3</v>
      </c>
      <c r="J56" s="482">
        <v>0</v>
      </c>
      <c r="K56" s="484">
        <v>6.6E-3</v>
      </c>
      <c r="L56" s="483">
        <v>0.36420000000000002</v>
      </c>
      <c r="M56" s="484">
        <v>7.9299999999999995E-2</v>
      </c>
      <c r="N56" s="484">
        <v>0.09</v>
      </c>
      <c r="O56" s="484">
        <v>8.6400000000000005E-2</v>
      </c>
      <c r="P56" s="484">
        <v>0.10829999999999999</v>
      </c>
      <c r="Q56" s="484">
        <v>0.11</v>
      </c>
      <c r="R56" s="485">
        <v>0.1467</v>
      </c>
      <c r="S56" s="133">
        <f t="shared" si="0"/>
        <v>1</v>
      </c>
      <c r="T56" s="679"/>
      <c r="U56" s="679"/>
      <c r="V56" s="686"/>
    </row>
    <row r="57" spans="1:22" ht="27" customHeight="1">
      <c r="A57" s="678" t="s">
        <v>295</v>
      </c>
      <c r="B57" s="678" t="s">
        <v>309</v>
      </c>
      <c r="C57" s="689" t="s">
        <v>635</v>
      </c>
      <c r="D57" s="688" t="s">
        <v>305</v>
      </c>
      <c r="E57" s="688" t="s">
        <v>305</v>
      </c>
      <c r="F57" s="92" t="s">
        <v>19</v>
      </c>
      <c r="G57" s="483">
        <v>0</v>
      </c>
      <c r="H57" s="483">
        <v>0.11</v>
      </c>
      <c r="I57" s="483">
        <v>0.09</v>
      </c>
      <c r="J57" s="483">
        <v>0.09</v>
      </c>
      <c r="K57" s="483">
        <v>0.09</v>
      </c>
      <c r="L57" s="483">
        <v>0.09</v>
      </c>
      <c r="M57" s="483">
        <v>0.09</v>
      </c>
      <c r="N57" s="483">
        <v>0.09</v>
      </c>
      <c r="O57" s="483">
        <v>0.09</v>
      </c>
      <c r="P57" s="483">
        <v>0.09</v>
      </c>
      <c r="Q57" s="483">
        <v>0.09</v>
      </c>
      <c r="R57" s="483">
        <v>0.08</v>
      </c>
      <c r="S57" s="90">
        <f t="shared" si="0"/>
        <v>0.99999999999999978</v>
      </c>
      <c r="T57" s="679">
        <v>0.1</v>
      </c>
      <c r="U57" s="679">
        <v>3.7499999999999999E-2</v>
      </c>
      <c r="V57" s="686" t="s">
        <v>770</v>
      </c>
    </row>
    <row r="58" spans="1:22" ht="27" customHeight="1">
      <c r="A58" s="678"/>
      <c r="B58" s="678"/>
      <c r="C58" s="689"/>
      <c r="D58" s="688"/>
      <c r="E58" s="688"/>
      <c r="F58" s="93" t="s">
        <v>20</v>
      </c>
      <c r="G58" s="482">
        <v>0</v>
      </c>
      <c r="H58" s="482">
        <v>0.11</v>
      </c>
      <c r="I58" s="482">
        <v>0.09</v>
      </c>
      <c r="J58" s="482">
        <v>0.09</v>
      </c>
      <c r="K58" s="484">
        <v>0.09</v>
      </c>
      <c r="L58" s="483">
        <v>0.09</v>
      </c>
      <c r="M58" s="484">
        <v>0.09</v>
      </c>
      <c r="N58" s="484">
        <v>0.09</v>
      </c>
      <c r="O58" s="484">
        <v>0.09</v>
      </c>
      <c r="P58" s="484">
        <v>0.09</v>
      </c>
      <c r="Q58" s="484">
        <v>0.09</v>
      </c>
      <c r="R58" s="485">
        <v>0.08</v>
      </c>
      <c r="S58" s="136">
        <f t="shared" si="0"/>
        <v>0.99999999999999978</v>
      </c>
      <c r="T58" s="679"/>
      <c r="U58" s="679"/>
      <c r="V58" s="686"/>
    </row>
    <row r="59" spans="1:22" ht="27" customHeight="1">
      <c r="A59" s="678"/>
      <c r="B59" s="678"/>
      <c r="C59" s="689" t="s">
        <v>636</v>
      </c>
      <c r="D59" s="688" t="s">
        <v>305</v>
      </c>
      <c r="E59" s="688" t="s">
        <v>305</v>
      </c>
      <c r="F59" s="92" t="s">
        <v>19</v>
      </c>
      <c r="G59" s="483">
        <v>0</v>
      </c>
      <c r="H59" s="483">
        <v>0</v>
      </c>
      <c r="I59" s="483">
        <v>0.09</v>
      </c>
      <c r="J59" s="483">
        <v>0.1011</v>
      </c>
      <c r="K59" s="483">
        <v>0.1011</v>
      </c>
      <c r="L59" s="483">
        <v>0.1011</v>
      </c>
      <c r="M59" s="483">
        <v>0.1011</v>
      </c>
      <c r="N59" s="483">
        <v>0.1011</v>
      </c>
      <c r="O59" s="483">
        <v>0.1011</v>
      </c>
      <c r="P59" s="483">
        <v>0.1011</v>
      </c>
      <c r="Q59" s="483">
        <v>0.1011</v>
      </c>
      <c r="R59" s="483">
        <v>0.1012</v>
      </c>
      <c r="S59" s="90">
        <f t="shared" si="0"/>
        <v>0.99999999999999978</v>
      </c>
      <c r="T59" s="679"/>
      <c r="U59" s="679">
        <v>1.2500000000000001E-2</v>
      </c>
      <c r="V59" s="686" t="s">
        <v>771</v>
      </c>
    </row>
    <row r="60" spans="1:22" ht="27" customHeight="1">
      <c r="A60" s="678"/>
      <c r="B60" s="678"/>
      <c r="C60" s="689"/>
      <c r="D60" s="688"/>
      <c r="E60" s="688"/>
      <c r="F60" s="93" t="s">
        <v>20</v>
      </c>
      <c r="G60" s="482">
        <v>0</v>
      </c>
      <c r="H60" s="482">
        <v>0</v>
      </c>
      <c r="I60" s="482">
        <v>0.09</v>
      </c>
      <c r="J60" s="482">
        <v>0.1011</v>
      </c>
      <c r="K60" s="484">
        <v>0.1011</v>
      </c>
      <c r="L60" s="483">
        <v>0.1011</v>
      </c>
      <c r="M60" s="484">
        <v>0.1011</v>
      </c>
      <c r="N60" s="484">
        <v>0.1011</v>
      </c>
      <c r="O60" s="484">
        <v>0.1011</v>
      </c>
      <c r="P60" s="484">
        <v>0.1011</v>
      </c>
      <c r="Q60" s="484">
        <v>0.1011</v>
      </c>
      <c r="R60" s="485">
        <v>0.1012</v>
      </c>
      <c r="S60" s="133">
        <f t="shared" si="0"/>
        <v>0.99999999999999978</v>
      </c>
      <c r="T60" s="679"/>
      <c r="U60" s="679"/>
      <c r="V60" s="686"/>
    </row>
    <row r="61" spans="1:22" ht="27" customHeight="1">
      <c r="A61" s="678"/>
      <c r="B61" s="678"/>
      <c r="C61" s="689" t="s">
        <v>637</v>
      </c>
      <c r="D61" s="688" t="s">
        <v>305</v>
      </c>
      <c r="E61" s="688" t="s">
        <v>305</v>
      </c>
      <c r="F61" s="92" t="s">
        <v>19</v>
      </c>
      <c r="G61" s="483">
        <v>0</v>
      </c>
      <c r="H61" s="483">
        <v>0</v>
      </c>
      <c r="I61" s="483">
        <v>0.09</v>
      </c>
      <c r="J61" s="483">
        <v>0.1011</v>
      </c>
      <c r="K61" s="483">
        <v>0.1011</v>
      </c>
      <c r="L61" s="483">
        <v>0.1011</v>
      </c>
      <c r="M61" s="483">
        <v>0.1011</v>
      </c>
      <c r="N61" s="483">
        <v>0.1011</v>
      </c>
      <c r="O61" s="483">
        <v>0.1011</v>
      </c>
      <c r="P61" s="483">
        <v>0.1011</v>
      </c>
      <c r="Q61" s="483">
        <v>0.1011</v>
      </c>
      <c r="R61" s="483">
        <v>0.1012</v>
      </c>
      <c r="S61" s="90">
        <f t="shared" si="0"/>
        <v>0.99999999999999978</v>
      </c>
      <c r="T61" s="679"/>
      <c r="U61" s="679">
        <v>3.7499999999999999E-2</v>
      </c>
      <c r="V61" s="686" t="s">
        <v>768</v>
      </c>
    </row>
    <row r="62" spans="1:22" ht="27" customHeight="1">
      <c r="A62" s="678"/>
      <c r="B62" s="678"/>
      <c r="C62" s="689"/>
      <c r="D62" s="688"/>
      <c r="E62" s="688"/>
      <c r="F62" s="93" t="s">
        <v>20</v>
      </c>
      <c r="G62" s="482">
        <v>0</v>
      </c>
      <c r="H62" s="482">
        <v>0</v>
      </c>
      <c r="I62" s="482">
        <v>0.09</v>
      </c>
      <c r="J62" s="482">
        <v>0.1011</v>
      </c>
      <c r="K62" s="484">
        <v>0.1011</v>
      </c>
      <c r="L62" s="483">
        <v>0.1011</v>
      </c>
      <c r="M62" s="484">
        <v>0.1011</v>
      </c>
      <c r="N62" s="484">
        <v>0.1011</v>
      </c>
      <c r="O62" s="484">
        <v>0.1011</v>
      </c>
      <c r="P62" s="484">
        <v>0.1011</v>
      </c>
      <c r="Q62" s="484">
        <v>0.1011</v>
      </c>
      <c r="R62" s="485">
        <v>0.1012</v>
      </c>
      <c r="S62" s="133">
        <f t="shared" si="0"/>
        <v>0.99999999999999978</v>
      </c>
      <c r="T62" s="679"/>
      <c r="U62" s="679"/>
      <c r="V62" s="686"/>
    </row>
    <row r="63" spans="1:22" ht="27" customHeight="1">
      <c r="A63" s="678"/>
      <c r="B63" s="678"/>
      <c r="C63" s="689" t="s">
        <v>638</v>
      </c>
      <c r="D63" s="688" t="s">
        <v>305</v>
      </c>
      <c r="E63" s="688" t="s">
        <v>305</v>
      </c>
      <c r="F63" s="92" t="s">
        <v>19</v>
      </c>
      <c r="G63" s="483">
        <v>0</v>
      </c>
      <c r="H63" s="483">
        <v>0</v>
      </c>
      <c r="I63" s="483">
        <v>0.09</v>
      </c>
      <c r="J63" s="483">
        <v>0.1011</v>
      </c>
      <c r="K63" s="488">
        <v>0.1011</v>
      </c>
      <c r="L63" s="488">
        <v>0.1011</v>
      </c>
      <c r="M63" s="488">
        <v>0.1011</v>
      </c>
      <c r="N63" s="488">
        <v>0.1011</v>
      </c>
      <c r="O63" s="488">
        <v>0.1011</v>
      </c>
      <c r="P63" s="488">
        <v>0.1011</v>
      </c>
      <c r="Q63" s="488">
        <v>0.1011</v>
      </c>
      <c r="R63" s="488">
        <v>0.1012</v>
      </c>
      <c r="S63" s="90">
        <f t="shared" si="0"/>
        <v>0.99999999999999978</v>
      </c>
      <c r="T63" s="679"/>
      <c r="U63" s="679">
        <v>1.2500000000000001E-2</v>
      </c>
      <c r="V63" s="686" t="s">
        <v>769</v>
      </c>
    </row>
    <row r="64" spans="1:22" ht="27" customHeight="1">
      <c r="A64" s="678"/>
      <c r="B64" s="678"/>
      <c r="C64" s="689"/>
      <c r="D64" s="688"/>
      <c r="E64" s="688"/>
      <c r="F64" s="93" t="s">
        <v>20</v>
      </c>
      <c r="G64" s="482">
        <v>0</v>
      </c>
      <c r="H64" s="482">
        <v>0</v>
      </c>
      <c r="I64" s="482">
        <v>0.09</v>
      </c>
      <c r="J64" s="482">
        <v>0.1011</v>
      </c>
      <c r="K64" s="484">
        <v>0.1011</v>
      </c>
      <c r="L64" s="483">
        <v>0.1011</v>
      </c>
      <c r="M64" s="484">
        <v>0.1011</v>
      </c>
      <c r="N64" s="484">
        <v>0.1011</v>
      </c>
      <c r="O64" s="484">
        <v>0.1011</v>
      </c>
      <c r="P64" s="484">
        <v>0.1011</v>
      </c>
      <c r="Q64" s="484">
        <v>0.1011</v>
      </c>
      <c r="R64" s="485">
        <v>0.1012</v>
      </c>
      <c r="S64" s="133">
        <f t="shared" si="0"/>
        <v>0.99999999999999978</v>
      </c>
      <c r="T64" s="679"/>
      <c r="U64" s="679"/>
      <c r="V64" s="686"/>
    </row>
    <row r="65" spans="1:22" ht="27" customHeight="1">
      <c r="A65" s="687" t="s">
        <v>674</v>
      </c>
      <c r="B65" s="687"/>
      <c r="C65" s="687"/>
      <c r="D65" s="687"/>
      <c r="E65" s="687"/>
      <c r="F65" s="687"/>
      <c r="G65" s="687"/>
      <c r="H65" s="687"/>
      <c r="I65" s="687"/>
      <c r="J65" s="687"/>
      <c r="K65" s="687"/>
      <c r="L65" s="687"/>
      <c r="M65" s="687"/>
      <c r="N65" s="687"/>
      <c r="O65" s="687"/>
      <c r="P65" s="687"/>
      <c r="Q65" s="687"/>
      <c r="R65" s="687"/>
      <c r="S65" s="687"/>
      <c r="T65" s="96">
        <f>SUM(T9:T64)</f>
        <v>1</v>
      </c>
      <c r="U65" s="96">
        <f>SUM(U9:U64)</f>
        <v>1</v>
      </c>
      <c r="V65" s="97"/>
    </row>
    <row r="66" spans="1:22" ht="27" customHeight="1">
      <c r="A66" s="8"/>
      <c r="B66" s="8"/>
      <c r="C66" s="11"/>
      <c r="D66" s="8"/>
      <c r="E66" s="8"/>
      <c r="F66" s="8"/>
      <c r="G66" s="8"/>
      <c r="H66" s="8"/>
      <c r="I66" s="8"/>
      <c r="J66" s="8"/>
      <c r="K66" s="8"/>
      <c r="L66" s="8"/>
      <c r="M66" s="8"/>
      <c r="N66" s="9"/>
      <c r="O66" s="9"/>
      <c r="P66" s="9"/>
      <c r="Q66" s="9"/>
      <c r="R66" s="9"/>
      <c r="S66" s="9"/>
      <c r="T66" s="9"/>
      <c r="U66" s="23"/>
    </row>
    <row r="67" spans="1:22" ht="27" customHeight="1">
      <c r="A67" s="8"/>
      <c r="B67" s="22"/>
      <c r="C67" s="20"/>
      <c r="D67" s="20"/>
      <c r="E67" s="21"/>
      <c r="F67" s="39"/>
      <c r="G67" s="21"/>
      <c r="H67" s="21"/>
      <c r="I67" s="21"/>
      <c r="J67" s="21"/>
      <c r="K67" s="21"/>
      <c r="L67" s="21"/>
      <c r="M67" s="21"/>
      <c r="N67" s="21"/>
      <c r="O67" s="21"/>
      <c r="P67" s="21"/>
      <c r="Q67" s="9"/>
      <c r="R67" s="9"/>
      <c r="S67" s="9"/>
      <c r="T67" s="9"/>
      <c r="U67" s="9"/>
    </row>
    <row r="68" spans="1:22" ht="27" customHeight="1">
      <c r="B68" s="134" t="s">
        <v>35</v>
      </c>
      <c r="C68" s="569" t="s">
        <v>36</v>
      </c>
      <c r="D68" s="570"/>
      <c r="E68" s="570"/>
      <c r="F68" s="570"/>
      <c r="G68" s="570"/>
      <c r="H68" s="570"/>
      <c r="I68" s="571"/>
      <c r="J68" s="572" t="s">
        <v>37</v>
      </c>
      <c r="K68" s="573"/>
      <c r="L68" s="573"/>
      <c r="M68" s="573"/>
      <c r="N68" s="573"/>
      <c r="O68" s="573"/>
      <c r="P68" s="574"/>
      <c r="Q68" s="9"/>
      <c r="R68" s="9"/>
      <c r="S68" s="9"/>
      <c r="T68" s="9"/>
      <c r="U68" s="9"/>
    </row>
    <row r="69" spans="1:22" ht="27" customHeight="1">
      <c r="A69" s="8"/>
      <c r="B69" s="135">
        <v>13</v>
      </c>
      <c r="C69" s="565" t="s">
        <v>89</v>
      </c>
      <c r="D69" s="565"/>
      <c r="E69" s="565"/>
      <c r="F69" s="565"/>
      <c r="G69" s="565"/>
      <c r="H69" s="565"/>
      <c r="I69" s="565"/>
      <c r="J69" s="565" t="s">
        <v>80</v>
      </c>
      <c r="K69" s="565"/>
      <c r="L69" s="565"/>
      <c r="M69" s="565"/>
      <c r="N69" s="565"/>
      <c r="O69" s="565"/>
      <c r="P69" s="565"/>
      <c r="Q69" s="9"/>
      <c r="R69" s="9"/>
      <c r="S69" s="9"/>
      <c r="T69" s="9"/>
      <c r="U69" s="9"/>
    </row>
    <row r="70" spans="1:22" ht="27" customHeight="1">
      <c r="A70" s="8"/>
      <c r="B70" s="135">
        <v>14</v>
      </c>
      <c r="C70" s="565" t="s">
        <v>247</v>
      </c>
      <c r="D70" s="565"/>
      <c r="E70" s="565"/>
      <c r="F70" s="565"/>
      <c r="G70" s="565"/>
      <c r="H70" s="565"/>
      <c r="I70" s="565"/>
      <c r="J70" s="566" t="s">
        <v>509</v>
      </c>
      <c r="K70" s="566"/>
      <c r="L70" s="566"/>
      <c r="M70" s="566"/>
      <c r="N70" s="566"/>
      <c r="O70" s="566"/>
      <c r="P70" s="566"/>
      <c r="Q70" s="9"/>
      <c r="R70" s="9"/>
      <c r="S70" s="9"/>
      <c r="T70" s="9"/>
      <c r="U70" s="9"/>
    </row>
    <row r="71" spans="1:22" ht="27" customHeight="1">
      <c r="A71" s="8"/>
      <c r="B71" s="8"/>
      <c r="C71" s="11"/>
      <c r="D71" s="8"/>
      <c r="E71" s="8"/>
      <c r="F71" s="8"/>
      <c r="G71" s="8"/>
      <c r="H71" s="8"/>
      <c r="I71" s="8"/>
      <c r="J71" s="8"/>
      <c r="K71" s="8"/>
      <c r="L71" s="8"/>
      <c r="M71" s="8"/>
      <c r="N71" s="9"/>
      <c r="O71" s="9"/>
      <c r="P71" s="9"/>
      <c r="Q71" s="9"/>
      <c r="R71" s="9"/>
      <c r="S71" s="9"/>
      <c r="T71" s="9"/>
      <c r="U71" s="9"/>
    </row>
    <row r="72" spans="1:22" ht="27" customHeight="1">
      <c r="A72" s="8"/>
      <c r="B72" s="8"/>
      <c r="C72" s="11"/>
      <c r="D72" s="8"/>
      <c r="E72" s="8"/>
      <c r="F72" s="8"/>
      <c r="G72" s="8"/>
      <c r="H72" s="8"/>
      <c r="I72" s="8"/>
      <c r="J72" s="8"/>
      <c r="K72" s="8"/>
      <c r="L72" s="8"/>
      <c r="M72" s="8"/>
      <c r="N72" s="9"/>
      <c r="O72" s="9"/>
      <c r="P72" s="9"/>
      <c r="Q72" s="9"/>
      <c r="R72" s="9"/>
      <c r="S72" s="9"/>
      <c r="T72" s="9"/>
      <c r="U72" s="9"/>
    </row>
    <row r="73" spans="1:22" ht="27" customHeight="1">
      <c r="A73" s="8"/>
      <c r="B73" s="8"/>
      <c r="C73" s="11"/>
      <c r="D73" s="8"/>
      <c r="E73" s="8"/>
      <c r="F73" s="8"/>
      <c r="G73" s="8"/>
      <c r="H73" s="8"/>
      <c r="I73" s="8"/>
      <c r="J73" s="8"/>
      <c r="K73" s="8"/>
      <c r="L73" s="8"/>
      <c r="M73" s="8"/>
      <c r="N73" s="9"/>
      <c r="O73" s="9"/>
      <c r="P73" s="9"/>
      <c r="Q73" s="9"/>
      <c r="R73" s="9"/>
      <c r="S73" s="9"/>
      <c r="T73" s="9"/>
      <c r="U73" s="9"/>
    </row>
    <row r="74" spans="1:22" ht="27" customHeight="1">
      <c r="A74" s="8"/>
      <c r="B74" s="8"/>
      <c r="C74" s="11"/>
      <c r="D74" s="8"/>
      <c r="E74" s="8"/>
      <c r="F74" s="8"/>
      <c r="G74" s="8"/>
      <c r="H74" s="8"/>
      <c r="I74" s="8"/>
      <c r="J74" s="8"/>
      <c r="K74" s="8"/>
      <c r="L74" s="8"/>
      <c r="M74" s="8"/>
      <c r="N74" s="9"/>
      <c r="O74" s="9"/>
      <c r="P74" s="9"/>
      <c r="Q74" s="9"/>
      <c r="R74" s="9"/>
      <c r="S74" s="9"/>
      <c r="T74" s="9"/>
      <c r="U74" s="9"/>
    </row>
    <row r="75" spans="1:22" ht="27" customHeight="1">
      <c r="A75" s="8"/>
      <c r="B75" s="8"/>
      <c r="C75" s="11"/>
      <c r="D75" s="8"/>
      <c r="E75" s="8"/>
      <c r="F75" s="8"/>
      <c r="G75" s="8"/>
      <c r="H75" s="8"/>
      <c r="I75" s="8"/>
      <c r="J75" s="8"/>
      <c r="K75" s="8"/>
      <c r="L75" s="8"/>
      <c r="M75" s="8"/>
      <c r="N75" s="9"/>
      <c r="O75" s="9"/>
      <c r="P75" s="9"/>
      <c r="Q75" s="9"/>
      <c r="R75" s="9"/>
      <c r="S75" s="9"/>
      <c r="T75" s="9"/>
      <c r="U75" s="9"/>
    </row>
    <row r="76" spans="1:22" ht="27" customHeight="1">
      <c r="A76" s="8"/>
      <c r="B76" s="8"/>
      <c r="C76" s="11"/>
      <c r="D76" s="8"/>
      <c r="E76" s="8"/>
      <c r="F76" s="8"/>
      <c r="G76" s="8"/>
      <c r="H76" s="8"/>
      <c r="I76" s="8"/>
      <c r="J76" s="8"/>
      <c r="K76" s="8"/>
      <c r="L76" s="8"/>
      <c r="M76" s="8"/>
      <c r="N76" s="9"/>
      <c r="O76" s="9"/>
      <c r="P76" s="9"/>
      <c r="Q76" s="9"/>
      <c r="R76" s="9"/>
      <c r="S76" s="9"/>
      <c r="T76" s="9"/>
      <c r="U76" s="9"/>
    </row>
    <row r="77" spans="1:22" ht="27" customHeight="1">
      <c r="A77" s="8"/>
      <c r="B77" s="8"/>
      <c r="C77" s="11"/>
      <c r="D77" s="8"/>
      <c r="E77" s="8"/>
      <c r="F77" s="8"/>
      <c r="G77" s="8"/>
      <c r="H77" s="8"/>
      <c r="I77" s="8"/>
      <c r="J77" s="8"/>
      <c r="K77" s="8"/>
      <c r="L77" s="8"/>
      <c r="M77" s="8"/>
      <c r="N77" s="9"/>
      <c r="O77" s="9"/>
      <c r="P77" s="9"/>
      <c r="Q77" s="9"/>
      <c r="R77" s="9"/>
      <c r="S77" s="9"/>
      <c r="T77" s="9"/>
      <c r="U77" s="9"/>
    </row>
    <row r="78" spans="1:22" ht="27" customHeight="1">
      <c r="A78" s="8"/>
      <c r="B78" s="8"/>
      <c r="C78" s="11"/>
      <c r="D78" s="8"/>
      <c r="E78" s="8"/>
      <c r="F78" s="8"/>
      <c r="G78" s="8"/>
      <c r="H78" s="8"/>
      <c r="I78" s="8"/>
      <c r="J78" s="8"/>
      <c r="K78" s="8"/>
      <c r="L78" s="8"/>
      <c r="M78" s="8"/>
      <c r="N78" s="9"/>
      <c r="O78" s="9"/>
      <c r="P78" s="9"/>
      <c r="Q78" s="9"/>
      <c r="R78" s="9"/>
      <c r="S78" s="9"/>
      <c r="T78" s="9"/>
      <c r="U78" s="9"/>
    </row>
    <row r="79" spans="1:22" ht="27" customHeight="1">
      <c r="A79" s="8"/>
      <c r="B79" s="8"/>
      <c r="C79" s="11"/>
      <c r="D79" s="8"/>
      <c r="E79" s="8"/>
      <c r="F79" s="8"/>
      <c r="G79" s="8"/>
      <c r="H79" s="8"/>
      <c r="I79" s="8"/>
      <c r="J79" s="8"/>
      <c r="K79" s="8"/>
      <c r="L79" s="8"/>
      <c r="M79" s="8"/>
      <c r="N79" s="9"/>
      <c r="O79" s="9"/>
      <c r="P79" s="9"/>
      <c r="Q79" s="9"/>
      <c r="R79" s="9"/>
      <c r="S79" s="9"/>
      <c r="T79" s="9"/>
      <c r="U79" s="9"/>
    </row>
    <row r="80" spans="1:22" ht="27" customHeight="1">
      <c r="A80" s="8"/>
      <c r="B80" s="8"/>
      <c r="C80" s="11"/>
      <c r="D80" s="8"/>
      <c r="E80" s="8"/>
      <c r="F80" s="8"/>
      <c r="G80" s="8"/>
      <c r="H80" s="8"/>
      <c r="I80" s="8"/>
      <c r="J80" s="8"/>
      <c r="K80" s="8"/>
      <c r="L80" s="8"/>
      <c r="M80" s="8"/>
      <c r="N80" s="9"/>
      <c r="O80" s="9"/>
      <c r="P80" s="9"/>
      <c r="Q80" s="9"/>
      <c r="R80" s="9"/>
      <c r="S80" s="9"/>
      <c r="T80" s="9"/>
      <c r="U80" s="9"/>
    </row>
    <row r="81" spans="1:21" ht="27" customHeight="1">
      <c r="A81" s="8"/>
      <c r="B81" s="8"/>
      <c r="C81" s="11"/>
      <c r="D81" s="8"/>
      <c r="E81" s="8"/>
      <c r="F81" s="8"/>
      <c r="G81" s="8"/>
      <c r="H81" s="8"/>
      <c r="I81" s="8"/>
      <c r="J81" s="8"/>
      <c r="K81" s="8"/>
      <c r="L81" s="8"/>
      <c r="M81" s="8"/>
      <c r="N81" s="9"/>
      <c r="O81" s="9"/>
      <c r="P81" s="9"/>
      <c r="Q81" s="9"/>
      <c r="R81" s="9"/>
      <c r="S81" s="9"/>
      <c r="T81" s="9"/>
      <c r="U81" s="9"/>
    </row>
    <row r="82" spans="1:21" ht="27" customHeight="1">
      <c r="A82" s="8"/>
      <c r="B82" s="8"/>
      <c r="C82" s="11"/>
      <c r="D82" s="8"/>
      <c r="E82" s="8"/>
      <c r="F82" s="8"/>
      <c r="G82" s="8"/>
      <c r="H82" s="8"/>
      <c r="I82" s="8"/>
      <c r="J82" s="8"/>
      <c r="K82" s="8"/>
      <c r="L82" s="8"/>
      <c r="M82" s="8"/>
      <c r="N82" s="9"/>
      <c r="O82" s="9"/>
      <c r="P82" s="9"/>
      <c r="Q82" s="9"/>
      <c r="R82" s="9"/>
      <c r="S82" s="9"/>
      <c r="T82" s="9"/>
      <c r="U82" s="9"/>
    </row>
    <row r="83" spans="1:21" ht="27" customHeight="1">
      <c r="A83" s="8"/>
      <c r="B83" s="8"/>
      <c r="C83" s="11"/>
      <c r="D83" s="8"/>
      <c r="E83" s="8"/>
      <c r="F83" s="8"/>
      <c r="G83" s="8"/>
      <c r="H83" s="8"/>
      <c r="I83" s="8"/>
      <c r="J83" s="8"/>
      <c r="K83" s="8"/>
      <c r="L83" s="8"/>
      <c r="M83" s="8"/>
      <c r="N83" s="9"/>
      <c r="O83" s="9"/>
      <c r="P83" s="9"/>
      <c r="Q83" s="9"/>
      <c r="R83" s="9"/>
      <c r="S83" s="9"/>
      <c r="T83" s="9"/>
      <c r="U83" s="9"/>
    </row>
    <row r="84" spans="1:21" ht="27" customHeight="1">
      <c r="A84" s="8"/>
      <c r="B84" s="8"/>
      <c r="C84" s="11"/>
      <c r="D84" s="8"/>
      <c r="E84" s="8"/>
      <c r="F84" s="8"/>
      <c r="G84" s="8"/>
      <c r="H84" s="8"/>
      <c r="I84" s="8"/>
      <c r="J84" s="8"/>
      <c r="K84" s="8"/>
      <c r="L84" s="8"/>
      <c r="M84" s="8"/>
      <c r="N84" s="9"/>
      <c r="O84" s="9"/>
      <c r="P84" s="9"/>
      <c r="Q84" s="9"/>
      <c r="R84" s="9"/>
      <c r="S84" s="9"/>
      <c r="T84" s="9"/>
      <c r="U84" s="9"/>
    </row>
    <row r="85" spans="1:21" ht="27" customHeight="1">
      <c r="A85" s="8"/>
      <c r="B85" s="8"/>
      <c r="C85" s="11"/>
      <c r="D85" s="8"/>
      <c r="E85" s="8"/>
      <c r="F85" s="8"/>
      <c r="G85" s="8"/>
      <c r="H85" s="8"/>
      <c r="I85" s="8"/>
      <c r="J85" s="8"/>
      <c r="K85" s="8"/>
      <c r="L85" s="8"/>
      <c r="M85" s="8"/>
      <c r="N85" s="9"/>
      <c r="O85" s="9"/>
      <c r="P85" s="9"/>
      <c r="Q85" s="9"/>
      <c r="R85" s="9"/>
      <c r="S85" s="9"/>
      <c r="T85" s="9"/>
      <c r="U85" s="9"/>
    </row>
    <row r="86" spans="1:21" ht="27" customHeight="1">
      <c r="A86" s="8"/>
      <c r="B86" s="8"/>
      <c r="C86" s="11"/>
      <c r="D86" s="8"/>
      <c r="E86" s="8"/>
      <c r="F86" s="8"/>
      <c r="G86" s="8"/>
      <c r="H86" s="8"/>
      <c r="I86" s="8"/>
      <c r="J86" s="8"/>
      <c r="K86" s="8"/>
      <c r="L86" s="8"/>
      <c r="M86" s="8"/>
      <c r="N86" s="9"/>
      <c r="O86" s="9"/>
      <c r="P86" s="9"/>
      <c r="Q86" s="9"/>
      <c r="R86" s="9"/>
      <c r="S86" s="9"/>
      <c r="T86" s="9"/>
      <c r="U86" s="9"/>
    </row>
    <row r="87" spans="1:21" ht="27" customHeight="1">
      <c r="A87" s="8"/>
      <c r="B87" s="8"/>
      <c r="C87" s="11"/>
      <c r="D87" s="8"/>
      <c r="E87" s="8"/>
      <c r="F87" s="8"/>
      <c r="G87" s="8"/>
      <c r="H87" s="8"/>
      <c r="I87" s="8"/>
      <c r="J87" s="8"/>
      <c r="K87" s="8"/>
      <c r="L87" s="8"/>
      <c r="M87" s="8"/>
      <c r="N87" s="9"/>
      <c r="O87" s="9"/>
      <c r="P87" s="9"/>
      <c r="Q87" s="9"/>
      <c r="R87" s="9"/>
      <c r="S87" s="9"/>
      <c r="T87" s="9"/>
      <c r="U87" s="9"/>
    </row>
    <row r="88" spans="1:21" ht="27" customHeight="1">
      <c r="A88" s="8"/>
      <c r="B88" s="8"/>
      <c r="C88" s="11"/>
      <c r="D88" s="8"/>
      <c r="E88" s="8"/>
      <c r="F88" s="8"/>
      <c r="G88" s="8"/>
      <c r="H88" s="8"/>
      <c r="I88" s="8"/>
      <c r="J88" s="8"/>
      <c r="K88" s="8"/>
      <c r="L88" s="8"/>
      <c r="M88" s="8"/>
      <c r="N88" s="9"/>
      <c r="O88" s="9"/>
      <c r="P88" s="9"/>
      <c r="Q88" s="9"/>
      <c r="R88" s="9"/>
      <c r="S88" s="9"/>
      <c r="T88" s="9"/>
      <c r="U88" s="9"/>
    </row>
    <row r="89" spans="1:21" ht="27" customHeight="1">
      <c r="A89" s="8"/>
      <c r="B89" s="8"/>
      <c r="C89" s="11"/>
      <c r="D89" s="8"/>
      <c r="E89" s="8"/>
      <c r="F89" s="8"/>
      <c r="G89" s="8"/>
      <c r="H89" s="8"/>
      <c r="I89" s="8"/>
      <c r="J89" s="8"/>
      <c r="K89" s="8"/>
      <c r="L89" s="8"/>
      <c r="M89" s="8"/>
      <c r="N89" s="9"/>
      <c r="O89" s="9"/>
      <c r="P89" s="9"/>
      <c r="Q89" s="9"/>
      <c r="R89" s="9"/>
      <c r="S89" s="9"/>
      <c r="T89" s="9"/>
      <c r="U89" s="9"/>
    </row>
    <row r="90" spans="1:21" ht="27" customHeight="1">
      <c r="A90" s="8"/>
      <c r="B90" s="8"/>
      <c r="C90" s="11"/>
      <c r="D90" s="8"/>
      <c r="E90" s="8"/>
      <c r="F90" s="8"/>
      <c r="G90" s="8"/>
      <c r="H90" s="8"/>
      <c r="I90" s="8"/>
      <c r="J90" s="8"/>
      <c r="K90" s="8"/>
      <c r="L90" s="8"/>
      <c r="M90" s="8"/>
      <c r="N90" s="9"/>
      <c r="O90" s="9"/>
      <c r="P90" s="9"/>
      <c r="Q90" s="9"/>
      <c r="R90" s="9"/>
      <c r="S90" s="9"/>
      <c r="T90" s="9"/>
      <c r="U90" s="9"/>
    </row>
    <row r="91" spans="1:21" ht="27" customHeight="1">
      <c r="A91" s="8"/>
      <c r="B91" s="8"/>
      <c r="C91" s="11"/>
      <c r="D91" s="8"/>
      <c r="E91" s="8"/>
      <c r="F91" s="8"/>
      <c r="G91" s="8"/>
      <c r="H91" s="8"/>
      <c r="I91" s="8"/>
      <c r="J91" s="8"/>
      <c r="K91" s="8"/>
      <c r="L91" s="8"/>
      <c r="M91" s="8"/>
      <c r="N91" s="9"/>
      <c r="O91" s="9"/>
      <c r="P91" s="9"/>
      <c r="Q91" s="9"/>
      <c r="R91" s="9"/>
      <c r="S91" s="9"/>
      <c r="T91" s="9"/>
      <c r="U91" s="9"/>
    </row>
    <row r="92" spans="1:21" ht="27" customHeight="1">
      <c r="A92" s="8"/>
      <c r="B92" s="8"/>
      <c r="C92" s="11"/>
      <c r="D92" s="8"/>
      <c r="E92" s="8"/>
      <c r="F92" s="8"/>
      <c r="G92" s="8"/>
      <c r="H92" s="8"/>
      <c r="I92" s="8"/>
      <c r="J92" s="8"/>
      <c r="K92" s="8"/>
      <c r="L92" s="8"/>
      <c r="M92" s="8"/>
      <c r="N92" s="9"/>
      <c r="O92" s="9"/>
      <c r="P92" s="9"/>
      <c r="Q92" s="9"/>
      <c r="R92" s="9"/>
      <c r="S92" s="9"/>
      <c r="T92" s="9"/>
      <c r="U92" s="9"/>
    </row>
    <row r="93" spans="1:21" ht="27" customHeight="1">
      <c r="A93" s="8"/>
      <c r="B93" s="8"/>
      <c r="C93" s="11"/>
      <c r="D93" s="8"/>
      <c r="E93" s="8"/>
      <c r="F93" s="8"/>
      <c r="G93" s="8"/>
      <c r="H93" s="8"/>
      <c r="I93" s="8"/>
      <c r="J93" s="8"/>
      <c r="K93" s="8"/>
      <c r="L93" s="8"/>
      <c r="M93" s="8"/>
      <c r="N93" s="9"/>
      <c r="O93" s="9"/>
      <c r="P93" s="9"/>
      <c r="Q93" s="9"/>
      <c r="R93" s="9"/>
      <c r="S93" s="9"/>
      <c r="T93" s="9"/>
      <c r="U93" s="9"/>
    </row>
    <row r="94" spans="1:21" ht="27" customHeight="1">
      <c r="A94" s="8"/>
      <c r="B94" s="8"/>
      <c r="C94" s="11"/>
      <c r="D94" s="8"/>
      <c r="E94" s="8"/>
      <c r="F94" s="8"/>
      <c r="G94" s="8"/>
      <c r="H94" s="8"/>
      <c r="I94" s="8"/>
      <c r="J94" s="8"/>
      <c r="K94" s="8"/>
      <c r="L94" s="8"/>
      <c r="M94" s="8"/>
      <c r="N94" s="9"/>
      <c r="O94" s="9"/>
      <c r="P94" s="9"/>
      <c r="Q94" s="9"/>
      <c r="R94" s="9"/>
      <c r="S94" s="9"/>
      <c r="T94" s="9"/>
      <c r="U94" s="9"/>
    </row>
    <row r="95" spans="1:21" ht="27" customHeight="1">
      <c r="A95" s="8"/>
      <c r="B95" s="8"/>
      <c r="C95" s="11"/>
      <c r="D95" s="8"/>
      <c r="E95" s="8"/>
      <c r="F95" s="8"/>
      <c r="G95" s="8"/>
      <c r="H95" s="8"/>
      <c r="I95" s="8"/>
      <c r="J95" s="8"/>
      <c r="K95" s="8"/>
      <c r="L95" s="8"/>
      <c r="M95" s="8"/>
      <c r="N95" s="9"/>
      <c r="O95" s="9"/>
      <c r="P95" s="9"/>
      <c r="Q95" s="9"/>
      <c r="R95" s="9"/>
      <c r="S95" s="9"/>
      <c r="T95" s="9"/>
      <c r="U95" s="9"/>
    </row>
    <row r="96" spans="1:21" ht="27" customHeight="1">
      <c r="A96" s="8"/>
      <c r="B96" s="8"/>
      <c r="C96" s="11"/>
      <c r="D96" s="8"/>
      <c r="E96" s="8"/>
      <c r="F96" s="8"/>
      <c r="G96" s="8"/>
      <c r="H96" s="8"/>
      <c r="I96" s="8"/>
      <c r="J96" s="8"/>
      <c r="K96" s="8"/>
      <c r="L96" s="8"/>
      <c r="M96" s="8"/>
      <c r="N96" s="9"/>
      <c r="O96" s="9"/>
      <c r="P96" s="9"/>
      <c r="Q96" s="9"/>
      <c r="R96" s="9"/>
      <c r="S96" s="9"/>
      <c r="T96" s="9"/>
      <c r="U96" s="9"/>
    </row>
    <row r="97" spans="1:21" ht="27" customHeight="1">
      <c r="A97" s="8"/>
      <c r="B97" s="8"/>
      <c r="C97" s="11"/>
      <c r="D97" s="8"/>
      <c r="E97" s="8"/>
      <c r="F97" s="8"/>
      <c r="G97" s="8"/>
      <c r="H97" s="8"/>
      <c r="I97" s="8"/>
      <c r="J97" s="8"/>
      <c r="K97" s="8"/>
      <c r="L97" s="8"/>
      <c r="M97" s="8"/>
      <c r="N97" s="9"/>
      <c r="O97" s="9"/>
      <c r="P97" s="9"/>
      <c r="Q97" s="9"/>
      <c r="R97" s="9"/>
      <c r="S97" s="9"/>
      <c r="T97" s="9"/>
      <c r="U97" s="9"/>
    </row>
    <row r="98" spans="1:21" ht="27" customHeight="1">
      <c r="A98" s="8"/>
      <c r="B98" s="8"/>
      <c r="C98" s="11"/>
      <c r="D98" s="8"/>
      <c r="E98" s="8"/>
      <c r="F98" s="8"/>
      <c r="G98" s="8"/>
      <c r="H98" s="8"/>
      <c r="I98" s="8"/>
      <c r="J98" s="8"/>
      <c r="K98" s="8"/>
      <c r="L98" s="8"/>
      <c r="M98" s="8"/>
      <c r="N98" s="9"/>
      <c r="O98" s="9"/>
      <c r="P98" s="9"/>
      <c r="Q98" s="9"/>
      <c r="R98" s="9"/>
      <c r="S98" s="9"/>
      <c r="T98" s="9"/>
      <c r="U98" s="9"/>
    </row>
    <row r="99" spans="1:21" ht="27" customHeight="1">
      <c r="A99" s="8"/>
      <c r="B99" s="8"/>
      <c r="C99" s="11"/>
      <c r="D99" s="8"/>
      <c r="E99" s="8"/>
      <c r="F99" s="8"/>
      <c r="G99" s="8"/>
      <c r="H99" s="8"/>
      <c r="I99" s="8"/>
      <c r="J99" s="8"/>
      <c r="K99" s="8"/>
      <c r="L99" s="8"/>
      <c r="M99" s="8"/>
      <c r="N99" s="9"/>
      <c r="O99" s="9"/>
      <c r="P99" s="9"/>
      <c r="Q99" s="9"/>
      <c r="R99" s="9"/>
      <c r="S99" s="9"/>
      <c r="T99" s="9"/>
      <c r="U99" s="9"/>
    </row>
    <row r="100" spans="1:21" ht="27" customHeight="1">
      <c r="A100" s="8"/>
      <c r="B100" s="8"/>
      <c r="C100" s="11"/>
      <c r="D100" s="8"/>
      <c r="E100" s="8"/>
      <c r="F100" s="8"/>
      <c r="G100" s="8"/>
      <c r="H100" s="8"/>
      <c r="I100" s="8"/>
      <c r="J100" s="8"/>
      <c r="K100" s="8"/>
      <c r="L100" s="8"/>
      <c r="M100" s="8"/>
      <c r="N100" s="9"/>
      <c r="O100" s="9"/>
      <c r="P100" s="9"/>
      <c r="Q100" s="9"/>
      <c r="R100" s="9"/>
      <c r="S100" s="9"/>
      <c r="T100" s="9"/>
      <c r="U100" s="9"/>
    </row>
    <row r="101" spans="1:21" ht="27" customHeight="1">
      <c r="A101" s="8"/>
      <c r="B101" s="8"/>
      <c r="C101" s="11"/>
      <c r="D101" s="8"/>
      <c r="E101" s="8"/>
      <c r="F101" s="8"/>
      <c r="G101" s="8"/>
      <c r="H101" s="8"/>
      <c r="I101" s="8"/>
      <c r="J101" s="8"/>
      <c r="K101" s="8"/>
      <c r="L101" s="8"/>
      <c r="M101" s="8"/>
      <c r="N101" s="9"/>
      <c r="O101" s="9"/>
      <c r="P101" s="9"/>
      <c r="Q101" s="9"/>
      <c r="R101" s="9"/>
      <c r="S101" s="9"/>
      <c r="T101" s="9"/>
      <c r="U101" s="9"/>
    </row>
    <row r="102" spans="1:21" ht="27" customHeight="1">
      <c r="A102" s="8"/>
      <c r="B102" s="8"/>
      <c r="C102" s="11"/>
      <c r="D102" s="8"/>
      <c r="E102" s="8"/>
      <c r="F102" s="8"/>
      <c r="G102" s="8"/>
      <c r="H102" s="8"/>
      <c r="I102" s="8"/>
      <c r="J102" s="8"/>
      <c r="K102" s="8"/>
      <c r="L102" s="8"/>
      <c r="M102" s="8"/>
      <c r="N102" s="9"/>
      <c r="O102" s="9"/>
      <c r="P102" s="9"/>
      <c r="Q102" s="9"/>
      <c r="R102" s="9"/>
      <c r="S102" s="9"/>
      <c r="T102" s="9"/>
      <c r="U102" s="9"/>
    </row>
    <row r="103" spans="1:21" ht="27" customHeight="1">
      <c r="A103" s="8"/>
      <c r="B103" s="8"/>
      <c r="C103" s="11"/>
      <c r="D103" s="8"/>
      <c r="E103" s="8"/>
      <c r="F103" s="8"/>
      <c r="G103" s="8"/>
      <c r="H103" s="8"/>
      <c r="I103" s="8"/>
      <c r="J103" s="8"/>
      <c r="K103" s="8"/>
      <c r="L103" s="8"/>
      <c r="M103" s="8"/>
      <c r="N103" s="9"/>
      <c r="O103" s="9"/>
      <c r="P103" s="9"/>
      <c r="Q103" s="9"/>
      <c r="R103" s="9"/>
      <c r="S103" s="9"/>
      <c r="T103" s="9"/>
      <c r="U103" s="9"/>
    </row>
    <row r="104" spans="1:21" ht="27" customHeight="1">
      <c r="A104" s="8"/>
      <c r="B104" s="8"/>
      <c r="C104" s="11"/>
      <c r="D104" s="8"/>
      <c r="E104" s="8"/>
      <c r="F104" s="8"/>
      <c r="G104" s="8"/>
      <c r="H104" s="8"/>
      <c r="I104" s="8"/>
      <c r="J104" s="8"/>
      <c r="K104" s="8"/>
      <c r="L104" s="8"/>
      <c r="M104" s="8"/>
      <c r="N104" s="9"/>
      <c r="O104" s="9"/>
      <c r="P104" s="9"/>
      <c r="Q104" s="9"/>
      <c r="R104" s="9"/>
      <c r="S104" s="9"/>
      <c r="T104" s="9"/>
      <c r="U104" s="9"/>
    </row>
    <row r="105" spans="1:21" ht="27" customHeight="1">
      <c r="A105" s="8"/>
      <c r="B105" s="8"/>
      <c r="C105" s="11"/>
      <c r="D105" s="8"/>
      <c r="E105" s="8"/>
      <c r="F105" s="8"/>
      <c r="G105" s="8"/>
      <c r="H105" s="8"/>
      <c r="I105" s="8"/>
      <c r="J105" s="8"/>
      <c r="K105" s="8"/>
      <c r="L105" s="8"/>
      <c r="M105" s="8"/>
      <c r="N105" s="9"/>
      <c r="O105" s="9"/>
      <c r="P105" s="9"/>
      <c r="Q105" s="9"/>
      <c r="R105" s="9"/>
      <c r="S105" s="9"/>
      <c r="T105" s="9"/>
      <c r="U105" s="9"/>
    </row>
    <row r="106" spans="1:21" ht="27" customHeight="1">
      <c r="A106" s="8"/>
      <c r="B106" s="8"/>
      <c r="C106" s="11"/>
      <c r="D106" s="8"/>
      <c r="E106" s="8"/>
      <c r="F106" s="8"/>
      <c r="G106" s="8"/>
      <c r="H106" s="8"/>
      <c r="I106" s="8"/>
      <c r="J106" s="8"/>
      <c r="K106" s="8"/>
      <c r="L106" s="8"/>
      <c r="M106" s="8"/>
      <c r="N106" s="9"/>
      <c r="O106" s="9"/>
      <c r="P106" s="9"/>
      <c r="Q106" s="9"/>
      <c r="R106" s="9"/>
      <c r="S106" s="9"/>
      <c r="T106" s="9"/>
      <c r="U106" s="9"/>
    </row>
    <row r="107" spans="1:21" ht="27" customHeight="1">
      <c r="A107" s="8"/>
      <c r="B107" s="8"/>
      <c r="C107" s="11"/>
      <c r="D107" s="8"/>
      <c r="E107" s="8"/>
      <c r="F107" s="8"/>
      <c r="G107" s="8"/>
      <c r="H107" s="8"/>
      <c r="I107" s="8"/>
      <c r="J107" s="8"/>
      <c r="K107" s="8"/>
      <c r="L107" s="8"/>
      <c r="M107" s="8"/>
      <c r="N107" s="9"/>
      <c r="O107" s="9"/>
      <c r="P107" s="9"/>
      <c r="Q107" s="9"/>
      <c r="R107" s="9"/>
      <c r="S107" s="9"/>
      <c r="T107" s="9"/>
      <c r="U107" s="9"/>
    </row>
    <row r="108" spans="1:21" ht="27" customHeight="1">
      <c r="A108" s="8"/>
      <c r="B108" s="8"/>
      <c r="C108" s="11"/>
      <c r="D108" s="8"/>
      <c r="E108" s="8"/>
      <c r="F108" s="8"/>
      <c r="G108" s="8"/>
      <c r="H108" s="8"/>
      <c r="I108" s="8"/>
      <c r="J108" s="8"/>
      <c r="K108" s="8"/>
      <c r="L108" s="8"/>
      <c r="M108" s="8"/>
      <c r="N108" s="9"/>
      <c r="O108" s="9"/>
      <c r="P108" s="9"/>
      <c r="Q108" s="9"/>
      <c r="R108" s="9"/>
      <c r="S108" s="9"/>
      <c r="T108" s="9"/>
      <c r="U108" s="9"/>
    </row>
    <row r="109" spans="1:21" ht="27" customHeight="1">
      <c r="A109" s="8"/>
      <c r="B109" s="8"/>
      <c r="C109" s="11"/>
      <c r="D109" s="8"/>
      <c r="E109" s="8"/>
      <c r="F109" s="8"/>
      <c r="G109" s="8"/>
      <c r="H109" s="8"/>
      <c r="I109" s="8"/>
      <c r="J109" s="8"/>
      <c r="K109" s="8"/>
      <c r="L109" s="8"/>
      <c r="M109" s="8"/>
      <c r="N109" s="9"/>
      <c r="O109" s="9"/>
      <c r="P109" s="9"/>
      <c r="Q109" s="9"/>
      <c r="R109" s="9"/>
      <c r="S109" s="9"/>
      <c r="T109" s="9"/>
      <c r="U109" s="9"/>
    </row>
    <row r="110" spans="1:21" ht="27" customHeight="1">
      <c r="A110" s="8"/>
      <c r="B110" s="8"/>
      <c r="C110" s="11"/>
      <c r="D110" s="8"/>
      <c r="E110" s="8"/>
      <c r="F110" s="8"/>
      <c r="G110" s="8"/>
      <c r="H110" s="8"/>
      <c r="I110" s="8"/>
      <c r="J110" s="8"/>
      <c r="K110" s="8"/>
      <c r="L110" s="8"/>
      <c r="M110" s="8"/>
      <c r="N110" s="9"/>
      <c r="O110" s="9"/>
      <c r="P110" s="9"/>
      <c r="Q110" s="9"/>
      <c r="R110" s="9"/>
      <c r="S110" s="9"/>
      <c r="T110" s="9"/>
      <c r="U110" s="9"/>
    </row>
    <row r="111" spans="1:21" ht="27" customHeight="1">
      <c r="A111" s="8"/>
      <c r="B111" s="8"/>
      <c r="C111" s="11"/>
      <c r="D111" s="8"/>
      <c r="E111" s="8"/>
      <c r="F111" s="8"/>
      <c r="G111" s="8"/>
      <c r="H111" s="8"/>
      <c r="I111" s="8"/>
      <c r="J111" s="8"/>
      <c r="K111" s="8"/>
      <c r="L111" s="8"/>
      <c r="M111" s="8"/>
      <c r="N111" s="9"/>
      <c r="O111" s="9"/>
      <c r="P111" s="9"/>
      <c r="Q111" s="9"/>
      <c r="R111" s="9"/>
      <c r="S111" s="9"/>
      <c r="T111" s="9"/>
      <c r="U111" s="9"/>
    </row>
    <row r="112" spans="1:21" ht="27" customHeight="1">
      <c r="A112" s="8"/>
      <c r="B112" s="8"/>
      <c r="C112" s="11"/>
      <c r="D112" s="8"/>
      <c r="E112" s="8"/>
      <c r="F112" s="8"/>
      <c r="G112" s="8"/>
      <c r="H112" s="8"/>
      <c r="I112" s="8"/>
      <c r="J112" s="8"/>
      <c r="K112" s="8"/>
      <c r="L112" s="8"/>
      <c r="M112" s="8"/>
      <c r="N112" s="9"/>
      <c r="O112" s="9"/>
      <c r="P112" s="9"/>
      <c r="Q112" s="9"/>
      <c r="R112" s="9"/>
      <c r="S112" s="9"/>
      <c r="T112" s="9"/>
      <c r="U112" s="9"/>
    </row>
    <row r="113" spans="1:21" ht="27" customHeight="1">
      <c r="A113" s="8"/>
      <c r="B113" s="8"/>
      <c r="C113" s="11"/>
      <c r="D113" s="8"/>
      <c r="E113" s="8"/>
      <c r="F113" s="8"/>
      <c r="G113" s="8"/>
      <c r="H113" s="8"/>
      <c r="I113" s="8"/>
      <c r="J113" s="8"/>
      <c r="K113" s="8"/>
      <c r="L113" s="8"/>
      <c r="M113" s="8"/>
      <c r="N113" s="9"/>
      <c r="O113" s="9"/>
      <c r="P113" s="9"/>
      <c r="Q113" s="9"/>
      <c r="R113" s="9"/>
      <c r="S113" s="9"/>
      <c r="T113" s="9"/>
      <c r="U113" s="9"/>
    </row>
    <row r="114" spans="1:21" ht="27" customHeight="1">
      <c r="A114" s="8"/>
      <c r="B114" s="8"/>
      <c r="C114" s="11"/>
      <c r="D114" s="8"/>
      <c r="E114" s="8"/>
      <c r="F114" s="8"/>
      <c r="G114" s="8"/>
      <c r="H114" s="8"/>
      <c r="I114" s="8"/>
      <c r="J114" s="8"/>
      <c r="K114" s="8"/>
      <c r="L114" s="8"/>
      <c r="M114" s="8"/>
      <c r="N114" s="9"/>
      <c r="O114" s="9"/>
      <c r="P114" s="9"/>
      <c r="Q114" s="9"/>
      <c r="R114" s="9"/>
      <c r="S114" s="9"/>
      <c r="T114" s="9"/>
      <c r="U114" s="9"/>
    </row>
    <row r="115" spans="1:21" ht="27" customHeight="1">
      <c r="A115" s="8"/>
      <c r="B115" s="8"/>
      <c r="C115" s="11"/>
      <c r="D115" s="8"/>
      <c r="E115" s="8"/>
      <c r="F115" s="8"/>
      <c r="G115" s="8"/>
      <c r="H115" s="8"/>
      <c r="I115" s="8"/>
      <c r="J115" s="8"/>
      <c r="K115" s="8"/>
      <c r="L115" s="8"/>
      <c r="M115" s="8"/>
      <c r="N115" s="9"/>
      <c r="O115" s="9"/>
      <c r="P115" s="9"/>
      <c r="Q115" s="9"/>
      <c r="R115" s="9"/>
      <c r="S115" s="9"/>
      <c r="T115" s="9"/>
      <c r="U115" s="9"/>
    </row>
    <row r="116" spans="1:21" ht="27" customHeight="1">
      <c r="A116" s="8"/>
      <c r="B116" s="8"/>
      <c r="C116" s="11"/>
      <c r="D116" s="8"/>
      <c r="E116" s="8"/>
      <c r="F116" s="8"/>
      <c r="G116" s="8"/>
      <c r="H116" s="8"/>
      <c r="I116" s="8"/>
      <c r="J116" s="8"/>
      <c r="K116" s="8"/>
      <c r="L116" s="8"/>
      <c r="M116" s="8"/>
      <c r="N116" s="9"/>
      <c r="O116" s="9"/>
      <c r="P116" s="9"/>
      <c r="Q116" s="9"/>
      <c r="R116" s="9"/>
      <c r="S116" s="9"/>
      <c r="T116" s="9"/>
      <c r="U116" s="9"/>
    </row>
    <row r="117" spans="1:21" ht="27" customHeight="1">
      <c r="A117" s="8"/>
      <c r="B117" s="8"/>
      <c r="C117" s="11"/>
      <c r="D117" s="8"/>
      <c r="E117" s="8"/>
      <c r="F117" s="8"/>
      <c r="G117" s="8"/>
      <c r="H117" s="8"/>
      <c r="I117" s="8"/>
      <c r="J117" s="8"/>
      <c r="K117" s="8"/>
      <c r="L117" s="8"/>
      <c r="M117" s="8"/>
      <c r="N117" s="9"/>
      <c r="O117" s="9"/>
      <c r="P117" s="9"/>
      <c r="Q117" s="9"/>
      <c r="R117" s="9"/>
      <c r="S117" s="9"/>
      <c r="T117" s="9"/>
      <c r="U117" s="9"/>
    </row>
    <row r="118" spans="1:21" ht="27" customHeight="1">
      <c r="A118" s="8"/>
      <c r="B118" s="8"/>
      <c r="C118" s="11"/>
      <c r="D118" s="8"/>
      <c r="E118" s="8"/>
      <c r="F118" s="8"/>
      <c r="G118" s="8"/>
      <c r="H118" s="8"/>
      <c r="I118" s="8"/>
      <c r="J118" s="8"/>
      <c r="K118" s="8"/>
      <c r="L118" s="8"/>
      <c r="M118" s="8"/>
      <c r="N118" s="9"/>
      <c r="O118" s="9"/>
      <c r="P118" s="9"/>
      <c r="Q118" s="9"/>
      <c r="R118" s="9"/>
      <c r="S118" s="9"/>
      <c r="T118" s="9"/>
      <c r="U118" s="9"/>
    </row>
    <row r="119" spans="1:21" ht="27" customHeight="1">
      <c r="A119" s="8"/>
      <c r="B119" s="8"/>
      <c r="C119" s="11"/>
      <c r="D119" s="8"/>
      <c r="E119" s="8"/>
      <c r="F119" s="8"/>
      <c r="G119" s="8"/>
      <c r="H119" s="8"/>
      <c r="I119" s="8"/>
      <c r="J119" s="8"/>
      <c r="K119" s="8"/>
      <c r="L119" s="8"/>
      <c r="M119" s="8"/>
      <c r="N119" s="9"/>
      <c r="O119" s="9"/>
      <c r="P119" s="9"/>
      <c r="Q119" s="9"/>
      <c r="R119" s="9"/>
      <c r="S119" s="9"/>
      <c r="T119" s="9"/>
      <c r="U119" s="9"/>
    </row>
    <row r="120" spans="1:21" ht="27" customHeight="1">
      <c r="C120" s="11"/>
      <c r="D120" s="8"/>
      <c r="E120" s="8"/>
      <c r="F120" s="8"/>
      <c r="G120" s="8"/>
      <c r="H120" s="8"/>
      <c r="I120" s="8"/>
      <c r="J120" s="8"/>
      <c r="K120" s="8"/>
      <c r="L120" s="8"/>
      <c r="M120" s="8"/>
      <c r="N120" s="9"/>
    </row>
    <row r="121" spans="1:21" ht="27" customHeight="1">
      <c r="C121" s="11"/>
      <c r="D121" s="8"/>
      <c r="E121" s="8"/>
      <c r="F121" s="8"/>
      <c r="G121" s="8"/>
      <c r="H121" s="8"/>
      <c r="I121" s="8"/>
      <c r="J121" s="8"/>
      <c r="K121" s="8"/>
      <c r="L121" s="8"/>
      <c r="M121" s="8"/>
      <c r="N121" s="9"/>
    </row>
    <row r="122" spans="1:21" ht="27" customHeight="1">
      <c r="C122" s="11"/>
      <c r="D122" s="8"/>
      <c r="E122" s="8"/>
      <c r="F122" s="8"/>
      <c r="G122" s="8"/>
      <c r="H122" s="8"/>
      <c r="I122" s="8"/>
      <c r="J122" s="8"/>
      <c r="K122" s="8"/>
      <c r="L122" s="8"/>
      <c r="M122" s="8"/>
      <c r="N122" s="9"/>
    </row>
    <row r="123" spans="1:21" ht="27" customHeight="1">
      <c r="C123" s="11"/>
      <c r="D123" s="8"/>
      <c r="E123" s="8"/>
      <c r="F123" s="8"/>
      <c r="G123" s="8"/>
      <c r="H123" s="8"/>
      <c r="I123" s="8"/>
      <c r="J123" s="8"/>
      <c r="K123" s="8"/>
      <c r="L123" s="8"/>
      <c r="M123" s="8"/>
      <c r="N123" s="9"/>
    </row>
  </sheetData>
  <sheetProtection formatCells="0" formatColumns="0" formatRows="0" insertHyperlinks="0" sort="0" autoFilter="0" pivotTables="0"/>
  <mergeCells count="184">
    <mergeCell ref="V17:V18"/>
    <mergeCell ref="T19:T24"/>
    <mergeCell ref="D29:D30"/>
    <mergeCell ref="D31:D32"/>
    <mergeCell ref="U25:U26"/>
    <mergeCell ref="V19:V20"/>
    <mergeCell ref="U31:U32"/>
    <mergeCell ref="U33:U34"/>
    <mergeCell ref="V27:V28"/>
    <mergeCell ref="V29:V30"/>
    <mergeCell ref="V25:V26"/>
    <mergeCell ref="U27:U28"/>
    <mergeCell ref="V31:V32"/>
    <mergeCell ref="V33:V34"/>
    <mergeCell ref="U29:U30"/>
    <mergeCell ref="E25:E26"/>
    <mergeCell ref="E27:E28"/>
    <mergeCell ref="D33:D34"/>
    <mergeCell ref="C23:C24"/>
    <mergeCell ref="D11:D12"/>
    <mergeCell ref="D15:D16"/>
    <mergeCell ref="C69:I69"/>
    <mergeCell ref="J69:P69"/>
    <mergeCell ref="C70:I70"/>
    <mergeCell ref="J70:P70"/>
    <mergeCell ref="E11:E12"/>
    <mergeCell ref="E13:E14"/>
    <mergeCell ref="E15:E16"/>
    <mergeCell ref="E17:E18"/>
    <mergeCell ref="C68:I68"/>
    <mergeCell ref="J68:P68"/>
    <mergeCell ref="C29:C30"/>
    <mergeCell ref="D35:D36"/>
    <mergeCell ref="C13:C14"/>
    <mergeCell ref="D13:D14"/>
    <mergeCell ref="E53:E54"/>
    <mergeCell ref="E63:E64"/>
    <mergeCell ref="D21:D22"/>
    <mergeCell ref="E31:E32"/>
    <mergeCell ref="E33:E34"/>
    <mergeCell ref="C25:C26"/>
    <mergeCell ref="C27:C28"/>
    <mergeCell ref="A1:C3"/>
    <mergeCell ref="D1:V1"/>
    <mergeCell ref="D2:V2"/>
    <mergeCell ref="C7:C8"/>
    <mergeCell ref="D7:E7"/>
    <mergeCell ref="F7:S7"/>
    <mergeCell ref="A5:C5"/>
    <mergeCell ref="D4:V4"/>
    <mergeCell ref="D5:V5"/>
    <mergeCell ref="A4:C4"/>
    <mergeCell ref="A7:A8"/>
    <mergeCell ref="B7:B8"/>
    <mergeCell ref="D3:U3"/>
    <mergeCell ref="A6:V6"/>
    <mergeCell ref="T7:U7"/>
    <mergeCell ref="V7:V8"/>
    <mergeCell ref="E9:E10"/>
    <mergeCell ref="C21:C22"/>
    <mergeCell ref="B9:B18"/>
    <mergeCell ref="E19:E20"/>
    <mergeCell ref="C9:C10"/>
    <mergeCell ref="U9:U10"/>
    <mergeCell ref="U17:U18"/>
    <mergeCell ref="T9:T18"/>
    <mergeCell ref="U15:U16"/>
    <mergeCell ref="U11:U12"/>
    <mergeCell ref="U13:U14"/>
    <mergeCell ref="C17:C18"/>
    <mergeCell ref="D17:D18"/>
    <mergeCell ref="A25:A32"/>
    <mergeCell ref="B25:B32"/>
    <mergeCell ref="T25:T32"/>
    <mergeCell ref="A33:A36"/>
    <mergeCell ref="A9:A18"/>
    <mergeCell ref="V15:V16"/>
    <mergeCell ref="A19:A24"/>
    <mergeCell ref="D19:D20"/>
    <mergeCell ref="U19:U20"/>
    <mergeCell ref="U21:U22"/>
    <mergeCell ref="V21:V22"/>
    <mergeCell ref="U23:U24"/>
    <mergeCell ref="V23:V24"/>
    <mergeCell ref="V9:V10"/>
    <mergeCell ref="V13:V14"/>
    <mergeCell ref="V11:V12"/>
    <mergeCell ref="E21:E22"/>
    <mergeCell ref="D23:D24"/>
    <mergeCell ref="E23:E24"/>
    <mergeCell ref="C15:C16"/>
    <mergeCell ref="C11:C12"/>
    <mergeCell ref="B19:B24"/>
    <mergeCell ref="C19:C20"/>
    <mergeCell ref="D9:D10"/>
    <mergeCell ref="C31:C32"/>
    <mergeCell ref="C33:C34"/>
    <mergeCell ref="E29:E30"/>
    <mergeCell ref="D25:D26"/>
    <mergeCell ref="D27:D28"/>
    <mergeCell ref="E35:E36"/>
    <mergeCell ref="V35:V36"/>
    <mergeCell ref="E37:E38"/>
    <mergeCell ref="V37:V38"/>
    <mergeCell ref="C39:C40"/>
    <mergeCell ref="D39:D40"/>
    <mergeCell ref="E39:E40"/>
    <mergeCell ref="U39:U40"/>
    <mergeCell ref="V39:V40"/>
    <mergeCell ref="U37:U38"/>
    <mergeCell ref="D37:D38"/>
    <mergeCell ref="C35:C36"/>
    <mergeCell ref="C37:C38"/>
    <mergeCell ref="U35:U36"/>
    <mergeCell ref="U51:U52"/>
    <mergeCell ref="V51:V52"/>
    <mergeCell ref="C53:C54"/>
    <mergeCell ref="D53:D54"/>
    <mergeCell ref="U53:U54"/>
    <mergeCell ref="V53:V54"/>
    <mergeCell ref="C55:C56"/>
    <mergeCell ref="V41:V42"/>
    <mergeCell ref="C43:C44"/>
    <mergeCell ref="D43:D44"/>
    <mergeCell ref="E43:E44"/>
    <mergeCell ref="U43:U44"/>
    <mergeCell ref="V43:V44"/>
    <mergeCell ref="C45:C46"/>
    <mergeCell ref="D45:D46"/>
    <mergeCell ref="E45:E46"/>
    <mergeCell ref="U45:U46"/>
    <mergeCell ref="V45:V46"/>
    <mergeCell ref="C41:C42"/>
    <mergeCell ref="D41:D42"/>
    <mergeCell ref="E41:E42"/>
    <mergeCell ref="U41:U42"/>
    <mergeCell ref="V59:V60"/>
    <mergeCell ref="C61:C62"/>
    <mergeCell ref="D61:D62"/>
    <mergeCell ref="E61:E62"/>
    <mergeCell ref="U61:U62"/>
    <mergeCell ref="V61:V62"/>
    <mergeCell ref="C63:C64"/>
    <mergeCell ref="D63:D64"/>
    <mergeCell ref="A47:A56"/>
    <mergeCell ref="B47:B56"/>
    <mergeCell ref="C47:C48"/>
    <mergeCell ref="D47:D48"/>
    <mergeCell ref="E47:E48"/>
    <mergeCell ref="T47:T56"/>
    <mergeCell ref="U47:U48"/>
    <mergeCell ref="V47:V48"/>
    <mergeCell ref="C49:C50"/>
    <mergeCell ref="D49:D50"/>
    <mergeCell ref="E49:E50"/>
    <mergeCell ref="U49:U50"/>
    <mergeCell ref="V49:V50"/>
    <mergeCell ref="C51:C52"/>
    <mergeCell ref="D51:D52"/>
    <mergeCell ref="E51:E52"/>
    <mergeCell ref="B33:B36"/>
    <mergeCell ref="T33:T36"/>
    <mergeCell ref="A37:A46"/>
    <mergeCell ref="B37:B46"/>
    <mergeCell ref="T37:T46"/>
    <mergeCell ref="U63:U64"/>
    <mergeCell ref="V63:V64"/>
    <mergeCell ref="A65:S65"/>
    <mergeCell ref="D55:D56"/>
    <mergeCell ref="E55:E56"/>
    <mergeCell ref="U55:U56"/>
    <mergeCell ref="V55:V56"/>
    <mergeCell ref="A57:A64"/>
    <mergeCell ref="B57:B64"/>
    <mergeCell ref="C57:C58"/>
    <mergeCell ref="D57:D58"/>
    <mergeCell ref="E57:E58"/>
    <mergeCell ref="T57:T64"/>
    <mergeCell ref="U57:U58"/>
    <mergeCell ref="V57:V58"/>
    <mergeCell ref="C59:C60"/>
    <mergeCell ref="D59:D60"/>
    <mergeCell ref="E59:E60"/>
    <mergeCell ref="U59:U60"/>
  </mergeCells>
  <dataValidations count="1">
    <dataValidation type="textLength" operator="lessThanOrEqual" showInputMessage="1" showErrorMessage="1" sqref="V9:V64" xr:uid="{00000000-0002-0000-0200-000000000000}">
      <formula1>2000</formula1>
    </dataValidation>
  </dataValidations>
  <printOptions horizontalCentered="1" verticalCentered="1"/>
  <pageMargins left="0" right="0" top="0.55118110236220474" bottom="0" header="0.31496062992125984" footer="0"/>
  <pageSetup scale="35" fitToHeight="0" orientation="landscape"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Y1622"/>
  <sheetViews>
    <sheetView showGridLines="0" zoomScale="51" zoomScaleNormal="51" workbookViewId="0">
      <selection activeCell="S55" sqref="S55:T58"/>
    </sheetView>
  </sheetViews>
  <sheetFormatPr baseColWidth="10" defaultRowHeight="32.25" customHeight="1"/>
  <cols>
    <col min="1" max="1" width="11" bestFit="1" customWidth="1"/>
    <col min="2" max="2" width="19.7109375" customWidth="1"/>
    <col min="3" max="3" width="35.7109375" customWidth="1"/>
    <col min="4" max="4" width="14.7109375" customWidth="1"/>
    <col min="5" max="6" width="25" customWidth="1"/>
    <col min="7" max="19" width="27" customWidth="1"/>
    <col min="20" max="31" width="23.7109375" customWidth="1"/>
    <col min="32" max="32" width="20.7109375" customWidth="1"/>
    <col min="33" max="49" width="11.42578125" customWidth="1"/>
    <col min="50" max="50" width="14.85546875" customWidth="1"/>
    <col min="51" max="51" width="11.42578125" customWidth="1"/>
  </cols>
  <sheetData>
    <row r="1" spans="1:51" ht="24" customHeight="1">
      <c r="A1" s="852"/>
      <c r="B1" s="853"/>
      <c r="C1" s="853"/>
      <c r="D1" s="853"/>
      <c r="E1" s="856" t="s">
        <v>38</v>
      </c>
      <c r="F1" s="857"/>
      <c r="G1" s="857"/>
      <c r="H1" s="857"/>
      <c r="I1" s="857"/>
      <c r="J1" s="857"/>
      <c r="K1" s="857"/>
      <c r="L1" s="857"/>
      <c r="M1" s="857"/>
      <c r="N1" s="857"/>
      <c r="O1" s="857"/>
      <c r="P1" s="857"/>
      <c r="Q1" s="857"/>
      <c r="R1" s="857"/>
      <c r="S1" s="857"/>
      <c r="T1" s="857"/>
      <c r="U1" s="857"/>
      <c r="V1" s="857"/>
      <c r="W1" s="857"/>
      <c r="X1" s="857"/>
      <c r="Y1" s="857"/>
      <c r="Z1" s="857"/>
      <c r="AA1" s="857"/>
      <c r="AB1" s="857"/>
      <c r="AC1" s="857"/>
      <c r="AD1" s="857"/>
      <c r="AE1" s="857"/>
      <c r="AF1" s="857"/>
      <c r="AG1" s="857"/>
      <c r="AH1" s="857"/>
      <c r="AI1" s="857"/>
      <c r="AJ1" s="857"/>
      <c r="AK1" s="857"/>
      <c r="AL1" s="857"/>
      <c r="AM1" s="857"/>
      <c r="AN1" s="857"/>
      <c r="AO1" s="857"/>
      <c r="AP1" s="857"/>
      <c r="AQ1" s="857"/>
      <c r="AR1" s="857"/>
      <c r="AS1" s="857"/>
      <c r="AT1" s="857"/>
      <c r="AU1" s="857"/>
      <c r="AV1" s="857"/>
      <c r="AW1" s="857"/>
      <c r="AX1" s="857"/>
      <c r="AY1" s="858"/>
    </row>
    <row r="2" spans="1:51" ht="24" customHeight="1" thickBot="1">
      <c r="A2" s="854"/>
      <c r="B2" s="855"/>
      <c r="C2" s="855"/>
      <c r="D2" s="855"/>
      <c r="E2" s="859" t="s">
        <v>683</v>
      </c>
      <c r="F2" s="860"/>
      <c r="G2" s="860"/>
      <c r="H2" s="860"/>
      <c r="I2" s="860"/>
      <c r="J2" s="860"/>
      <c r="K2" s="860"/>
      <c r="L2" s="860"/>
      <c r="M2" s="860"/>
      <c r="N2" s="860"/>
      <c r="O2" s="860"/>
      <c r="P2" s="860"/>
      <c r="Q2" s="860"/>
      <c r="R2" s="860"/>
      <c r="S2" s="860"/>
      <c r="T2" s="860"/>
      <c r="U2" s="860"/>
      <c r="V2" s="860"/>
      <c r="W2" s="860"/>
      <c r="X2" s="860"/>
      <c r="Y2" s="860"/>
      <c r="Z2" s="860"/>
      <c r="AA2" s="860"/>
      <c r="AB2" s="860"/>
      <c r="AC2" s="860"/>
      <c r="AD2" s="860"/>
      <c r="AE2" s="860"/>
      <c r="AF2" s="860"/>
      <c r="AG2" s="860"/>
      <c r="AH2" s="860"/>
      <c r="AI2" s="860"/>
      <c r="AJ2" s="860"/>
      <c r="AK2" s="860"/>
      <c r="AL2" s="860"/>
      <c r="AM2" s="860"/>
      <c r="AN2" s="860"/>
      <c r="AO2" s="860"/>
      <c r="AP2" s="860"/>
      <c r="AQ2" s="860"/>
      <c r="AR2" s="860"/>
      <c r="AS2" s="860"/>
      <c r="AT2" s="860"/>
      <c r="AU2" s="860"/>
      <c r="AV2" s="860"/>
      <c r="AW2" s="860"/>
      <c r="AX2" s="860"/>
      <c r="AY2" s="861"/>
    </row>
    <row r="3" spans="1:51" ht="24" customHeight="1" thickBot="1">
      <c r="A3" s="854"/>
      <c r="B3" s="855"/>
      <c r="C3" s="855"/>
      <c r="D3" s="855"/>
      <c r="E3" s="862" t="s">
        <v>39</v>
      </c>
      <c r="F3" s="863"/>
      <c r="G3" s="863"/>
      <c r="H3" s="863"/>
      <c r="I3" s="863"/>
      <c r="J3" s="863"/>
      <c r="K3" s="863"/>
      <c r="L3" s="863"/>
      <c r="M3" s="863"/>
      <c r="N3" s="863"/>
      <c r="O3" s="863"/>
      <c r="P3" s="863"/>
      <c r="Q3" s="863"/>
      <c r="R3" s="863"/>
      <c r="S3" s="863"/>
      <c r="T3" s="863"/>
      <c r="U3" s="863"/>
      <c r="V3" s="863"/>
      <c r="W3" s="863"/>
      <c r="X3" s="863"/>
      <c r="Y3" s="863"/>
      <c r="Z3" s="863"/>
      <c r="AA3" s="863"/>
      <c r="AB3" s="863"/>
      <c r="AC3" s="863"/>
      <c r="AD3" s="863"/>
      <c r="AE3" s="863"/>
      <c r="AF3" s="864"/>
      <c r="AG3" s="865" t="s">
        <v>246</v>
      </c>
      <c r="AH3" s="866"/>
      <c r="AI3" s="866"/>
      <c r="AJ3" s="866"/>
      <c r="AK3" s="866"/>
      <c r="AL3" s="866"/>
      <c r="AM3" s="866"/>
      <c r="AN3" s="866"/>
      <c r="AO3" s="866"/>
      <c r="AP3" s="866"/>
      <c r="AQ3" s="866"/>
      <c r="AR3" s="866"/>
      <c r="AS3" s="866"/>
      <c r="AT3" s="866"/>
      <c r="AU3" s="866"/>
      <c r="AV3" s="866"/>
      <c r="AW3" s="866"/>
      <c r="AX3" s="866"/>
      <c r="AY3" s="867"/>
    </row>
    <row r="4" spans="1:51" ht="24" customHeight="1" thickBot="1">
      <c r="A4" s="868" t="s">
        <v>0</v>
      </c>
      <c r="B4" s="869"/>
      <c r="C4" s="869"/>
      <c r="D4" s="869"/>
      <c r="E4" s="870" t="s">
        <v>684</v>
      </c>
      <c r="F4" s="871"/>
      <c r="G4" s="871"/>
      <c r="H4" s="871"/>
      <c r="I4" s="871"/>
      <c r="J4" s="871"/>
      <c r="K4" s="871"/>
      <c r="L4" s="871"/>
      <c r="M4" s="871"/>
      <c r="N4" s="871"/>
      <c r="O4" s="872"/>
      <c r="P4" s="872"/>
      <c r="Q4" s="872"/>
      <c r="R4" s="872"/>
      <c r="S4" s="872"/>
      <c r="T4" s="872"/>
      <c r="U4" s="872"/>
      <c r="V4" s="872"/>
      <c r="W4" s="872"/>
      <c r="X4" s="872"/>
      <c r="Y4" s="872"/>
      <c r="Z4" s="872"/>
      <c r="AA4" s="872"/>
      <c r="AB4" s="872"/>
      <c r="AC4" s="872"/>
      <c r="AD4" s="872"/>
      <c r="AE4" s="872"/>
      <c r="AF4" s="872"/>
      <c r="AG4" s="872"/>
      <c r="AH4" s="872"/>
      <c r="AI4" s="872"/>
      <c r="AJ4" s="872"/>
      <c r="AK4" s="872"/>
      <c r="AL4" s="872"/>
      <c r="AM4" s="872"/>
      <c r="AN4" s="872"/>
      <c r="AO4" s="872"/>
      <c r="AP4" s="872"/>
      <c r="AQ4" s="872"/>
      <c r="AR4" s="872"/>
      <c r="AS4" s="872"/>
      <c r="AT4" s="872"/>
      <c r="AU4" s="872"/>
      <c r="AV4" s="872"/>
      <c r="AW4" s="872"/>
      <c r="AX4" s="872"/>
      <c r="AY4" s="873"/>
    </row>
    <row r="5" spans="1:51" ht="24" customHeight="1" thickBot="1">
      <c r="A5" s="834" t="s">
        <v>2</v>
      </c>
      <c r="B5" s="835"/>
      <c r="C5" s="835"/>
      <c r="D5" s="835"/>
      <c r="E5" s="836" t="s">
        <v>685</v>
      </c>
      <c r="F5" s="837"/>
      <c r="G5" s="837"/>
      <c r="H5" s="837"/>
      <c r="I5" s="837"/>
      <c r="J5" s="837"/>
      <c r="K5" s="837"/>
      <c r="L5" s="837"/>
      <c r="M5" s="837"/>
      <c r="N5" s="837"/>
      <c r="O5" s="838"/>
      <c r="P5" s="838"/>
      <c r="Q5" s="838"/>
      <c r="R5" s="838"/>
      <c r="S5" s="838"/>
      <c r="T5" s="838"/>
      <c r="U5" s="838"/>
      <c r="V5" s="838"/>
      <c r="W5" s="838"/>
      <c r="X5" s="838"/>
      <c r="Y5" s="838"/>
      <c r="Z5" s="838"/>
      <c r="AA5" s="838"/>
      <c r="AB5" s="838"/>
      <c r="AC5" s="838"/>
      <c r="AD5" s="838"/>
      <c r="AE5" s="838"/>
      <c r="AF5" s="838"/>
      <c r="AG5" s="838"/>
      <c r="AH5" s="838"/>
      <c r="AI5" s="838"/>
      <c r="AJ5" s="838"/>
      <c r="AK5" s="838"/>
      <c r="AL5" s="838"/>
      <c r="AM5" s="838"/>
      <c r="AN5" s="838"/>
      <c r="AO5" s="838"/>
      <c r="AP5" s="838"/>
      <c r="AQ5" s="838"/>
      <c r="AR5" s="838"/>
      <c r="AS5" s="838"/>
      <c r="AT5" s="838"/>
      <c r="AU5" s="838"/>
      <c r="AV5" s="838"/>
      <c r="AW5" s="838"/>
      <c r="AX5" s="838"/>
      <c r="AY5" s="839"/>
    </row>
    <row r="6" spans="1:51" ht="24" customHeight="1" thickBot="1">
      <c r="A6" s="840" t="s">
        <v>686</v>
      </c>
      <c r="B6" s="841"/>
      <c r="C6" s="841"/>
      <c r="D6" s="841"/>
      <c r="E6" s="842" t="s">
        <v>794</v>
      </c>
      <c r="F6" s="843"/>
      <c r="G6" s="843"/>
      <c r="H6" s="843"/>
      <c r="I6" s="843"/>
      <c r="J6" s="843"/>
      <c r="K6" s="843"/>
      <c r="L6" s="843"/>
      <c r="M6" s="843"/>
      <c r="N6" s="843"/>
      <c r="O6" s="843"/>
      <c r="P6" s="843"/>
      <c r="Q6" s="843"/>
      <c r="R6" s="843"/>
      <c r="S6" s="843"/>
      <c r="T6" s="843"/>
      <c r="U6" s="844"/>
      <c r="V6" s="844"/>
      <c r="W6" s="844"/>
      <c r="X6" s="844"/>
      <c r="Y6" s="844"/>
      <c r="Z6" s="844"/>
      <c r="AA6" s="844"/>
      <c r="AB6" s="844"/>
      <c r="AC6" s="844"/>
      <c r="AD6" s="844"/>
      <c r="AE6" s="844"/>
      <c r="AF6" s="844"/>
      <c r="AG6" s="844"/>
      <c r="AH6" s="844"/>
      <c r="AI6" s="844"/>
      <c r="AJ6" s="844"/>
      <c r="AK6" s="844"/>
      <c r="AL6" s="844"/>
      <c r="AM6" s="844"/>
      <c r="AN6" s="844"/>
      <c r="AO6" s="844"/>
      <c r="AP6" s="844"/>
      <c r="AQ6" s="844"/>
      <c r="AR6" s="844"/>
      <c r="AS6" s="844"/>
      <c r="AT6" s="844"/>
      <c r="AU6" s="844"/>
      <c r="AV6" s="844"/>
      <c r="AW6" s="844"/>
      <c r="AX6" s="844"/>
      <c r="AY6" s="845"/>
    </row>
    <row r="7" spans="1:51" ht="32.25" customHeight="1">
      <c r="A7" s="846"/>
      <c r="B7" s="847"/>
      <c r="C7" s="847"/>
      <c r="D7" s="847"/>
      <c r="E7" s="847"/>
      <c r="F7" s="847"/>
      <c r="G7" s="847"/>
      <c r="H7" s="847"/>
      <c r="I7" s="847"/>
      <c r="J7" s="847"/>
      <c r="K7" s="847"/>
      <c r="L7" s="847"/>
      <c r="M7" s="847"/>
      <c r="N7" s="847"/>
      <c r="O7" s="847"/>
      <c r="P7" s="847"/>
      <c r="Q7" s="847"/>
      <c r="R7" s="847"/>
      <c r="S7" s="847"/>
      <c r="T7" s="847"/>
      <c r="U7" s="847"/>
      <c r="V7" s="847"/>
      <c r="W7" s="847"/>
      <c r="X7" s="847"/>
      <c r="Y7" s="847"/>
      <c r="Z7" s="847"/>
      <c r="AA7" s="847"/>
      <c r="AB7" s="847"/>
      <c r="AC7" s="847"/>
      <c r="AD7" s="847"/>
      <c r="AE7" s="847"/>
      <c r="AF7" s="847"/>
      <c r="AG7" s="847"/>
      <c r="AH7" s="847"/>
      <c r="AI7" s="847"/>
      <c r="AJ7" s="847"/>
      <c r="AK7" s="847"/>
      <c r="AL7" s="847"/>
      <c r="AM7" s="847"/>
      <c r="AN7" s="847"/>
      <c r="AO7" s="847"/>
      <c r="AP7" s="847"/>
      <c r="AQ7" s="847"/>
      <c r="AR7" s="847"/>
      <c r="AS7" s="847"/>
      <c r="AT7" s="847"/>
      <c r="AU7" s="847"/>
      <c r="AV7" s="847"/>
      <c r="AW7" s="847"/>
      <c r="AX7" s="847"/>
      <c r="AY7" s="848"/>
    </row>
    <row r="8" spans="1:51" ht="32.25" customHeight="1">
      <c r="A8" s="849" t="s">
        <v>90</v>
      </c>
      <c r="B8" s="850"/>
      <c r="C8" s="850"/>
      <c r="D8" s="850"/>
      <c r="E8" s="850"/>
      <c r="F8" s="851"/>
      <c r="G8" s="614" t="s">
        <v>96</v>
      </c>
      <c r="H8" s="614"/>
      <c r="I8" s="614"/>
      <c r="J8" s="614"/>
      <c r="K8" s="614"/>
      <c r="L8" s="614"/>
      <c r="M8" s="614"/>
      <c r="N8" s="614"/>
      <c r="O8" s="614"/>
      <c r="P8" s="614"/>
      <c r="Q8" s="614"/>
      <c r="R8" s="614"/>
      <c r="S8" s="614"/>
      <c r="T8" s="614" t="s">
        <v>97</v>
      </c>
      <c r="U8" s="614"/>
      <c r="V8" s="614"/>
      <c r="W8" s="614"/>
      <c r="X8" s="614"/>
      <c r="Y8" s="614"/>
      <c r="Z8" s="614"/>
      <c r="AA8" s="614"/>
      <c r="AB8" s="614"/>
      <c r="AC8" s="614"/>
      <c r="AD8" s="614"/>
      <c r="AE8" s="614"/>
      <c r="AF8" s="614"/>
      <c r="AG8" s="635" t="s">
        <v>98</v>
      </c>
      <c r="AH8" s="635"/>
      <c r="AI8" s="635"/>
      <c r="AJ8" s="635"/>
      <c r="AK8" s="635"/>
      <c r="AL8" s="635" t="s">
        <v>104</v>
      </c>
      <c r="AM8" s="635"/>
      <c r="AN8" s="467"/>
      <c r="AO8" s="635" t="s">
        <v>67</v>
      </c>
      <c r="AP8" s="635"/>
      <c r="AQ8" s="635"/>
      <c r="AR8" s="635"/>
      <c r="AS8" s="635"/>
      <c r="AT8" s="635"/>
      <c r="AU8" s="635"/>
      <c r="AV8" s="635"/>
      <c r="AW8" s="635"/>
      <c r="AX8" s="635"/>
      <c r="AY8" s="635" t="s">
        <v>118</v>
      </c>
    </row>
    <row r="9" spans="1:51" ht="63" customHeight="1">
      <c r="A9" s="467" t="s">
        <v>91</v>
      </c>
      <c r="B9" s="467" t="s">
        <v>92</v>
      </c>
      <c r="C9" s="297" t="s">
        <v>93</v>
      </c>
      <c r="D9" s="467" t="s">
        <v>94</v>
      </c>
      <c r="E9" s="467" t="s">
        <v>687</v>
      </c>
      <c r="F9" s="467" t="s">
        <v>95</v>
      </c>
      <c r="G9" s="298" t="s">
        <v>6</v>
      </c>
      <c r="H9" s="298" t="s">
        <v>7</v>
      </c>
      <c r="I9" s="298" t="s">
        <v>8</v>
      </c>
      <c r="J9" s="298" t="s">
        <v>9</v>
      </c>
      <c r="K9" s="298" t="s">
        <v>10</v>
      </c>
      <c r="L9" s="298" t="s">
        <v>11</v>
      </c>
      <c r="M9" s="298" t="s">
        <v>12</v>
      </c>
      <c r="N9" s="298" t="s">
        <v>13</v>
      </c>
      <c r="O9" s="298" t="s">
        <v>14</v>
      </c>
      <c r="P9" s="298" t="s">
        <v>15</v>
      </c>
      <c r="Q9" s="298" t="s">
        <v>16</v>
      </c>
      <c r="R9" s="298" t="s">
        <v>17</v>
      </c>
      <c r="S9" s="467" t="s">
        <v>65</v>
      </c>
      <c r="T9" s="298" t="s">
        <v>6</v>
      </c>
      <c r="U9" s="298" t="s">
        <v>7</v>
      </c>
      <c r="V9" s="298" t="s">
        <v>8</v>
      </c>
      <c r="W9" s="298" t="s">
        <v>9</v>
      </c>
      <c r="X9" s="298" t="s">
        <v>10</v>
      </c>
      <c r="Y9" s="298" t="s">
        <v>11</v>
      </c>
      <c r="Z9" s="298" t="s">
        <v>12</v>
      </c>
      <c r="AA9" s="298" t="s">
        <v>13</v>
      </c>
      <c r="AB9" s="298" t="s">
        <v>14</v>
      </c>
      <c r="AC9" s="298" t="s">
        <v>15</v>
      </c>
      <c r="AD9" s="299" t="s">
        <v>16</v>
      </c>
      <c r="AE9" s="299" t="s">
        <v>17</v>
      </c>
      <c r="AF9" s="467" t="s">
        <v>66</v>
      </c>
      <c r="AG9" s="467" t="s">
        <v>99</v>
      </c>
      <c r="AH9" s="467" t="s">
        <v>100</v>
      </c>
      <c r="AI9" s="467" t="s">
        <v>101</v>
      </c>
      <c r="AJ9" s="467" t="s">
        <v>102</v>
      </c>
      <c r="AK9" s="467" t="s">
        <v>103</v>
      </c>
      <c r="AL9" s="467" t="s">
        <v>105</v>
      </c>
      <c r="AM9" s="467" t="s">
        <v>106</v>
      </c>
      <c r="AN9" s="467" t="s">
        <v>107</v>
      </c>
      <c r="AO9" s="467" t="s">
        <v>108</v>
      </c>
      <c r="AP9" s="467" t="s">
        <v>109</v>
      </c>
      <c r="AQ9" s="467" t="s">
        <v>110</v>
      </c>
      <c r="AR9" s="467" t="s">
        <v>111</v>
      </c>
      <c r="AS9" s="467" t="s">
        <v>112</v>
      </c>
      <c r="AT9" s="467" t="s">
        <v>113</v>
      </c>
      <c r="AU9" s="467" t="s">
        <v>114</v>
      </c>
      <c r="AV9" s="467" t="s">
        <v>115</v>
      </c>
      <c r="AW9" s="467" t="s">
        <v>116</v>
      </c>
      <c r="AX9" s="467" t="s">
        <v>117</v>
      </c>
      <c r="AY9" s="635"/>
    </row>
    <row r="10" spans="1:51" ht="32.25" customHeight="1">
      <c r="A10" s="826">
        <v>1</v>
      </c>
      <c r="B10" s="661" t="s">
        <v>304</v>
      </c>
      <c r="C10" s="833" t="s">
        <v>310</v>
      </c>
      <c r="D10" s="426" t="s">
        <v>40</v>
      </c>
      <c r="E10" s="163">
        <v>1</v>
      </c>
      <c r="F10" s="163">
        <v>1</v>
      </c>
      <c r="G10" s="373">
        <v>1</v>
      </c>
      <c r="H10" s="373">
        <v>1</v>
      </c>
      <c r="I10" s="373">
        <v>1</v>
      </c>
      <c r="J10" s="373">
        <v>1</v>
      </c>
      <c r="K10" s="380">
        <v>1</v>
      </c>
      <c r="L10" s="380">
        <v>1</v>
      </c>
      <c r="M10" s="381">
        <v>1</v>
      </c>
      <c r="N10" s="381">
        <v>1</v>
      </c>
      <c r="O10" s="381">
        <v>1</v>
      </c>
      <c r="P10" s="381">
        <v>1</v>
      </c>
      <c r="Q10" s="381">
        <v>1</v>
      </c>
      <c r="R10" s="381">
        <f>+[3]INVERSIÓN!$DL10</f>
        <v>1</v>
      </c>
      <c r="S10" s="382"/>
      <c r="T10" s="373">
        <v>1</v>
      </c>
      <c r="U10" s="373">
        <v>1</v>
      </c>
      <c r="V10" s="373">
        <v>1</v>
      </c>
      <c r="W10" s="373">
        <v>1</v>
      </c>
      <c r="X10" s="380">
        <v>1</v>
      </c>
      <c r="Y10" s="380">
        <v>1</v>
      </c>
      <c r="Z10" s="381">
        <v>1</v>
      </c>
      <c r="AA10" s="381">
        <v>1</v>
      </c>
      <c r="AB10" s="381">
        <v>1</v>
      </c>
      <c r="AC10" s="381">
        <v>1</v>
      </c>
      <c r="AD10" s="381">
        <v>1</v>
      </c>
      <c r="AE10" s="381">
        <f>+[3]INVERSIÓN!$DM10</f>
        <v>1</v>
      </c>
      <c r="AF10" s="382"/>
      <c r="AG10" s="661" t="s">
        <v>311</v>
      </c>
      <c r="AH10" s="661" t="s">
        <v>312</v>
      </c>
      <c r="AI10" s="661" t="s">
        <v>312</v>
      </c>
      <c r="AJ10" s="661" t="s">
        <v>313</v>
      </c>
      <c r="AK10" s="661" t="s">
        <v>314</v>
      </c>
      <c r="AL10" s="661" t="s">
        <v>312</v>
      </c>
      <c r="AM10" s="661" t="s">
        <v>312</v>
      </c>
      <c r="AN10" s="661" t="s">
        <v>312</v>
      </c>
      <c r="AO10" s="816">
        <v>3751549</v>
      </c>
      <c r="AP10" s="819">
        <v>4082618</v>
      </c>
      <c r="AQ10" s="661" t="s">
        <v>312</v>
      </c>
      <c r="AR10" s="661" t="s">
        <v>312</v>
      </c>
      <c r="AS10" s="661" t="s">
        <v>312</v>
      </c>
      <c r="AT10" s="661" t="s">
        <v>312</v>
      </c>
      <c r="AU10" s="661" t="s">
        <v>312</v>
      </c>
      <c r="AV10" s="661" t="s">
        <v>312</v>
      </c>
      <c r="AW10" s="661" t="s">
        <v>312</v>
      </c>
      <c r="AX10" s="831">
        <v>7834167</v>
      </c>
      <c r="AY10" s="750"/>
    </row>
    <row r="11" spans="1:51" ht="32.25" customHeight="1">
      <c r="A11" s="820"/>
      <c r="B11" s="660"/>
      <c r="C11" s="821"/>
      <c r="D11" s="427" t="s">
        <v>3</v>
      </c>
      <c r="E11" s="383">
        <v>1984184000</v>
      </c>
      <c r="F11" s="383">
        <v>1734404500</v>
      </c>
      <c r="G11" s="383">
        <v>1734404500</v>
      </c>
      <c r="H11" s="383">
        <v>1734404500</v>
      </c>
      <c r="I11" s="383">
        <v>1734404500</v>
      </c>
      <c r="J11" s="383">
        <v>1734404500</v>
      </c>
      <c r="K11" s="384">
        <v>1734404500</v>
      </c>
      <c r="L11" s="384">
        <v>1733404500</v>
      </c>
      <c r="M11" s="385">
        <v>1747076834</v>
      </c>
      <c r="N11" s="385">
        <v>1747076834</v>
      </c>
      <c r="O11" s="385">
        <v>1904104834</v>
      </c>
      <c r="P11" s="385">
        <v>1616030154</v>
      </c>
      <c r="Q11" s="385">
        <v>1596594354</v>
      </c>
      <c r="R11" s="385">
        <f>+[3]INVERSIÓN!$DL11</f>
        <v>1587830354</v>
      </c>
      <c r="S11" s="386"/>
      <c r="T11" s="383">
        <v>46330000</v>
      </c>
      <c r="U11" s="383">
        <v>446430000</v>
      </c>
      <c r="V11" s="383">
        <v>753613000</v>
      </c>
      <c r="W11" s="387">
        <v>890603000</v>
      </c>
      <c r="X11" s="384">
        <v>921907000</v>
      </c>
      <c r="Y11" s="384">
        <v>921907000</v>
      </c>
      <c r="Z11" s="385">
        <v>921907000</v>
      </c>
      <c r="AA11" s="385">
        <v>942907000</v>
      </c>
      <c r="AB11" s="385">
        <v>1085607000</v>
      </c>
      <c r="AC11" s="385">
        <v>1085607000</v>
      </c>
      <c r="AD11" s="385">
        <v>1129378400</v>
      </c>
      <c r="AE11" s="385">
        <f>+[3]INVERSIÓN!$DM11</f>
        <v>1581509471</v>
      </c>
      <c r="AF11" s="386"/>
      <c r="AG11" s="660"/>
      <c r="AH11" s="660"/>
      <c r="AI11" s="660"/>
      <c r="AJ11" s="660"/>
      <c r="AK11" s="660"/>
      <c r="AL11" s="660"/>
      <c r="AM11" s="660"/>
      <c r="AN11" s="660"/>
      <c r="AO11" s="822"/>
      <c r="AP11" s="823"/>
      <c r="AQ11" s="660"/>
      <c r="AR11" s="660"/>
      <c r="AS11" s="660"/>
      <c r="AT11" s="660"/>
      <c r="AU11" s="660"/>
      <c r="AV11" s="660"/>
      <c r="AW11" s="660"/>
      <c r="AX11" s="812"/>
      <c r="AY11" s="756"/>
    </row>
    <row r="12" spans="1:51" ht="32.25" customHeight="1">
      <c r="A12" s="820"/>
      <c r="B12" s="660"/>
      <c r="C12" s="821"/>
      <c r="D12" s="428" t="s">
        <v>41</v>
      </c>
      <c r="E12" s="163">
        <v>0</v>
      </c>
      <c r="F12" s="163">
        <v>0</v>
      </c>
      <c r="G12" s="163">
        <v>0</v>
      </c>
      <c r="H12" s="163">
        <v>0</v>
      </c>
      <c r="I12" s="163">
        <v>0</v>
      </c>
      <c r="J12" s="163">
        <v>0</v>
      </c>
      <c r="K12" s="380">
        <v>0</v>
      </c>
      <c r="L12" s="380">
        <v>0</v>
      </c>
      <c r="M12" s="381">
        <v>0</v>
      </c>
      <c r="N12" s="381">
        <v>0</v>
      </c>
      <c r="O12" s="381">
        <v>0</v>
      </c>
      <c r="P12" s="381">
        <v>0</v>
      </c>
      <c r="Q12" s="381">
        <v>0</v>
      </c>
      <c r="R12" s="381">
        <f>+[3]INVERSIÓN!$DL13</f>
        <v>0</v>
      </c>
      <c r="S12" s="368"/>
      <c r="T12" s="373">
        <v>0</v>
      </c>
      <c r="U12" s="373">
        <v>0</v>
      </c>
      <c r="V12" s="373">
        <v>0</v>
      </c>
      <c r="W12" s="387">
        <v>0</v>
      </c>
      <c r="X12" s="380">
        <v>0</v>
      </c>
      <c r="Y12" s="380">
        <v>0</v>
      </c>
      <c r="Z12" s="381">
        <v>0</v>
      </c>
      <c r="AA12" s="381">
        <v>0</v>
      </c>
      <c r="AB12" s="381">
        <v>0</v>
      </c>
      <c r="AC12" s="381">
        <v>0</v>
      </c>
      <c r="AD12" s="381">
        <v>0</v>
      </c>
      <c r="AE12" s="381">
        <f>+[3]INVERSIÓN!$DM13</f>
        <v>0</v>
      </c>
      <c r="AF12" s="368"/>
      <c r="AG12" s="660"/>
      <c r="AH12" s="660"/>
      <c r="AI12" s="660"/>
      <c r="AJ12" s="660"/>
      <c r="AK12" s="660"/>
      <c r="AL12" s="660"/>
      <c r="AM12" s="660"/>
      <c r="AN12" s="660"/>
      <c r="AO12" s="822"/>
      <c r="AP12" s="823"/>
      <c r="AQ12" s="660"/>
      <c r="AR12" s="660"/>
      <c r="AS12" s="660"/>
      <c r="AT12" s="660"/>
      <c r="AU12" s="660"/>
      <c r="AV12" s="660"/>
      <c r="AW12" s="660"/>
      <c r="AX12" s="812"/>
      <c r="AY12" s="756"/>
    </row>
    <row r="13" spans="1:51" ht="32.25" customHeight="1">
      <c r="A13" s="820"/>
      <c r="B13" s="660"/>
      <c r="C13" s="821"/>
      <c r="D13" s="427" t="s">
        <v>4</v>
      </c>
      <c r="E13" s="383">
        <v>988087570</v>
      </c>
      <c r="F13" s="383">
        <v>988087570</v>
      </c>
      <c r="G13" s="383">
        <v>988087570</v>
      </c>
      <c r="H13" s="383">
        <v>988087570</v>
      </c>
      <c r="I13" s="383">
        <v>988087570</v>
      </c>
      <c r="J13" s="383">
        <v>988087570</v>
      </c>
      <c r="K13" s="384">
        <v>988087570</v>
      </c>
      <c r="L13" s="384">
        <v>988087570</v>
      </c>
      <c r="M13" s="385">
        <v>985304770</v>
      </c>
      <c r="N13" s="385">
        <v>985304770</v>
      </c>
      <c r="O13" s="385">
        <v>983341530</v>
      </c>
      <c r="P13" s="385">
        <v>983341529</v>
      </c>
      <c r="Q13" s="385">
        <v>983341529</v>
      </c>
      <c r="R13" s="385">
        <f>+[3]INVERSIÓN!$DL14</f>
        <v>983011126</v>
      </c>
      <c r="S13" s="386"/>
      <c r="T13" s="383">
        <v>26984507</v>
      </c>
      <c r="U13" s="383">
        <v>83247974</v>
      </c>
      <c r="V13" s="383">
        <v>148957383</v>
      </c>
      <c r="W13" s="387">
        <v>241744327</v>
      </c>
      <c r="X13" s="384">
        <v>298512487</v>
      </c>
      <c r="Y13" s="384">
        <v>309680840</v>
      </c>
      <c r="Z13" s="385">
        <v>313680510</v>
      </c>
      <c r="AA13" s="385">
        <v>338954219</v>
      </c>
      <c r="AB13" s="385">
        <v>426730219</v>
      </c>
      <c r="AC13" s="385">
        <v>502076275</v>
      </c>
      <c r="AD13" s="385">
        <v>721096364</v>
      </c>
      <c r="AE13" s="385">
        <f>+[3]INVERSIÓN!$DM14</f>
        <v>954962946</v>
      </c>
      <c r="AF13" s="386"/>
      <c r="AG13" s="660"/>
      <c r="AH13" s="660"/>
      <c r="AI13" s="660"/>
      <c r="AJ13" s="660"/>
      <c r="AK13" s="660"/>
      <c r="AL13" s="660"/>
      <c r="AM13" s="660"/>
      <c r="AN13" s="660"/>
      <c r="AO13" s="822"/>
      <c r="AP13" s="823"/>
      <c r="AQ13" s="660"/>
      <c r="AR13" s="660"/>
      <c r="AS13" s="660"/>
      <c r="AT13" s="660"/>
      <c r="AU13" s="660"/>
      <c r="AV13" s="660"/>
      <c r="AW13" s="660"/>
      <c r="AX13" s="812"/>
      <c r="AY13" s="756"/>
    </row>
    <row r="14" spans="1:51" ht="32.25" customHeight="1">
      <c r="A14" s="820"/>
      <c r="B14" s="660"/>
      <c r="C14" s="821"/>
      <c r="D14" s="428" t="s">
        <v>42</v>
      </c>
      <c r="E14" s="388">
        <v>1</v>
      </c>
      <c r="F14" s="388">
        <v>1</v>
      </c>
      <c r="G14" s="388">
        <v>1</v>
      </c>
      <c r="H14" s="388">
        <v>1</v>
      </c>
      <c r="I14" s="388">
        <v>1</v>
      </c>
      <c r="J14" s="388">
        <v>1</v>
      </c>
      <c r="K14" s="389">
        <v>1</v>
      </c>
      <c r="L14" s="389">
        <v>1</v>
      </c>
      <c r="M14" s="390">
        <v>1</v>
      </c>
      <c r="N14" s="390">
        <v>1</v>
      </c>
      <c r="O14" s="390">
        <v>1</v>
      </c>
      <c r="P14" s="390">
        <v>1</v>
      </c>
      <c r="Q14" s="390">
        <v>1</v>
      </c>
      <c r="R14" s="390">
        <f>+[3]INVERSIÓN!$DL15</f>
        <v>1</v>
      </c>
      <c r="S14" s="390"/>
      <c r="T14" s="388">
        <v>1</v>
      </c>
      <c r="U14" s="388">
        <v>1</v>
      </c>
      <c r="V14" s="388">
        <v>1</v>
      </c>
      <c r="W14" s="373">
        <v>1</v>
      </c>
      <c r="X14" s="389">
        <v>1</v>
      </c>
      <c r="Y14" s="389">
        <v>1</v>
      </c>
      <c r="Z14" s="390">
        <v>1</v>
      </c>
      <c r="AA14" s="390">
        <v>1</v>
      </c>
      <c r="AB14" s="390">
        <v>1</v>
      </c>
      <c r="AC14" s="390">
        <v>1</v>
      </c>
      <c r="AD14" s="390">
        <v>1</v>
      </c>
      <c r="AE14" s="390">
        <f>+[3]INVERSIÓN!$DM15</f>
        <v>1</v>
      </c>
      <c r="AF14" s="368"/>
      <c r="AG14" s="660"/>
      <c r="AH14" s="660"/>
      <c r="AI14" s="660"/>
      <c r="AJ14" s="660"/>
      <c r="AK14" s="660"/>
      <c r="AL14" s="660"/>
      <c r="AM14" s="660"/>
      <c r="AN14" s="660"/>
      <c r="AO14" s="822"/>
      <c r="AP14" s="823"/>
      <c r="AQ14" s="660"/>
      <c r="AR14" s="660"/>
      <c r="AS14" s="660"/>
      <c r="AT14" s="660"/>
      <c r="AU14" s="660"/>
      <c r="AV14" s="660"/>
      <c r="AW14" s="660"/>
      <c r="AX14" s="812"/>
      <c r="AY14" s="756"/>
    </row>
    <row r="15" spans="1:51" ht="32.25" customHeight="1">
      <c r="A15" s="820"/>
      <c r="B15" s="660"/>
      <c r="C15" s="821"/>
      <c r="D15" s="427" t="s">
        <v>44</v>
      </c>
      <c r="E15" s="391">
        <v>2972271570</v>
      </c>
      <c r="F15" s="391">
        <v>2722492070</v>
      </c>
      <c r="G15" s="391">
        <v>2722492070</v>
      </c>
      <c r="H15" s="391">
        <v>2722492070</v>
      </c>
      <c r="I15" s="391">
        <v>2722492070</v>
      </c>
      <c r="J15" s="391">
        <v>2722492070</v>
      </c>
      <c r="K15" s="392">
        <v>2722492070</v>
      </c>
      <c r="L15" s="392">
        <v>2721492070</v>
      </c>
      <c r="M15" s="393">
        <v>2732381604</v>
      </c>
      <c r="N15" s="393">
        <v>2732381604</v>
      </c>
      <c r="O15" s="393">
        <v>2887446364</v>
      </c>
      <c r="P15" s="393">
        <v>2599371683</v>
      </c>
      <c r="Q15" s="393">
        <v>2579935883</v>
      </c>
      <c r="R15" s="393">
        <f>+[3]INVERSIÓN!$DL16</f>
        <v>2570841480</v>
      </c>
      <c r="S15" s="393"/>
      <c r="T15" s="391">
        <v>73314507</v>
      </c>
      <c r="U15" s="391">
        <v>529677974</v>
      </c>
      <c r="V15" s="391">
        <v>902570383</v>
      </c>
      <c r="W15" s="387">
        <v>1132347327</v>
      </c>
      <c r="X15" s="392">
        <v>1220419487</v>
      </c>
      <c r="Y15" s="392">
        <v>1231587840</v>
      </c>
      <c r="Z15" s="393">
        <v>1235587510</v>
      </c>
      <c r="AA15" s="393">
        <v>1281861219</v>
      </c>
      <c r="AB15" s="393">
        <v>1512337219</v>
      </c>
      <c r="AC15" s="393">
        <v>1587683275</v>
      </c>
      <c r="AD15" s="393">
        <v>1850474764</v>
      </c>
      <c r="AE15" s="393">
        <f>+[3]INVERSIÓN!$DM16</f>
        <v>2536472417</v>
      </c>
      <c r="AF15" s="386"/>
      <c r="AG15" s="660"/>
      <c r="AH15" s="660"/>
      <c r="AI15" s="660"/>
      <c r="AJ15" s="660"/>
      <c r="AK15" s="660"/>
      <c r="AL15" s="660"/>
      <c r="AM15" s="660"/>
      <c r="AN15" s="660"/>
      <c r="AO15" s="822"/>
      <c r="AP15" s="823"/>
      <c r="AQ15" s="660"/>
      <c r="AR15" s="660"/>
      <c r="AS15" s="660"/>
      <c r="AT15" s="660"/>
      <c r="AU15" s="660"/>
      <c r="AV15" s="660"/>
      <c r="AW15" s="660"/>
      <c r="AX15" s="812"/>
      <c r="AY15" s="756"/>
    </row>
    <row r="16" spans="1:51" ht="32.25" customHeight="1">
      <c r="A16" s="820">
        <v>2</v>
      </c>
      <c r="B16" s="660" t="s">
        <v>595</v>
      </c>
      <c r="C16" s="832" t="s">
        <v>456</v>
      </c>
      <c r="D16" s="429" t="s">
        <v>40</v>
      </c>
      <c r="E16" s="453">
        <v>7</v>
      </c>
      <c r="F16" s="453">
        <v>7</v>
      </c>
      <c r="G16" s="453">
        <v>7</v>
      </c>
      <c r="H16" s="453">
        <v>7</v>
      </c>
      <c r="I16" s="453">
        <v>7</v>
      </c>
      <c r="J16" s="453">
        <v>7</v>
      </c>
      <c r="K16" s="453">
        <v>7</v>
      </c>
      <c r="L16" s="453">
        <v>7</v>
      </c>
      <c r="M16" s="457">
        <v>7</v>
      </c>
      <c r="N16" s="457">
        <v>7</v>
      </c>
      <c r="O16" s="457">
        <v>7</v>
      </c>
      <c r="P16" s="457">
        <v>7</v>
      </c>
      <c r="Q16" s="457">
        <v>7</v>
      </c>
      <c r="R16" s="457">
        <f>+[3]INVERSIÓN!$DL17</f>
        <v>7</v>
      </c>
      <c r="S16" s="457"/>
      <c r="T16" s="453">
        <v>0.2</v>
      </c>
      <c r="U16" s="453">
        <v>0.45</v>
      </c>
      <c r="V16" s="453">
        <v>1</v>
      </c>
      <c r="W16" s="394">
        <v>1.5999999999999999</v>
      </c>
      <c r="X16" s="395">
        <v>2.2999999999999998</v>
      </c>
      <c r="Y16" s="395">
        <v>3</v>
      </c>
      <c r="Z16" s="457">
        <v>3.2</v>
      </c>
      <c r="AA16" s="457">
        <v>4</v>
      </c>
      <c r="AB16" s="457">
        <v>4</v>
      </c>
      <c r="AC16" s="457">
        <v>5.3</v>
      </c>
      <c r="AD16" s="457">
        <v>7</v>
      </c>
      <c r="AE16" s="457">
        <f>+[3]INVERSIÓN!$DM17</f>
        <v>7</v>
      </c>
      <c r="AF16" s="457"/>
      <c r="AG16" s="660" t="s">
        <v>311</v>
      </c>
      <c r="AH16" s="660" t="s">
        <v>312</v>
      </c>
      <c r="AI16" s="660" t="s">
        <v>312</v>
      </c>
      <c r="AJ16" s="660" t="s">
        <v>457</v>
      </c>
      <c r="AK16" s="660" t="s">
        <v>314</v>
      </c>
      <c r="AL16" s="660" t="s">
        <v>312</v>
      </c>
      <c r="AM16" s="660" t="s">
        <v>312</v>
      </c>
      <c r="AN16" s="660" t="s">
        <v>312</v>
      </c>
      <c r="AO16" s="822">
        <v>3751549</v>
      </c>
      <c r="AP16" s="823">
        <v>4082618</v>
      </c>
      <c r="AQ16" s="660" t="s">
        <v>312</v>
      </c>
      <c r="AR16" s="660" t="s">
        <v>312</v>
      </c>
      <c r="AS16" s="660" t="s">
        <v>312</v>
      </c>
      <c r="AT16" s="660" t="s">
        <v>312</v>
      </c>
      <c r="AU16" s="660" t="s">
        <v>312</v>
      </c>
      <c r="AV16" s="660" t="s">
        <v>312</v>
      </c>
      <c r="AW16" s="660" t="s">
        <v>312</v>
      </c>
      <c r="AX16" s="812">
        <v>7834167</v>
      </c>
      <c r="AY16" s="756"/>
    </row>
    <row r="17" spans="1:51" ht="32.25" customHeight="1">
      <c r="A17" s="820"/>
      <c r="B17" s="660"/>
      <c r="C17" s="832"/>
      <c r="D17" s="427" t="s">
        <v>3</v>
      </c>
      <c r="E17" s="396">
        <v>3039461000</v>
      </c>
      <c r="F17" s="396">
        <v>3622482000</v>
      </c>
      <c r="G17" s="396">
        <v>3622482000</v>
      </c>
      <c r="H17" s="396">
        <v>3622482000</v>
      </c>
      <c r="I17" s="396">
        <v>3622482000</v>
      </c>
      <c r="J17" s="396">
        <v>3622482000</v>
      </c>
      <c r="K17" s="397">
        <v>3622482000</v>
      </c>
      <c r="L17" s="397">
        <v>3623482000</v>
      </c>
      <c r="M17" s="398">
        <v>3587014500</v>
      </c>
      <c r="N17" s="398">
        <v>3530156000</v>
      </c>
      <c r="O17" s="398">
        <v>3497950000</v>
      </c>
      <c r="P17" s="398">
        <v>3563658800</v>
      </c>
      <c r="Q17" s="398">
        <v>3572033200</v>
      </c>
      <c r="R17" s="398">
        <f>+[3]INVERSIÓN!$DL18</f>
        <v>2943746700</v>
      </c>
      <c r="S17" s="386"/>
      <c r="T17" s="396">
        <v>0</v>
      </c>
      <c r="U17" s="396">
        <v>584274500</v>
      </c>
      <c r="V17" s="396">
        <v>1329272000</v>
      </c>
      <c r="W17" s="394">
        <v>1489212500</v>
      </c>
      <c r="X17" s="384">
        <v>1639198000</v>
      </c>
      <c r="Y17" s="384">
        <v>1777394398</v>
      </c>
      <c r="Z17" s="398">
        <v>1778120178</v>
      </c>
      <c r="AA17" s="398">
        <v>1778845958</v>
      </c>
      <c r="AB17" s="398">
        <v>1824628947</v>
      </c>
      <c r="AC17" s="398">
        <v>2098565644</v>
      </c>
      <c r="AD17" s="398">
        <v>2124540824</v>
      </c>
      <c r="AE17" s="398">
        <f>+[3]INVERSIÓN!$DM18</f>
        <v>2316950923</v>
      </c>
      <c r="AF17" s="386"/>
      <c r="AG17" s="660"/>
      <c r="AH17" s="660"/>
      <c r="AI17" s="660"/>
      <c r="AJ17" s="660"/>
      <c r="AK17" s="660"/>
      <c r="AL17" s="660"/>
      <c r="AM17" s="660"/>
      <c r="AN17" s="660"/>
      <c r="AO17" s="822"/>
      <c r="AP17" s="823"/>
      <c r="AQ17" s="660"/>
      <c r="AR17" s="660"/>
      <c r="AS17" s="660"/>
      <c r="AT17" s="660"/>
      <c r="AU17" s="660"/>
      <c r="AV17" s="660"/>
      <c r="AW17" s="660"/>
      <c r="AX17" s="812"/>
      <c r="AY17" s="756"/>
    </row>
    <row r="18" spans="1:51" ht="32.25" customHeight="1">
      <c r="A18" s="820"/>
      <c r="B18" s="660"/>
      <c r="C18" s="832"/>
      <c r="D18" s="429" t="s">
        <v>41</v>
      </c>
      <c r="E18" s="453">
        <v>1</v>
      </c>
      <c r="F18" s="453">
        <v>1</v>
      </c>
      <c r="G18" s="453">
        <v>1</v>
      </c>
      <c r="H18" s="453">
        <v>1</v>
      </c>
      <c r="I18" s="453">
        <v>1</v>
      </c>
      <c r="J18" s="453">
        <v>1</v>
      </c>
      <c r="K18" s="453">
        <v>1</v>
      </c>
      <c r="L18" s="453">
        <v>1</v>
      </c>
      <c r="M18" s="457">
        <v>1</v>
      </c>
      <c r="N18" s="457">
        <v>1</v>
      </c>
      <c r="O18" s="457">
        <v>1</v>
      </c>
      <c r="P18" s="457">
        <v>1</v>
      </c>
      <c r="Q18" s="457">
        <v>1</v>
      </c>
      <c r="R18" s="457">
        <f>+[3]INVERSIÓN!$DL20</f>
        <v>1</v>
      </c>
      <c r="S18" s="458"/>
      <c r="T18" s="453">
        <v>0</v>
      </c>
      <c r="U18" s="453">
        <v>0</v>
      </c>
      <c r="V18" s="453">
        <v>0</v>
      </c>
      <c r="W18" s="394">
        <v>0</v>
      </c>
      <c r="X18" s="395">
        <v>0</v>
      </c>
      <c r="Y18" s="395">
        <v>0</v>
      </c>
      <c r="Z18" s="457">
        <v>0</v>
      </c>
      <c r="AA18" s="457">
        <v>0</v>
      </c>
      <c r="AB18" s="457">
        <v>0</v>
      </c>
      <c r="AC18" s="457">
        <v>1</v>
      </c>
      <c r="AD18" s="457">
        <v>1</v>
      </c>
      <c r="AE18" s="457">
        <f>+[3]INVERSIÓN!$DM20</f>
        <v>1</v>
      </c>
      <c r="AF18" s="458"/>
      <c r="AG18" s="660"/>
      <c r="AH18" s="660"/>
      <c r="AI18" s="660"/>
      <c r="AJ18" s="660"/>
      <c r="AK18" s="660"/>
      <c r="AL18" s="660"/>
      <c r="AM18" s="660"/>
      <c r="AN18" s="660"/>
      <c r="AO18" s="822"/>
      <c r="AP18" s="823"/>
      <c r="AQ18" s="660"/>
      <c r="AR18" s="660"/>
      <c r="AS18" s="660"/>
      <c r="AT18" s="660"/>
      <c r="AU18" s="660"/>
      <c r="AV18" s="660"/>
      <c r="AW18" s="660"/>
      <c r="AX18" s="812"/>
      <c r="AY18" s="756"/>
    </row>
    <row r="19" spans="1:51" ht="32.25" customHeight="1">
      <c r="A19" s="820"/>
      <c r="B19" s="660"/>
      <c r="C19" s="832"/>
      <c r="D19" s="427" t="s">
        <v>4</v>
      </c>
      <c r="E19" s="396">
        <v>772122205</v>
      </c>
      <c r="F19" s="396">
        <v>772122205</v>
      </c>
      <c r="G19" s="396">
        <v>772122205</v>
      </c>
      <c r="H19" s="396">
        <v>772122205</v>
      </c>
      <c r="I19" s="396">
        <v>772122205</v>
      </c>
      <c r="J19" s="396">
        <v>772122205</v>
      </c>
      <c r="K19" s="397">
        <v>763904905</v>
      </c>
      <c r="L19" s="397">
        <v>755527805</v>
      </c>
      <c r="M19" s="398">
        <v>755527805</v>
      </c>
      <c r="N19" s="398">
        <v>755527805</v>
      </c>
      <c r="O19" s="398">
        <v>755336305</v>
      </c>
      <c r="P19" s="398">
        <v>755336305</v>
      </c>
      <c r="Q19" s="398">
        <v>755336305</v>
      </c>
      <c r="R19" s="398">
        <f>+[3]INVERSIÓN!$DL21-1</f>
        <v>755284080</v>
      </c>
      <c r="S19" s="393"/>
      <c r="T19" s="396">
        <v>67700813</v>
      </c>
      <c r="U19" s="396">
        <v>252617852</v>
      </c>
      <c r="V19" s="396">
        <v>301240021</v>
      </c>
      <c r="W19" s="394">
        <v>344473821</v>
      </c>
      <c r="X19" s="384">
        <v>370580557</v>
      </c>
      <c r="Y19" s="384">
        <v>391597109</v>
      </c>
      <c r="Z19" s="398">
        <v>413267318</v>
      </c>
      <c r="AA19" s="398">
        <v>423084785</v>
      </c>
      <c r="AB19" s="398">
        <v>440855258</v>
      </c>
      <c r="AC19" s="398">
        <v>741664281</v>
      </c>
      <c r="AD19" s="398">
        <v>741664281</v>
      </c>
      <c r="AE19" s="398">
        <f>+[3]INVERSIÓN!$DM21</f>
        <v>741664281</v>
      </c>
      <c r="AF19" s="393"/>
      <c r="AG19" s="660"/>
      <c r="AH19" s="660"/>
      <c r="AI19" s="660"/>
      <c r="AJ19" s="660"/>
      <c r="AK19" s="660"/>
      <c r="AL19" s="660"/>
      <c r="AM19" s="660"/>
      <c r="AN19" s="660"/>
      <c r="AO19" s="822"/>
      <c r="AP19" s="823"/>
      <c r="AQ19" s="660"/>
      <c r="AR19" s="660"/>
      <c r="AS19" s="660"/>
      <c r="AT19" s="660"/>
      <c r="AU19" s="660"/>
      <c r="AV19" s="660"/>
      <c r="AW19" s="660"/>
      <c r="AX19" s="812"/>
      <c r="AY19" s="756"/>
    </row>
    <row r="20" spans="1:51" ht="32.25" customHeight="1">
      <c r="A20" s="820"/>
      <c r="B20" s="660"/>
      <c r="C20" s="832"/>
      <c r="D20" s="429" t="s">
        <v>42</v>
      </c>
      <c r="E20" s="399">
        <v>8</v>
      </c>
      <c r="F20" s="399">
        <v>8</v>
      </c>
      <c r="G20" s="399">
        <v>8</v>
      </c>
      <c r="H20" s="399">
        <v>8</v>
      </c>
      <c r="I20" s="399">
        <v>8</v>
      </c>
      <c r="J20" s="399">
        <v>8</v>
      </c>
      <c r="K20" s="400">
        <v>8</v>
      </c>
      <c r="L20" s="400">
        <v>8</v>
      </c>
      <c r="M20" s="401">
        <v>8</v>
      </c>
      <c r="N20" s="401">
        <v>8</v>
      </c>
      <c r="O20" s="401">
        <v>8</v>
      </c>
      <c r="P20" s="401">
        <v>8</v>
      </c>
      <c r="Q20" s="401">
        <v>8</v>
      </c>
      <c r="R20" s="401">
        <f>+[3]INVERSIÓN!$DL22</f>
        <v>8</v>
      </c>
      <c r="S20" s="401"/>
      <c r="T20" s="399">
        <v>0.2</v>
      </c>
      <c r="U20" s="399">
        <v>0.45</v>
      </c>
      <c r="V20" s="399">
        <v>1</v>
      </c>
      <c r="W20" s="394">
        <v>1.5999999999999999</v>
      </c>
      <c r="X20" s="400">
        <v>2.2999999999999998</v>
      </c>
      <c r="Y20" s="400">
        <v>3</v>
      </c>
      <c r="Z20" s="401">
        <v>3.2</v>
      </c>
      <c r="AA20" s="401">
        <v>4</v>
      </c>
      <c r="AB20" s="401">
        <v>4</v>
      </c>
      <c r="AC20" s="401">
        <v>6.3</v>
      </c>
      <c r="AD20" s="401">
        <v>8</v>
      </c>
      <c r="AE20" s="401">
        <f>+[3]INVERSIÓN!$DM22</f>
        <v>8</v>
      </c>
      <c r="AF20" s="458"/>
      <c r="AG20" s="660"/>
      <c r="AH20" s="660"/>
      <c r="AI20" s="660"/>
      <c r="AJ20" s="660"/>
      <c r="AK20" s="660"/>
      <c r="AL20" s="660"/>
      <c r="AM20" s="660"/>
      <c r="AN20" s="660"/>
      <c r="AO20" s="822"/>
      <c r="AP20" s="823"/>
      <c r="AQ20" s="660"/>
      <c r="AR20" s="660"/>
      <c r="AS20" s="660"/>
      <c r="AT20" s="660"/>
      <c r="AU20" s="660"/>
      <c r="AV20" s="660"/>
      <c r="AW20" s="660"/>
      <c r="AX20" s="812"/>
      <c r="AY20" s="756"/>
    </row>
    <row r="21" spans="1:51" ht="32.25" customHeight="1">
      <c r="A21" s="820"/>
      <c r="B21" s="660"/>
      <c r="C21" s="832"/>
      <c r="D21" s="427" t="s">
        <v>44</v>
      </c>
      <c r="E21" s="391">
        <v>3811583205</v>
      </c>
      <c r="F21" s="391">
        <v>4394604205</v>
      </c>
      <c r="G21" s="391">
        <v>4394604205</v>
      </c>
      <c r="H21" s="391">
        <v>4394604205</v>
      </c>
      <c r="I21" s="391">
        <v>4394604205</v>
      </c>
      <c r="J21" s="391">
        <v>4394604205</v>
      </c>
      <c r="K21" s="392">
        <v>4386386905</v>
      </c>
      <c r="L21" s="392">
        <v>4379009805</v>
      </c>
      <c r="M21" s="393">
        <v>4342542305</v>
      </c>
      <c r="N21" s="393">
        <v>4285683805</v>
      </c>
      <c r="O21" s="393">
        <v>4253286305</v>
      </c>
      <c r="P21" s="393">
        <v>4318995105</v>
      </c>
      <c r="Q21" s="393">
        <v>4327369505</v>
      </c>
      <c r="R21" s="393">
        <f>+[3]INVERSIÓN!$DL23</f>
        <v>3699030781</v>
      </c>
      <c r="S21" s="393"/>
      <c r="T21" s="391">
        <v>67700813</v>
      </c>
      <c r="U21" s="391">
        <v>836892352</v>
      </c>
      <c r="V21" s="391">
        <v>1630512021</v>
      </c>
      <c r="W21" s="394">
        <v>1833686321</v>
      </c>
      <c r="X21" s="392">
        <v>2009778557</v>
      </c>
      <c r="Y21" s="392">
        <v>2168991507</v>
      </c>
      <c r="Z21" s="393">
        <v>2191387496</v>
      </c>
      <c r="AA21" s="393">
        <v>2201930743</v>
      </c>
      <c r="AB21" s="393">
        <v>2265484205</v>
      </c>
      <c r="AC21" s="393">
        <v>2840229925</v>
      </c>
      <c r="AD21" s="393">
        <v>2866205105</v>
      </c>
      <c r="AE21" s="393">
        <f>+[3]INVERSIÓN!$DM23</f>
        <v>3058615204</v>
      </c>
      <c r="AF21" s="398"/>
      <c r="AG21" s="660"/>
      <c r="AH21" s="660"/>
      <c r="AI21" s="660"/>
      <c r="AJ21" s="660"/>
      <c r="AK21" s="660"/>
      <c r="AL21" s="660"/>
      <c r="AM21" s="660"/>
      <c r="AN21" s="660"/>
      <c r="AO21" s="822"/>
      <c r="AP21" s="823"/>
      <c r="AQ21" s="660"/>
      <c r="AR21" s="660"/>
      <c r="AS21" s="660"/>
      <c r="AT21" s="660"/>
      <c r="AU21" s="660"/>
      <c r="AV21" s="660"/>
      <c r="AW21" s="660"/>
      <c r="AX21" s="812"/>
      <c r="AY21" s="756"/>
    </row>
    <row r="22" spans="1:51" ht="32.25" customHeight="1">
      <c r="A22" s="824">
        <v>3</v>
      </c>
      <c r="B22" s="827" t="s">
        <v>316</v>
      </c>
      <c r="C22" s="829" t="s">
        <v>458</v>
      </c>
      <c r="D22" s="429" t="s">
        <v>40</v>
      </c>
      <c r="E22" s="453">
        <v>2</v>
      </c>
      <c r="F22" s="453">
        <v>1.9999999999999996</v>
      </c>
      <c r="G22" s="453">
        <v>1.9999999999999998</v>
      </c>
      <c r="H22" s="453">
        <v>1.9999999999999998</v>
      </c>
      <c r="I22" s="453">
        <v>1.9999999999999998</v>
      </c>
      <c r="J22" s="453">
        <v>1.9999999999999998</v>
      </c>
      <c r="K22" s="453">
        <v>1.9999999999999996</v>
      </c>
      <c r="L22" s="453">
        <v>1.9999999999999998</v>
      </c>
      <c r="M22" s="457">
        <v>1.9999999999999998</v>
      </c>
      <c r="N22" s="457">
        <v>1.9999999999999998</v>
      </c>
      <c r="O22" s="457">
        <v>1.9999999999999998</v>
      </c>
      <c r="P22" s="457">
        <v>1.9999999999999998</v>
      </c>
      <c r="Q22" s="457">
        <v>1.9999999999999998</v>
      </c>
      <c r="R22" s="457">
        <f>+[3]INVERSIÓN!$DL24</f>
        <v>1.9999999999999998</v>
      </c>
      <c r="S22" s="457"/>
      <c r="T22" s="453">
        <v>0.17</v>
      </c>
      <c r="U22" s="453">
        <v>0.34</v>
      </c>
      <c r="V22" s="453">
        <v>0.51</v>
      </c>
      <c r="W22" s="402">
        <v>0.68</v>
      </c>
      <c r="X22" s="395">
        <v>0.82000000000000006</v>
      </c>
      <c r="Y22" s="395">
        <v>0.9900000000000001</v>
      </c>
      <c r="Z22" s="457">
        <v>1.1600000000000001</v>
      </c>
      <c r="AA22" s="457">
        <v>1.5</v>
      </c>
      <c r="AB22" s="457">
        <v>1.5</v>
      </c>
      <c r="AC22" s="457">
        <v>1.8399999999999999</v>
      </c>
      <c r="AD22" s="457">
        <v>1.9999999999999998</v>
      </c>
      <c r="AE22" s="457">
        <f>+[3]INVERSIÓN!$DM24</f>
        <v>1.9999999999999998</v>
      </c>
      <c r="AF22" s="457"/>
      <c r="AG22" s="660" t="s">
        <v>311</v>
      </c>
      <c r="AH22" s="660" t="s">
        <v>312</v>
      </c>
      <c r="AI22" s="660" t="s">
        <v>312</v>
      </c>
      <c r="AJ22" s="660" t="s">
        <v>314</v>
      </c>
      <c r="AK22" s="660" t="s">
        <v>314</v>
      </c>
      <c r="AL22" s="660" t="s">
        <v>312</v>
      </c>
      <c r="AM22" s="660" t="s">
        <v>312</v>
      </c>
      <c r="AN22" s="660" t="s">
        <v>312</v>
      </c>
      <c r="AO22" s="822">
        <v>3751549</v>
      </c>
      <c r="AP22" s="823">
        <v>4082618</v>
      </c>
      <c r="AQ22" s="660" t="s">
        <v>312</v>
      </c>
      <c r="AR22" s="660" t="s">
        <v>312</v>
      </c>
      <c r="AS22" s="660" t="s">
        <v>312</v>
      </c>
      <c r="AT22" s="660" t="s">
        <v>312</v>
      </c>
      <c r="AU22" s="660" t="s">
        <v>312</v>
      </c>
      <c r="AV22" s="660" t="s">
        <v>312</v>
      </c>
      <c r="AW22" s="660" t="s">
        <v>312</v>
      </c>
      <c r="AX22" s="812">
        <v>7834167</v>
      </c>
      <c r="AY22" s="756"/>
    </row>
    <row r="23" spans="1:51" ht="32.25" customHeight="1">
      <c r="A23" s="825"/>
      <c r="B23" s="828"/>
      <c r="C23" s="830"/>
      <c r="D23" s="427" t="s">
        <v>3</v>
      </c>
      <c r="E23" s="396">
        <v>3038408000</v>
      </c>
      <c r="F23" s="396">
        <v>2834765500</v>
      </c>
      <c r="G23" s="396">
        <v>2834765500</v>
      </c>
      <c r="H23" s="396">
        <v>2834765500</v>
      </c>
      <c r="I23" s="396">
        <v>2834765500</v>
      </c>
      <c r="J23" s="396">
        <v>2834765500</v>
      </c>
      <c r="K23" s="397">
        <v>2834765500</v>
      </c>
      <c r="L23" s="397">
        <v>2834765500</v>
      </c>
      <c r="M23" s="398">
        <v>2917453000</v>
      </c>
      <c r="N23" s="398">
        <v>3037453000</v>
      </c>
      <c r="O23" s="398">
        <v>2991544000</v>
      </c>
      <c r="P23" s="398">
        <v>3053478695</v>
      </c>
      <c r="Q23" s="398">
        <v>3064957095</v>
      </c>
      <c r="R23" s="398">
        <f>+[3]INVERSIÓN!$DL25</f>
        <v>3019226595</v>
      </c>
      <c r="S23" s="398"/>
      <c r="T23" s="396">
        <v>0</v>
      </c>
      <c r="U23" s="396">
        <v>756020000</v>
      </c>
      <c r="V23" s="396">
        <v>2050885000</v>
      </c>
      <c r="W23" s="394">
        <v>2146184000</v>
      </c>
      <c r="X23" s="384">
        <v>2238680695</v>
      </c>
      <c r="Y23" s="384">
        <v>2560103695</v>
      </c>
      <c r="Z23" s="398">
        <v>2560103695</v>
      </c>
      <c r="AA23" s="398">
        <v>2577120695</v>
      </c>
      <c r="AB23" s="398">
        <v>2745120695</v>
      </c>
      <c r="AC23" s="398">
        <v>2752134695</v>
      </c>
      <c r="AD23" s="398">
        <v>2796009795</v>
      </c>
      <c r="AE23" s="398">
        <f>+[3]INVERSIÓN!$DM25</f>
        <v>3013503988</v>
      </c>
      <c r="AF23" s="403"/>
      <c r="AG23" s="660"/>
      <c r="AH23" s="660"/>
      <c r="AI23" s="660"/>
      <c r="AJ23" s="660"/>
      <c r="AK23" s="660"/>
      <c r="AL23" s="660"/>
      <c r="AM23" s="660"/>
      <c r="AN23" s="660"/>
      <c r="AO23" s="822"/>
      <c r="AP23" s="823"/>
      <c r="AQ23" s="660"/>
      <c r="AR23" s="660"/>
      <c r="AS23" s="660"/>
      <c r="AT23" s="660"/>
      <c r="AU23" s="660"/>
      <c r="AV23" s="660"/>
      <c r="AW23" s="660"/>
      <c r="AX23" s="812"/>
      <c r="AY23" s="756"/>
    </row>
    <row r="24" spans="1:51" ht="32.25" customHeight="1">
      <c r="A24" s="825"/>
      <c r="B24" s="828"/>
      <c r="C24" s="830"/>
      <c r="D24" s="429" t="s">
        <v>41</v>
      </c>
      <c r="E24" s="453">
        <v>0</v>
      </c>
      <c r="F24" s="453">
        <v>0</v>
      </c>
      <c r="G24" s="453">
        <v>0</v>
      </c>
      <c r="H24" s="453">
        <v>0</v>
      </c>
      <c r="I24" s="453">
        <v>0</v>
      </c>
      <c r="J24" s="453">
        <v>0</v>
      </c>
      <c r="K24" s="453">
        <v>0</v>
      </c>
      <c r="L24" s="453">
        <v>0</v>
      </c>
      <c r="M24" s="457">
        <v>0</v>
      </c>
      <c r="N24" s="457">
        <v>0</v>
      </c>
      <c r="O24" s="457">
        <v>0</v>
      </c>
      <c r="P24" s="457">
        <v>0</v>
      </c>
      <c r="Q24" s="457">
        <v>0</v>
      </c>
      <c r="R24" s="457">
        <f>+[3]INVERSIÓN!$DL27</f>
        <v>0</v>
      </c>
      <c r="S24" s="457"/>
      <c r="T24" s="453">
        <v>0</v>
      </c>
      <c r="U24" s="453">
        <v>0</v>
      </c>
      <c r="V24" s="453">
        <v>0</v>
      </c>
      <c r="W24" s="394">
        <v>0</v>
      </c>
      <c r="X24" s="395">
        <v>0</v>
      </c>
      <c r="Y24" s="395">
        <v>0</v>
      </c>
      <c r="Z24" s="457">
        <v>0</v>
      </c>
      <c r="AA24" s="457">
        <v>0</v>
      </c>
      <c r="AB24" s="457">
        <v>0</v>
      </c>
      <c r="AC24" s="457">
        <v>0</v>
      </c>
      <c r="AD24" s="457">
        <v>0</v>
      </c>
      <c r="AE24" s="457">
        <f>+[3]INVERSIÓN!$DM27</f>
        <v>0</v>
      </c>
      <c r="AF24" s="459"/>
      <c r="AG24" s="660"/>
      <c r="AH24" s="660"/>
      <c r="AI24" s="660"/>
      <c r="AJ24" s="660"/>
      <c r="AK24" s="660"/>
      <c r="AL24" s="660"/>
      <c r="AM24" s="660"/>
      <c r="AN24" s="660"/>
      <c r="AO24" s="822"/>
      <c r="AP24" s="823"/>
      <c r="AQ24" s="660"/>
      <c r="AR24" s="660"/>
      <c r="AS24" s="660"/>
      <c r="AT24" s="660"/>
      <c r="AU24" s="660"/>
      <c r="AV24" s="660"/>
      <c r="AW24" s="660"/>
      <c r="AX24" s="812"/>
      <c r="AY24" s="756"/>
    </row>
    <row r="25" spans="1:51" ht="32.25" customHeight="1">
      <c r="A25" s="825"/>
      <c r="B25" s="828"/>
      <c r="C25" s="830"/>
      <c r="D25" s="427" t="s">
        <v>4</v>
      </c>
      <c r="E25" s="396">
        <v>765862520</v>
      </c>
      <c r="F25" s="396">
        <v>765862520</v>
      </c>
      <c r="G25" s="396">
        <v>765862519.99999988</v>
      </c>
      <c r="H25" s="396">
        <v>765862519.99999988</v>
      </c>
      <c r="I25" s="396">
        <v>765862519.99999988</v>
      </c>
      <c r="J25" s="396">
        <v>765862519.99999988</v>
      </c>
      <c r="K25" s="397">
        <v>765693254</v>
      </c>
      <c r="L25" s="397">
        <v>765693253.99999988</v>
      </c>
      <c r="M25" s="398">
        <v>765693253.99999988</v>
      </c>
      <c r="N25" s="398">
        <v>765693253.99999988</v>
      </c>
      <c r="O25" s="398">
        <v>765693253.99999988</v>
      </c>
      <c r="P25" s="398">
        <v>765693254.33333325</v>
      </c>
      <c r="Q25" s="398">
        <v>765693254.33333325</v>
      </c>
      <c r="R25" s="398">
        <f>+[3]INVERSIÓN!$DL28</f>
        <v>735299321.33333325</v>
      </c>
      <c r="S25" s="398"/>
      <c r="T25" s="396">
        <v>90129133</v>
      </c>
      <c r="U25" s="396">
        <v>180806615</v>
      </c>
      <c r="V25" s="396">
        <v>104859166</v>
      </c>
      <c r="W25" s="394">
        <v>395169514</v>
      </c>
      <c r="X25" s="384">
        <v>442268445</v>
      </c>
      <c r="Y25" s="384">
        <v>469178684</v>
      </c>
      <c r="Z25" s="398">
        <v>498660463</v>
      </c>
      <c r="AA25" s="398">
        <v>640732667</v>
      </c>
      <c r="AB25" s="398">
        <v>679288667</v>
      </c>
      <c r="AC25" s="398">
        <v>679288667</v>
      </c>
      <c r="AD25" s="398">
        <v>682328067</v>
      </c>
      <c r="AE25" s="398">
        <f>+[3]INVERSIÓN!$DM28</f>
        <v>733154803</v>
      </c>
      <c r="AF25" s="458"/>
      <c r="AG25" s="660"/>
      <c r="AH25" s="660"/>
      <c r="AI25" s="660"/>
      <c r="AJ25" s="660"/>
      <c r="AK25" s="660"/>
      <c r="AL25" s="660"/>
      <c r="AM25" s="660"/>
      <c r="AN25" s="660"/>
      <c r="AO25" s="822"/>
      <c r="AP25" s="823"/>
      <c r="AQ25" s="660"/>
      <c r="AR25" s="660"/>
      <c r="AS25" s="660"/>
      <c r="AT25" s="660"/>
      <c r="AU25" s="660"/>
      <c r="AV25" s="660"/>
      <c r="AW25" s="660"/>
      <c r="AX25" s="812"/>
      <c r="AY25" s="756"/>
    </row>
    <row r="26" spans="1:51" ht="32.25" customHeight="1">
      <c r="A26" s="825"/>
      <c r="B26" s="828"/>
      <c r="C26" s="830"/>
      <c r="D26" s="429" t="s">
        <v>42</v>
      </c>
      <c r="E26" s="399">
        <v>2</v>
      </c>
      <c r="F26" s="399">
        <v>1.9999999999999996</v>
      </c>
      <c r="G26" s="399">
        <v>1.9999999999999998</v>
      </c>
      <c r="H26" s="399">
        <v>1.9999999999999998</v>
      </c>
      <c r="I26" s="399">
        <v>1.9999999999999998</v>
      </c>
      <c r="J26" s="399">
        <v>1.9999999999999998</v>
      </c>
      <c r="K26" s="400">
        <v>1.9999999999999996</v>
      </c>
      <c r="L26" s="400">
        <v>1.9999999999999998</v>
      </c>
      <c r="M26" s="401">
        <v>1.9999999999999998</v>
      </c>
      <c r="N26" s="401">
        <v>1.9999999999999998</v>
      </c>
      <c r="O26" s="401">
        <v>1.9999999999999998</v>
      </c>
      <c r="P26" s="401">
        <v>1.9999999999999998</v>
      </c>
      <c r="Q26" s="401">
        <v>1.9999999999999998</v>
      </c>
      <c r="R26" s="401">
        <f>+[3]INVERSIÓN!$DL29</f>
        <v>1.9999999999999998</v>
      </c>
      <c r="S26" s="401"/>
      <c r="T26" s="399">
        <v>0.17</v>
      </c>
      <c r="U26" s="399">
        <v>0.34</v>
      </c>
      <c r="V26" s="399">
        <v>0.51</v>
      </c>
      <c r="W26" s="402">
        <v>0.68</v>
      </c>
      <c r="X26" s="400">
        <v>0.82000000000000006</v>
      </c>
      <c r="Y26" s="400">
        <v>0.9900000000000001</v>
      </c>
      <c r="Z26" s="401">
        <v>1.1600000000000001</v>
      </c>
      <c r="AA26" s="401">
        <v>1.5</v>
      </c>
      <c r="AB26" s="401">
        <v>1.5</v>
      </c>
      <c r="AC26" s="401">
        <v>1.8399999999999999</v>
      </c>
      <c r="AD26" s="401">
        <v>1.9999999999999998</v>
      </c>
      <c r="AE26" s="401">
        <f>+[3]INVERSIÓN!$DM29</f>
        <v>1.9999999999999998</v>
      </c>
      <c r="AF26" s="458"/>
      <c r="AG26" s="660"/>
      <c r="AH26" s="660"/>
      <c r="AI26" s="660"/>
      <c r="AJ26" s="660"/>
      <c r="AK26" s="660"/>
      <c r="AL26" s="660"/>
      <c r="AM26" s="660"/>
      <c r="AN26" s="660"/>
      <c r="AO26" s="822"/>
      <c r="AP26" s="823"/>
      <c r="AQ26" s="660"/>
      <c r="AR26" s="660"/>
      <c r="AS26" s="660"/>
      <c r="AT26" s="660"/>
      <c r="AU26" s="660"/>
      <c r="AV26" s="660"/>
      <c r="AW26" s="660"/>
      <c r="AX26" s="812"/>
      <c r="AY26" s="756"/>
    </row>
    <row r="27" spans="1:51" ht="32.25" customHeight="1">
      <c r="A27" s="826"/>
      <c r="B27" s="661"/>
      <c r="C27" s="830"/>
      <c r="D27" s="427" t="s">
        <v>44</v>
      </c>
      <c r="E27" s="391">
        <v>3804270520</v>
      </c>
      <c r="F27" s="391">
        <v>3600628020</v>
      </c>
      <c r="G27" s="391">
        <v>3600628020</v>
      </c>
      <c r="H27" s="391">
        <v>3600628020</v>
      </c>
      <c r="I27" s="391">
        <v>3600628020</v>
      </c>
      <c r="J27" s="391">
        <v>3600628020</v>
      </c>
      <c r="K27" s="392">
        <v>3600458754</v>
      </c>
      <c r="L27" s="392">
        <v>3600458754</v>
      </c>
      <c r="M27" s="393">
        <v>3683146254</v>
      </c>
      <c r="N27" s="393">
        <v>3803146254</v>
      </c>
      <c r="O27" s="393">
        <v>3757237254</v>
      </c>
      <c r="P27" s="393">
        <v>3819171949.333333</v>
      </c>
      <c r="Q27" s="393">
        <v>3830650349.333333</v>
      </c>
      <c r="R27" s="393">
        <f>+[3]INVERSIÓN!$DL30</f>
        <v>3754525916.333333</v>
      </c>
      <c r="S27" s="393"/>
      <c r="T27" s="391">
        <v>90129133</v>
      </c>
      <c r="U27" s="391">
        <v>936826615</v>
      </c>
      <c r="V27" s="391">
        <v>2155744166</v>
      </c>
      <c r="W27" s="402">
        <v>2541353514</v>
      </c>
      <c r="X27" s="392">
        <v>2680949140</v>
      </c>
      <c r="Y27" s="392">
        <v>3029282379</v>
      </c>
      <c r="Z27" s="393">
        <v>3058764158</v>
      </c>
      <c r="AA27" s="393">
        <v>3217853362</v>
      </c>
      <c r="AB27" s="393">
        <v>3424409362</v>
      </c>
      <c r="AC27" s="393">
        <v>3431423362</v>
      </c>
      <c r="AD27" s="393">
        <v>3478337862</v>
      </c>
      <c r="AE27" s="393">
        <f>+[3]INVERSIÓN!$DM30</f>
        <v>3746658791</v>
      </c>
      <c r="AF27" s="398"/>
      <c r="AG27" s="660"/>
      <c r="AH27" s="660"/>
      <c r="AI27" s="660"/>
      <c r="AJ27" s="660"/>
      <c r="AK27" s="660"/>
      <c r="AL27" s="660"/>
      <c r="AM27" s="660"/>
      <c r="AN27" s="660"/>
      <c r="AO27" s="822"/>
      <c r="AP27" s="823"/>
      <c r="AQ27" s="660"/>
      <c r="AR27" s="660"/>
      <c r="AS27" s="660"/>
      <c r="AT27" s="660"/>
      <c r="AU27" s="660"/>
      <c r="AV27" s="660"/>
      <c r="AW27" s="660"/>
      <c r="AX27" s="812"/>
      <c r="AY27" s="756"/>
    </row>
    <row r="28" spans="1:51" ht="32.25" customHeight="1">
      <c r="A28" s="824">
        <v>4</v>
      </c>
      <c r="B28" s="827" t="s">
        <v>317</v>
      </c>
      <c r="C28" s="821" t="s">
        <v>737</v>
      </c>
      <c r="D28" s="430" t="s">
        <v>40</v>
      </c>
      <c r="E28" s="453">
        <v>1585</v>
      </c>
      <c r="F28" s="453">
        <v>1585</v>
      </c>
      <c r="G28" s="460">
        <v>1585</v>
      </c>
      <c r="H28" s="460">
        <v>1585</v>
      </c>
      <c r="I28" s="460">
        <v>1585</v>
      </c>
      <c r="J28" s="460">
        <v>1585</v>
      </c>
      <c r="K28" s="453">
        <v>1585</v>
      </c>
      <c r="L28" s="453">
        <v>1585</v>
      </c>
      <c r="M28" s="457">
        <v>1585</v>
      </c>
      <c r="N28" s="457">
        <v>1585</v>
      </c>
      <c r="O28" s="457">
        <v>1585</v>
      </c>
      <c r="P28" s="457">
        <v>1585</v>
      </c>
      <c r="Q28" s="457">
        <v>1585</v>
      </c>
      <c r="R28" s="457">
        <f>+[3]INVERSIÓN!$DL31</f>
        <v>1585</v>
      </c>
      <c r="S28" s="461"/>
      <c r="T28" s="460">
        <v>62</v>
      </c>
      <c r="U28" s="460">
        <v>139</v>
      </c>
      <c r="V28" s="460">
        <v>241</v>
      </c>
      <c r="W28" s="402">
        <v>361</v>
      </c>
      <c r="X28" s="404">
        <v>500</v>
      </c>
      <c r="Y28" s="404">
        <v>631</v>
      </c>
      <c r="Z28" s="457">
        <v>774</v>
      </c>
      <c r="AA28" s="457">
        <v>1058</v>
      </c>
      <c r="AB28" s="457">
        <v>1058</v>
      </c>
      <c r="AC28" s="457">
        <v>1368</v>
      </c>
      <c r="AD28" s="457">
        <v>1481</v>
      </c>
      <c r="AE28" s="457">
        <f>+[3]INVERSIÓN!$DM31</f>
        <v>1481</v>
      </c>
      <c r="AF28" s="461"/>
      <c r="AG28" s="660" t="s">
        <v>311</v>
      </c>
      <c r="AH28" s="660" t="s">
        <v>312</v>
      </c>
      <c r="AI28" s="660" t="s">
        <v>312</v>
      </c>
      <c r="AJ28" s="660" t="s">
        <v>314</v>
      </c>
      <c r="AK28" s="660" t="s">
        <v>314</v>
      </c>
      <c r="AL28" s="660" t="s">
        <v>312</v>
      </c>
      <c r="AM28" s="660" t="s">
        <v>312</v>
      </c>
      <c r="AN28" s="660" t="s">
        <v>312</v>
      </c>
      <c r="AO28" s="822">
        <v>3721767</v>
      </c>
      <c r="AP28" s="823">
        <v>4082893</v>
      </c>
      <c r="AQ28" s="660" t="s">
        <v>312</v>
      </c>
      <c r="AR28" s="660" t="s">
        <v>312</v>
      </c>
      <c r="AS28" s="660" t="s">
        <v>312</v>
      </c>
      <c r="AT28" s="660" t="s">
        <v>312</v>
      </c>
      <c r="AU28" s="660" t="s">
        <v>312</v>
      </c>
      <c r="AV28" s="660" t="s">
        <v>312</v>
      </c>
      <c r="AW28" s="660" t="s">
        <v>312</v>
      </c>
      <c r="AX28" s="812">
        <v>7804660</v>
      </c>
      <c r="AY28" s="756"/>
    </row>
    <row r="29" spans="1:51" ht="32.25" customHeight="1">
      <c r="A29" s="825"/>
      <c r="B29" s="828"/>
      <c r="C29" s="821"/>
      <c r="D29" s="427" t="s">
        <v>3</v>
      </c>
      <c r="E29" s="396">
        <v>1243371000</v>
      </c>
      <c r="F29" s="396">
        <v>1187599500</v>
      </c>
      <c r="G29" s="396">
        <v>1187599500</v>
      </c>
      <c r="H29" s="396">
        <v>1187599500</v>
      </c>
      <c r="I29" s="396">
        <v>1187599500</v>
      </c>
      <c r="J29" s="396">
        <v>1187599500</v>
      </c>
      <c r="K29" s="397">
        <v>1187599500</v>
      </c>
      <c r="L29" s="397">
        <v>1187599500</v>
      </c>
      <c r="M29" s="398">
        <v>1163612666</v>
      </c>
      <c r="N29" s="398">
        <v>1163612666</v>
      </c>
      <c r="O29" s="398">
        <v>1145958666</v>
      </c>
      <c r="P29" s="398">
        <v>1204899099</v>
      </c>
      <c r="Q29" s="398">
        <v>1208157599</v>
      </c>
      <c r="R29" s="398">
        <f>+[3]INVERSIÓN!$DL32</f>
        <v>1223986699</v>
      </c>
      <c r="S29" s="386"/>
      <c r="T29" s="396">
        <v>0</v>
      </c>
      <c r="U29" s="396">
        <v>499703500</v>
      </c>
      <c r="V29" s="396">
        <v>957552500</v>
      </c>
      <c r="W29" s="402">
        <v>1033691000</v>
      </c>
      <c r="X29" s="384">
        <v>1057771000</v>
      </c>
      <c r="Y29" s="384">
        <v>1033289666</v>
      </c>
      <c r="Z29" s="398">
        <v>1066399666</v>
      </c>
      <c r="AA29" s="398">
        <v>1066399666</v>
      </c>
      <c r="AB29" s="398">
        <v>1066399666</v>
      </c>
      <c r="AC29" s="398">
        <v>1066399666</v>
      </c>
      <c r="AD29" s="398">
        <v>1128719166</v>
      </c>
      <c r="AE29" s="398">
        <f>+[3]INVERSIÓN!$DM32</f>
        <v>1222018466</v>
      </c>
      <c r="AF29" s="398" t="s">
        <v>709</v>
      </c>
      <c r="AG29" s="660"/>
      <c r="AH29" s="660"/>
      <c r="AI29" s="660"/>
      <c r="AJ29" s="660"/>
      <c r="AK29" s="660"/>
      <c r="AL29" s="660"/>
      <c r="AM29" s="660"/>
      <c r="AN29" s="660"/>
      <c r="AO29" s="822"/>
      <c r="AP29" s="823"/>
      <c r="AQ29" s="660"/>
      <c r="AR29" s="660"/>
      <c r="AS29" s="660"/>
      <c r="AT29" s="660"/>
      <c r="AU29" s="660"/>
      <c r="AV29" s="660"/>
      <c r="AW29" s="660"/>
      <c r="AX29" s="812"/>
      <c r="AY29" s="756"/>
    </row>
    <row r="30" spans="1:51" ht="32.25" customHeight="1">
      <c r="A30" s="825"/>
      <c r="B30" s="828"/>
      <c r="C30" s="821"/>
      <c r="D30" s="430" t="s">
        <v>41</v>
      </c>
      <c r="E30" s="453">
        <v>0</v>
      </c>
      <c r="F30" s="453">
        <v>0</v>
      </c>
      <c r="G30" s="460">
        <v>0</v>
      </c>
      <c r="H30" s="460">
        <v>0</v>
      </c>
      <c r="I30" s="460">
        <v>0</v>
      </c>
      <c r="J30" s="460">
        <v>0</v>
      </c>
      <c r="K30" s="453">
        <v>0</v>
      </c>
      <c r="L30" s="453">
        <v>0</v>
      </c>
      <c r="M30" s="457">
        <v>0</v>
      </c>
      <c r="N30" s="457">
        <v>0</v>
      </c>
      <c r="O30" s="457">
        <v>0</v>
      </c>
      <c r="P30" s="457">
        <v>0</v>
      </c>
      <c r="Q30" s="457">
        <v>0</v>
      </c>
      <c r="R30" s="457">
        <f>+[3]INVERSIÓN!$DL34</f>
        <v>0</v>
      </c>
      <c r="S30" s="462"/>
      <c r="T30" s="460">
        <v>0</v>
      </c>
      <c r="U30" s="460">
        <v>0</v>
      </c>
      <c r="V30" s="460">
        <v>0</v>
      </c>
      <c r="W30" s="402">
        <v>0</v>
      </c>
      <c r="X30" s="404">
        <v>0</v>
      </c>
      <c r="Y30" s="404">
        <v>0</v>
      </c>
      <c r="Z30" s="457">
        <v>0</v>
      </c>
      <c r="AA30" s="457">
        <v>0</v>
      </c>
      <c r="AB30" s="457">
        <v>0</v>
      </c>
      <c r="AC30" s="457">
        <v>0</v>
      </c>
      <c r="AD30" s="457">
        <v>0</v>
      </c>
      <c r="AE30" s="457">
        <f>+[3]INVERSIÓN!$DM34</f>
        <v>0</v>
      </c>
      <c r="AF30" s="462"/>
      <c r="AG30" s="660"/>
      <c r="AH30" s="660"/>
      <c r="AI30" s="660"/>
      <c r="AJ30" s="660"/>
      <c r="AK30" s="660"/>
      <c r="AL30" s="660"/>
      <c r="AM30" s="660"/>
      <c r="AN30" s="660"/>
      <c r="AO30" s="822"/>
      <c r="AP30" s="823"/>
      <c r="AQ30" s="660"/>
      <c r="AR30" s="660"/>
      <c r="AS30" s="660"/>
      <c r="AT30" s="660"/>
      <c r="AU30" s="660"/>
      <c r="AV30" s="660"/>
      <c r="AW30" s="660"/>
      <c r="AX30" s="812"/>
      <c r="AY30" s="756"/>
    </row>
    <row r="31" spans="1:51" ht="32.25" customHeight="1">
      <c r="A31" s="825"/>
      <c r="B31" s="828"/>
      <c r="C31" s="821"/>
      <c r="D31" s="427" t="s">
        <v>4</v>
      </c>
      <c r="E31" s="396">
        <v>572816343</v>
      </c>
      <c r="F31" s="396">
        <v>550500693</v>
      </c>
      <c r="G31" s="396">
        <v>550500693</v>
      </c>
      <c r="H31" s="396">
        <v>550500693</v>
      </c>
      <c r="I31" s="396">
        <v>550500693</v>
      </c>
      <c r="J31" s="396">
        <v>550500693</v>
      </c>
      <c r="K31" s="397">
        <v>550500693</v>
      </c>
      <c r="L31" s="397">
        <v>550500693</v>
      </c>
      <c r="M31" s="398">
        <v>550500693</v>
      </c>
      <c r="N31" s="398">
        <v>550500693</v>
      </c>
      <c r="O31" s="398">
        <v>550500693</v>
      </c>
      <c r="P31" s="398">
        <v>550500692.66666663</v>
      </c>
      <c r="Q31" s="398">
        <v>550500692.66666663</v>
      </c>
      <c r="R31" s="398">
        <f>+[3]INVERSIÓN!$DL35-1</f>
        <v>550078476.66666663</v>
      </c>
      <c r="S31" s="393"/>
      <c r="T31" s="396">
        <v>40768728</v>
      </c>
      <c r="U31" s="396">
        <v>450604518</v>
      </c>
      <c r="V31" s="396">
        <v>496811519</v>
      </c>
      <c r="W31" s="402">
        <v>496811519</v>
      </c>
      <c r="X31" s="384">
        <v>507707552</v>
      </c>
      <c r="Y31" s="384">
        <v>508993452</v>
      </c>
      <c r="Z31" s="398">
        <v>517315452</v>
      </c>
      <c r="AA31" s="398">
        <v>524068429</v>
      </c>
      <c r="AB31" s="398">
        <v>532139944</v>
      </c>
      <c r="AC31" s="398">
        <v>532139944</v>
      </c>
      <c r="AD31" s="398">
        <v>532139944</v>
      </c>
      <c r="AE31" s="398">
        <f>+[3]INVERSIÓN!$DM35</f>
        <v>550078477</v>
      </c>
      <c r="AF31" s="393"/>
      <c r="AG31" s="660"/>
      <c r="AH31" s="660"/>
      <c r="AI31" s="660"/>
      <c r="AJ31" s="660"/>
      <c r="AK31" s="660"/>
      <c r="AL31" s="660"/>
      <c r="AM31" s="660"/>
      <c r="AN31" s="660"/>
      <c r="AO31" s="822"/>
      <c r="AP31" s="823"/>
      <c r="AQ31" s="660"/>
      <c r="AR31" s="660"/>
      <c r="AS31" s="660"/>
      <c r="AT31" s="660"/>
      <c r="AU31" s="660"/>
      <c r="AV31" s="660"/>
      <c r="AW31" s="660"/>
      <c r="AX31" s="812"/>
      <c r="AY31" s="756"/>
    </row>
    <row r="32" spans="1:51" ht="32.25" customHeight="1">
      <c r="A32" s="825"/>
      <c r="B32" s="828"/>
      <c r="C32" s="821"/>
      <c r="D32" s="430" t="s">
        <v>42</v>
      </c>
      <c r="E32" s="405">
        <v>1585</v>
      </c>
      <c r="F32" s="405">
        <v>1585</v>
      </c>
      <c r="G32" s="405">
        <v>1585</v>
      </c>
      <c r="H32" s="405">
        <v>1585</v>
      </c>
      <c r="I32" s="405">
        <v>1585</v>
      </c>
      <c r="J32" s="405">
        <v>1585</v>
      </c>
      <c r="K32" s="406">
        <v>1585</v>
      </c>
      <c r="L32" s="406">
        <v>1585</v>
      </c>
      <c r="M32" s="407">
        <v>1585</v>
      </c>
      <c r="N32" s="407">
        <v>1585</v>
      </c>
      <c r="O32" s="407">
        <v>1585</v>
      </c>
      <c r="P32" s="407">
        <v>1585</v>
      </c>
      <c r="Q32" s="407">
        <v>1585</v>
      </c>
      <c r="R32" s="407">
        <f>+[3]INVERSIÓN!$DL36</f>
        <v>1585</v>
      </c>
      <c r="S32" s="407"/>
      <c r="T32" s="405">
        <v>62</v>
      </c>
      <c r="U32" s="405">
        <v>139</v>
      </c>
      <c r="V32" s="405">
        <v>241</v>
      </c>
      <c r="W32" s="402">
        <v>361</v>
      </c>
      <c r="X32" s="406">
        <v>500</v>
      </c>
      <c r="Y32" s="406">
        <v>631</v>
      </c>
      <c r="Z32" s="407">
        <v>774</v>
      </c>
      <c r="AA32" s="407">
        <v>1058</v>
      </c>
      <c r="AB32" s="407">
        <v>1058</v>
      </c>
      <c r="AC32" s="407">
        <v>1368</v>
      </c>
      <c r="AD32" s="407">
        <v>1481</v>
      </c>
      <c r="AE32" s="407">
        <f>+[3]INVERSIÓN!$DM36</f>
        <v>1481</v>
      </c>
      <c r="AF32" s="462"/>
      <c r="AG32" s="660"/>
      <c r="AH32" s="660"/>
      <c r="AI32" s="660"/>
      <c r="AJ32" s="660"/>
      <c r="AK32" s="660"/>
      <c r="AL32" s="660"/>
      <c r="AM32" s="660"/>
      <c r="AN32" s="660"/>
      <c r="AO32" s="822"/>
      <c r="AP32" s="823"/>
      <c r="AQ32" s="660"/>
      <c r="AR32" s="660"/>
      <c r="AS32" s="660"/>
      <c r="AT32" s="660"/>
      <c r="AU32" s="660"/>
      <c r="AV32" s="660"/>
      <c r="AW32" s="660"/>
      <c r="AX32" s="812"/>
      <c r="AY32" s="756"/>
    </row>
    <row r="33" spans="1:51" ht="32.25" customHeight="1">
      <c r="A33" s="826"/>
      <c r="B33" s="661"/>
      <c r="C33" s="821"/>
      <c r="D33" s="427" t="s">
        <v>44</v>
      </c>
      <c r="E33" s="391">
        <v>1816187343</v>
      </c>
      <c r="F33" s="391">
        <v>1738100193</v>
      </c>
      <c r="G33" s="391">
        <v>1738100193</v>
      </c>
      <c r="H33" s="391">
        <v>1738100193</v>
      </c>
      <c r="I33" s="391">
        <v>1738100193</v>
      </c>
      <c r="J33" s="391">
        <v>1738100193</v>
      </c>
      <c r="K33" s="392">
        <v>1738100193</v>
      </c>
      <c r="L33" s="392">
        <v>1738100193</v>
      </c>
      <c r="M33" s="393">
        <v>1714113359</v>
      </c>
      <c r="N33" s="393">
        <v>1714113359</v>
      </c>
      <c r="O33" s="393">
        <v>1696459359</v>
      </c>
      <c r="P33" s="393">
        <v>1755399791.6666665</v>
      </c>
      <c r="Q33" s="393">
        <v>1758658291.6666665</v>
      </c>
      <c r="R33" s="393">
        <f>+[3]INVERSIÓN!$DL37</f>
        <v>1774065176.6666665</v>
      </c>
      <c r="S33" s="393"/>
      <c r="T33" s="391">
        <v>40768728</v>
      </c>
      <c r="U33" s="391">
        <v>950308018</v>
      </c>
      <c r="V33" s="391">
        <v>1454364019</v>
      </c>
      <c r="W33" s="402">
        <v>1530502519</v>
      </c>
      <c r="X33" s="392">
        <v>1565478552</v>
      </c>
      <c r="Y33" s="392">
        <v>1542283118</v>
      </c>
      <c r="Z33" s="393">
        <v>1583715118</v>
      </c>
      <c r="AA33" s="393">
        <v>1590468095</v>
      </c>
      <c r="AB33" s="393">
        <v>1598539610</v>
      </c>
      <c r="AC33" s="393">
        <v>1598539610</v>
      </c>
      <c r="AD33" s="393">
        <v>1660859110</v>
      </c>
      <c r="AE33" s="393">
        <f>+[3]INVERSIÓN!$DM37</f>
        <v>1772096943</v>
      </c>
      <c r="AF33" s="398"/>
      <c r="AG33" s="660"/>
      <c r="AH33" s="660"/>
      <c r="AI33" s="660"/>
      <c r="AJ33" s="660"/>
      <c r="AK33" s="660"/>
      <c r="AL33" s="660"/>
      <c r="AM33" s="660"/>
      <c r="AN33" s="660"/>
      <c r="AO33" s="822"/>
      <c r="AP33" s="823"/>
      <c r="AQ33" s="660"/>
      <c r="AR33" s="660"/>
      <c r="AS33" s="660"/>
      <c r="AT33" s="660"/>
      <c r="AU33" s="660"/>
      <c r="AV33" s="660"/>
      <c r="AW33" s="660"/>
      <c r="AX33" s="812"/>
      <c r="AY33" s="756"/>
    </row>
    <row r="34" spans="1:51" ht="32.25" customHeight="1">
      <c r="A34" s="820">
        <v>5</v>
      </c>
      <c r="B34" s="660" t="s">
        <v>308</v>
      </c>
      <c r="C34" s="821" t="s">
        <v>459</v>
      </c>
      <c r="D34" s="428" t="s">
        <v>40</v>
      </c>
      <c r="E34" s="163">
        <v>1</v>
      </c>
      <c r="F34" s="163">
        <v>1</v>
      </c>
      <c r="G34" s="163">
        <v>1</v>
      </c>
      <c r="H34" s="163">
        <v>1</v>
      </c>
      <c r="I34" s="163">
        <v>1</v>
      </c>
      <c r="J34" s="163">
        <v>1</v>
      </c>
      <c r="K34" s="408">
        <v>1</v>
      </c>
      <c r="L34" s="408">
        <v>1</v>
      </c>
      <c r="M34" s="368">
        <v>1</v>
      </c>
      <c r="N34" s="368">
        <v>1</v>
      </c>
      <c r="O34" s="368">
        <v>1</v>
      </c>
      <c r="P34" s="368">
        <v>1</v>
      </c>
      <c r="Q34" s="368">
        <v>1</v>
      </c>
      <c r="R34" s="368">
        <f>+[3]INVERSIÓN!$DL38</f>
        <v>1</v>
      </c>
      <c r="S34" s="409"/>
      <c r="T34" s="163">
        <v>1</v>
      </c>
      <c r="U34" s="163">
        <v>1</v>
      </c>
      <c r="V34" s="163">
        <v>1</v>
      </c>
      <c r="W34" s="373">
        <v>1</v>
      </c>
      <c r="X34" s="380">
        <v>1</v>
      </c>
      <c r="Y34" s="380">
        <v>1</v>
      </c>
      <c r="Z34" s="368">
        <v>1</v>
      </c>
      <c r="AA34" s="368">
        <v>1</v>
      </c>
      <c r="AB34" s="368">
        <v>1</v>
      </c>
      <c r="AC34" s="368">
        <v>1</v>
      </c>
      <c r="AD34" s="368">
        <v>1</v>
      </c>
      <c r="AE34" s="368">
        <f>+[3]INVERSIÓN!$DM38</f>
        <v>1</v>
      </c>
      <c r="AF34" s="409"/>
      <c r="AG34" s="660" t="s">
        <v>311</v>
      </c>
      <c r="AH34" s="660" t="s">
        <v>312</v>
      </c>
      <c r="AI34" s="660" t="s">
        <v>312</v>
      </c>
      <c r="AJ34" s="660" t="s">
        <v>319</v>
      </c>
      <c r="AK34" s="660" t="s">
        <v>314</v>
      </c>
      <c r="AL34" s="660" t="s">
        <v>312</v>
      </c>
      <c r="AM34" s="660" t="s">
        <v>312</v>
      </c>
      <c r="AN34" s="660" t="s">
        <v>312</v>
      </c>
      <c r="AO34" s="814">
        <v>3751549</v>
      </c>
      <c r="AP34" s="817">
        <v>4082618</v>
      </c>
      <c r="AQ34" s="660" t="s">
        <v>312</v>
      </c>
      <c r="AR34" s="660" t="s">
        <v>312</v>
      </c>
      <c r="AS34" s="660" t="s">
        <v>312</v>
      </c>
      <c r="AT34" s="660" t="s">
        <v>312</v>
      </c>
      <c r="AU34" s="660" t="s">
        <v>312</v>
      </c>
      <c r="AV34" s="660" t="s">
        <v>312</v>
      </c>
      <c r="AW34" s="660" t="s">
        <v>312</v>
      </c>
      <c r="AX34" s="812">
        <v>7834167</v>
      </c>
      <c r="AY34" s="756"/>
    </row>
    <row r="35" spans="1:51" ht="32.25" customHeight="1">
      <c r="A35" s="820"/>
      <c r="B35" s="660"/>
      <c r="C35" s="821"/>
      <c r="D35" s="427" t="s">
        <v>3</v>
      </c>
      <c r="E35" s="383">
        <v>554093000</v>
      </c>
      <c r="F35" s="383">
        <v>540599000</v>
      </c>
      <c r="G35" s="383">
        <v>540599000</v>
      </c>
      <c r="H35" s="383">
        <v>540599000</v>
      </c>
      <c r="I35" s="383">
        <v>540599000</v>
      </c>
      <c r="J35" s="383">
        <v>540599000</v>
      </c>
      <c r="K35" s="410">
        <v>540599000</v>
      </c>
      <c r="L35" s="410">
        <v>540599000</v>
      </c>
      <c r="M35" s="386">
        <v>540599000</v>
      </c>
      <c r="N35" s="386">
        <v>540599000</v>
      </c>
      <c r="O35" s="386">
        <v>540599000</v>
      </c>
      <c r="P35" s="386">
        <v>558846267</v>
      </c>
      <c r="Q35" s="386">
        <v>558846267</v>
      </c>
      <c r="R35" s="386">
        <f>+[3]INVERSIÓN!$DL39</f>
        <v>550281167</v>
      </c>
      <c r="S35" s="398"/>
      <c r="T35" s="383">
        <v>0</v>
      </c>
      <c r="U35" s="383">
        <v>183154500</v>
      </c>
      <c r="V35" s="383">
        <v>420858043</v>
      </c>
      <c r="W35" s="402">
        <v>444818944</v>
      </c>
      <c r="X35" s="384">
        <v>444818944</v>
      </c>
      <c r="Y35" s="384">
        <v>444818944</v>
      </c>
      <c r="Z35" s="386">
        <v>481666944</v>
      </c>
      <c r="AA35" s="386">
        <v>481666944</v>
      </c>
      <c r="AB35" s="386">
        <v>481666944</v>
      </c>
      <c r="AC35" s="386">
        <v>481666944</v>
      </c>
      <c r="AD35" s="386">
        <v>513434344</v>
      </c>
      <c r="AE35" s="386">
        <f>+[3]INVERSIÓN!$DM39</f>
        <v>538000786</v>
      </c>
      <c r="AF35" s="386"/>
      <c r="AG35" s="660"/>
      <c r="AH35" s="660"/>
      <c r="AI35" s="660"/>
      <c r="AJ35" s="660"/>
      <c r="AK35" s="660"/>
      <c r="AL35" s="660"/>
      <c r="AM35" s="660"/>
      <c r="AN35" s="660"/>
      <c r="AO35" s="815"/>
      <c r="AP35" s="818"/>
      <c r="AQ35" s="660"/>
      <c r="AR35" s="660"/>
      <c r="AS35" s="660"/>
      <c r="AT35" s="660"/>
      <c r="AU35" s="660"/>
      <c r="AV35" s="660"/>
      <c r="AW35" s="660"/>
      <c r="AX35" s="812"/>
      <c r="AY35" s="756"/>
    </row>
    <row r="36" spans="1:51" ht="32.25" customHeight="1">
      <c r="A36" s="820"/>
      <c r="B36" s="660"/>
      <c r="C36" s="821"/>
      <c r="D36" s="428" t="s">
        <v>41</v>
      </c>
      <c r="E36" s="163">
        <v>0</v>
      </c>
      <c r="F36" s="163">
        <v>0</v>
      </c>
      <c r="G36" s="163">
        <v>0</v>
      </c>
      <c r="H36" s="163">
        <v>0</v>
      </c>
      <c r="I36" s="163">
        <v>0</v>
      </c>
      <c r="J36" s="163">
        <v>0</v>
      </c>
      <c r="K36" s="408">
        <v>0</v>
      </c>
      <c r="L36" s="408">
        <v>0</v>
      </c>
      <c r="M36" s="368">
        <v>0</v>
      </c>
      <c r="N36" s="368">
        <v>0</v>
      </c>
      <c r="O36" s="368">
        <v>0</v>
      </c>
      <c r="P36" s="368">
        <v>0</v>
      </c>
      <c r="Q36" s="368">
        <v>0</v>
      </c>
      <c r="R36" s="368">
        <f>+[3]INVERSIÓN!$DL41</f>
        <v>0</v>
      </c>
      <c r="S36" s="409"/>
      <c r="T36" s="163">
        <v>0</v>
      </c>
      <c r="U36" s="163">
        <v>0</v>
      </c>
      <c r="V36" s="163">
        <v>0</v>
      </c>
      <c r="W36" s="402">
        <v>0</v>
      </c>
      <c r="X36" s="380">
        <v>0</v>
      </c>
      <c r="Y36" s="380">
        <v>0</v>
      </c>
      <c r="Z36" s="368">
        <v>0</v>
      </c>
      <c r="AA36" s="368">
        <v>0</v>
      </c>
      <c r="AB36" s="368">
        <v>0</v>
      </c>
      <c r="AC36" s="368">
        <v>0</v>
      </c>
      <c r="AD36" s="368">
        <v>0</v>
      </c>
      <c r="AE36" s="368">
        <f>+[3]INVERSIÓN!$DM41</f>
        <v>0</v>
      </c>
      <c r="AF36" s="368"/>
      <c r="AG36" s="660"/>
      <c r="AH36" s="660"/>
      <c r="AI36" s="660"/>
      <c r="AJ36" s="660"/>
      <c r="AK36" s="660"/>
      <c r="AL36" s="660"/>
      <c r="AM36" s="660"/>
      <c r="AN36" s="660"/>
      <c r="AO36" s="815"/>
      <c r="AP36" s="818"/>
      <c r="AQ36" s="660"/>
      <c r="AR36" s="660"/>
      <c r="AS36" s="660"/>
      <c r="AT36" s="660"/>
      <c r="AU36" s="660"/>
      <c r="AV36" s="660"/>
      <c r="AW36" s="660"/>
      <c r="AX36" s="812"/>
      <c r="AY36" s="756"/>
    </row>
    <row r="37" spans="1:51" ht="32.25" customHeight="1">
      <c r="A37" s="820"/>
      <c r="B37" s="660"/>
      <c r="C37" s="821"/>
      <c r="D37" s="427" t="s">
        <v>4</v>
      </c>
      <c r="E37" s="383">
        <v>424251661</v>
      </c>
      <c r="F37" s="383">
        <v>424251661</v>
      </c>
      <c r="G37" s="383">
        <v>424251661</v>
      </c>
      <c r="H37" s="383">
        <v>424251661</v>
      </c>
      <c r="I37" s="383">
        <v>424251661</v>
      </c>
      <c r="J37" s="383">
        <v>424251661</v>
      </c>
      <c r="K37" s="410">
        <v>423906195</v>
      </c>
      <c r="L37" s="410">
        <v>423906195</v>
      </c>
      <c r="M37" s="386">
        <v>423906195</v>
      </c>
      <c r="N37" s="386">
        <v>423906195</v>
      </c>
      <c r="O37" s="386">
        <v>423906195</v>
      </c>
      <c r="P37" s="386">
        <v>423906195</v>
      </c>
      <c r="Q37" s="386">
        <v>423906195</v>
      </c>
      <c r="R37" s="386">
        <f>+[3]INVERSIÓN!$DL42</f>
        <v>423906195</v>
      </c>
      <c r="S37" s="398"/>
      <c r="T37" s="383">
        <v>0</v>
      </c>
      <c r="U37" s="383">
        <v>55214566</v>
      </c>
      <c r="V37" s="383">
        <v>84066187</v>
      </c>
      <c r="W37" s="402">
        <v>152833481</v>
      </c>
      <c r="X37" s="384">
        <v>170950314</v>
      </c>
      <c r="Y37" s="384">
        <v>170950314</v>
      </c>
      <c r="Z37" s="386">
        <v>212017450</v>
      </c>
      <c r="AA37" s="386">
        <v>212017450</v>
      </c>
      <c r="AB37" s="386">
        <v>213710117</v>
      </c>
      <c r="AC37" s="386">
        <v>381069397</v>
      </c>
      <c r="AD37" s="386">
        <v>381069397</v>
      </c>
      <c r="AE37" s="386">
        <f>+[3]INVERSIÓN!$DM42</f>
        <v>422078481</v>
      </c>
      <c r="AF37" s="386"/>
      <c r="AG37" s="660"/>
      <c r="AH37" s="660"/>
      <c r="AI37" s="660"/>
      <c r="AJ37" s="660"/>
      <c r="AK37" s="660"/>
      <c r="AL37" s="660"/>
      <c r="AM37" s="660"/>
      <c r="AN37" s="660"/>
      <c r="AO37" s="815"/>
      <c r="AP37" s="818"/>
      <c r="AQ37" s="660"/>
      <c r="AR37" s="660"/>
      <c r="AS37" s="660"/>
      <c r="AT37" s="660"/>
      <c r="AU37" s="660"/>
      <c r="AV37" s="660"/>
      <c r="AW37" s="660"/>
      <c r="AX37" s="812"/>
      <c r="AY37" s="756"/>
    </row>
    <row r="38" spans="1:51" ht="32.25" customHeight="1">
      <c r="A38" s="820"/>
      <c r="B38" s="660"/>
      <c r="C38" s="821"/>
      <c r="D38" s="428" t="s">
        <v>42</v>
      </c>
      <c r="E38" s="388">
        <v>1</v>
      </c>
      <c r="F38" s="388">
        <v>1</v>
      </c>
      <c r="G38" s="388">
        <v>1</v>
      </c>
      <c r="H38" s="388">
        <v>1</v>
      </c>
      <c r="I38" s="388">
        <v>1</v>
      </c>
      <c r="J38" s="388">
        <v>1</v>
      </c>
      <c r="K38" s="389">
        <v>1</v>
      </c>
      <c r="L38" s="389">
        <v>1</v>
      </c>
      <c r="M38" s="390">
        <v>1</v>
      </c>
      <c r="N38" s="390">
        <v>1</v>
      </c>
      <c r="O38" s="390">
        <v>1</v>
      </c>
      <c r="P38" s="390">
        <v>1</v>
      </c>
      <c r="Q38" s="390">
        <v>1</v>
      </c>
      <c r="R38" s="390">
        <f>+[3]INVERSIÓN!$DL43</f>
        <v>1</v>
      </c>
      <c r="S38" s="390"/>
      <c r="T38" s="388">
        <v>1</v>
      </c>
      <c r="U38" s="388">
        <v>1</v>
      </c>
      <c r="V38" s="388">
        <v>1</v>
      </c>
      <c r="W38" s="373">
        <v>1</v>
      </c>
      <c r="X38" s="389">
        <v>1</v>
      </c>
      <c r="Y38" s="389">
        <v>1</v>
      </c>
      <c r="Z38" s="390">
        <v>1</v>
      </c>
      <c r="AA38" s="390">
        <v>1</v>
      </c>
      <c r="AB38" s="390">
        <v>1</v>
      </c>
      <c r="AC38" s="390">
        <v>1</v>
      </c>
      <c r="AD38" s="390">
        <v>1</v>
      </c>
      <c r="AE38" s="390">
        <f>+[3]INVERSIÓN!$DM43</f>
        <v>1</v>
      </c>
      <c r="AF38" s="390"/>
      <c r="AG38" s="660"/>
      <c r="AH38" s="660"/>
      <c r="AI38" s="660"/>
      <c r="AJ38" s="660"/>
      <c r="AK38" s="660"/>
      <c r="AL38" s="660"/>
      <c r="AM38" s="660"/>
      <c r="AN38" s="660"/>
      <c r="AO38" s="815"/>
      <c r="AP38" s="818"/>
      <c r="AQ38" s="660"/>
      <c r="AR38" s="660"/>
      <c r="AS38" s="660"/>
      <c r="AT38" s="660"/>
      <c r="AU38" s="660"/>
      <c r="AV38" s="660"/>
      <c r="AW38" s="660"/>
      <c r="AX38" s="812"/>
      <c r="AY38" s="756"/>
    </row>
    <row r="39" spans="1:51" ht="32.25" customHeight="1">
      <c r="A39" s="820"/>
      <c r="B39" s="660"/>
      <c r="C39" s="821"/>
      <c r="D39" s="427" t="s">
        <v>44</v>
      </c>
      <c r="E39" s="391">
        <v>978344661</v>
      </c>
      <c r="F39" s="391">
        <v>964850661</v>
      </c>
      <c r="G39" s="391">
        <v>964850661</v>
      </c>
      <c r="H39" s="391">
        <v>964850661</v>
      </c>
      <c r="I39" s="391">
        <v>964850661</v>
      </c>
      <c r="J39" s="391">
        <v>964850661</v>
      </c>
      <c r="K39" s="392">
        <v>964505195</v>
      </c>
      <c r="L39" s="392">
        <v>964505195</v>
      </c>
      <c r="M39" s="393">
        <v>964505195</v>
      </c>
      <c r="N39" s="393">
        <v>964505195</v>
      </c>
      <c r="O39" s="393">
        <v>964505195</v>
      </c>
      <c r="P39" s="393">
        <v>982752462</v>
      </c>
      <c r="Q39" s="393">
        <v>982752462</v>
      </c>
      <c r="R39" s="393">
        <f>+[3]INVERSIÓN!$DL44</f>
        <v>974187362</v>
      </c>
      <c r="S39" s="393"/>
      <c r="T39" s="391">
        <v>0</v>
      </c>
      <c r="U39" s="391">
        <v>238369066</v>
      </c>
      <c r="V39" s="391">
        <v>504924230</v>
      </c>
      <c r="W39" s="402">
        <v>597652425</v>
      </c>
      <c r="X39" s="392">
        <v>615769258</v>
      </c>
      <c r="Y39" s="392">
        <v>615769258</v>
      </c>
      <c r="Z39" s="393">
        <v>693684394</v>
      </c>
      <c r="AA39" s="393">
        <v>693684394</v>
      </c>
      <c r="AB39" s="393">
        <v>695377061</v>
      </c>
      <c r="AC39" s="393">
        <v>862736341</v>
      </c>
      <c r="AD39" s="393">
        <v>894503741</v>
      </c>
      <c r="AE39" s="393">
        <f>+[3]INVERSIÓN!$DM44</f>
        <v>960079267</v>
      </c>
      <c r="AF39" s="398"/>
      <c r="AG39" s="660"/>
      <c r="AH39" s="660"/>
      <c r="AI39" s="660"/>
      <c r="AJ39" s="660"/>
      <c r="AK39" s="660"/>
      <c r="AL39" s="660"/>
      <c r="AM39" s="660"/>
      <c r="AN39" s="660"/>
      <c r="AO39" s="816"/>
      <c r="AP39" s="819"/>
      <c r="AQ39" s="660"/>
      <c r="AR39" s="660"/>
      <c r="AS39" s="660"/>
      <c r="AT39" s="660"/>
      <c r="AU39" s="660"/>
      <c r="AV39" s="660"/>
      <c r="AW39" s="660"/>
      <c r="AX39" s="812"/>
      <c r="AY39" s="756"/>
    </row>
    <row r="40" spans="1:51" ht="32.25" customHeight="1">
      <c r="A40" s="820">
        <v>6</v>
      </c>
      <c r="B40" s="660" t="s">
        <v>791</v>
      </c>
      <c r="C40" s="821" t="s">
        <v>318</v>
      </c>
      <c r="D40" s="430" t="s">
        <v>40</v>
      </c>
      <c r="E40" s="453">
        <v>370</v>
      </c>
      <c r="F40" s="453">
        <v>370</v>
      </c>
      <c r="G40" s="460">
        <v>370</v>
      </c>
      <c r="H40" s="460">
        <v>370</v>
      </c>
      <c r="I40" s="460">
        <v>370</v>
      </c>
      <c r="J40" s="460">
        <v>370</v>
      </c>
      <c r="K40" s="460">
        <v>370</v>
      </c>
      <c r="L40" s="460">
        <v>394</v>
      </c>
      <c r="M40" s="461">
        <v>418</v>
      </c>
      <c r="N40" s="461">
        <v>902</v>
      </c>
      <c r="O40" s="461">
        <v>902</v>
      </c>
      <c r="P40" s="461">
        <v>902</v>
      </c>
      <c r="Q40" s="461">
        <v>902</v>
      </c>
      <c r="R40" s="461">
        <f>+[3]INVERSIÓN!$DL45</f>
        <v>1193</v>
      </c>
      <c r="S40" s="461"/>
      <c r="T40" s="460">
        <v>10</v>
      </c>
      <c r="U40" s="460">
        <v>23</v>
      </c>
      <c r="V40" s="460">
        <v>57</v>
      </c>
      <c r="W40" s="402">
        <v>136</v>
      </c>
      <c r="X40" s="395">
        <v>179</v>
      </c>
      <c r="Y40" s="395">
        <v>394</v>
      </c>
      <c r="Z40" s="461">
        <v>418</v>
      </c>
      <c r="AA40" s="461">
        <v>647</v>
      </c>
      <c r="AB40" s="461">
        <v>647</v>
      </c>
      <c r="AC40" s="461">
        <v>843</v>
      </c>
      <c r="AD40" s="461">
        <v>1193</v>
      </c>
      <c r="AE40" s="461">
        <f>+[3]INVERSIÓN!$DM45</f>
        <v>1193</v>
      </c>
      <c r="AF40" s="461"/>
      <c r="AG40" s="660" t="s">
        <v>460</v>
      </c>
      <c r="AH40" s="660" t="s">
        <v>312</v>
      </c>
      <c r="AI40" s="660" t="s">
        <v>312</v>
      </c>
      <c r="AJ40" s="660" t="s">
        <v>460</v>
      </c>
      <c r="AK40" s="660" t="s">
        <v>314</v>
      </c>
      <c r="AL40" s="660" t="s">
        <v>312</v>
      </c>
      <c r="AM40" s="660" t="s">
        <v>312</v>
      </c>
      <c r="AN40" s="660" t="s">
        <v>312</v>
      </c>
      <c r="AO40" s="822">
        <v>1636823</v>
      </c>
      <c r="AP40" s="823">
        <v>1816010</v>
      </c>
      <c r="AQ40" s="660" t="s">
        <v>312</v>
      </c>
      <c r="AR40" s="660" t="s">
        <v>312</v>
      </c>
      <c r="AS40" s="660" t="s">
        <v>312</v>
      </c>
      <c r="AT40" s="660" t="s">
        <v>312</v>
      </c>
      <c r="AU40" s="660" t="s">
        <v>312</v>
      </c>
      <c r="AV40" s="660" t="s">
        <v>312</v>
      </c>
      <c r="AW40" s="660" t="s">
        <v>312</v>
      </c>
      <c r="AX40" s="812">
        <v>3452833</v>
      </c>
      <c r="AY40" s="756"/>
    </row>
    <row r="41" spans="1:51" ht="32.25" customHeight="1">
      <c r="A41" s="820"/>
      <c r="B41" s="660"/>
      <c r="C41" s="821"/>
      <c r="D41" s="427" t="s">
        <v>3</v>
      </c>
      <c r="E41" s="396">
        <v>1768085000</v>
      </c>
      <c r="F41" s="396">
        <v>1630204500</v>
      </c>
      <c r="G41" s="396">
        <v>1630204500</v>
      </c>
      <c r="H41" s="396">
        <v>1630204500</v>
      </c>
      <c r="I41" s="396">
        <v>1630204500</v>
      </c>
      <c r="J41" s="396">
        <v>1630204500</v>
      </c>
      <c r="K41" s="397">
        <v>1630204500</v>
      </c>
      <c r="L41" s="397">
        <v>1630204500</v>
      </c>
      <c r="M41" s="398">
        <v>1594299000</v>
      </c>
      <c r="N41" s="398">
        <v>1557344500</v>
      </c>
      <c r="O41" s="398">
        <v>1536586500</v>
      </c>
      <c r="P41" s="398">
        <v>1594881932</v>
      </c>
      <c r="Q41" s="398">
        <v>1599580832</v>
      </c>
      <c r="R41" s="398">
        <f>+[3]INVERSIÓN!$DL46</f>
        <v>1625097832</v>
      </c>
      <c r="S41" s="398"/>
      <c r="T41" s="396">
        <v>0</v>
      </c>
      <c r="U41" s="396">
        <v>411740000</v>
      </c>
      <c r="V41" s="396">
        <v>1268093500</v>
      </c>
      <c r="W41" s="402">
        <v>1456148500</v>
      </c>
      <c r="X41" s="384">
        <v>1499381500</v>
      </c>
      <c r="Y41" s="384">
        <v>1517441500</v>
      </c>
      <c r="Z41" s="398">
        <v>1517441500</v>
      </c>
      <c r="AA41" s="398">
        <v>1517441500</v>
      </c>
      <c r="AB41" s="398">
        <v>1517441500</v>
      </c>
      <c r="AC41" s="398">
        <v>1517441500</v>
      </c>
      <c r="AD41" s="398">
        <v>1567170300</v>
      </c>
      <c r="AE41" s="398">
        <f>+[3]INVERSIÓN!$DM46</f>
        <v>1616580500</v>
      </c>
      <c r="AF41" s="386"/>
      <c r="AG41" s="660"/>
      <c r="AH41" s="660"/>
      <c r="AI41" s="660"/>
      <c r="AJ41" s="660"/>
      <c r="AK41" s="660"/>
      <c r="AL41" s="660"/>
      <c r="AM41" s="660"/>
      <c r="AN41" s="660"/>
      <c r="AO41" s="822"/>
      <c r="AP41" s="823"/>
      <c r="AQ41" s="660"/>
      <c r="AR41" s="660"/>
      <c r="AS41" s="660"/>
      <c r="AT41" s="660"/>
      <c r="AU41" s="660"/>
      <c r="AV41" s="660"/>
      <c r="AW41" s="660"/>
      <c r="AX41" s="812"/>
      <c r="AY41" s="756"/>
    </row>
    <row r="42" spans="1:51" ht="32.25" customHeight="1">
      <c r="A42" s="820"/>
      <c r="B42" s="660"/>
      <c r="C42" s="821"/>
      <c r="D42" s="430" t="s">
        <v>41</v>
      </c>
      <c r="E42" s="453">
        <v>0</v>
      </c>
      <c r="F42" s="453">
        <v>0</v>
      </c>
      <c r="G42" s="460">
        <v>0</v>
      </c>
      <c r="H42" s="460">
        <v>0</v>
      </c>
      <c r="I42" s="460">
        <v>0</v>
      </c>
      <c r="J42" s="460">
        <v>0</v>
      </c>
      <c r="K42" s="460">
        <v>0</v>
      </c>
      <c r="L42" s="460">
        <v>0</v>
      </c>
      <c r="M42" s="461">
        <v>0</v>
      </c>
      <c r="N42" s="461">
        <v>0</v>
      </c>
      <c r="O42" s="461">
        <v>0</v>
      </c>
      <c r="P42" s="461">
        <v>0</v>
      </c>
      <c r="Q42" s="461">
        <v>0</v>
      </c>
      <c r="R42" s="461">
        <f>+[3]INVERSIÓN!$DL48</f>
        <v>0</v>
      </c>
      <c r="S42" s="461"/>
      <c r="T42" s="460">
        <v>0</v>
      </c>
      <c r="U42" s="460">
        <v>0</v>
      </c>
      <c r="V42" s="460">
        <v>0</v>
      </c>
      <c r="W42" s="402">
        <v>0</v>
      </c>
      <c r="X42" s="395">
        <v>0</v>
      </c>
      <c r="Y42" s="395">
        <v>0</v>
      </c>
      <c r="Z42" s="461">
        <v>0</v>
      </c>
      <c r="AA42" s="461">
        <v>0</v>
      </c>
      <c r="AB42" s="461">
        <v>0</v>
      </c>
      <c r="AC42" s="461">
        <v>0</v>
      </c>
      <c r="AD42" s="461">
        <v>0</v>
      </c>
      <c r="AE42" s="461">
        <f>+[3]INVERSIÓN!$DM48</f>
        <v>0</v>
      </c>
      <c r="AF42" s="463"/>
      <c r="AG42" s="660"/>
      <c r="AH42" s="660"/>
      <c r="AI42" s="660"/>
      <c r="AJ42" s="660"/>
      <c r="AK42" s="660"/>
      <c r="AL42" s="660"/>
      <c r="AM42" s="660"/>
      <c r="AN42" s="660"/>
      <c r="AO42" s="822"/>
      <c r="AP42" s="823"/>
      <c r="AQ42" s="660"/>
      <c r="AR42" s="660"/>
      <c r="AS42" s="660"/>
      <c r="AT42" s="660"/>
      <c r="AU42" s="660"/>
      <c r="AV42" s="660"/>
      <c r="AW42" s="660"/>
      <c r="AX42" s="812"/>
      <c r="AY42" s="756"/>
    </row>
    <row r="43" spans="1:51" ht="32.25" customHeight="1">
      <c r="A43" s="820"/>
      <c r="B43" s="660"/>
      <c r="C43" s="821"/>
      <c r="D43" s="427" t="s">
        <v>4</v>
      </c>
      <c r="E43" s="396">
        <v>390034033</v>
      </c>
      <c r="F43" s="396">
        <v>390034033</v>
      </c>
      <c r="G43" s="396">
        <v>390034033</v>
      </c>
      <c r="H43" s="396">
        <v>390034033</v>
      </c>
      <c r="I43" s="396">
        <v>390034033</v>
      </c>
      <c r="J43" s="396">
        <v>390034033</v>
      </c>
      <c r="K43" s="397">
        <v>390034033</v>
      </c>
      <c r="L43" s="397">
        <v>390034033</v>
      </c>
      <c r="M43" s="398">
        <v>390034033</v>
      </c>
      <c r="N43" s="398">
        <v>390034033</v>
      </c>
      <c r="O43" s="398">
        <v>390034033</v>
      </c>
      <c r="P43" s="398">
        <v>390034033</v>
      </c>
      <c r="Q43" s="398">
        <v>390034033</v>
      </c>
      <c r="R43" s="398">
        <f>+[3]INVERSIÓN!$DL49</f>
        <v>390034033</v>
      </c>
      <c r="S43" s="398"/>
      <c r="T43" s="396">
        <v>65830733</v>
      </c>
      <c r="U43" s="396">
        <v>185090999</v>
      </c>
      <c r="V43" s="396">
        <v>256442365</v>
      </c>
      <c r="W43" s="402">
        <v>283858399</v>
      </c>
      <c r="X43" s="384">
        <v>303565432</v>
      </c>
      <c r="Y43" s="384">
        <v>311858332</v>
      </c>
      <c r="Z43" s="398">
        <v>322112665</v>
      </c>
      <c r="AA43" s="398">
        <v>331042332</v>
      </c>
      <c r="AB43" s="398">
        <v>335376999</v>
      </c>
      <c r="AC43" s="398">
        <v>337584332</v>
      </c>
      <c r="AD43" s="398">
        <v>337584332</v>
      </c>
      <c r="AE43" s="398">
        <f>+[3]INVERSIÓN!$DM49</f>
        <v>339522932</v>
      </c>
      <c r="AF43" s="386"/>
      <c r="AG43" s="660"/>
      <c r="AH43" s="660"/>
      <c r="AI43" s="660"/>
      <c r="AJ43" s="660"/>
      <c r="AK43" s="660"/>
      <c r="AL43" s="660"/>
      <c r="AM43" s="660"/>
      <c r="AN43" s="660"/>
      <c r="AO43" s="822"/>
      <c r="AP43" s="823"/>
      <c r="AQ43" s="660"/>
      <c r="AR43" s="660"/>
      <c r="AS43" s="660"/>
      <c r="AT43" s="660"/>
      <c r="AU43" s="660"/>
      <c r="AV43" s="660"/>
      <c r="AW43" s="660"/>
      <c r="AX43" s="812"/>
      <c r="AY43" s="756"/>
    </row>
    <row r="44" spans="1:51" ht="32.25" customHeight="1">
      <c r="A44" s="820"/>
      <c r="B44" s="660"/>
      <c r="C44" s="821"/>
      <c r="D44" s="430" t="s">
        <v>42</v>
      </c>
      <c r="E44" s="405">
        <v>370</v>
      </c>
      <c r="F44" s="405">
        <v>370</v>
      </c>
      <c r="G44" s="405">
        <v>370</v>
      </c>
      <c r="H44" s="405">
        <v>370</v>
      </c>
      <c r="I44" s="405">
        <v>370</v>
      </c>
      <c r="J44" s="405">
        <v>370</v>
      </c>
      <c r="K44" s="406">
        <v>370</v>
      </c>
      <c r="L44" s="406">
        <v>394</v>
      </c>
      <c r="M44" s="407">
        <v>418</v>
      </c>
      <c r="N44" s="407">
        <v>902</v>
      </c>
      <c r="O44" s="407">
        <v>902</v>
      </c>
      <c r="P44" s="407">
        <v>902</v>
      </c>
      <c r="Q44" s="407">
        <v>902</v>
      </c>
      <c r="R44" s="407">
        <f>+[3]INVERSIÓN!$DL50</f>
        <v>1193</v>
      </c>
      <c r="S44" s="407"/>
      <c r="T44" s="405">
        <v>10</v>
      </c>
      <c r="U44" s="405">
        <v>23</v>
      </c>
      <c r="V44" s="405">
        <v>57</v>
      </c>
      <c r="W44" s="402">
        <v>136</v>
      </c>
      <c r="X44" s="406">
        <v>179</v>
      </c>
      <c r="Y44" s="406">
        <v>394</v>
      </c>
      <c r="Z44" s="407">
        <v>418</v>
      </c>
      <c r="AA44" s="407">
        <v>647</v>
      </c>
      <c r="AB44" s="407">
        <v>647</v>
      </c>
      <c r="AC44" s="407">
        <v>843</v>
      </c>
      <c r="AD44" s="407">
        <v>1193</v>
      </c>
      <c r="AE44" s="407">
        <f>+[3]INVERSIÓN!$DM50</f>
        <v>1193</v>
      </c>
      <c r="AF44" s="461"/>
      <c r="AG44" s="660"/>
      <c r="AH44" s="660"/>
      <c r="AI44" s="660"/>
      <c r="AJ44" s="660"/>
      <c r="AK44" s="660"/>
      <c r="AL44" s="660"/>
      <c r="AM44" s="660"/>
      <c r="AN44" s="660"/>
      <c r="AO44" s="822"/>
      <c r="AP44" s="823"/>
      <c r="AQ44" s="660"/>
      <c r="AR44" s="660"/>
      <c r="AS44" s="660"/>
      <c r="AT44" s="660"/>
      <c r="AU44" s="660"/>
      <c r="AV44" s="660"/>
      <c r="AW44" s="660"/>
      <c r="AX44" s="812"/>
      <c r="AY44" s="756"/>
    </row>
    <row r="45" spans="1:51" ht="32.25" customHeight="1">
      <c r="A45" s="820"/>
      <c r="B45" s="660"/>
      <c r="C45" s="821"/>
      <c r="D45" s="427" t="s">
        <v>44</v>
      </c>
      <c r="E45" s="391">
        <v>2158119033</v>
      </c>
      <c r="F45" s="391">
        <v>2020238533</v>
      </c>
      <c r="G45" s="391">
        <v>2020238533</v>
      </c>
      <c r="H45" s="391">
        <v>2020238533</v>
      </c>
      <c r="I45" s="391">
        <v>2020238533</v>
      </c>
      <c r="J45" s="391">
        <v>2020238533</v>
      </c>
      <c r="K45" s="392">
        <v>2020238533</v>
      </c>
      <c r="L45" s="392">
        <v>2020238533</v>
      </c>
      <c r="M45" s="393">
        <v>1984333033</v>
      </c>
      <c r="N45" s="393">
        <v>1947378533</v>
      </c>
      <c r="O45" s="393">
        <v>1926620533</v>
      </c>
      <c r="P45" s="393">
        <v>1984915965</v>
      </c>
      <c r="Q45" s="393">
        <v>1989614865</v>
      </c>
      <c r="R45" s="393">
        <f>+[3]INVERSIÓN!$DL51</f>
        <v>2015131865</v>
      </c>
      <c r="S45" s="393"/>
      <c r="T45" s="391">
        <v>65830733</v>
      </c>
      <c r="U45" s="391">
        <v>596830999</v>
      </c>
      <c r="V45" s="391">
        <v>1524535865</v>
      </c>
      <c r="W45" s="402">
        <v>1740006899</v>
      </c>
      <c r="X45" s="392">
        <v>1802946932</v>
      </c>
      <c r="Y45" s="392">
        <v>1829299832</v>
      </c>
      <c r="Z45" s="393">
        <v>1839554165</v>
      </c>
      <c r="AA45" s="393">
        <v>1848483832</v>
      </c>
      <c r="AB45" s="393">
        <v>1852818499</v>
      </c>
      <c r="AC45" s="393">
        <v>1855025832</v>
      </c>
      <c r="AD45" s="393">
        <v>1904754632</v>
      </c>
      <c r="AE45" s="393">
        <f>+[3]INVERSIÓN!$DM51</f>
        <v>1956103432</v>
      </c>
      <c r="AF45" s="398"/>
      <c r="AG45" s="660"/>
      <c r="AH45" s="660"/>
      <c r="AI45" s="660"/>
      <c r="AJ45" s="660"/>
      <c r="AK45" s="660"/>
      <c r="AL45" s="660"/>
      <c r="AM45" s="660"/>
      <c r="AN45" s="660"/>
      <c r="AO45" s="822"/>
      <c r="AP45" s="823"/>
      <c r="AQ45" s="660"/>
      <c r="AR45" s="660"/>
      <c r="AS45" s="660"/>
      <c r="AT45" s="660"/>
      <c r="AU45" s="660"/>
      <c r="AV45" s="660"/>
      <c r="AW45" s="660"/>
      <c r="AX45" s="812"/>
      <c r="AY45" s="756"/>
    </row>
    <row r="46" spans="1:51" ht="32.25" customHeight="1">
      <c r="A46" s="820">
        <v>7</v>
      </c>
      <c r="B46" s="660" t="s">
        <v>309</v>
      </c>
      <c r="C46" s="821" t="s">
        <v>320</v>
      </c>
      <c r="D46" s="428" t="s">
        <v>40</v>
      </c>
      <c r="E46" s="163">
        <v>1</v>
      </c>
      <c r="F46" s="163">
        <v>1</v>
      </c>
      <c r="G46" s="163">
        <v>1</v>
      </c>
      <c r="H46" s="163">
        <v>1</v>
      </c>
      <c r="I46" s="163">
        <v>1</v>
      </c>
      <c r="J46" s="163">
        <v>1</v>
      </c>
      <c r="K46" s="408">
        <v>1</v>
      </c>
      <c r="L46" s="408">
        <v>1</v>
      </c>
      <c r="M46" s="368">
        <v>1</v>
      </c>
      <c r="N46" s="368">
        <v>1</v>
      </c>
      <c r="O46" s="368">
        <v>1</v>
      </c>
      <c r="P46" s="368">
        <v>1</v>
      </c>
      <c r="Q46" s="368">
        <v>1</v>
      </c>
      <c r="R46" s="368">
        <f>+[3]INVERSIÓN!$DL52</f>
        <v>1</v>
      </c>
      <c r="S46" s="409"/>
      <c r="T46" s="163">
        <v>1</v>
      </c>
      <c r="U46" s="163">
        <v>1</v>
      </c>
      <c r="V46" s="163">
        <v>1</v>
      </c>
      <c r="W46" s="402">
        <v>1</v>
      </c>
      <c r="X46" s="380">
        <v>1</v>
      </c>
      <c r="Y46" s="380">
        <v>1</v>
      </c>
      <c r="Z46" s="368">
        <v>1</v>
      </c>
      <c r="AA46" s="368">
        <v>1</v>
      </c>
      <c r="AB46" s="368">
        <v>1</v>
      </c>
      <c r="AC46" s="368">
        <v>1</v>
      </c>
      <c r="AD46" s="368">
        <v>1</v>
      </c>
      <c r="AE46" s="368">
        <f>+[3]INVERSIÓN!$DM52</f>
        <v>1</v>
      </c>
      <c r="AF46" s="409"/>
      <c r="AG46" s="660" t="s">
        <v>311</v>
      </c>
      <c r="AH46" s="660" t="s">
        <v>312</v>
      </c>
      <c r="AI46" s="660" t="s">
        <v>312</v>
      </c>
      <c r="AJ46" s="660" t="s">
        <v>314</v>
      </c>
      <c r="AK46" s="660" t="s">
        <v>314</v>
      </c>
      <c r="AL46" s="660" t="s">
        <v>312</v>
      </c>
      <c r="AM46" s="660" t="s">
        <v>312</v>
      </c>
      <c r="AN46" s="660" t="s">
        <v>312</v>
      </c>
      <c r="AO46" s="814">
        <v>3751549</v>
      </c>
      <c r="AP46" s="817">
        <v>4082618</v>
      </c>
      <c r="AQ46" s="660" t="s">
        <v>312</v>
      </c>
      <c r="AR46" s="660" t="s">
        <v>312</v>
      </c>
      <c r="AS46" s="660" t="s">
        <v>312</v>
      </c>
      <c r="AT46" s="660" t="s">
        <v>312</v>
      </c>
      <c r="AU46" s="660" t="s">
        <v>312</v>
      </c>
      <c r="AV46" s="660" t="s">
        <v>312</v>
      </c>
      <c r="AW46" s="660" t="s">
        <v>312</v>
      </c>
      <c r="AX46" s="812">
        <v>7834167</v>
      </c>
      <c r="AY46" s="756"/>
    </row>
    <row r="47" spans="1:51" ht="32.25" customHeight="1">
      <c r="A47" s="820"/>
      <c r="B47" s="660"/>
      <c r="C47" s="821"/>
      <c r="D47" s="427" t="s">
        <v>3</v>
      </c>
      <c r="E47" s="383">
        <v>758280000</v>
      </c>
      <c r="F47" s="383">
        <v>835827000</v>
      </c>
      <c r="G47" s="383">
        <v>835827000</v>
      </c>
      <c r="H47" s="383">
        <v>835827000</v>
      </c>
      <c r="I47" s="383">
        <v>835827000</v>
      </c>
      <c r="J47" s="383">
        <v>835827000</v>
      </c>
      <c r="K47" s="410">
        <v>835827000</v>
      </c>
      <c r="L47" s="410">
        <v>835827000</v>
      </c>
      <c r="M47" s="386">
        <v>835827000</v>
      </c>
      <c r="N47" s="386">
        <v>809640000</v>
      </c>
      <c r="O47" s="386">
        <v>769139000</v>
      </c>
      <c r="P47" s="386">
        <v>794087053</v>
      </c>
      <c r="Q47" s="386">
        <v>785712653</v>
      </c>
      <c r="R47" s="386">
        <f>+[3]INVERSIÓN!$DL53</f>
        <v>785712653</v>
      </c>
      <c r="S47" s="386"/>
      <c r="T47" s="383">
        <v>0</v>
      </c>
      <c r="U47" s="383">
        <v>366737000</v>
      </c>
      <c r="V47" s="383">
        <v>691465000</v>
      </c>
      <c r="W47" s="402">
        <v>713657000</v>
      </c>
      <c r="X47" s="384">
        <v>713657000</v>
      </c>
      <c r="Y47" s="384">
        <v>725843000</v>
      </c>
      <c r="Z47" s="386">
        <v>753209000</v>
      </c>
      <c r="AA47" s="386">
        <v>753209000</v>
      </c>
      <c r="AB47" s="386">
        <v>753209000</v>
      </c>
      <c r="AC47" s="386">
        <v>757691652</v>
      </c>
      <c r="AD47" s="386">
        <v>785712653</v>
      </c>
      <c r="AE47" s="386">
        <f>+[3]INVERSIÓN!$DM53</f>
        <v>785712653</v>
      </c>
      <c r="AF47" s="386"/>
      <c r="AG47" s="660"/>
      <c r="AH47" s="660"/>
      <c r="AI47" s="660"/>
      <c r="AJ47" s="660"/>
      <c r="AK47" s="660"/>
      <c r="AL47" s="660"/>
      <c r="AM47" s="660"/>
      <c r="AN47" s="660"/>
      <c r="AO47" s="815"/>
      <c r="AP47" s="818"/>
      <c r="AQ47" s="660"/>
      <c r="AR47" s="660"/>
      <c r="AS47" s="660"/>
      <c r="AT47" s="660"/>
      <c r="AU47" s="660"/>
      <c r="AV47" s="660"/>
      <c r="AW47" s="660"/>
      <c r="AX47" s="812"/>
      <c r="AY47" s="756"/>
    </row>
    <row r="48" spans="1:51" ht="32.25" customHeight="1">
      <c r="A48" s="820"/>
      <c r="B48" s="660"/>
      <c r="C48" s="821"/>
      <c r="D48" s="428" t="s">
        <v>41</v>
      </c>
      <c r="E48" s="163">
        <v>0</v>
      </c>
      <c r="F48" s="163">
        <v>0</v>
      </c>
      <c r="G48" s="163">
        <v>0</v>
      </c>
      <c r="H48" s="163">
        <v>0</v>
      </c>
      <c r="I48" s="163">
        <v>0</v>
      </c>
      <c r="J48" s="163">
        <v>0</v>
      </c>
      <c r="K48" s="408">
        <v>0</v>
      </c>
      <c r="L48" s="408">
        <v>0</v>
      </c>
      <c r="M48" s="368">
        <v>0</v>
      </c>
      <c r="N48" s="368">
        <v>0</v>
      </c>
      <c r="O48" s="368">
        <v>0</v>
      </c>
      <c r="P48" s="368">
        <v>0</v>
      </c>
      <c r="Q48" s="368">
        <v>0</v>
      </c>
      <c r="R48" s="368">
        <f>+[3]INVERSIÓN!$DL55</f>
        <v>0</v>
      </c>
      <c r="S48" s="368"/>
      <c r="T48" s="163">
        <v>0</v>
      </c>
      <c r="U48" s="163">
        <v>0</v>
      </c>
      <c r="V48" s="163">
        <v>0</v>
      </c>
      <c r="W48" s="402">
        <v>0</v>
      </c>
      <c r="X48" s="380">
        <v>0</v>
      </c>
      <c r="Y48" s="380">
        <v>0</v>
      </c>
      <c r="Z48" s="368">
        <v>0</v>
      </c>
      <c r="AA48" s="368">
        <v>0</v>
      </c>
      <c r="AB48" s="368">
        <v>0</v>
      </c>
      <c r="AC48" s="368">
        <v>0</v>
      </c>
      <c r="AD48" s="368">
        <v>0</v>
      </c>
      <c r="AE48" s="368">
        <f>+[3]INVERSIÓN!$DM55</f>
        <v>0</v>
      </c>
      <c r="AF48" s="368"/>
      <c r="AG48" s="660"/>
      <c r="AH48" s="660"/>
      <c r="AI48" s="660"/>
      <c r="AJ48" s="660"/>
      <c r="AK48" s="660"/>
      <c r="AL48" s="660"/>
      <c r="AM48" s="660"/>
      <c r="AN48" s="660"/>
      <c r="AO48" s="815"/>
      <c r="AP48" s="818"/>
      <c r="AQ48" s="660"/>
      <c r="AR48" s="660"/>
      <c r="AS48" s="660"/>
      <c r="AT48" s="660"/>
      <c r="AU48" s="660"/>
      <c r="AV48" s="660"/>
      <c r="AW48" s="660"/>
      <c r="AX48" s="812"/>
      <c r="AY48" s="756"/>
    </row>
    <row r="49" spans="1:51" ht="32.25" customHeight="1">
      <c r="A49" s="820"/>
      <c r="B49" s="660"/>
      <c r="C49" s="821"/>
      <c r="D49" s="427" t="s">
        <v>4</v>
      </c>
      <c r="E49" s="383">
        <v>34323500</v>
      </c>
      <c r="F49" s="383">
        <v>34323500</v>
      </c>
      <c r="G49" s="383">
        <v>34323500</v>
      </c>
      <c r="H49" s="383">
        <v>34323500</v>
      </c>
      <c r="I49" s="383">
        <v>34323500</v>
      </c>
      <c r="J49" s="383">
        <v>34323500</v>
      </c>
      <c r="K49" s="410">
        <v>34323500</v>
      </c>
      <c r="L49" s="410">
        <v>34323500</v>
      </c>
      <c r="M49" s="386">
        <v>34323500</v>
      </c>
      <c r="N49" s="386">
        <v>34323500</v>
      </c>
      <c r="O49" s="386">
        <v>34323500</v>
      </c>
      <c r="P49" s="386">
        <v>34323500</v>
      </c>
      <c r="Q49" s="386">
        <v>34323500</v>
      </c>
      <c r="R49" s="386">
        <f>+[3]INVERSIÓN!$DL56</f>
        <v>34323500</v>
      </c>
      <c r="S49" s="398"/>
      <c r="T49" s="383">
        <v>16758000</v>
      </c>
      <c r="U49" s="383">
        <v>22283500</v>
      </c>
      <c r="V49" s="383">
        <v>22283500</v>
      </c>
      <c r="W49" s="402">
        <v>22283500</v>
      </c>
      <c r="X49" s="384">
        <v>22283500</v>
      </c>
      <c r="Y49" s="384">
        <v>22283500</v>
      </c>
      <c r="Z49" s="386">
        <v>22283500</v>
      </c>
      <c r="AA49" s="386">
        <v>22283500</v>
      </c>
      <c r="AB49" s="386">
        <v>22283500</v>
      </c>
      <c r="AC49" s="386">
        <v>22283500</v>
      </c>
      <c r="AD49" s="386">
        <v>22283500</v>
      </c>
      <c r="AE49" s="386">
        <f>+[3]INVERSIÓN!$DM56</f>
        <v>31313500</v>
      </c>
      <c r="AF49" s="386"/>
      <c r="AG49" s="660"/>
      <c r="AH49" s="660"/>
      <c r="AI49" s="660"/>
      <c r="AJ49" s="660"/>
      <c r="AK49" s="660"/>
      <c r="AL49" s="660"/>
      <c r="AM49" s="660"/>
      <c r="AN49" s="660"/>
      <c r="AO49" s="815"/>
      <c r="AP49" s="818"/>
      <c r="AQ49" s="660"/>
      <c r="AR49" s="660"/>
      <c r="AS49" s="660"/>
      <c r="AT49" s="660"/>
      <c r="AU49" s="660"/>
      <c r="AV49" s="660"/>
      <c r="AW49" s="660"/>
      <c r="AX49" s="812"/>
      <c r="AY49" s="756"/>
    </row>
    <row r="50" spans="1:51" ht="32.25" customHeight="1">
      <c r="A50" s="820"/>
      <c r="B50" s="660"/>
      <c r="C50" s="821"/>
      <c r="D50" s="431" t="s">
        <v>42</v>
      </c>
      <c r="E50" s="388">
        <v>1</v>
      </c>
      <c r="F50" s="388">
        <v>1</v>
      </c>
      <c r="G50" s="388">
        <v>1</v>
      </c>
      <c r="H50" s="388">
        <v>1</v>
      </c>
      <c r="I50" s="388">
        <v>1</v>
      </c>
      <c r="J50" s="388">
        <v>1</v>
      </c>
      <c r="K50" s="389">
        <v>1</v>
      </c>
      <c r="L50" s="389">
        <v>1</v>
      </c>
      <c r="M50" s="390">
        <v>1</v>
      </c>
      <c r="N50" s="390">
        <v>1</v>
      </c>
      <c r="O50" s="390">
        <v>1</v>
      </c>
      <c r="P50" s="390">
        <v>1</v>
      </c>
      <c r="Q50" s="390">
        <v>1</v>
      </c>
      <c r="R50" s="390">
        <f>+[3]INVERSIÓN!$DL57</f>
        <v>1</v>
      </c>
      <c r="S50" s="390"/>
      <c r="T50" s="388">
        <v>1</v>
      </c>
      <c r="U50" s="388">
        <v>1</v>
      </c>
      <c r="V50" s="388">
        <v>1</v>
      </c>
      <c r="W50" s="402">
        <v>1</v>
      </c>
      <c r="X50" s="389">
        <v>1</v>
      </c>
      <c r="Y50" s="389">
        <v>1</v>
      </c>
      <c r="Z50" s="390">
        <v>1</v>
      </c>
      <c r="AA50" s="390">
        <v>1</v>
      </c>
      <c r="AB50" s="390">
        <v>1</v>
      </c>
      <c r="AC50" s="390">
        <v>1</v>
      </c>
      <c r="AD50" s="390">
        <v>1</v>
      </c>
      <c r="AE50" s="390">
        <f>+[3]INVERSIÓN!$DM57</f>
        <v>1</v>
      </c>
      <c r="AF50" s="390"/>
      <c r="AG50" s="660"/>
      <c r="AH50" s="660"/>
      <c r="AI50" s="660"/>
      <c r="AJ50" s="660"/>
      <c r="AK50" s="660"/>
      <c r="AL50" s="660"/>
      <c r="AM50" s="660"/>
      <c r="AN50" s="660"/>
      <c r="AO50" s="815"/>
      <c r="AP50" s="818"/>
      <c r="AQ50" s="660"/>
      <c r="AR50" s="660"/>
      <c r="AS50" s="660"/>
      <c r="AT50" s="660"/>
      <c r="AU50" s="660"/>
      <c r="AV50" s="660"/>
      <c r="AW50" s="660"/>
      <c r="AX50" s="812"/>
      <c r="AY50" s="756"/>
    </row>
    <row r="51" spans="1:51" ht="32.25" customHeight="1">
      <c r="A51" s="820"/>
      <c r="B51" s="660"/>
      <c r="C51" s="821"/>
      <c r="D51" s="432" t="s">
        <v>44</v>
      </c>
      <c r="E51" s="391">
        <v>792603500</v>
      </c>
      <c r="F51" s="391">
        <v>870150500</v>
      </c>
      <c r="G51" s="391">
        <v>870150500</v>
      </c>
      <c r="H51" s="391">
        <v>870150500</v>
      </c>
      <c r="I51" s="391">
        <v>870150500</v>
      </c>
      <c r="J51" s="391">
        <v>870150500</v>
      </c>
      <c r="K51" s="392">
        <v>870150500</v>
      </c>
      <c r="L51" s="392">
        <v>870150500</v>
      </c>
      <c r="M51" s="393">
        <v>870150500</v>
      </c>
      <c r="N51" s="393">
        <v>843963500</v>
      </c>
      <c r="O51" s="393">
        <v>803462500</v>
      </c>
      <c r="P51" s="393">
        <v>828410553</v>
      </c>
      <c r="Q51" s="393">
        <v>820036153</v>
      </c>
      <c r="R51" s="393">
        <f>+[3]INVERSIÓN!$DL58</f>
        <v>820036153</v>
      </c>
      <c r="S51" s="393"/>
      <c r="T51" s="391">
        <v>16758000</v>
      </c>
      <c r="U51" s="391">
        <v>389020500</v>
      </c>
      <c r="V51" s="391">
        <v>713748500</v>
      </c>
      <c r="W51" s="402">
        <v>735940500</v>
      </c>
      <c r="X51" s="392">
        <v>735940500</v>
      </c>
      <c r="Y51" s="392">
        <v>748126500</v>
      </c>
      <c r="Z51" s="393">
        <v>775492500</v>
      </c>
      <c r="AA51" s="393">
        <v>775492500</v>
      </c>
      <c r="AB51" s="393">
        <v>775492500</v>
      </c>
      <c r="AC51" s="393">
        <v>779975152</v>
      </c>
      <c r="AD51" s="393">
        <v>807996153</v>
      </c>
      <c r="AE51" s="393">
        <f>+[3]INVERSIÓN!$DM58</f>
        <v>817026153</v>
      </c>
      <c r="AF51" s="411"/>
      <c r="AG51" s="660"/>
      <c r="AH51" s="660"/>
      <c r="AI51" s="660"/>
      <c r="AJ51" s="660"/>
      <c r="AK51" s="660"/>
      <c r="AL51" s="660"/>
      <c r="AM51" s="660"/>
      <c r="AN51" s="660"/>
      <c r="AO51" s="816"/>
      <c r="AP51" s="819"/>
      <c r="AQ51" s="660"/>
      <c r="AR51" s="660"/>
      <c r="AS51" s="660"/>
      <c r="AT51" s="660"/>
      <c r="AU51" s="660"/>
      <c r="AV51" s="660"/>
      <c r="AW51" s="660"/>
      <c r="AX51" s="812"/>
      <c r="AY51" s="756"/>
    </row>
    <row r="52" spans="1:51" ht="32.25" customHeight="1">
      <c r="A52" s="635" t="s">
        <v>21</v>
      </c>
      <c r="B52" s="635"/>
      <c r="C52" s="635"/>
      <c r="D52" s="300" t="s">
        <v>33</v>
      </c>
      <c r="E52" s="301">
        <v>12385882000</v>
      </c>
      <c r="F52" s="301">
        <v>12385882000</v>
      </c>
      <c r="G52" s="301">
        <v>12385882000</v>
      </c>
      <c r="H52" s="301">
        <v>12385882000</v>
      </c>
      <c r="I52" s="301">
        <v>12385882000</v>
      </c>
      <c r="J52" s="301">
        <v>12385882000</v>
      </c>
      <c r="K52" s="301">
        <v>12385882000</v>
      </c>
      <c r="L52" s="301">
        <v>12385882000</v>
      </c>
      <c r="M52" s="469">
        <v>12385882000</v>
      </c>
      <c r="N52" s="369">
        <v>12385882000</v>
      </c>
      <c r="O52" s="369">
        <v>12385882000</v>
      </c>
      <c r="P52" s="369">
        <v>12385882000</v>
      </c>
      <c r="Q52" s="369">
        <v>12385882000</v>
      </c>
      <c r="R52" s="369">
        <f>+[3]INVERSIÓN!$DL59</f>
        <v>11735882000</v>
      </c>
      <c r="S52" s="813"/>
      <c r="T52" s="301">
        <v>46330000</v>
      </c>
      <c r="U52" s="301">
        <v>3248059500</v>
      </c>
      <c r="V52" s="301">
        <v>7471739043</v>
      </c>
      <c r="W52" s="302">
        <v>8174314944</v>
      </c>
      <c r="X52" s="301">
        <v>8515414139</v>
      </c>
      <c r="Y52" s="301">
        <v>8980798203</v>
      </c>
      <c r="Z52" s="469">
        <v>9078847983</v>
      </c>
      <c r="AA52" s="369">
        <v>9117590763</v>
      </c>
      <c r="AB52" s="369">
        <v>9474073752</v>
      </c>
      <c r="AC52" s="369">
        <v>9759507101</v>
      </c>
      <c r="AD52" s="369">
        <v>10044965482</v>
      </c>
      <c r="AE52" s="369">
        <f>+[3]INVERSIÓN!$DM59</f>
        <v>11074276787</v>
      </c>
      <c r="AF52" s="813"/>
      <c r="AG52" s="635"/>
      <c r="AH52" s="635"/>
      <c r="AI52" s="635"/>
      <c r="AJ52" s="635"/>
      <c r="AK52" s="635"/>
      <c r="AL52" s="635"/>
      <c r="AM52" s="635"/>
      <c r="AN52" s="635"/>
      <c r="AO52" s="635"/>
      <c r="AP52" s="635"/>
      <c r="AQ52" s="635"/>
      <c r="AR52" s="635"/>
      <c r="AS52" s="635"/>
      <c r="AT52" s="635"/>
      <c r="AU52" s="635"/>
      <c r="AV52" s="635"/>
      <c r="AW52" s="635"/>
      <c r="AX52" s="635"/>
      <c r="AY52" s="635"/>
    </row>
    <row r="53" spans="1:51" ht="32.25" customHeight="1">
      <c r="A53" s="635"/>
      <c r="B53" s="635"/>
      <c r="C53" s="635"/>
      <c r="D53" s="300" t="s">
        <v>32</v>
      </c>
      <c r="E53" s="301">
        <v>3947497832</v>
      </c>
      <c r="F53" s="301">
        <v>3925182182</v>
      </c>
      <c r="G53" s="301">
        <v>3925182182</v>
      </c>
      <c r="H53" s="301">
        <v>3925182182</v>
      </c>
      <c r="I53" s="301">
        <v>3925182182</v>
      </c>
      <c r="J53" s="301">
        <v>3925182182</v>
      </c>
      <c r="K53" s="301">
        <v>3916450150</v>
      </c>
      <c r="L53" s="301">
        <v>3908073050</v>
      </c>
      <c r="M53" s="469">
        <v>3905290250</v>
      </c>
      <c r="N53" s="369">
        <v>3905290250</v>
      </c>
      <c r="O53" s="369">
        <v>3903135510</v>
      </c>
      <c r="P53" s="369">
        <v>3903135508.9999995</v>
      </c>
      <c r="Q53" s="369">
        <v>3903135509</v>
      </c>
      <c r="R53" s="369">
        <f>+[3]INVERSIÓN!$DL60-1</f>
        <v>3871936732.9999995</v>
      </c>
      <c r="S53" s="813"/>
      <c r="T53" s="301">
        <v>308171914</v>
      </c>
      <c r="U53" s="301">
        <v>1229866024</v>
      </c>
      <c r="V53" s="301">
        <v>1414660141</v>
      </c>
      <c r="W53" s="302">
        <v>1937174561</v>
      </c>
      <c r="X53" s="301">
        <v>2115868287</v>
      </c>
      <c r="Y53" s="301">
        <v>2184542231</v>
      </c>
      <c r="Z53" s="469">
        <v>2299337358</v>
      </c>
      <c r="AA53" s="369">
        <v>2492183382</v>
      </c>
      <c r="AB53" s="369">
        <v>2650384704</v>
      </c>
      <c r="AC53" s="369">
        <v>3196106396</v>
      </c>
      <c r="AD53" s="369">
        <v>3418165885</v>
      </c>
      <c r="AE53" s="369">
        <f>+[3]INVERSIÓN!$DM60</f>
        <v>3772775420</v>
      </c>
      <c r="AF53" s="813"/>
      <c r="AG53" s="635"/>
      <c r="AH53" s="635"/>
      <c r="AI53" s="635"/>
      <c r="AJ53" s="635"/>
      <c r="AK53" s="635"/>
      <c r="AL53" s="635"/>
      <c r="AM53" s="635"/>
      <c r="AN53" s="635"/>
      <c r="AO53" s="635"/>
      <c r="AP53" s="635"/>
      <c r="AQ53" s="635"/>
      <c r="AR53" s="635"/>
      <c r="AS53" s="635"/>
      <c r="AT53" s="635"/>
      <c r="AU53" s="635"/>
      <c r="AV53" s="635"/>
      <c r="AW53" s="635"/>
      <c r="AX53" s="635"/>
      <c r="AY53" s="635"/>
    </row>
    <row r="54" spans="1:51" ht="32.25" customHeight="1">
      <c r="A54" s="635"/>
      <c r="B54" s="635"/>
      <c r="C54" s="635"/>
      <c r="D54" s="300" t="s">
        <v>31</v>
      </c>
      <c r="E54" s="301">
        <v>16333379832</v>
      </c>
      <c r="F54" s="301">
        <v>16311064182</v>
      </c>
      <c r="G54" s="301">
        <v>16311064182</v>
      </c>
      <c r="H54" s="301">
        <v>16311064182</v>
      </c>
      <c r="I54" s="301">
        <v>16311064182</v>
      </c>
      <c r="J54" s="301">
        <v>16311064182</v>
      </c>
      <c r="K54" s="301">
        <v>16302332150</v>
      </c>
      <c r="L54" s="301">
        <v>16293955050</v>
      </c>
      <c r="M54" s="469">
        <v>16291172250</v>
      </c>
      <c r="N54" s="369">
        <v>16291172250</v>
      </c>
      <c r="O54" s="369">
        <v>16289017510</v>
      </c>
      <c r="P54" s="369">
        <v>16289017509</v>
      </c>
      <c r="Q54" s="369">
        <v>16289017509</v>
      </c>
      <c r="R54" s="369">
        <f>+[3]INVERSIÓN!$DL61</f>
        <v>15607818734</v>
      </c>
      <c r="S54" s="813"/>
      <c r="T54" s="301">
        <v>354501914</v>
      </c>
      <c r="U54" s="301">
        <v>4477925524</v>
      </c>
      <c r="V54" s="301">
        <v>8886399184</v>
      </c>
      <c r="W54" s="302">
        <v>10111489505</v>
      </c>
      <c r="X54" s="301">
        <v>10631282426</v>
      </c>
      <c r="Y54" s="301">
        <v>11165340434</v>
      </c>
      <c r="Z54" s="469">
        <v>11378185341</v>
      </c>
      <c r="AA54" s="369">
        <v>11609774145</v>
      </c>
      <c r="AB54" s="369">
        <v>12124458456</v>
      </c>
      <c r="AC54" s="369">
        <v>12955613497</v>
      </c>
      <c r="AD54" s="369">
        <v>13463131367</v>
      </c>
      <c r="AE54" s="369">
        <f>+[3]INVERSIÓN!$DM61</f>
        <v>14847052207</v>
      </c>
      <c r="AF54" s="813"/>
      <c r="AG54" s="635"/>
      <c r="AH54" s="635"/>
      <c r="AI54" s="635"/>
      <c r="AJ54" s="635"/>
      <c r="AK54" s="635"/>
      <c r="AL54" s="635"/>
      <c r="AM54" s="635"/>
      <c r="AN54" s="635"/>
      <c r="AO54" s="635"/>
      <c r="AP54" s="635"/>
      <c r="AQ54" s="635"/>
      <c r="AR54" s="635"/>
      <c r="AS54" s="635"/>
      <c r="AT54" s="635"/>
      <c r="AU54" s="635"/>
      <c r="AV54" s="635"/>
      <c r="AW54" s="635"/>
      <c r="AX54" s="635"/>
      <c r="AY54" s="635"/>
    </row>
    <row r="55" spans="1:51" ht="32.25" customHeight="1">
      <c r="A55" s="20"/>
      <c r="B55" s="20"/>
      <c r="C55" s="20"/>
      <c r="D55" s="20"/>
      <c r="E55" s="21"/>
      <c r="F55" s="39"/>
      <c r="G55" s="21"/>
      <c r="H55" s="21"/>
      <c r="I55" s="21"/>
      <c r="J55" s="21"/>
      <c r="K55" s="21"/>
      <c r="L55" s="21"/>
      <c r="M55" s="21"/>
      <c r="P55" s="21"/>
      <c r="Q55" s="21"/>
      <c r="R55" s="21"/>
      <c r="U55" s="21"/>
      <c r="V55" s="21"/>
      <c r="W55" s="21"/>
      <c r="X55" s="21"/>
      <c r="Y55" s="21"/>
      <c r="Z55" s="21"/>
      <c r="AA55" s="21"/>
      <c r="AB55" s="21"/>
      <c r="AC55" s="21"/>
      <c r="AD55" s="292"/>
      <c r="AE55" s="20"/>
      <c r="AF55" s="20"/>
      <c r="AG55" s="20"/>
      <c r="AH55" s="20"/>
      <c r="AI55" s="20"/>
      <c r="AJ55" s="20"/>
      <c r="AK55" s="20"/>
      <c r="AL55" s="20"/>
      <c r="AM55" s="20"/>
      <c r="AN55" s="20"/>
      <c r="AO55" s="20"/>
      <c r="AP55" s="258"/>
      <c r="AQ55" s="258"/>
      <c r="AR55" s="20"/>
      <c r="AS55" s="20"/>
      <c r="AT55" s="20"/>
      <c r="AU55" s="20"/>
      <c r="AV55" s="20"/>
      <c r="AW55" s="20"/>
      <c r="AX55" s="258"/>
    </row>
    <row r="56" spans="1:51" ht="32.25" customHeight="1">
      <c r="A56" s="22"/>
      <c r="B56" s="22" t="s">
        <v>34</v>
      </c>
      <c r="C56" s="20"/>
      <c r="D56" s="20"/>
      <c r="E56" s="21"/>
      <c r="F56" s="39"/>
      <c r="G56" s="21"/>
      <c r="H56" s="21"/>
      <c r="I56" s="21"/>
      <c r="J56" s="21"/>
      <c r="K56" s="21"/>
      <c r="L56" s="21"/>
      <c r="M56" s="21"/>
      <c r="P56" s="21"/>
      <c r="Q56" s="21"/>
      <c r="R56" s="21"/>
      <c r="U56" s="21"/>
      <c r="V56" s="21"/>
      <c r="W56" s="21"/>
      <c r="X56" s="21"/>
      <c r="Y56" s="21"/>
      <c r="Z56" s="21"/>
      <c r="AA56" s="21"/>
      <c r="AB56" s="21"/>
      <c r="AC56" s="21"/>
      <c r="AD56" s="292"/>
      <c r="AE56" s="20"/>
      <c r="AF56" s="21"/>
      <c r="AG56" s="20"/>
      <c r="AH56" s="20"/>
      <c r="AI56" s="20"/>
      <c r="AJ56" s="257"/>
      <c r="AK56" s="257"/>
      <c r="AL56" s="257"/>
      <c r="AM56" s="257"/>
      <c r="AN56" s="257"/>
      <c r="AO56" s="257"/>
      <c r="AP56" s="259"/>
      <c r="AQ56" s="259"/>
      <c r="AR56" s="288"/>
      <c r="AS56" s="288"/>
      <c r="AT56" s="288"/>
      <c r="AU56" s="288"/>
      <c r="AV56" s="288"/>
      <c r="AW56" s="288"/>
      <c r="AX56" s="288"/>
    </row>
    <row r="57" spans="1:51" ht="32.25" customHeight="1">
      <c r="A57" s="6"/>
      <c r="B57" s="468" t="s">
        <v>35</v>
      </c>
      <c r="C57" s="569" t="s">
        <v>36</v>
      </c>
      <c r="D57" s="570"/>
      <c r="E57" s="570"/>
      <c r="F57" s="570"/>
      <c r="G57" s="570"/>
      <c r="H57" s="570"/>
      <c r="I57" s="571"/>
      <c r="J57" s="572" t="s">
        <v>37</v>
      </c>
      <c r="K57" s="573"/>
      <c r="L57" s="573"/>
      <c r="M57" s="573"/>
      <c r="N57" s="573"/>
      <c r="O57" s="573"/>
      <c r="P57" s="574"/>
      <c r="Q57" s="9"/>
      <c r="R57" s="21"/>
      <c r="U57" s="9"/>
      <c r="V57" s="34"/>
      <c r="W57" s="8"/>
      <c r="X57" s="8"/>
      <c r="Y57" s="8"/>
      <c r="Z57" s="8"/>
      <c r="AA57" s="8"/>
      <c r="AB57" s="8"/>
      <c r="AC57" s="8"/>
      <c r="AD57" s="8"/>
      <c r="AE57" s="8"/>
      <c r="AF57" s="21"/>
      <c r="AG57" s="6"/>
      <c r="AH57" s="6"/>
      <c r="AI57" s="6"/>
      <c r="AJ57" s="6"/>
      <c r="AK57" s="6"/>
      <c r="AL57" s="6"/>
      <c r="AM57" s="6"/>
      <c r="AN57" s="6"/>
      <c r="AO57" s="6"/>
      <c r="AP57" s="6"/>
      <c r="AQ57" s="6"/>
      <c r="AR57" s="6"/>
      <c r="AS57" s="6"/>
      <c r="AT57" s="6"/>
      <c r="AU57" s="6"/>
      <c r="AV57" s="6"/>
      <c r="AW57" s="6"/>
      <c r="AX57" s="6"/>
      <c r="AY57" s="6"/>
    </row>
    <row r="58" spans="1:51" ht="32.25" customHeight="1">
      <c r="A58" s="8"/>
      <c r="B58" s="135">
        <v>13</v>
      </c>
      <c r="C58" s="565" t="s">
        <v>89</v>
      </c>
      <c r="D58" s="565"/>
      <c r="E58" s="565"/>
      <c r="F58" s="565"/>
      <c r="G58" s="565"/>
      <c r="H58" s="565"/>
      <c r="I58" s="565"/>
      <c r="J58" s="565" t="s">
        <v>80</v>
      </c>
      <c r="K58" s="565"/>
      <c r="L58" s="565"/>
      <c r="M58" s="565"/>
      <c r="N58" s="565"/>
      <c r="O58" s="565"/>
      <c r="P58" s="565"/>
      <c r="Q58" s="9"/>
      <c r="R58" s="21"/>
      <c r="U58" s="9"/>
      <c r="V58" s="34"/>
      <c r="W58" s="8"/>
      <c r="X58" s="8"/>
      <c r="Y58" s="8"/>
      <c r="Z58" s="8"/>
      <c r="AA58" s="8"/>
      <c r="AB58" s="8"/>
      <c r="AC58" s="8"/>
      <c r="AD58" s="8"/>
      <c r="AE58" s="8"/>
      <c r="AF58" s="6"/>
      <c r="AG58" s="6"/>
      <c r="AH58" s="6"/>
      <c r="AI58" s="6"/>
      <c r="AJ58" s="6"/>
      <c r="AK58" s="6"/>
      <c r="AL58" s="6"/>
      <c r="AM58" s="6"/>
      <c r="AN58" s="6"/>
      <c r="AO58" s="6"/>
      <c r="AP58" s="6"/>
      <c r="AQ58" s="6"/>
      <c r="AR58" s="6"/>
      <c r="AS58" s="6"/>
      <c r="AT58" s="6"/>
      <c r="AU58" s="6"/>
      <c r="AV58" s="6"/>
      <c r="AW58" s="6"/>
      <c r="AX58" s="6"/>
      <c r="AY58" s="6"/>
    </row>
    <row r="59" spans="1:51" ht="32.25" customHeight="1">
      <c r="A59" s="8"/>
      <c r="B59" s="135">
        <v>14</v>
      </c>
      <c r="C59" s="565" t="s">
        <v>247</v>
      </c>
      <c r="D59" s="565"/>
      <c r="E59" s="565"/>
      <c r="F59" s="565"/>
      <c r="G59" s="565"/>
      <c r="H59" s="565"/>
      <c r="I59" s="565"/>
      <c r="J59" s="566" t="s">
        <v>509</v>
      </c>
      <c r="K59" s="566"/>
      <c r="L59" s="566"/>
      <c r="M59" s="566"/>
      <c r="N59" s="566"/>
      <c r="O59" s="566"/>
      <c r="P59" s="566"/>
      <c r="Q59" s="9"/>
      <c r="R59" s="21"/>
      <c r="S59" s="9"/>
      <c r="T59" s="9"/>
      <c r="U59" s="9"/>
      <c r="V59" s="34"/>
      <c r="W59" s="8"/>
      <c r="X59" s="8"/>
      <c r="Y59" s="8"/>
      <c r="Z59" s="8"/>
      <c r="AA59" s="8"/>
      <c r="AB59" s="8"/>
      <c r="AC59" s="8"/>
      <c r="AD59" s="8"/>
      <c r="AE59" s="8"/>
      <c r="AF59" s="6"/>
      <c r="AG59" s="6"/>
      <c r="AH59" s="6"/>
      <c r="AI59" s="6"/>
      <c r="AJ59" s="6"/>
      <c r="AK59" s="6"/>
      <c r="AL59" s="6"/>
      <c r="AM59" s="6"/>
      <c r="AN59" s="6"/>
      <c r="AO59" s="6"/>
      <c r="AP59" s="6"/>
      <c r="AQ59" s="6"/>
      <c r="AR59" s="6"/>
      <c r="AS59" s="6"/>
      <c r="AT59" s="6"/>
      <c r="AU59" s="6"/>
      <c r="AV59" s="6"/>
      <c r="AW59" s="6"/>
      <c r="AX59" s="6"/>
      <c r="AY59" s="6"/>
    </row>
    <row r="60" spans="1:51" ht="32.25" customHeight="1">
      <c r="A60" s="289"/>
      <c r="B60" s="289"/>
      <c r="C60" s="289"/>
      <c r="D60" s="289"/>
      <c r="E60" s="291"/>
      <c r="F60" s="291"/>
      <c r="G60" s="291"/>
      <c r="H60" s="291"/>
      <c r="I60" s="291"/>
      <c r="J60" s="291"/>
      <c r="K60" s="291"/>
      <c r="L60" s="291"/>
      <c r="M60" s="291"/>
      <c r="N60" s="291"/>
      <c r="O60" s="291"/>
      <c r="Q60" s="291"/>
      <c r="R60" s="21"/>
      <c r="S60" s="289"/>
      <c r="T60" s="289"/>
      <c r="U60" s="289"/>
      <c r="V60" s="289"/>
      <c r="W60" s="289"/>
      <c r="X60" s="289"/>
      <c r="Y60" s="289"/>
      <c r="Z60" s="289"/>
      <c r="AA60" s="289"/>
      <c r="AB60" s="289"/>
      <c r="AC60" s="289"/>
      <c r="AD60" s="295"/>
      <c r="AE60" s="289"/>
      <c r="AF60" s="289"/>
      <c r="AG60" s="289"/>
      <c r="AH60" s="289"/>
      <c r="AI60" s="289"/>
      <c r="AJ60" s="289"/>
      <c r="AK60" s="289"/>
      <c r="AL60" s="289"/>
      <c r="AM60" s="289"/>
      <c r="AN60" s="289"/>
      <c r="AO60" s="289"/>
      <c r="AP60" s="289"/>
      <c r="AQ60" s="289"/>
      <c r="AR60" s="289"/>
      <c r="AS60" s="289"/>
      <c r="AT60" s="289"/>
      <c r="AU60" s="289"/>
      <c r="AV60" s="289"/>
      <c r="AW60" s="289"/>
      <c r="AX60" s="289"/>
    </row>
    <row r="61" spans="1:51" ht="32.25" customHeight="1">
      <c r="A61" s="289"/>
      <c r="B61" s="289"/>
      <c r="C61" s="289"/>
      <c r="D61" s="289"/>
      <c r="E61" s="289"/>
      <c r="F61" s="293"/>
      <c r="G61" s="289"/>
      <c r="H61" s="289"/>
      <c r="I61" s="289"/>
      <c r="J61" s="289"/>
      <c r="K61" s="289"/>
      <c r="L61" s="289"/>
      <c r="M61" s="289"/>
      <c r="N61" s="289"/>
      <c r="O61" s="291"/>
      <c r="Q61" s="291"/>
      <c r="R61" s="289"/>
      <c r="S61" s="289"/>
      <c r="T61" s="289"/>
      <c r="U61" s="289"/>
      <c r="V61" s="289"/>
      <c r="W61" s="289"/>
      <c r="X61" s="289"/>
      <c r="Y61" s="289"/>
      <c r="Z61" s="289"/>
      <c r="AA61" s="289"/>
      <c r="AB61" s="291"/>
      <c r="AC61" s="289"/>
      <c r="AD61" s="296"/>
      <c r="AE61" s="289"/>
      <c r="AF61" s="289"/>
      <c r="AG61" s="289"/>
      <c r="AH61" s="289"/>
      <c r="AI61" s="289"/>
      <c r="AJ61" s="289"/>
      <c r="AK61" s="289"/>
      <c r="AL61" s="289"/>
      <c r="AM61" s="289"/>
      <c r="AN61" s="289"/>
      <c r="AO61" s="289"/>
      <c r="AP61" s="289"/>
      <c r="AQ61" s="289"/>
      <c r="AR61" s="289"/>
      <c r="AS61" s="289"/>
      <c r="AT61" s="289"/>
      <c r="AU61" s="289"/>
      <c r="AV61" s="289"/>
      <c r="AW61" s="289"/>
      <c r="AX61" s="289"/>
    </row>
    <row r="62" spans="1:51" ht="32.25" customHeight="1">
      <c r="A62" s="289"/>
      <c r="B62" s="289"/>
      <c r="C62" s="289"/>
      <c r="D62" s="289"/>
      <c r="E62" s="290"/>
      <c r="F62" s="294"/>
      <c r="G62" s="290"/>
      <c r="H62" s="290"/>
      <c r="I62" s="290"/>
      <c r="J62" s="290"/>
      <c r="K62" s="290"/>
      <c r="L62" s="290"/>
      <c r="M62" s="290"/>
      <c r="N62" s="290"/>
      <c r="O62" s="291"/>
      <c r="Q62" s="291"/>
      <c r="R62" s="290"/>
      <c r="S62" s="290"/>
      <c r="T62" s="290"/>
      <c r="U62" s="290"/>
      <c r="V62" s="290"/>
      <c r="W62" s="290"/>
      <c r="X62" s="290"/>
      <c r="Y62" s="290"/>
      <c r="Z62" s="290"/>
      <c r="AA62" s="290"/>
      <c r="AB62" s="291"/>
      <c r="AC62" s="290"/>
      <c r="AD62" s="295"/>
      <c r="AE62" s="289"/>
      <c r="AF62" s="289"/>
      <c r="AG62" s="289"/>
      <c r="AH62" s="289"/>
      <c r="AI62" s="289"/>
      <c r="AJ62" s="289"/>
      <c r="AK62" s="289"/>
      <c r="AL62" s="289"/>
      <c r="AM62" s="289"/>
      <c r="AN62" s="289"/>
      <c r="AO62" s="289"/>
      <c r="AP62" s="289"/>
      <c r="AQ62" s="289"/>
      <c r="AR62" s="289"/>
      <c r="AS62" s="289"/>
      <c r="AT62" s="289"/>
      <c r="AU62" s="289"/>
      <c r="AV62" s="289"/>
      <c r="AW62" s="289"/>
      <c r="AX62" s="289"/>
    </row>
    <row r="63" spans="1:51" ht="32.25" customHeight="1">
      <c r="A63" s="289"/>
      <c r="B63" s="289"/>
      <c r="C63" s="289"/>
      <c r="D63" s="289"/>
      <c r="E63" s="289"/>
      <c r="F63" s="293"/>
      <c r="G63" s="289"/>
      <c r="H63" s="289"/>
      <c r="I63" s="289"/>
      <c r="J63" s="289"/>
      <c r="K63" s="289"/>
      <c r="L63" s="289"/>
      <c r="M63" s="289"/>
      <c r="N63" s="289"/>
      <c r="O63" s="289"/>
      <c r="P63" s="289"/>
      <c r="Q63" s="289"/>
      <c r="R63" s="289"/>
      <c r="S63" s="289"/>
      <c r="T63" s="289"/>
      <c r="U63" s="289"/>
      <c r="V63" s="289"/>
      <c r="W63" s="289"/>
      <c r="X63" s="289"/>
      <c r="Y63" s="289"/>
      <c r="Z63" s="289"/>
      <c r="AA63" s="289"/>
      <c r="AB63" s="291"/>
      <c r="AC63" s="289"/>
      <c r="AD63" s="295"/>
      <c r="AE63" s="289"/>
      <c r="AF63" s="289"/>
      <c r="AG63" s="289"/>
      <c r="AH63" s="289"/>
      <c r="AI63" s="289"/>
      <c r="AJ63" s="289"/>
      <c r="AK63" s="289"/>
      <c r="AL63" s="289"/>
      <c r="AM63" s="289"/>
      <c r="AN63" s="289"/>
      <c r="AO63" s="289"/>
      <c r="AP63" s="289"/>
      <c r="AQ63" s="289"/>
      <c r="AR63" s="289"/>
      <c r="AS63" s="289"/>
      <c r="AT63" s="289"/>
      <c r="AU63" s="289"/>
      <c r="AV63" s="289"/>
      <c r="AW63" s="289"/>
      <c r="AX63" s="289"/>
    </row>
    <row r="64" spans="1:51" ht="32.25" customHeight="1">
      <c r="A64" s="289"/>
      <c r="B64" s="289"/>
      <c r="C64" s="289"/>
      <c r="D64" s="289"/>
      <c r="E64" s="289"/>
      <c r="F64" s="293"/>
      <c r="G64" s="289"/>
      <c r="H64" s="289"/>
      <c r="I64" s="289"/>
      <c r="J64" s="289"/>
      <c r="K64" s="289"/>
      <c r="L64" s="289"/>
      <c r="M64" s="289"/>
      <c r="N64" s="289"/>
      <c r="O64" s="289"/>
      <c r="P64" s="289"/>
      <c r="Q64" s="289"/>
      <c r="R64" s="289"/>
      <c r="S64" s="289"/>
      <c r="T64" s="289"/>
      <c r="U64" s="289"/>
      <c r="V64" s="289"/>
      <c r="W64" s="289"/>
      <c r="X64" s="289"/>
      <c r="Y64" s="289"/>
      <c r="Z64" s="289"/>
      <c r="AA64" s="289"/>
      <c r="AB64" s="289"/>
      <c r="AC64" s="289"/>
      <c r="AD64" s="295"/>
      <c r="AE64" s="289"/>
      <c r="AF64" s="289"/>
      <c r="AG64" s="289"/>
      <c r="AH64" s="289"/>
      <c r="AI64" s="289"/>
      <c r="AJ64" s="289"/>
      <c r="AK64" s="289"/>
      <c r="AL64" s="289"/>
      <c r="AM64" s="289"/>
      <c r="AN64" s="289"/>
      <c r="AO64" s="289"/>
      <c r="AP64" s="289"/>
      <c r="AQ64" s="289"/>
      <c r="AR64" s="289"/>
      <c r="AS64" s="289"/>
      <c r="AT64" s="289"/>
      <c r="AU64" s="289"/>
      <c r="AV64" s="289"/>
      <c r="AW64" s="289"/>
      <c r="AX64" s="289"/>
    </row>
    <row r="65" spans="1:50" ht="32.25" customHeight="1">
      <c r="A65" s="289"/>
      <c r="B65" s="289"/>
      <c r="C65" s="289"/>
      <c r="D65" s="289"/>
      <c r="E65" s="289"/>
      <c r="F65" s="293"/>
      <c r="G65" s="289"/>
      <c r="H65" s="289"/>
      <c r="I65" s="289"/>
      <c r="J65" s="289"/>
      <c r="K65" s="289"/>
      <c r="L65" s="289"/>
      <c r="M65" s="289"/>
      <c r="N65" s="289"/>
      <c r="O65" s="289"/>
      <c r="P65" s="289"/>
      <c r="Q65" s="289"/>
      <c r="R65" s="289"/>
      <c r="S65" s="289"/>
      <c r="T65" s="289"/>
      <c r="U65" s="289"/>
      <c r="V65" s="289"/>
      <c r="W65" s="289"/>
      <c r="X65" s="289"/>
      <c r="Y65" s="289"/>
      <c r="Z65" s="289"/>
      <c r="AA65" s="289"/>
      <c r="AB65" s="289"/>
      <c r="AC65" s="289"/>
      <c r="AD65" s="295"/>
      <c r="AE65" s="289"/>
      <c r="AF65" s="289"/>
      <c r="AG65" s="289"/>
      <c r="AH65" s="289"/>
      <c r="AI65" s="289"/>
      <c r="AJ65" s="289"/>
      <c r="AK65" s="289"/>
      <c r="AL65" s="289"/>
      <c r="AM65" s="289"/>
      <c r="AN65" s="289"/>
      <c r="AO65" s="289"/>
      <c r="AP65" s="289"/>
      <c r="AQ65" s="289"/>
      <c r="AR65" s="289"/>
      <c r="AS65" s="289"/>
      <c r="AT65" s="289"/>
      <c r="AU65" s="289"/>
      <c r="AV65" s="289"/>
      <c r="AW65" s="289"/>
      <c r="AX65" s="289"/>
    </row>
    <row r="66" spans="1:50" ht="32.25" customHeight="1">
      <c r="A66" s="289"/>
      <c r="B66" s="289"/>
      <c r="C66" s="289"/>
      <c r="D66" s="289"/>
      <c r="E66" s="289"/>
      <c r="F66" s="293"/>
      <c r="G66" s="289"/>
      <c r="H66" s="289"/>
      <c r="I66" s="289"/>
      <c r="J66" s="289"/>
      <c r="K66" s="289"/>
      <c r="L66" s="289"/>
      <c r="M66" s="289"/>
      <c r="N66" s="289"/>
      <c r="O66" s="289"/>
      <c r="P66" s="289"/>
      <c r="Q66" s="289"/>
      <c r="R66" s="289"/>
      <c r="S66" s="289"/>
      <c r="T66" s="289"/>
      <c r="U66" s="289"/>
      <c r="V66" s="289"/>
      <c r="W66" s="289"/>
      <c r="X66" s="289"/>
      <c r="Y66" s="289"/>
      <c r="Z66" s="289"/>
      <c r="AA66" s="289"/>
      <c r="AB66" s="289"/>
      <c r="AC66" s="289"/>
      <c r="AD66" s="295"/>
      <c r="AE66" s="289"/>
      <c r="AF66" s="289"/>
      <c r="AG66" s="289"/>
      <c r="AH66" s="289"/>
      <c r="AI66" s="289"/>
      <c r="AJ66" s="289"/>
      <c r="AK66" s="289"/>
      <c r="AL66" s="289"/>
      <c r="AM66" s="289"/>
      <c r="AN66" s="289"/>
      <c r="AO66" s="289"/>
      <c r="AP66" s="289"/>
      <c r="AQ66" s="289"/>
      <c r="AR66" s="289"/>
      <c r="AS66" s="289"/>
      <c r="AT66" s="289"/>
      <c r="AU66" s="289"/>
      <c r="AV66" s="289"/>
      <c r="AW66" s="289"/>
      <c r="AX66" s="289"/>
    </row>
    <row r="67" spans="1:50" ht="32.25" customHeight="1">
      <c r="A67" s="289"/>
      <c r="B67" s="289"/>
      <c r="C67" s="289"/>
      <c r="D67" s="289"/>
      <c r="E67" s="289"/>
      <c r="F67" s="293"/>
      <c r="G67" s="289"/>
      <c r="H67" s="289"/>
      <c r="I67" s="289"/>
      <c r="J67" s="289"/>
      <c r="K67" s="289"/>
      <c r="L67" s="289"/>
      <c r="M67" s="289"/>
      <c r="N67" s="289"/>
      <c r="O67" s="289"/>
      <c r="P67" s="289"/>
      <c r="Q67" s="289"/>
      <c r="R67" s="289"/>
      <c r="S67" s="289"/>
      <c r="T67" s="289"/>
      <c r="U67" s="289"/>
      <c r="V67" s="289"/>
      <c r="W67" s="289"/>
      <c r="X67" s="289"/>
      <c r="Y67" s="289"/>
      <c r="Z67" s="289"/>
      <c r="AA67" s="289"/>
      <c r="AB67" s="289"/>
      <c r="AC67" s="289"/>
      <c r="AD67" s="295"/>
      <c r="AE67" s="289"/>
      <c r="AF67" s="289"/>
      <c r="AG67" s="289"/>
      <c r="AH67" s="289"/>
      <c r="AI67" s="289"/>
      <c r="AJ67" s="289"/>
      <c r="AK67" s="289"/>
      <c r="AL67" s="289"/>
      <c r="AM67" s="289"/>
      <c r="AN67" s="289"/>
      <c r="AO67" s="289"/>
      <c r="AP67" s="289"/>
      <c r="AQ67" s="289"/>
      <c r="AR67" s="289"/>
      <c r="AS67" s="289"/>
      <c r="AT67" s="289"/>
      <c r="AU67" s="289"/>
      <c r="AV67" s="289"/>
      <c r="AW67" s="289"/>
      <c r="AX67" s="289"/>
    </row>
    <row r="68" spans="1:50" ht="32.25" customHeight="1">
      <c r="A68" s="289"/>
      <c r="B68" s="289"/>
      <c r="C68" s="289"/>
      <c r="D68" s="289"/>
      <c r="E68" s="289"/>
      <c r="F68" s="293"/>
      <c r="G68" s="289"/>
      <c r="H68" s="289"/>
      <c r="I68" s="289"/>
      <c r="J68" s="289"/>
      <c r="K68" s="289"/>
      <c r="L68" s="289"/>
      <c r="M68" s="289"/>
      <c r="N68" s="289"/>
      <c r="O68" s="289"/>
      <c r="P68" s="289"/>
      <c r="Q68" s="289"/>
      <c r="R68" s="289"/>
      <c r="S68" s="289"/>
      <c r="T68" s="289"/>
      <c r="U68" s="289"/>
      <c r="V68" s="289"/>
      <c r="W68" s="289"/>
      <c r="X68" s="289"/>
      <c r="Y68" s="289"/>
      <c r="Z68" s="289"/>
      <c r="AA68" s="289"/>
      <c r="AB68" s="289"/>
      <c r="AC68" s="289"/>
      <c r="AD68" s="295"/>
      <c r="AE68" s="289"/>
      <c r="AF68" s="289"/>
      <c r="AG68" s="289"/>
      <c r="AH68" s="289"/>
      <c r="AI68" s="289"/>
      <c r="AJ68" s="289"/>
      <c r="AK68" s="289"/>
      <c r="AL68" s="289"/>
      <c r="AM68" s="289"/>
      <c r="AN68" s="289"/>
      <c r="AO68" s="289"/>
      <c r="AP68" s="289"/>
      <c r="AQ68" s="289"/>
      <c r="AR68" s="289"/>
      <c r="AS68" s="289"/>
      <c r="AT68" s="289"/>
      <c r="AU68" s="289"/>
      <c r="AV68" s="289"/>
      <c r="AW68" s="289"/>
      <c r="AX68" s="289"/>
    </row>
    <row r="69" spans="1:50" ht="32.25" customHeight="1">
      <c r="A69" s="289"/>
      <c r="B69" s="289"/>
      <c r="C69" s="289"/>
      <c r="D69" s="289"/>
      <c r="E69" s="289"/>
      <c r="F69" s="293"/>
      <c r="G69" s="289"/>
      <c r="H69" s="289"/>
      <c r="I69" s="289"/>
      <c r="J69" s="289"/>
      <c r="K69" s="289"/>
      <c r="L69" s="289"/>
      <c r="M69" s="289"/>
      <c r="N69" s="289"/>
      <c r="O69" s="289"/>
      <c r="P69" s="289"/>
      <c r="Q69" s="289"/>
      <c r="R69" s="289"/>
      <c r="S69" s="289"/>
      <c r="T69" s="289"/>
      <c r="U69" s="289"/>
      <c r="V69" s="289"/>
      <c r="W69" s="289"/>
      <c r="X69" s="289"/>
      <c r="Y69" s="289"/>
      <c r="Z69" s="289"/>
      <c r="AA69" s="289"/>
      <c r="AB69" s="289"/>
      <c r="AC69" s="289"/>
      <c r="AD69" s="295"/>
      <c r="AE69" s="289"/>
      <c r="AF69" s="289"/>
      <c r="AG69" s="289"/>
      <c r="AH69" s="289"/>
      <c r="AI69" s="289"/>
      <c r="AJ69" s="289"/>
      <c r="AK69" s="289"/>
      <c r="AL69" s="289"/>
      <c r="AM69" s="289"/>
      <c r="AN69" s="289"/>
      <c r="AO69" s="289"/>
      <c r="AP69" s="289"/>
      <c r="AQ69" s="289"/>
      <c r="AR69" s="289"/>
      <c r="AS69" s="289"/>
      <c r="AT69" s="289"/>
      <c r="AU69" s="289"/>
      <c r="AV69" s="289"/>
      <c r="AW69" s="289"/>
      <c r="AX69" s="289"/>
    </row>
    <row r="70" spans="1:50" ht="32.25" customHeight="1">
      <c r="R70" s="289"/>
      <c r="S70" s="289"/>
      <c r="T70" s="289"/>
      <c r="U70" s="289"/>
      <c r="V70" s="289"/>
      <c r="W70" s="289"/>
      <c r="X70" s="289"/>
      <c r="Y70" s="289"/>
      <c r="Z70" s="289"/>
      <c r="AA70" s="289"/>
      <c r="AB70" s="289"/>
      <c r="AC70" s="289"/>
      <c r="AD70" s="295"/>
    </row>
    <row r="71" spans="1:50" ht="32.25" customHeight="1">
      <c r="R71" s="289"/>
      <c r="S71" s="289"/>
      <c r="T71" s="289"/>
      <c r="U71" s="289"/>
      <c r="V71" s="289"/>
      <c r="W71" s="289"/>
      <c r="X71" s="289"/>
      <c r="Y71" s="289"/>
      <c r="Z71" s="289"/>
      <c r="AA71" s="289"/>
      <c r="AB71" s="289"/>
      <c r="AC71" s="289"/>
      <c r="AD71" s="295"/>
    </row>
    <row r="72" spans="1:50" ht="32.25" customHeight="1">
      <c r="R72" s="289"/>
      <c r="S72" s="289"/>
      <c r="T72" s="289"/>
      <c r="U72" s="289"/>
      <c r="V72" s="289"/>
      <c r="W72" s="289"/>
      <c r="X72" s="289"/>
      <c r="Y72" s="289"/>
      <c r="Z72" s="289"/>
      <c r="AA72" s="289"/>
      <c r="AB72" s="289"/>
      <c r="AC72" s="289"/>
      <c r="AD72" s="295"/>
    </row>
    <row r="73" spans="1:50" ht="32.25" customHeight="1">
      <c r="R73" s="289"/>
      <c r="S73" s="289"/>
      <c r="T73" s="289"/>
      <c r="U73" s="289"/>
      <c r="V73" s="289"/>
      <c r="W73" s="289"/>
      <c r="X73" s="289"/>
      <c r="Y73" s="289"/>
      <c r="Z73" s="289"/>
      <c r="AA73" s="289"/>
      <c r="AB73" s="289"/>
      <c r="AC73" s="289"/>
      <c r="AD73" s="295"/>
    </row>
    <row r="74" spans="1:50" ht="32.25" customHeight="1">
      <c r="R74" s="289"/>
      <c r="S74" s="289"/>
      <c r="T74" s="289"/>
      <c r="U74" s="289"/>
      <c r="V74" s="289"/>
      <c r="W74" s="289"/>
      <c r="X74" s="289"/>
      <c r="Y74" s="289"/>
      <c r="Z74" s="289"/>
      <c r="AA74" s="289"/>
      <c r="AB74" s="289"/>
      <c r="AC74" s="289"/>
      <c r="AD74" s="295"/>
    </row>
    <row r="75" spans="1:50" ht="32.25" customHeight="1">
      <c r="R75" s="289"/>
      <c r="S75" s="289"/>
      <c r="T75" s="289"/>
      <c r="U75" s="289"/>
      <c r="V75" s="289"/>
      <c r="W75" s="289"/>
      <c r="X75" s="289"/>
      <c r="Y75" s="289"/>
      <c r="Z75" s="289"/>
      <c r="AA75" s="289"/>
      <c r="AB75" s="289"/>
      <c r="AC75" s="289"/>
      <c r="AD75" s="295"/>
    </row>
    <row r="76" spans="1:50" ht="32.25" customHeight="1">
      <c r="R76" s="289"/>
      <c r="S76" s="289"/>
      <c r="T76" s="289"/>
      <c r="U76" s="289"/>
      <c r="V76" s="289"/>
      <c r="W76" s="289"/>
      <c r="X76" s="289"/>
      <c r="Y76" s="289"/>
      <c r="Z76" s="289"/>
      <c r="AA76" s="289"/>
      <c r="AB76" s="289"/>
      <c r="AC76" s="289"/>
      <c r="AD76" s="295"/>
    </row>
    <row r="77" spans="1:50" ht="32.25" customHeight="1">
      <c r="R77" s="289"/>
      <c r="S77" s="289"/>
      <c r="T77" s="289"/>
      <c r="U77" s="289"/>
      <c r="V77" s="289"/>
      <c r="W77" s="289"/>
      <c r="X77" s="289"/>
      <c r="Y77" s="289"/>
      <c r="Z77" s="289"/>
      <c r="AA77" s="289"/>
      <c r="AB77" s="289"/>
      <c r="AC77" s="289"/>
      <c r="AD77" s="295"/>
    </row>
    <row r="78" spans="1:50" ht="32.25" customHeight="1">
      <c r="R78" s="289"/>
      <c r="S78" s="289"/>
      <c r="T78" s="289"/>
      <c r="U78" s="289"/>
      <c r="V78" s="289"/>
      <c r="W78" s="289"/>
      <c r="X78" s="289"/>
      <c r="Y78" s="289"/>
      <c r="Z78" s="289"/>
      <c r="AA78" s="289"/>
      <c r="AB78" s="289"/>
      <c r="AC78" s="289"/>
      <c r="AD78" s="295"/>
    </row>
    <row r="79" spans="1:50" ht="32.25" customHeight="1">
      <c r="R79" s="289"/>
      <c r="S79" s="289"/>
      <c r="T79" s="289"/>
      <c r="U79" s="289"/>
      <c r="V79" s="289"/>
      <c r="W79" s="289"/>
      <c r="X79" s="289"/>
      <c r="Y79" s="289"/>
      <c r="Z79" s="289"/>
      <c r="AA79" s="289"/>
      <c r="AB79" s="289"/>
      <c r="AC79" s="289"/>
      <c r="AD79" s="295"/>
    </row>
    <row r="80" spans="1:50" ht="32.25" customHeight="1">
      <c r="R80" s="289"/>
      <c r="S80" s="289"/>
      <c r="T80" s="289"/>
      <c r="U80" s="289"/>
      <c r="V80" s="289"/>
      <c r="W80" s="289"/>
      <c r="X80" s="289"/>
      <c r="Y80" s="289"/>
      <c r="Z80" s="289"/>
      <c r="AA80" s="289"/>
      <c r="AB80" s="289"/>
      <c r="AC80" s="289"/>
      <c r="AD80" s="295"/>
    </row>
    <row r="81" spans="18:30" ht="32.25" customHeight="1">
      <c r="R81" s="289"/>
      <c r="S81" s="289"/>
      <c r="T81" s="289"/>
      <c r="U81" s="289"/>
      <c r="V81" s="289"/>
      <c r="W81" s="289"/>
      <c r="X81" s="289"/>
      <c r="Y81" s="289"/>
      <c r="Z81" s="289"/>
      <c r="AA81" s="289"/>
      <c r="AB81" s="289"/>
      <c r="AC81" s="289"/>
      <c r="AD81" s="295"/>
    </row>
    <row r="82" spans="18:30" ht="32.25" customHeight="1">
      <c r="R82" s="289"/>
      <c r="S82" s="289"/>
      <c r="T82" s="289"/>
      <c r="U82" s="289"/>
      <c r="V82" s="289"/>
      <c r="W82" s="289"/>
      <c r="X82" s="289"/>
      <c r="Y82" s="289"/>
      <c r="Z82" s="289"/>
      <c r="AA82" s="289"/>
      <c r="AB82" s="289"/>
      <c r="AC82" s="289"/>
      <c r="AD82" s="295"/>
    </row>
    <row r="83" spans="18:30" ht="32.25" customHeight="1">
      <c r="R83" s="289"/>
      <c r="S83" s="289"/>
      <c r="T83" s="289"/>
      <c r="U83" s="289"/>
      <c r="V83" s="289"/>
      <c r="W83" s="289"/>
      <c r="X83" s="289"/>
      <c r="Y83" s="289"/>
      <c r="Z83" s="289"/>
      <c r="AA83" s="289"/>
      <c r="AB83" s="289"/>
      <c r="AC83" s="289"/>
      <c r="AD83" s="295"/>
    </row>
    <row r="84" spans="18:30" ht="32.25" customHeight="1">
      <c r="R84" s="289"/>
      <c r="S84" s="289"/>
      <c r="T84" s="289"/>
      <c r="U84" s="289"/>
      <c r="V84" s="289"/>
      <c r="W84" s="289"/>
      <c r="X84" s="289"/>
      <c r="Y84" s="289"/>
      <c r="Z84" s="289"/>
      <c r="AA84" s="289"/>
      <c r="AB84" s="289"/>
      <c r="AC84" s="289"/>
      <c r="AD84" s="295"/>
    </row>
    <row r="85" spans="18:30" ht="32.25" customHeight="1">
      <c r="R85" s="289"/>
      <c r="S85" s="289"/>
      <c r="T85" s="289"/>
      <c r="U85" s="289"/>
      <c r="V85" s="289"/>
      <c r="W85" s="289"/>
      <c r="X85" s="289"/>
      <c r="Y85" s="289"/>
      <c r="Z85" s="289"/>
      <c r="AA85" s="289"/>
      <c r="AB85" s="289"/>
      <c r="AC85" s="289"/>
      <c r="AD85" s="295"/>
    </row>
    <row r="86" spans="18:30" ht="32.25" customHeight="1">
      <c r="R86" s="289"/>
      <c r="S86" s="289"/>
      <c r="T86" s="289"/>
      <c r="U86" s="289"/>
      <c r="V86" s="289"/>
      <c r="W86" s="289"/>
      <c r="X86" s="289"/>
      <c r="Y86" s="289"/>
      <c r="Z86" s="289"/>
      <c r="AA86" s="289"/>
      <c r="AB86" s="289"/>
      <c r="AC86" s="289"/>
      <c r="AD86" s="295"/>
    </row>
    <row r="87" spans="18:30" ht="32.25" customHeight="1">
      <c r="R87" s="289"/>
      <c r="S87" s="289"/>
      <c r="T87" s="289"/>
      <c r="U87" s="289"/>
      <c r="V87" s="289"/>
      <c r="W87" s="289"/>
      <c r="X87" s="289"/>
      <c r="Y87" s="289"/>
      <c r="Z87" s="289"/>
      <c r="AA87" s="289"/>
      <c r="AB87" s="289"/>
      <c r="AC87" s="289"/>
      <c r="AD87" s="295"/>
    </row>
    <row r="88" spans="18:30" ht="32.25" customHeight="1">
      <c r="R88" s="289"/>
      <c r="S88" s="289"/>
      <c r="T88" s="289"/>
      <c r="U88" s="289"/>
      <c r="V88" s="289"/>
      <c r="W88" s="289"/>
      <c r="X88" s="289"/>
      <c r="Y88" s="289"/>
      <c r="Z88" s="289"/>
      <c r="AA88" s="289"/>
      <c r="AB88" s="289"/>
      <c r="AC88" s="289"/>
      <c r="AD88" s="295"/>
    </row>
    <row r="89" spans="18:30" ht="32.25" customHeight="1">
      <c r="R89" s="289"/>
      <c r="S89" s="289"/>
      <c r="T89" s="289"/>
      <c r="U89" s="289"/>
      <c r="V89" s="289"/>
      <c r="W89" s="289"/>
      <c r="X89" s="289"/>
      <c r="Y89" s="289"/>
      <c r="Z89" s="289"/>
      <c r="AA89" s="289"/>
      <c r="AB89" s="289"/>
      <c r="AC89" s="289"/>
      <c r="AD89" s="295"/>
    </row>
    <row r="90" spans="18:30" ht="32.25" customHeight="1">
      <c r="R90" s="289"/>
      <c r="S90" s="289"/>
      <c r="T90" s="289"/>
      <c r="U90" s="289"/>
      <c r="V90" s="289"/>
      <c r="W90" s="289"/>
      <c r="X90" s="289"/>
      <c r="Y90" s="289"/>
      <c r="Z90" s="289"/>
      <c r="AA90" s="289"/>
      <c r="AB90" s="289"/>
      <c r="AC90" s="289"/>
      <c r="AD90" s="295"/>
    </row>
    <row r="91" spans="18:30" ht="32.25" customHeight="1">
      <c r="R91" s="289"/>
      <c r="S91" s="289"/>
      <c r="T91" s="289"/>
      <c r="U91" s="289"/>
      <c r="V91" s="289"/>
      <c r="W91" s="289"/>
      <c r="X91" s="289"/>
      <c r="Y91" s="289"/>
      <c r="Z91" s="289"/>
      <c r="AA91" s="289"/>
      <c r="AB91" s="289"/>
      <c r="AC91" s="289"/>
      <c r="AD91" s="295"/>
    </row>
    <row r="92" spans="18:30" ht="32.25" customHeight="1">
      <c r="R92" s="289"/>
      <c r="S92" s="289"/>
      <c r="T92" s="289"/>
      <c r="U92" s="289"/>
      <c r="V92" s="289"/>
      <c r="W92" s="289"/>
      <c r="X92" s="289"/>
      <c r="Y92" s="289"/>
      <c r="Z92" s="289"/>
      <c r="AA92" s="289"/>
      <c r="AB92" s="289"/>
      <c r="AC92" s="289"/>
      <c r="AD92" s="295"/>
    </row>
    <row r="93" spans="18:30" ht="32.25" customHeight="1">
      <c r="R93" s="289"/>
      <c r="S93" s="289"/>
      <c r="T93" s="289"/>
      <c r="U93" s="289"/>
      <c r="V93" s="289"/>
      <c r="W93" s="289"/>
      <c r="X93" s="289"/>
      <c r="Y93" s="289"/>
      <c r="Z93" s="289"/>
      <c r="AA93" s="289"/>
      <c r="AB93" s="289"/>
      <c r="AC93" s="289"/>
      <c r="AD93" s="295"/>
    </row>
    <row r="94" spans="18:30" ht="32.25" customHeight="1">
      <c r="R94" s="289"/>
      <c r="S94" s="289"/>
      <c r="T94" s="289"/>
      <c r="U94" s="289"/>
      <c r="V94" s="289"/>
      <c r="W94" s="289"/>
      <c r="X94" s="289"/>
      <c r="Y94" s="289"/>
      <c r="Z94" s="289"/>
      <c r="AA94" s="289"/>
      <c r="AB94" s="289"/>
      <c r="AC94" s="289"/>
      <c r="AD94" s="295"/>
    </row>
    <row r="95" spans="18:30" ht="32.25" customHeight="1">
      <c r="R95" s="289"/>
      <c r="S95" s="289"/>
      <c r="T95" s="289"/>
      <c r="U95" s="289"/>
      <c r="V95" s="289"/>
      <c r="W95" s="289"/>
      <c r="X95" s="289"/>
      <c r="Y95" s="289"/>
      <c r="Z95" s="289"/>
      <c r="AA95" s="289"/>
      <c r="AB95" s="289"/>
      <c r="AC95" s="289"/>
      <c r="AD95" s="295"/>
    </row>
    <row r="96" spans="18:30" ht="32.25" customHeight="1">
      <c r="R96" s="289"/>
      <c r="S96" s="289"/>
      <c r="T96" s="289"/>
      <c r="U96" s="289"/>
      <c r="V96" s="289"/>
      <c r="W96" s="289"/>
      <c r="X96" s="289"/>
      <c r="Y96" s="289"/>
      <c r="Z96" s="289"/>
      <c r="AA96" s="289"/>
      <c r="AB96" s="289"/>
      <c r="AC96" s="289"/>
      <c r="AD96" s="295"/>
    </row>
    <row r="97" spans="18:30" ht="32.25" customHeight="1">
      <c r="R97" s="289"/>
      <c r="S97" s="289"/>
      <c r="T97" s="289"/>
      <c r="U97" s="289"/>
      <c r="V97" s="289"/>
      <c r="W97" s="289"/>
      <c r="X97" s="289"/>
      <c r="Y97" s="289"/>
      <c r="Z97" s="289"/>
      <c r="AA97" s="289"/>
      <c r="AB97" s="289"/>
      <c r="AC97" s="289"/>
      <c r="AD97" s="295"/>
    </row>
    <row r="98" spans="18:30" ht="32.25" customHeight="1">
      <c r="R98" s="289"/>
      <c r="S98" s="289"/>
      <c r="T98" s="289"/>
      <c r="U98" s="289"/>
      <c r="V98" s="289"/>
      <c r="W98" s="289"/>
      <c r="X98" s="289"/>
      <c r="Y98" s="289"/>
      <c r="Z98" s="289"/>
      <c r="AA98" s="289"/>
      <c r="AB98" s="289"/>
      <c r="AC98" s="289"/>
      <c r="AD98" s="295"/>
    </row>
    <row r="99" spans="18:30" ht="32.25" customHeight="1">
      <c r="R99" s="289"/>
      <c r="S99" s="289"/>
      <c r="T99" s="289"/>
      <c r="U99" s="289"/>
      <c r="V99" s="289"/>
      <c r="W99" s="289"/>
      <c r="X99" s="289"/>
      <c r="Y99" s="289"/>
      <c r="Z99" s="289"/>
      <c r="AA99" s="289"/>
      <c r="AB99" s="289"/>
      <c r="AC99" s="289"/>
      <c r="AD99" s="295"/>
    </row>
    <row r="100" spans="18:30" ht="32.25" customHeight="1">
      <c r="R100" s="289"/>
      <c r="S100" s="289"/>
      <c r="T100" s="289"/>
      <c r="U100" s="289"/>
      <c r="V100" s="289"/>
      <c r="W100" s="289"/>
      <c r="X100" s="289"/>
      <c r="Y100" s="289"/>
      <c r="Z100" s="289"/>
      <c r="AA100" s="289"/>
      <c r="AB100" s="289"/>
      <c r="AC100" s="289"/>
      <c r="AD100" s="295"/>
    </row>
    <row r="101" spans="18:30" ht="32.25" customHeight="1">
      <c r="R101" s="289"/>
      <c r="S101" s="289"/>
      <c r="T101" s="289"/>
      <c r="U101" s="289"/>
      <c r="V101" s="289"/>
      <c r="W101" s="289"/>
      <c r="X101" s="289"/>
      <c r="Y101" s="289"/>
      <c r="Z101" s="289"/>
      <c r="AA101" s="289"/>
      <c r="AB101" s="289"/>
      <c r="AC101" s="289"/>
      <c r="AD101" s="295"/>
    </row>
    <row r="102" spans="18:30" ht="32.25" customHeight="1">
      <c r="R102" s="289"/>
      <c r="S102" s="289"/>
      <c r="T102" s="289"/>
      <c r="U102" s="289"/>
      <c r="V102" s="289"/>
      <c r="W102" s="289"/>
      <c r="X102" s="289"/>
      <c r="Y102" s="289"/>
      <c r="Z102" s="289"/>
      <c r="AA102" s="289"/>
      <c r="AB102" s="289"/>
      <c r="AC102" s="289"/>
      <c r="AD102" s="295"/>
    </row>
    <row r="103" spans="18:30" ht="32.25" customHeight="1">
      <c r="R103" s="289"/>
      <c r="S103" s="289"/>
      <c r="T103" s="289"/>
      <c r="U103" s="289"/>
      <c r="V103" s="289"/>
      <c r="W103" s="289"/>
      <c r="X103" s="289"/>
      <c r="Y103" s="289"/>
      <c r="Z103" s="289"/>
      <c r="AA103" s="289"/>
      <c r="AB103" s="289"/>
      <c r="AC103" s="289"/>
      <c r="AD103" s="295"/>
    </row>
    <row r="104" spans="18:30" ht="32.25" customHeight="1">
      <c r="R104" s="289"/>
      <c r="S104" s="289"/>
      <c r="T104" s="289"/>
      <c r="U104" s="289"/>
      <c r="V104" s="289"/>
      <c r="W104" s="289"/>
      <c r="X104" s="289"/>
      <c r="Y104" s="289"/>
      <c r="Z104" s="289"/>
      <c r="AA104" s="289"/>
      <c r="AB104" s="289"/>
      <c r="AC104" s="289"/>
      <c r="AD104" s="295"/>
    </row>
    <row r="105" spans="18:30" ht="32.25" customHeight="1">
      <c r="R105" s="289"/>
      <c r="S105" s="289"/>
      <c r="T105" s="289"/>
      <c r="U105" s="289"/>
      <c r="V105" s="289"/>
      <c r="W105" s="289"/>
      <c r="X105" s="289"/>
      <c r="Y105" s="289"/>
      <c r="Z105" s="289"/>
      <c r="AA105" s="289"/>
      <c r="AB105" s="289"/>
      <c r="AC105" s="289"/>
      <c r="AD105" s="295"/>
    </row>
    <row r="106" spans="18:30" ht="32.25" customHeight="1">
      <c r="R106" s="289"/>
      <c r="S106" s="289"/>
      <c r="T106" s="289"/>
      <c r="U106" s="289"/>
      <c r="V106" s="289"/>
      <c r="W106" s="289"/>
      <c r="X106" s="289"/>
      <c r="Y106" s="289"/>
      <c r="Z106" s="289"/>
      <c r="AA106" s="289"/>
      <c r="AB106" s="289"/>
      <c r="AC106" s="289"/>
      <c r="AD106" s="295"/>
    </row>
    <row r="107" spans="18:30" ht="32.25" customHeight="1">
      <c r="R107" s="289"/>
      <c r="S107" s="289"/>
      <c r="T107" s="289"/>
      <c r="U107" s="289"/>
      <c r="V107" s="289"/>
      <c r="W107" s="289"/>
      <c r="X107" s="289"/>
      <c r="Y107" s="289"/>
      <c r="Z107" s="289"/>
      <c r="AA107" s="289"/>
      <c r="AB107" s="289"/>
      <c r="AC107" s="289"/>
      <c r="AD107" s="295"/>
    </row>
    <row r="108" spans="18:30" ht="32.25" customHeight="1">
      <c r="R108" s="289"/>
      <c r="S108" s="289"/>
      <c r="T108" s="289"/>
      <c r="U108" s="289"/>
      <c r="V108" s="289"/>
      <c r="W108" s="289"/>
      <c r="X108" s="289"/>
      <c r="Y108" s="289"/>
      <c r="Z108" s="289"/>
      <c r="AA108" s="289"/>
      <c r="AB108" s="289"/>
      <c r="AC108" s="289"/>
      <c r="AD108" s="295"/>
    </row>
    <row r="109" spans="18:30" ht="32.25" customHeight="1">
      <c r="R109" s="289"/>
      <c r="S109" s="289"/>
      <c r="T109" s="289"/>
      <c r="U109" s="289"/>
      <c r="V109" s="289"/>
      <c r="W109" s="289"/>
      <c r="X109" s="289"/>
      <c r="Y109" s="289"/>
      <c r="Z109" s="289"/>
      <c r="AA109" s="289"/>
      <c r="AB109" s="289"/>
      <c r="AC109" s="289"/>
      <c r="AD109" s="295"/>
    </row>
    <row r="110" spans="18:30" ht="32.25" customHeight="1">
      <c r="R110" s="289"/>
      <c r="S110" s="289"/>
      <c r="T110" s="289"/>
      <c r="U110" s="289"/>
      <c r="V110" s="289"/>
      <c r="W110" s="289"/>
      <c r="X110" s="289"/>
      <c r="Y110" s="289"/>
      <c r="Z110" s="289"/>
      <c r="AA110" s="289"/>
      <c r="AB110" s="289"/>
      <c r="AC110" s="289"/>
      <c r="AD110" s="295"/>
    </row>
    <row r="111" spans="18:30" ht="32.25" customHeight="1">
      <c r="R111" s="289"/>
      <c r="S111" s="289"/>
      <c r="T111" s="289"/>
      <c r="U111" s="289"/>
      <c r="V111" s="289"/>
      <c r="W111" s="289"/>
      <c r="X111" s="289"/>
      <c r="Y111" s="289"/>
      <c r="Z111" s="289"/>
      <c r="AA111" s="289"/>
      <c r="AB111" s="289"/>
      <c r="AC111" s="289"/>
      <c r="AD111" s="295"/>
    </row>
    <row r="112" spans="18:30" ht="32.25" customHeight="1">
      <c r="R112" s="289"/>
      <c r="S112" s="289"/>
      <c r="T112" s="289"/>
      <c r="U112" s="289"/>
      <c r="V112" s="289"/>
      <c r="W112" s="289"/>
      <c r="X112" s="289"/>
      <c r="Y112" s="289"/>
      <c r="Z112" s="289"/>
      <c r="AA112" s="289"/>
      <c r="AB112" s="289"/>
      <c r="AC112" s="289"/>
      <c r="AD112" s="295"/>
    </row>
    <row r="113" spans="18:30" ht="32.25" customHeight="1">
      <c r="R113" s="289"/>
      <c r="S113" s="289"/>
      <c r="T113" s="289"/>
      <c r="U113" s="289"/>
      <c r="V113" s="289"/>
      <c r="W113" s="289"/>
      <c r="X113" s="289"/>
      <c r="Y113" s="289"/>
      <c r="Z113" s="289"/>
      <c r="AA113" s="289"/>
      <c r="AB113" s="289"/>
      <c r="AC113" s="289"/>
      <c r="AD113" s="295"/>
    </row>
    <row r="114" spans="18:30" ht="32.25" customHeight="1">
      <c r="R114" s="289"/>
      <c r="S114" s="289"/>
      <c r="T114" s="289"/>
      <c r="U114" s="289"/>
      <c r="V114" s="289"/>
      <c r="W114" s="289"/>
      <c r="X114" s="289"/>
      <c r="Y114" s="289"/>
      <c r="Z114" s="289"/>
      <c r="AA114" s="289"/>
      <c r="AB114" s="289"/>
      <c r="AC114" s="289"/>
      <c r="AD114" s="295"/>
    </row>
    <row r="115" spans="18:30" ht="32.25" customHeight="1">
      <c r="R115" s="289"/>
      <c r="S115" s="289"/>
      <c r="T115" s="289"/>
      <c r="U115" s="289"/>
      <c r="V115" s="289"/>
      <c r="W115" s="289"/>
      <c r="X115" s="289"/>
      <c r="Y115" s="289"/>
      <c r="Z115" s="289"/>
      <c r="AA115" s="289"/>
      <c r="AB115" s="289"/>
      <c r="AC115" s="289"/>
      <c r="AD115" s="295"/>
    </row>
    <row r="116" spans="18:30" ht="32.25" customHeight="1">
      <c r="R116" s="289"/>
      <c r="S116" s="289"/>
      <c r="T116" s="289"/>
      <c r="U116" s="289"/>
      <c r="V116" s="289"/>
      <c r="W116" s="289"/>
      <c r="X116" s="289"/>
      <c r="Y116" s="289"/>
      <c r="Z116" s="289"/>
      <c r="AA116" s="289"/>
      <c r="AB116" s="289"/>
      <c r="AC116" s="289"/>
      <c r="AD116" s="295"/>
    </row>
    <row r="117" spans="18:30" ht="32.25" customHeight="1">
      <c r="R117" s="289"/>
      <c r="S117" s="289"/>
      <c r="T117" s="289"/>
      <c r="U117" s="289"/>
      <c r="V117" s="289"/>
      <c r="W117" s="289"/>
      <c r="X117" s="289"/>
      <c r="Y117" s="289"/>
      <c r="Z117" s="289"/>
      <c r="AA117" s="289"/>
      <c r="AB117" s="289"/>
      <c r="AC117" s="289"/>
      <c r="AD117" s="295"/>
    </row>
    <row r="118" spans="18:30" ht="32.25" customHeight="1">
      <c r="R118" s="289"/>
      <c r="S118" s="289"/>
      <c r="T118" s="289"/>
      <c r="U118" s="289"/>
      <c r="V118" s="289"/>
      <c r="W118" s="289"/>
      <c r="X118" s="289"/>
      <c r="Y118" s="289"/>
      <c r="Z118" s="289"/>
      <c r="AA118" s="289"/>
      <c r="AB118" s="289"/>
      <c r="AC118" s="289"/>
      <c r="AD118" s="295"/>
    </row>
    <row r="119" spans="18:30" ht="32.25" customHeight="1">
      <c r="R119" s="289"/>
      <c r="S119" s="289"/>
      <c r="T119" s="289"/>
      <c r="U119" s="289"/>
      <c r="V119" s="289"/>
      <c r="W119" s="289"/>
      <c r="X119" s="289"/>
      <c r="Y119" s="289"/>
      <c r="Z119" s="289"/>
      <c r="AA119" s="289"/>
      <c r="AB119" s="289"/>
      <c r="AC119" s="289"/>
      <c r="AD119" s="295"/>
    </row>
    <row r="120" spans="18:30" ht="32.25" customHeight="1">
      <c r="R120" s="289"/>
      <c r="S120" s="289"/>
      <c r="T120" s="289"/>
      <c r="U120" s="289"/>
      <c r="V120" s="289"/>
      <c r="W120" s="289"/>
      <c r="X120" s="289"/>
      <c r="Y120" s="289"/>
      <c r="Z120" s="289"/>
      <c r="AA120" s="289"/>
      <c r="AB120" s="289"/>
      <c r="AC120" s="289"/>
      <c r="AD120" s="295"/>
    </row>
    <row r="121" spans="18:30" ht="32.25" customHeight="1">
      <c r="R121" s="289"/>
      <c r="S121" s="289"/>
      <c r="T121" s="289"/>
      <c r="U121" s="289"/>
      <c r="V121" s="289"/>
      <c r="W121" s="289"/>
      <c r="X121" s="289"/>
      <c r="Y121" s="289"/>
      <c r="Z121" s="289"/>
      <c r="AA121" s="289"/>
      <c r="AB121" s="289"/>
      <c r="AC121" s="289"/>
      <c r="AD121" s="295"/>
    </row>
    <row r="122" spans="18:30" ht="32.25" customHeight="1">
      <c r="R122" s="289"/>
      <c r="S122" s="289"/>
      <c r="T122" s="289"/>
      <c r="U122" s="289"/>
      <c r="V122" s="289"/>
      <c r="W122" s="289"/>
      <c r="X122" s="289"/>
      <c r="Y122" s="289"/>
      <c r="Z122" s="289"/>
      <c r="AA122" s="289"/>
      <c r="AB122" s="289"/>
      <c r="AC122" s="289"/>
      <c r="AD122" s="295"/>
    </row>
    <row r="123" spans="18:30" ht="32.25" customHeight="1">
      <c r="R123" s="289"/>
      <c r="S123" s="289"/>
      <c r="T123" s="289"/>
      <c r="U123" s="289"/>
      <c r="V123" s="289"/>
      <c r="W123" s="289"/>
      <c r="X123" s="289"/>
      <c r="Y123" s="289"/>
      <c r="Z123" s="289"/>
      <c r="AA123" s="289"/>
      <c r="AB123" s="289"/>
      <c r="AC123" s="289"/>
      <c r="AD123" s="295"/>
    </row>
    <row r="124" spans="18:30" ht="32.25" customHeight="1">
      <c r="R124" s="289"/>
      <c r="S124" s="289"/>
      <c r="T124" s="289"/>
      <c r="U124" s="289"/>
      <c r="V124" s="289"/>
      <c r="W124" s="289"/>
      <c r="X124" s="289"/>
      <c r="Y124" s="289"/>
      <c r="Z124" s="289"/>
      <c r="AA124" s="289"/>
      <c r="AB124" s="289"/>
      <c r="AC124" s="289"/>
      <c r="AD124" s="295"/>
    </row>
    <row r="125" spans="18:30" ht="32.25" customHeight="1">
      <c r="R125" s="289"/>
      <c r="S125" s="289"/>
      <c r="T125" s="289"/>
      <c r="U125" s="289"/>
      <c r="V125" s="289"/>
      <c r="W125" s="289"/>
      <c r="X125" s="289"/>
      <c r="Y125" s="289"/>
      <c r="Z125" s="289"/>
      <c r="AA125" s="289"/>
      <c r="AB125" s="289"/>
      <c r="AC125" s="289"/>
      <c r="AD125" s="295"/>
    </row>
    <row r="126" spans="18:30" ht="32.25" customHeight="1">
      <c r="R126" s="289"/>
      <c r="S126" s="289"/>
      <c r="T126" s="289"/>
      <c r="U126" s="289"/>
      <c r="V126" s="289"/>
      <c r="W126" s="289"/>
      <c r="X126" s="289"/>
      <c r="Y126" s="289"/>
      <c r="Z126" s="289"/>
      <c r="AA126" s="289"/>
      <c r="AB126" s="289"/>
      <c r="AC126" s="289"/>
      <c r="AD126" s="295"/>
    </row>
    <row r="127" spans="18:30" ht="32.25" customHeight="1">
      <c r="R127" s="289"/>
      <c r="S127" s="289"/>
      <c r="T127" s="289"/>
      <c r="U127" s="289"/>
      <c r="V127" s="289"/>
      <c r="W127" s="289"/>
      <c r="X127" s="289"/>
      <c r="Y127" s="289"/>
      <c r="Z127" s="289"/>
      <c r="AA127" s="289"/>
      <c r="AB127" s="289"/>
      <c r="AC127" s="289"/>
      <c r="AD127" s="295"/>
    </row>
    <row r="128" spans="18:30" ht="32.25" customHeight="1">
      <c r="R128" s="289"/>
      <c r="S128" s="289"/>
      <c r="T128" s="289"/>
      <c r="U128" s="289"/>
      <c r="V128" s="289"/>
      <c r="W128" s="289"/>
      <c r="X128" s="289"/>
      <c r="Y128" s="289"/>
      <c r="Z128" s="289"/>
      <c r="AA128" s="289"/>
      <c r="AB128" s="289"/>
      <c r="AC128" s="289"/>
      <c r="AD128" s="295"/>
    </row>
    <row r="129" spans="18:30" ht="32.25" customHeight="1">
      <c r="R129" s="289"/>
      <c r="S129" s="289"/>
      <c r="T129" s="289"/>
      <c r="U129" s="289"/>
      <c r="V129" s="289"/>
      <c r="W129" s="289"/>
      <c r="X129" s="289"/>
      <c r="Y129" s="289"/>
      <c r="Z129" s="289"/>
      <c r="AA129" s="289"/>
      <c r="AB129" s="289"/>
      <c r="AC129" s="289"/>
      <c r="AD129" s="295"/>
    </row>
    <row r="130" spans="18:30" ht="32.25" customHeight="1">
      <c r="R130" s="289"/>
      <c r="S130" s="289"/>
      <c r="T130" s="289"/>
      <c r="U130" s="289"/>
      <c r="V130" s="289"/>
      <c r="W130" s="289"/>
      <c r="X130" s="289"/>
      <c r="Y130" s="289"/>
      <c r="Z130" s="289"/>
      <c r="AA130" s="289"/>
      <c r="AB130" s="289"/>
      <c r="AC130" s="289"/>
      <c r="AD130" s="295"/>
    </row>
    <row r="131" spans="18:30" ht="32.25" customHeight="1">
      <c r="R131" s="289"/>
      <c r="S131" s="289"/>
      <c r="T131" s="289"/>
      <c r="U131" s="289"/>
      <c r="V131" s="289"/>
      <c r="W131" s="289"/>
      <c r="X131" s="289"/>
      <c r="Y131" s="289"/>
      <c r="Z131" s="289"/>
      <c r="AA131" s="289"/>
      <c r="AB131" s="289"/>
      <c r="AC131" s="289"/>
      <c r="AD131" s="295"/>
    </row>
    <row r="132" spans="18:30" ht="32.25" customHeight="1">
      <c r="R132" s="289"/>
      <c r="S132" s="289"/>
      <c r="T132" s="289"/>
      <c r="U132" s="289"/>
      <c r="V132" s="289"/>
      <c r="W132" s="289"/>
      <c r="X132" s="289"/>
      <c r="Y132" s="289"/>
      <c r="Z132" s="289"/>
      <c r="AA132" s="289"/>
      <c r="AB132" s="289"/>
      <c r="AC132" s="289"/>
      <c r="AD132" s="295"/>
    </row>
    <row r="133" spans="18:30" ht="32.25" customHeight="1">
      <c r="R133" s="289"/>
      <c r="S133" s="289"/>
      <c r="T133" s="289"/>
      <c r="U133" s="289"/>
      <c r="V133" s="289"/>
      <c r="W133" s="289"/>
      <c r="X133" s="289"/>
      <c r="Y133" s="289"/>
      <c r="Z133" s="289"/>
      <c r="AA133" s="289"/>
      <c r="AB133" s="289"/>
      <c r="AC133" s="289"/>
      <c r="AD133" s="295"/>
    </row>
    <row r="134" spans="18:30" ht="32.25" customHeight="1">
      <c r="R134" s="289"/>
      <c r="S134" s="289"/>
      <c r="T134" s="289"/>
      <c r="U134" s="289"/>
      <c r="V134" s="289"/>
      <c r="W134" s="289"/>
      <c r="X134" s="289"/>
      <c r="Y134" s="289"/>
      <c r="Z134" s="289"/>
      <c r="AA134" s="289"/>
      <c r="AB134" s="289"/>
      <c r="AC134" s="289"/>
      <c r="AD134" s="295"/>
    </row>
    <row r="135" spans="18:30" ht="32.25" customHeight="1">
      <c r="R135" s="289"/>
      <c r="S135" s="289"/>
      <c r="T135" s="289"/>
      <c r="U135" s="289"/>
      <c r="V135" s="289"/>
      <c r="W135" s="289"/>
      <c r="X135" s="289"/>
      <c r="Y135" s="289"/>
      <c r="Z135" s="289"/>
      <c r="AA135" s="289"/>
      <c r="AB135" s="289"/>
      <c r="AC135" s="289"/>
      <c r="AD135" s="295"/>
    </row>
    <row r="136" spans="18:30" ht="32.25" customHeight="1">
      <c r="R136" s="289"/>
      <c r="S136" s="289"/>
      <c r="T136" s="289"/>
      <c r="U136" s="289"/>
      <c r="V136" s="289"/>
      <c r="W136" s="289"/>
      <c r="X136" s="289"/>
      <c r="Y136" s="289"/>
      <c r="Z136" s="289"/>
      <c r="AA136" s="289"/>
      <c r="AB136" s="289"/>
      <c r="AC136" s="289"/>
      <c r="AD136" s="295"/>
    </row>
    <row r="137" spans="18:30" ht="32.25" customHeight="1">
      <c r="R137" s="289"/>
      <c r="S137" s="289"/>
      <c r="T137" s="289"/>
      <c r="U137" s="289"/>
      <c r="V137" s="289"/>
      <c r="W137" s="289"/>
      <c r="X137" s="289"/>
      <c r="Y137" s="289"/>
      <c r="Z137" s="289"/>
      <c r="AA137" s="289"/>
      <c r="AB137" s="289"/>
      <c r="AC137" s="289"/>
      <c r="AD137" s="295"/>
    </row>
    <row r="138" spans="18:30" ht="32.25" customHeight="1">
      <c r="R138" s="289"/>
      <c r="S138" s="289"/>
      <c r="T138" s="289"/>
      <c r="U138" s="289"/>
      <c r="V138" s="289"/>
      <c r="W138" s="289"/>
      <c r="X138" s="289"/>
      <c r="Y138" s="289"/>
      <c r="Z138" s="289"/>
      <c r="AA138" s="289"/>
      <c r="AB138" s="289"/>
      <c r="AC138" s="289"/>
      <c r="AD138" s="295"/>
    </row>
    <row r="139" spans="18:30" ht="32.25" customHeight="1">
      <c r="R139" s="289"/>
      <c r="S139" s="289"/>
      <c r="T139" s="289"/>
      <c r="U139" s="289"/>
      <c r="V139" s="289"/>
      <c r="W139" s="289"/>
      <c r="X139" s="289"/>
      <c r="Y139" s="289"/>
      <c r="Z139" s="289"/>
      <c r="AA139" s="289"/>
      <c r="AB139" s="289"/>
      <c r="AC139" s="289"/>
      <c r="AD139" s="295"/>
    </row>
    <row r="140" spans="18:30" ht="32.25" customHeight="1">
      <c r="R140" s="289"/>
      <c r="S140" s="289"/>
      <c r="T140" s="289"/>
      <c r="U140" s="289"/>
      <c r="V140" s="289"/>
      <c r="W140" s="289"/>
      <c r="X140" s="289"/>
      <c r="Y140" s="289"/>
      <c r="Z140" s="289"/>
      <c r="AA140" s="289"/>
      <c r="AB140" s="289"/>
      <c r="AC140" s="289"/>
      <c r="AD140" s="295"/>
    </row>
    <row r="141" spans="18:30" ht="32.25" customHeight="1">
      <c r="R141" s="289"/>
      <c r="S141" s="289"/>
      <c r="T141" s="289"/>
      <c r="U141" s="289"/>
      <c r="V141" s="289"/>
      <c r="W141" s="289"/>
      <c r="X141" s="289"/>
      <c r="Y141" s="289"/>
      <c r="Z141" s="289"/>
      <c r="AA141" s="289"/>
      <c r="AB141" s="289"/>
      <c r="AC141" s="289"/>
      <c r="AD141" s="295"/>
    </row>
    <row r="142" spans="18:30" ht="32.25" customHeight="1">
      <c r="R142" s="289"/>
      <c r="S142" s="289"/>
      <c r="T142" s="289"/>
      <c r="U142" s="289"/>
      <c r="V142" s="289"/>
      <c r="W142" s="289"/>
      <c r="X142" s="289"/>
      <c r="Y142" s="289"/>
      <c r="Z142" s="289"/>
      <c r="AA142" s="289"/>
      <c r="AB142" s="289"/>
      <c r="AC142" s="289"/>
      <c r="AD142" s="295"/>
    </row>
    <row r="143" spans="18:30" ht="32.25" customHeight="1">
      <c r="R143" s="289"/>
      <c r="S143" s="289"/>
      <c r="T143" s="289"/>
      <c r="U143" s="289"/>
      <c r="V143" s="289"/>
      <c r="W143" s="289"/>
      <c r="X143" s="289"/>
      <c r="Y143" s="289"/>
      <c r="Z143" s="289"/>
      <c r="AA143" s="289"/>
      <c r="AB143" s="289"/>
      <c r="AC143" s="289"/>
      <c r="AD143" s="295"/>
    </row>
    <row r="144" spans="18:30" ht="32.25" customHeight="1">
      <c r="R144" s="289"/>
      <c r="S144" s="289"/>
      <c r="T144" s="289"/>
      <c r="U144" s="289"/>
      <c r="V144" s="289"/>
      <c r="W144" s="289"/>
      <c r="X144" s="289"/>
      <c r="Y144" s="289"/>
      <c r="Z144" s="289"/>
      <c r="AA144" s="289"/>
      <c r="AB144" s="289"/>
      <c r="AC144" s="289"/>
      <c r="AD144" s="295"/>
    </row>
    <row r="145" spans="18:30" ht="32.25" customHeight="1">
      <c r="R145" s="289"/>
      <c r="S145" s="289"/>
      <c r="T145" s="289"/>
      <c r="U145" s="289"/>
      <c r="V145" s="289"/>
      <c r="W145" s="289"/>
      <c r="X145" s="289"/>
      <c r="Y145" s="289"/>
      <c r="Z145" s="289"/>
      <c r="AA145" s="289"/>
      <c r="AB145" s="289"/>
      <c r="AC145" s="289"/>
      <c r="AD145" s="295"/>
    </row>
    <row r="146" spans="18:30" ht="32.25" customHeight="1">
      <c r="R146" s="289"/>
      <c r="S146" s="289"/>
      <c r="T146" s="289"/>
      <c r="U146" s="289"/>
      <c r="V146" s="289"/>
      <c r="W146" s="289"/>
      <c r="X146" s="289"/>
      <c r="Y146" s="289"/>
      <c r="Z146" s="289"/>
      <c r="AA146" s="289"/>
      <c r="AB146" s="289"/>
      <c r="AC146" s="289"/>
      <c r="AD146" s="295"/>
    </row>
    <row r="147" spans="18:30" ht="32.25" customHeight="1">
      <c r="R147" s="289"/>
      <c r="S147" s="289"/>
      <c r="T147" s="289"/>
      <c r="U147" s="289"/>
      <c r="V147" s="289"/>
      <c r="W147" s="289"/>
      <c r="X147" s="289"/>
      <c r="Y147" s="289"/>
      <c r="Z147" s="289"/>
      <c r="AA147" s="289"/>
      <c r="AB147" s="289"/>
      <c r="AC147" s="289"/>
      <c r="AD147" s="295"/>
    </row>
    <row r="148" spans="18:30" ht="32.25" customHeight="1">
      <c r="R148" s="289"/>
      <c r="S148" s="289"/>
      <c r="T148" s="289"/>
      <c r="U148" s="289"/>
      <c r="V148" s="289"/>
      <c r="W148" s="289"/>
      <c r="X148" s="289"/>
      <c r="Y148" s="289"/>
      <c r="Z148" s="289"/>
      <c r="AA148" s="289"/>
      <c r="AB148" s="289"/>
      <c r="AC148" s="289"/>
      <c r="AD148" s="295"/>
    </row>
    <row r="149" spans="18:30" ht="32.25" customHeight="1">
      <c r="R149" s="289"/>
      <c r="S149" s="289"/>
      <c r="T149" s="289"/>
      <c r="U149" s="289"/>
      <c r="V149" s="289"/>
      <c r="W149" s="289"/>
      <c r="X149" s="289"/>
      <c r="Y149" s="289"/>
      <c r="Z149" s="289"/>
      <c r="AA149" s="289"/>
      <c r="AB149" s="289"/>
      <c r="AC149" s="289"/>
      <c r="AD149" s="295"/>
    </row>
    <row r="150" spans="18:30" ht="32.25" customHeight="1">
      <c r="R150" s="289"/>
      <c r="S150" s="289"/>
      <c r="T150" s="289"/>
      <c r="U150" s="289"/>
      <c r="V150" s="289"/>
      <c r="W150" s="289"/>
      <c r="X150" s="289"/>
      <c r="Y150" s="289"/>
      <c r="Z150" s="289"/>
      <c r="AA150" s="289"/>
      <c r="AB150" s="289"/>
      <c r="AC150" s="289"/>
      <c r="AD150" s="295"/>
    </row>
    <row r="151" spans="18:30" ht="32.25" customHeight="1">
      <c r="R151" s="289"/>
      <c r="S151" s="289"/>
      <c r="T151" s="289"/>
      <c r="U151" s="289"/>
      <c r="V151" s="289"/>
      <c r="W151" s="289"/>
      <c r="X151" s="289"/>
      <c r="Y151" s="289"/>
      <c r="Z151" s="289"/>
      <c r="AA151" s="289"/>
      <c r="AB151" s="289"/>
      <c r="AC151" s="289"/>
      <c r="AD151" s="295"/>
    </row>
    <row r="152" spans="18:30" ht="32.25" customHeight="1">
      <c r="R152" s="289"/>
      <c r="S152" s="289"/>
      <c r="T152" s="289"/>
      <c r="U152" s="289"/>
      <c r="V152" s="289"/>
      <c r="W152" s="289"/>
      <c r="X152" s="289"/>
      <c r="Y152" s="289"/>
      <c r="Z152" s="289"/>
      <c r="AA152" s="289"/>
      <c r="AB152" s="289"/>
      <c r="AC152" s="289"/>
      <c r="AD152" s="295"/>
    </row>
    <row r="153" spans="18:30" ht="32.25" customHeight="1">
      <c r="R153" s="289"/>
      <c r="S153" s="289"/>
      <c r="T153" s="289"/>
      <c r="U153" s="289"/>
      <c r="V153" s="289"/>
      <c r="W153" s="289"/>
      <c r="X153" s="289"/>
      <c r="Y153" s="289"/>
      <c r="Z153" s="289"/>
      <c r="AA153" s="289"/>
      <c r="AB153" s="289"/>
      <c r="AC153" s="289"/>
      <c r="AD153" s="295"/>
    </row>
    <row r="154" spans="18:30" ht="32.25" customHeight="1">
      <c r="R154" s="289"/>
      <c r="S154" s="289"/>
      <c r="T154" s="289"/>
      <c r="U154" s="289"/>
      <c r="V154" s="289"/>
      <c r="W154" s="289"/>
      <c r="X154" s="289"/>
      <c r="Y154" s="289"/>
      <c r="Z154" s="289"/>
      <c r="AA154" s="289"/>
      <c r="AB154" s="289"/>
      <c r="AC154" s="289"/>
      <c r="AD154" s="295"/>
    </row>
    <row r="155" spans="18:30" ht="32.25" customHeight="1">
      <c r="R155" s="289"/>
      <c r="S155" s="289"/>
      <c r="T155" s="289"/>
      <c r="U155" s="289"/>
      <c r="V155" s="289"/>
      <c r="W155" s="289"/>
      <c r="X155" s="289"/>
      <c r="Y155" s="289"/>
      <c r="Z155" s="289"/>
      <c r="AA155" s="289"/>
      <c r="AB155" s="289"/>
      <c r="AC155" s="289"/>
      <c r="AD155" s="295"/>
    </row>
    <row r="156" spans="18:30" ht="32.25" customHeight="1">
      <c r="R156" s="289"/>
      <c r="S156" s="289"/>
      <c r="T156" s="289"/>
      <c r="U156" s="289"/>
      <c r="V156" s="289"/>
      <c r="W156" s="289"/>
      <c r="X156" s="289"/>
      <c r="Y156" s="289"/>
      <c r="Z156" s="289"/>
      <c r="AA156" s="289"/>
      <c r="AB156" s="289"/>
      <c r="AC156" s="289"/>
      <c r="AD156" s="295"/>
    </row>
    <row r="157" spans="18:30" ht="32.25" customHeight="1">
      <c r="R157" s="289"/>
      <c r="S157" s="289"/>
      <c r="T157" s="289"/>
      <c r="U157" s="289"/>
      <c r="V157" s="289"/>
      <c r="W157" s="289"/>
      <c r="X157" s="289"/>
      <c r="Y157" s="289"/>
      <c r="Z157" s="289"/>
      <c r="AA157" s="289"/>
      <c r="AB157" s="289"/>
      <c r="AC157" s="289"/>
      <c r="AD157" s="295"/>
    </row>
    <row r="158" spans="18:30" ht="32.25" customHeight="1">
      <c r="R158" s="289"/>
      <c r="S158" s="289"/>
      <c r="T158" s="289"/>
      <c r="U158" s="289"/>
      <c r="V158" s="289"/>
      <c r="W158" s="289"/>
      <c r="X158" s="289"/>
      <c r="Y158" s="289"/>
      <c r="Z158" s="289"/>
      <c r="AA158" s="289"/>
      <c r="AB158" s="289"/>
      <c r="AC158" s="289"/>
      <c r="AD158" s="295"/>
    </row>
    <row r="159" spans="18:30" ht="32.25" customHeight="1">
      <c r="R159" s="289"/>
      <c r="S159" s="289"/>
      <c r="T159" s="289"/>
      <c r="U159" s="289"/>
      <c r="V159" s="289"/>
      <c r="W159" s="289"/>
      <c r="X159" s="289"/>
      <c r="Y159" s="289"/>
      <c r="Z159" s="289"/>
      <c r="AA159" s="289"/>
      <c r="AB159" s="289"/>
      <c r="AC159" s="289"/>
      <c r="AD159" s="295"/>
    </row>
    <row r="160" spans="18:30" ht="32.25" customHeight="1">
      <c r="R160" s="289"/>
      <c r="S160" s="289"/>
      <c r="T160" s="289"/>
      <c r="U160" s="289"/>
      <c r="V160" s="289"/>
      <c r="W160" s="289"/>
      <c r="X160" s="289"/>
      <c r="Y160" s="289"/>
      <c r="Z160" s="289"/>
      <c r="AA160" s="289"/>
      <c r="AB160" s="289"/>
      <c r="AC160" s="289"/>
      <c r="AD160" s="295"/>
    </row>
    <row r="161" spans="18:30" ht="32.25" customHeight="1">
      <c r="R161" s="289"/>
      <c r="S161" s="289"/>
      <c r="T161" s="289"/>
      <c r="U161" s="289"/>
      <c r="V161" s="289"/>
      <c r="W161" s="289"/>
      <c r="X161" s="289"/>
      <c r="Y161" s="289"/>
      <c r="Z161" s="289"/>
      <c r="AA161" s="289"/>
      <c r="AB161" s="289"/>
      <c r="AC161" s="289"/>
      <c r="AD161" s="295"/>
    </row>
    <row r="162" spans="18:30" ht="32.25" customHeight="1">
      <c r="R162" s="289"/>
      <c r="S162" s="289"/>
      <c r="T162" s="289"/>
      <c r="U162" s="289"/>
      <c r="V162" s="289"/>
      <c r="W162" s="289"/>
      <c r="X162" s="289"/>
      <c r="Y162" s="289"/>
      <c r="Z162" s="289"/>
      <c r="AA162" s="289"/>
      <c r="AB162" s="289"/>
      <c r="AC162" s="289"/>
      <c r="AD162" s="295"/>
    </row>
    <row r="163" spans="18:30" ht="32.25" customHeight="1">
      <c r="R163" s="289"/>
      <c r="S163" s="289"/>
      <c r="T163" s="289"/>
      <c r="U163" s="289"/>
      <c r="V163" s="289"/>
      <c r="W163" s="289"/>
      <c r="X163" s="289"/>
      <c r="Y163" s="289"/>
      <c r="Z163" s="289"/>
      <c r="AA163" s="289"/>
      <c r="AB163" s="289"/>
      <c r="AC163" s="289"/>
      <c r="AD163" s="295"/>
    </row>
    <row r="164" spans="18:30" ht="32.25" customHeight="1">
      <c r="R164" s="289"/>
      <c r="S164" s="289"/>
      <c r="T164" s="289"/>
      <c r="U164" s="289"/>
      <c r="V164" s="289"/>
      <c r="W164" s="289"/>
      <c r="X164" s="289"/>
      <c r="Y164" s="289"/>
      <c r="Z164" s="289"/>
      <c r="AA164" s="289"/>
      <c r="AB164" s="289"/>
      <c r="AC164" s="289"/>
      <c r="AD164" s="295"/>
    </row>
    <row r="165" spans="18:30" ht="32.25" customHeight="1">
      <c r="R165" s="289"/>
      <c r="S165" s="289"/>
      <c r="T165" s="289"/>
      <c r="U165" s="289"/>
      <c r="V165" s="289"/>
      <c r="W165" s="289"/>
      <c r="X165" s="289"/>
      <c r="Y165" s="289"/>
      <c r="Z165" s="289"/>
      <c r="AA165" s="289"/>
      <c r="AB165" s="289"/>
      <c r="AC165" s="289"/>
      <c r="AD165" s="295"/>
    </row>
    <row r="166" spans="18:30" ht="32.25" customHeight="1">
      <c r="R166" s="289"/>
      <c r="S166" s="289"/>
      <c r="T166" s="289"/>
      <c r="U166" s="289"/>
      <c r="V166" s="289"/>
      <c r="W166" s="289"/>
      <c r="X166" s="289"/>
      <c r="Y166" s="289"/>
      <c r="Z166" s="289"/>
      <c r="AA166" s="289"/>
      <c r="AB166" s="289"/>
      <c r="AC166" s="289"/>
      <c r="AD166" s="295"/>
    </row>
    <row r="167" spans="18:30" ht="32.25" customHeight="1">
      <c r="R167" s="289"/>
      <c r="S167" s="289"/>
      <c r="T167" s="289"/>
      <c r="U167" s="289"/>
      <c r="V167" s="289"/>
      <c r="W167" s="289"/>
      <c r="X167" s="289"/>
      <c r="Y167" s="289"/>
      <c r="Z167" s="289"/>
      <c r="AA167" s="289"/>
      <c r="AB167" s="289"/>
      <c r="AC167" s="289"/>
      <c r="AD167" s="295"/>
    </row>
    <row r="168" spans="18:30" ht="32.25" customHeight="1">
      <c r="R168" s="289"/>
      <c r="S168" s="289"/>
      <c r="T168" s="289"/>
      <c r="U168" s="289"/>
      <c r="V168" s="289"/>
      <c r="W168" s="289"/>
      <c r="X168" s="289"/>
      <c r="Y168" s="289"/>
      <c r="Z168" s="289"/>
      <c r="AA168" s="289"/>
      <c r="AB168" s="289"/>
      <c r="AC168" s="289"/>
      <c r="AD168" s="295"/>
    </row>
    <row r="169" spans="18:30" ht="32.25" customHeight="1">
      <c r="R169" s="289"/>
      <c r="S169" s="289"/>
      <c r="T169" s="289"/>
      <c r="U169" s="289"/>
      <c r="V169" s="289"/>
      <c r="W169" s="289"/>
      <c r="X169" s="289"/>
      <c r="Y169" s="289"/>
      <c r="Z169" s="289"/>
      <c r="AA169" s="289"/>
      <c r="AB169" s="289"/>
      <c r="AC169" s="289"/>
      <c r="AD169" s="295"/>
    </row>
    <row r="170" spans="18:30" ht="32.25" customHeight="1">
      <c r="R170" s="289"/>
      <c r="S170" s="289"/>
      <c r="T170" s="289"/>
      <c r="U170" s="289"/>
      <c r="V170" s="289"/>
      <c r="W170" s="289"/>
      <c r="X170" s="289"/>
      <c r="Y170" s="289"/>
      <c r="Z170" s="289"/>
      <c r="AA170" s="289"/>
      <c r="AB170" s="289"/>
      <c r="AC170" s="289"/>
      <c r="AD170" s="295"/>
    </row>
    <row r="171" spans="18:30" ht="32.25" customHeight="1">
      <c r="R171" s="289"/>
      <c r="S171" s="289"/>
      <c r="T171" s="289"/>
      <c r="U171" s="289"/>
      <c r="V171" s="289"/>
      <c r="W171" s="289"/>
      <c r="X171" s="289"/>
      <c r="Y171" s="289"/>
      <c r="Z171" s="289"/>
      <c r="AA171" s="289"/>
      <c r="AB171" s="289"/>
      <c r="AC171" s="289"/>
      <c r="AD171" s="295"/>
    </row>
    <row r="172" spans="18:30" ht="32.25" customHeight="1">
      <c r="R172" s="289"/>
      <c r="S172" s="289"/>
      <c r="T172" s="289"/>
      <c r="U172" s="289"/>
      <c r="V172" s="289"/>
      <c r="W172" s="289"/>
      <c r="X172" s="289"/>
      <c r="Y172" s="289"/>
      <c r="Z172" s="289"/>
      <c r="AA172" s="289"/>
      <c r="AB172" s="289"/>
      <c r="AC172" s="289"/>
      <c r="AD172" s="295"/>
    </row>
    <row r="173" spans="18:30" ht="32.25" customHeight="1">
      <c r="R173" s="289"/>
      <c r="S173" s="289"/>
      <c r="T173" s="289"/>
      <c r="U173" s="289"/>
      <c r="V173" s="289"/>
      <c r="W173" s="289"/>
      <c r="X173" s="289"/>
      <c r="Y173" s="289"/>
      <c r="Z173" s="289"/>
      <c r="AA173" s="289"/>
      <c r="AB173" s="289"/>
      <c r="AC173" s="289"/>
      <c r="AD173" s="295"/>
    </row>
    <row r="174" spans="18:30" ht="32.25" customHeight="1">
      <c r="R174" s="289"/>
      <c r="S174" s="289"/>
      <c r="T174" s="289"/>
      <c r="U174" s="289"/>
      <c r="V174" s="289"/>
      <c r="W174" s="289"/>
      <c r="X174" s="289"/>
      <c r="Y174" s="289"/>
      <c r="Z174" s="289"/>
      <c r="AA174" s="289"/>
      <c r="AB174" s="289"/>
      <c r="AC174" s="289"/>
      <c r="AD174" s="295"/>
    </row>
    <row r="175" spans="18:30" ht="32.25" customHeight="1">
      <c r="R175" s="289"/>
      <c r="S175" s="289"/>
      <c r="T175" s="289"/>
      <c r="U175" s="289"/>
      <c r="V175" s="289"/>
      <c r="W175" s="289"/>
      <c r="X175" s="289"/>
      <c r="Y175" s="289"/>
      <c r="Z175" s="289"/>
      <c r="AA175" s="289"/>
      <c r="AB175" s="289"/>
      <c r="AC175" s="289"/>
      <c r="AD175" s="295"/>
    </row>
    <row r="176" spans="18:30" ht="32.25" customHeight="1">
      <c r="R176" s="289"/>
      <c r="S176" s="289"/>
      <c r="T176" s="289"/>
      <c r="U176" s="289"/>
      <c r="V176" s="289"/>
      <c r="W176" s="289"/>
      <c r="X176" s="289"/>
      <c r="Y176" s="289"/>
      <c r="Z176" s="289"/>
      <c r="AA176" s="289"/>
      <c r="AB176" s="289"/>
      <c r="AC176" s="289"/>
      <c r="AD176" s="295"/>
    </row>
    <row r="177" spans="18:30" ht="32.25" customHeight="1">
      <c r="R177" s="289"/>
      <c r="S177" s="289"/>
      <c r="T177" s="289"/>
      <c r="U177" s="289"/>
      <c r="V177" s="289"/>
      <c r="W177" s="289"/>
      <c r="X177" s="289"/>
      <c r="Y177" s="289"/>
      <c r="Z177" s="289"/>
      <c r="AA177" s="289"/>
      <c r="AB177" s="289"/>
      <c r="AC177" s="289"/>
      <c r="AD177" s="295"/>
    </row>
    <row r="178" spans="18:30" ht="32.25" customHeight="1">
      <c r="R178" s="289"/>
      <c r="S178" s="289"/>
      <c r="T178" s="289"/>
      <c r="U178" s="289"/>
      <c r="V178" s="289"/>
      <c r="W178" s="289"/>
      <c r="X178" s="289"/>
      <c r="Y178" s="289"/>
      <c r="Z178" s="289"/>
      <c r="AA178" s="289"/>
      <c r="AB178" s="289"/>
      <c r="AC178" s="289"/>
      <c r="AD178" s="295"/>
    </row>
    <row r="179" spans="18:30" ht="32.25" customHeight="1">
      <c r="R179" s="289"/>
      <c r="S179" s="289"/>
      <c r="T179" s="289"/>
      <c r="U179" s="289"/>
      <c r="V179" s="289"/>
      <c r="W179" s="289"/>
      <c r="X179" s="289"/>
      <c r="Y179" s="289"/>
      <c r="Z179" s="289"/>
      <c r="AA179" s="289"/>
      <c r="AB179" s="289"/>
      <c r="AC179" s="289"/>
      <c r="AD179" s="295"/>
    </row>
    <row r="180" spans="18:30" ht="32.25" customHeight="1">
      <c r="R180" s="289"/>
      <c r="S180" s="289"/>
      <c r="T180" s="289"/>
      <c r="U180" s="289"/>
      <c r="V180" s="289"/>
      <c r="W180" s="289"/>
      <c r="X180" s="289"/>
      <c r="Y180" s="289"/>
      <c r="Z180" s="289"/>
      <c r="AA180" s="289"/>
      <c r="AB180" s="289"/>
      <c r="AC180" s="289"/>
      <c r="AD180" s="295"/>
    </row>
    <row r="181" spans="18:30" ht="32.25" customHeight="1">
      <c r="R181" s="289"/>
      <c r="S181" s="289"/>
      <c r="T181" s="289"/>
      <c r="U181" s="289"/>
      <c r="V181" s="289"/>
      <c r="W181" s="289"/>
      <c r="X181" s="289"/>
      <c r="Y181" s="289"/>
      <c r="Z181" s="289"/>
      <c r="AA181" s="289"/>
      <c r="AB181" s="289"/>
      <c r="AC181" s="289"/>
      <c r="AD181" s="295"/>
    </row>
    <row r="182" spans="18:30" ht="32.25" customHeight="1">
      <c r="R182" s="289"/>
      <c r="S182" s="289"/>
      <c r="T182" s="289"/>
      <c r="U182" s="289"/>
      <c r="V182" s="289"/>
      <c r="W182" s="289"/>
      <c r="X182" s="289"/>
      <c r="Y182" s="289"/>
      <c r="Z182" s="289"/>
      <c r="AA182" s="289"/>
      <c r="AB182" s="289"/>
      <c r="AC182" s="289"/>
      <c r="AD182" s="295"/>
    </row>
    <row r="183" spans="18:30" ht="32.25" customHeight="1">
      <c r="R183" s="289"/>
      <c r="S183" s="289"/>
      <c r="T183" s="289"/>
      <c r="U183" s="289"/>
      <c r="V183" s="289"/>
      <c r="W183" s="289"/>
      <c r="X183" s="289"/>
      <c r="Y183" s="289"/>
      <c r="Z183" s="289"/>
      <c r="AA183" s="289"/>
      <c r="AB183" s="289"/>
      <c r="AC183" s="289"/>
      <c r="AD183" s="295"/>
    </row>
    <row r="184" spans="18:30" ht="32.25" customHeight="1">
      <c r="R184" s="289"/>
      <c r="S184" s="289"/>
      <c r="T184" s="289"/>
      <c r="U184" s="289"/>
      <c r="V184" s="289"/>
      <c r="W184" s="289"/>
      <c r="X184" s="289"/>
      <c r="Y184" s="289"/>
      <c r="Z184" s="289"/>
      <c r="AA184" s="289"/>
      <c r="AB184" s="289"/>
      <c r="AC184" s="289"/>
      <c r="AD184" s="295"/>
    </row>
    <row r="185" spans="18:30" ht="32.25" customHeight="1">
      <c r="R185" s="289"/>
      <c r="S185" s="289"/>
      <c r="T185" s="289"/>
      <c r="U185" s="289"/>
      <c r="V185" s="289"/>
      <c r="W185" s="289"/>
      <c r="X185" s="289"/>
      <c r="Y185" s="289"/>
      <c r="Z185" s="289"/>
      <c r="AA185" s="289"/>
      <c r="AB185" s="289"/>
      <c r="AC185" s="289"/>
      <c r="AD185" s="295"/>
    </row>
    <row r="186" spans="18:30" ht="32.25" customHeight="1">
      <c r="R186" s="289"/>
      <c r="S186" s="289"/>
      <c r="T186" s="289"/>
      <c r="U186" s="289"/>
      <c r="V186" s="289"/>
      <c r="W186" s="289"/>
      <c r="X186" s="289"/>
      <c r="Y186" s="289"/>
      <c r="Z186" s="289"/>
      <c r="AA186" s="289"/>
      <c r="AB186" s="289"/>
      <c r="AC186" s="289"/>
      <c r="AD186" s="295"/>
    </row>
    <row r="187" spans="18:30" ht="32.25" customHeight="1">
      <c r="R187" s="289"/>
      <c r="S187" s="289"/>
      <c r="T187" s="289"/>
      <c r="U187" s="289"/>
      <c r="V187" s="289"/>
      <c r="W187" s="289"/>
      <c r="X187" s="289"/>
      <c r="Y187" s="289"/>
      <c r="Z187" s="289"/>
      <c r="AA187" s="289"/>
      <c r="AB187" s="289"/>
      <c r="AC187" s="289"/>
      <c r="AD187" s="295"/>
    </row>
    <row r="188" spans="18:30" ht="32.25" customHeight="1">
      <c r="R188" s="289"/>
      <c r="S188" s="289"/>
      <c r="T188" s="289"/>
      <c r="U188" s="289"/>
      <c r="V188" s="289"/>
      <c r="W188" s="289"/>
      <c r="X188" s="289"/>
      <c r="Y188" s="289"/>
      <c r="Z188" s="289"/>
      <c r="AA188" s="289"/>
      <c r="AB188" s="289"/>
      <c r="AC188" s="289"/>
      <c r="AD188" s="295"/>
    </row>
    <row r="189" spans="18:30" ht="32.25" customHeight="1">
      <c r="R189" s="289"/>
      <c r="S189" s="289"/>
      <c r="T189" s="289"/>
      <c r="U189" s="289"/>
      <c r="V189" s="289"/>
      <c r="W189" s="289"/>
      <c r="X189" s="289"/>
      <c r="Y189" s="289"/>
      <c r="Z189" s="289"/>
      <c r="AA189" s="289"/>
      <c r="AB189" s="289"/>
      <c r="AC189" s="289"/>
      <c r="AD189" s="295"/>
    </row>
    <row r="190" spans="18:30" ht="32.25" customHeight="1">
      <c r="R190" s="289"/>
      <c r="S190" s="289"/>
      <c r="T190" s="289"/>
      <c r="U190" s="289"/>
      <c r="V190" s="289"/>
      <c r="W190" s="289"/>
      <c r="X190" s="289"/>
      <c r="Y190" s="289"/>
      <c r="Z190" s="289"/>
      <c r="AA190" s="289"/>
      <c r="AB190" s="289"/>
      <c r="AC190" s="289"/>
      <c r="AD190" s="295"/>
    </row>
    <row r="191" spans="18:30" ht="32.25" customHeight="1">
      <c r="R191" s="289"/>
      <c r="S191" s="289"/>
      <c r="T191" s="289"/>
      <c r="U191" s="289"/>
      <c r="V191" s="289"/>
      <c r="W191" s="289"/>
      <c r="X191" s="289"/>
      <c r="Y191" s="289"/>
      <c r="Z191" s="289"/>
      <c r="AA191" s="289"/>
      <c r="AB191" s="289"/>
      <c r="AC191" s="289"/>
      <c r="AD191" s="295"/>
    </row>
    <row r="192" spans="18:30" ht="32.25" customHeight="1">
      <c r="R192" s="289"/>
      <c r="S192" s="289"/>
      <c r="T192" s="289"/>
      <c r="U192" s="289"/>
      <c r="V192" s="289"/>
      <c r="W192" s="289"/>
      <c r="X192" s="289"/>
      <c r="Y192" s="289"/>
      <c r="Z192" s="289"/>
      <c r="AA192" s="289"/>
      <c r="AB192" s="289"/>
      <c r="AC192" s="289"/>
      <c r="AD192" s="295"/>
    </row>
    <row r="193" spans="18:30" ht="32.25" customHeight="1">
      <c r="R193" s="289"/>
      <c r="S193" s="289"/>
      <c r="T193" s="289"/>
      <c r="U193" s="289"/>
      <c r="V193" s="289"/>
      <c r="W193" s="289"/>
      <c r="X193" s="289"/>
      <c r="Y193" s="289"/>
      <c r="Z193" s="289"/>
      <c r="AA193" s="289"/>
      <c r="AB193" s="289"/>
      <c r="AC193" s="289"/>
      <c r="AD193" s="295"/>
    </row>
    <row r="194" spans="18:30" ht="32.25" customHeight="1">
      <c r="R194" s="289"/>
      <c r="S194" s="289"/>
      <c r="T194" s="289"/>
      <c r="U194" s="289"/>
      <c r="V194" s="289"/>
      <c r="W194" s="289"/>
      <c r="X194" s="289"/>
      <c r="Y194" s="289"/>
      <c r="Z194" s="289"/>
      <c r="AA194" s="289"/>
      <c r="AB194" s="289"/>
      <c r="AC194" s="289"/>
      <c r="AD194" s="295"/>
    </row>
    <row r="195" spans="18:30" ht="32.25" customHeight="1">
      <c r="R195" s="289"/>
      <c r="S195" s="289"/>
      <c r="T195" s="289"/>
      <c r="U195" s="289"/>
      <c r="V195" s="289"/>
      <c r="W195" s="289"/>
      <c r="X195" s="289"/>
      <c r="Y195" s="289"/>
      <c r="Z195" s="289"/>
      <c r="AA195" s="289"/>
      <c r="AB195" s="289"/>
      <c r="AC195" s="289"/>
      <c r="AD195" s="295"/>
    </row>
    <row r="196" spans="18:30" ht="32.25" customHeight="1">
      <c r="R196" s="289"/>
      <c r="S196" s="289"/>
      <c r="T196" s="289"/>
      <c r="U196" s="289"/>
      <c r="V196" s="289"/>
      <c r="W196" s="289"/>
      <c r="X196" s="289"/>
      <c r="Y196" s="289"/>
      <c r="Z196" s="289"/>
      <c r="AA196" s="289"/>
      <c r="AB196" s="289"/>
      <c r="AC196" s="289"/>
      <c r="AD196" s="295"/>
    </row>
    <row r="197" spans="18:30" ht="32.25" customHeight="1">
      <c r="R197" s="289"/>
      <c r="S197" s="289"/>
      <c r="T197" s="289"/>
      <c r="U197" s="289"/>
      <c r="V197" s="289"/>
      <c r="W197" s="289"/>
      <c r="X197" s="289"/>
      <c r="Y197" s="289"/>
      <c r="Z197" s="289"/>
      <c r="AA197" s="289"/>
      <c r="AB197" s="289"/>
      <c r="AC197" s="289"/>
      <c r="AD197" s="295"/>
    </row>
    <row r="198" spans="18:30" ht="32.25" customHeight="1">
      <c r="R198" s="289"/>
      <c r="S198" s="289"/>
      <c r="T198" s="289"/>
      <c r="U198" s="289"/>
      <c r="V198" s="289"/>
      <c r="W198" s="289"/>
      <c r="X198" s="289"/>
      <c r="Y198" s="289"/>
      <c r="Z198" s="289"/>
      <c r="AA198" s="289"/>
      <c r="AB198" s="289"/>
      <c r="AC198" s="289"/>
      <c r="AD198" s="295"/>
    </row>
    <row r="199" spans="18:30" ht="32.25" customHeight="1">
      <c r="R199" s="289"/>
      <c r="S199" s="289"/>
      <c r="T199" s="289"/>
      <c r="U199" s="289"/>
      <c r="V199" s="289"/>
      <c r="W199" s="289"/>
      <c r="X199" s="289"/>
      <c r="Y199" s="289"/>
      <c r="Z199" s="289"/>
      <c r="AA199" s="289"/>
      <c r="AB199" s="289"/>
      <c r="AC199" s="289"/>
      <c r="AD199" s="295"/>
    </row>
    <row r="200" spans="18:30" ht="32.25" customHeight="1">
      <c r="R200" s="289"/>
      <c r="S200" s="289"/>
      <c r="T200" s="289"/>
      <c r="U200" s="289"/>
      <c r="V200" s="289"/>
      <c r="W200" s="289"/>
      <c r="X200" s="289"/>
      <c r="Y200" s="289"/>
      <c r="Z200" s="289"/>
      <c r="AA200" s="289"/>
      <c r="AB200" s="289"/>
      <c r="AC200" s="289"/>
      <c r="AD200" s="295"/>
    </row>
    <row r="201" spans="18:30" ht="32.25" customHeight="1">
      <c r="R201" s="289"/>
      <c r="S201" s="289"/>
      <c r="T201" s="289"/>
      <c r="U201" s="289"/>
      <c r="V201" s="289"/>
      <c r="W201" s="289"/>
      <c r="X201" s="289"/>
      <c r="Y201" s="289"/>
      <c r="Z201" s="289"/>
      <c r="AA201" s="289"/>
      <c r="AB201" s="289"/>
      <c r="AC201" s="289"/>
      <c r="AD201" s="295"/>
    </row>
    <row r="202" spans="18:30" ht="32.25" customHeight="1">
      <c r="R202" s="289"/>
      <c r="S202" s="289"/>
      <c r="T202" s="289"/>
      <c r="U202" s="289"/>
      <c r="V202" s="289"/>
      <c r="W202" s="289"/>
      <c r="X202" s="289"/>
      <c r="Y202" s="289"/>
      <c r="Z202" s="289"/>
      <c r="AA202" s="289"/>
      <c r="AB202" s="289"/>
      <c r="AC202" s="289"/>
      <c r="AD202" s="295"/>
    </row>
    <row r="203" spans="18:30" ht="32.25" customHeight="1">
      <c r="R203" s="289"/>
      <c r="S203" s="289"/>
      <c r="T203" s="289"/>
      <c r="U203" s="289"/>
      <c r="V203" s="289"/>
      <c r="W203" s="289"/>
      <c r="X203" s="289"/>
      <c r="Y203" s="289"/>
      <c r="Z203" s="289"/>
      <c r="AA203" s="289"/>
      <c r="AB203" s="289"/>
      <c r="AC203" s="289"/>
      <c r="AD203" s="295"/>
    </row>
    <row r="204" spans="18:30" ht="32.25" customHeight="1">
      <c r="R204" s="289"/>
      <c r="S204" s="289"/>
      <c r="T204" s="289"/>
      <c r="U204" s="289"/>
      <c r="V204" s="289"/>
      <c r="W204" s="289"/>
      <c r="X204" s="289"/>
      <c r="Y204" s="289"/>
      <c r="Z204" s="289"/>
      <c r="AA204" s="289"/>
      <c r="AB204" s="289"/>
      <c r="AC204" s="289"/>
      <c r="AD204" s="295"/>
    </row>
    <row r="205" spans="18:30" ht="32.25" customHeight="1">
      <c r="R205" s="289"/>
      <c r="S205" s="289"/>
      <c r="T205" s="289"/>
      <c r="U205" s="289"/>
      <c r="V205" s="289"/>
      <c r="W205" s="289"/>
      <c r="X205" s="289"/>
      <c r="Y205" s="289"/>
      <c r="Z205" s="289"/>
      <c r="AA205" s="289"/>
      <c r="AB205" s="289"/>
      <c r="AC205" s="289"/>
      <c r="AD205" s="295"/>
    </row>
    <row r="206" spans="18:30" ht="32.25" customHeight="1">
      <c r="R206" s="289"/>
      <c r="S206" s="289"/>
      <c r="T206" s="289"/>
      <c r="U206" s="289"/>
      <c r="V206" s="289"/>
      <c r="W206" s="289"/>
      <c r="X206" s="289"/>
      <c r="Y206" s="289"/>
      <c r="Z206" s="289"/>
      <c r="AA206" s="289"/>
      <c r="AB206" s="289"/>
      <c r="AC206" s="289"/>
      <c r="AD206" s="295"/>
    </row>
    <row r="207" spans="18:30" ht="32.25" customHeight="1">
      <c r="R207" s="289"/>
      <c r="S207" s="289"/>
      <c r="T207" s="289"/>
      <c r="U207" s="289"/>
      <c r="V207" s="289"/>
      <c r="W207" s="289"/>
      <c r="X207" s="289"/>
      <c r="Y207" s="289"/>
      <c r="Z207" s="289"/>
      <c r="AA207" s="289"/>
      <c r="AB207" s="289"/>
      <c r="AC207" s="289"/>
      <c r="AD207" s="295"/>
    </row>
    <row r="208" spans="18:30" ht="32.25" customHeight="1">
      <c r="R208" s="289"/>
      <c r="S208" s="289"/>
      <c r="T208" s="289"/>
      <c r="U208" s="289"/>
      <c r="V208" s="289"/>
      <c r="W208" s="289"/>
      <c r="X208" s="289"/>
      <c r="Y208" s="289"/>
      <c r="Z208" s="289"/>
      <c r="AA208" s="289"/>
      <c r="AB208" s="289"/>
      <c r="AC208" s="289"/>
      <c r="AD208" s="295"/>
    </row>
    <row r="209" spans="18:30" ht="32.25" customHeight="1">
      <c r="R209" s="289"/>
      <c r="S209" s="289"/>
      <c r="T209" s="289"/>
      <c r="U209" s="289"/>
      <c r="V209" s="289"/>
      <c r="W209" s="289"/>
      <c r="X209" s="289"/>
      <c r="Y209" s="289"/>
      <c r="Z209" s="289"/>
      <c r="AA209" s="289"/>
      <c r="AB209" s="289"/>
      <c r="AC209" s="289"/>
      <c r="AD209" s="295"/>
    </row>
    <row r="210" spans="18:30" ht="32.25" customHeight="1">
      <c r="R210" s="289"/>
      <c r="S210" s="289"/>
      <c r="T210" s="289"/>
      <c r="U210" s="289"/>
      <c r="V210" s="289"/>
      <c r="W210" s="289"/>
      <c r="X210" s="289"/>
      <c r="Y210" s="289"/>
      <c r="Z210" s="289"/>
      <c r="AA210" s="289"/>
      <c r="AB210" s="289"/>
      <c r="AC210" s="289"/>
      <c r="AD210" s="295"/>
    </row>
    <row r="211" spans="18:30" ht="32.25" customHeight="1">
      <c r="R211" s="289"/>
      <c r="S211" s="289"/>
      <c r="T211" s="289"/>
      <c r="U211" s="289"/>
      <c r="V211" s="289"/>
      <c r="W211" s="289"/>
      <c r="X211" s="289"/>
      <c r="Y211" s="289"/>
      <c r="Z211" s="289"/>
      <c r="AA211" s="289"/>
      <c r="AB211" s="289"/>
      <c r="AC211" s="289"/>
      <c r="AD211" s="295"/>
    </row>
    <row r="212" spans="18:30" ht="32.25" customHeight="1">
      <c r="R212" s="289"/>
      <c r="S212" s="289"/>
      <c r="T212" s="289"/>
      <c r="U212" s="289"/>
      <c r="V212" s="289"/>
      <c r="W212" s="289"/>
      <c r="X212" s="289"/>
      <c r="Y212" s="289"/>
      <c r="Z212" s="289"/>
      <c r="AA212" s="289"/>
      <c r="AB212" s="289"/>
      <c r="AC212" s="289"/>
      <c r="AD212" s="295"/>
    </row>
    <row r="213" spans="18:30" ht="32.25" customHeight="1">
      <c r="R213" s="289"/>
      <c r="S213" s="289"/>
      <c r="T213" s="289"/>
      <c r="U213" s="289"/>
      <c r="V213" s="289"/>
      <c r="W213" s="289"/>
      <c r="X213" s="289"/>
      <c r="Y213" s="289"/>
      <c r="Z213" s="289"/>
      <c r="AA213" s="289"/>
      <c r="AB213" s="289"/>
      <c r="AC213" s="289"/>
      <c r="AD213" s="295"/>
    </row>
    <row r="214" spans="18:30" ht="32.25" customHeight="1">
      <c r="R214" s="289"/>
      <c r="S214" s="289"/>
      <c r="T214" s="289"/>
      <c r="U214" s="289"/>
      <c r="V214" s="289"/>
      <c r="W214" s="289"/>
      <c r="X214" s="289"/>
      <c r="Y214" s="289"/>
      <c r="Z214" s="289"/>
      <c r="AA214" s="289"/>
      <c r="AB214" s="289"/>
      <c r="AC214" s="289"/>
      <c r="AD214" s="295"/>
    </row>
    <row r="215" spans="18:30" ht="32.25" customHeight="1">
      <c r="R215" s="289"/>
      <c r="S215" s="289"/>
      <c r="T215" s="289"/>
      <c r="U215" s="289"/>
      <c r="V215" s="289"/>
      <c r="W215" s="289"/>
      <c r="X215" s="289"/>
      <c r="Y215" s="289"/>
      <c r="Z215" s="289"/>
      <c r="AA215" s="289"/>
      <c r="AB215" s="289"/>
      <c r="AC215" s="289"/>
      <c r="AD215" s="295"/>
    </row>
    <row r="216" spans="18:30" ht="32.25" customHeight="1">
      <c r="R216" s="289"/>
      <c r="S216" s="289"/>
      <c r="T216" s="289"/>
      <c r="U216" s="289"/>
      <c r="V216" s="289"/>
      <c r="W216" s="289"/>
      <c r="X216" s="289"/>
      <c r="Y216" s="289"/>
      <c r="Z216" s="289"/>
      <c r="AA216" s="289"/>
      <c r="AB216" s="289"/>
      <c r="AC216" s="289"/>
      <c r="AD216" s="295"/>
    </row>
    <row r="217" spans="18:30" ht="32.25" customHeight="1">
      <c r="R217" s="289"/>
      <c r="S217" s="289"/>
      <c r="T217" s="289"/>
      <c r="U217" s="289"/>
      <c r="V217" s="289"/>
      <c r="W217" s="289"/>
      <c r="X217" s="289"/>
      <c r="Y217" s="289"/>
      <c r="Z217" s="289"/>
      <c r="AA217" s="289"/>
      <c r="AB217" s="289"/>
      <c r="AC217" s="289"/>
      <c r="AD217" s="295"/>
    </row>
    <row r="218" spans="18:30" ht="32.25" customHeight="1">
      <c r="R218" s="289"/>
      <c r="S218" s="289"/>
      <c r="T218" s="289"/>
      <c r="U218" s="289"/>
      <c r="V218" s="289"/>
      <c r="W218" s="289"/>
      <c r="X218" s="289"/>
      <c r="Y218" s="289"/>
      <c r="Z218" s="289"/>
      <c r="AA218" s="289"/>
      <c r="AB218" s="289"/>
      <c r="AC218" s="289"/>
      <c r="AD218" s="295"/>
    </row>
    <row r="219" spans="18:30" ht="32.25" customHeight="1">
      <c r="R219" s="289"/>
      <c r="S219" s="289"/>
      <c r="T219" s="289"/>
      <c r="U219" s="289"/>
      <c r="V219" s="289"/>
      <c r="W219" s="289"/>
      <c r="X219" s="289"/>
      <c r="Y219" s="289"/>
      <c r="Z219" s="289"/>
      <c r="AA219" s="289"/>
      <c r="AB219" s="289"/>
      <c r="AC219" s="289"/>
      <c r="AD219" s="295"/>
    </row>
    <row r="220" spans="18:30" ht="32.25" customHeight="1">
      <c r="R220" s="289"/>
      <c r="S220" s="289"/>
      <c r="T220" s="289"/>
      <c r="U220" s="289"/>
      <c r="V220" s="289"/>
      <c r="W220" s="289"/>
      <c r="X220" s="289"/>
      <c r="Y220" s="289"/>
      <c r="Z220" s="289"/>
      <c r="AA220" s="289"/>
      <c r="AB220" s="289"/>
      <c r="AC220" s="289"/>
      <c r="AD220" s="295"/>
    </row>
    <row r="221" spans="18:30" ht="32.25" customHeight="1">
      <c r="R221" s="289"/>
      <c r="S221" s="289"/>
      <c r="T221" s="289"/>
      <c r="U221" s="289"/>
      <c r="V221" s="289"/>
      <c r="W221" s="289"/>
      <c r="X221" s="289"/>
      <c r="Y221" s="289"/>
      <c r="Z221" s="289"/>
      <c r="AA221" s="289"/>
      <c r="AB221" s="289"/>
      <c r="AC221" s="289"/>
      <c r="AD221" s="295"/>
    </row>
    <row r="222" spans="18:30" ht="32.25" customHeight="1">
      <c r="R222" s="289"/>
      <c r="S222" s="289"/>
      <c r="T222" s="289"/>
      <c r="U222" s="289"/>
      <c r="V222" s="289"/>
      <c r="W222" s="289"/>
      <c r="X222" s="289"/>
      <c r="Y222" s="289"/>
      <c r="Z222" s="289"/>
      <c r="AA222" s="289"/>
      <c r="AB222" s="289"/>
      <c r="AC222" s="289"/>
      <c r="AD222" s="295"/>
    </row>
    <row r="223" spans="18:30" ht="32.25" customHeight="1">
      <c r="R223" s="289"/>
      <c r="S223" s="289"/>
      <c r="T223" s="289"/>
      <c r="U223" s="289"/>
      <c r="V223" s="289"/>
      <c r="W223" s="289"/>
      <c r="X223" s="289"/>
      <c r="Y223" s="289"/>
      <c r="Z223" s="289"/>
      <c r="AA223" s="289"/>
      <c r="AB223" s="289"/>
      <c r="AC223" s="289"/>
      <c r="AD223" s="295"/>
    </row>
    <row r="224" spans="18:30" ht="32.25" customHeight="1">
      <c r="R224" s="289"/>
      <c r="S224" s="289"/>
      <c r="T224" s="289"/>
      <c r="U224" s="289"/>
      <c r="V224" s="289"/>
      <c r="W224" s="289"/>
      <c r="X224" s="289"/>
      <c r="Y224" s="289"/>
      <c r="Z224" s="289"/>
      <c r="AA224" s="289"/>
      <c r="AB224" s="289"/>
      <c r="AC224" s="289"/>
      <c r="AD224" s="295"/>
    </row>
    <row r="225" spans="18:30" ht="32.25" customHeight="1">
      <c r="R225" s="289"/>
      <c r="S225" s="289"/>
      <c r="T225" s="289"/>
      <c r="U225" s="289"/>
      <c r="V225" s="289"/>
      <c r="W225" s="289"/>
      <c r="X225" s="289"/>
      <c r="Y225" s="289"/>
      <c r="Z225" s="289"/>
      <c r="AA225" s="289"/>
      <c r="AB225" s="289"/>
      <c r="AC225" s="289"/>
      <c r="AD225" s="295"/>
    </row>
    <row r="226" spans="18:30" ht="32.25" customHeight="1">
      <c r="R226" s="289"/>
      <c r="S226" s="289"/>
      <c r="T226" s="289"/>
      <c r="U226" s="289"/>
      <c r="V226" s="289"/>
      <c r="W226" s="289"/>
      <c r="X226" s="289"/>
      <c r="Y226" s="289"/>
      <c r="Z226" s="289"/>
      <c r="AA226" s="289"/>
      <c r="AB226" s="289"/>
      <c r="AC226" s="289"/>
      <c r="AD226" s="295"/>
    </row>
    <row r="227" spans="18:30" ht="32.25" customHeight="1">
      <c r="R227" s="289"/>
      <c r="S227" s="289"/>
      <c r="T227" s="289"/>
      <c r="U227" s="289"/>
      <c r="V227" s="289"/>
      <c r="W227" s="289"/>
      <c r="X227" s="289"/>
      <c r="Y227" s="289"/>
      <c r="Z227" s="289"/>
      <c r="AA227" s="289"/>
      <c r="AB227" s="289"/>
      <c r="AC227" s="289"/>
      <c r="AD227" s="295"/>
    </row>
    <row r="228" spans="18:30" ht="32.25" customHeight="1">
      <c r="R228" s="289"/>
      <c r="S228" s="289"/>
      <c r="T228" s="289"/>
      <c r="U228" s="289"/>
      <c r="V228" s="289"/>
      <c r="W228" s="289"/>
      <c r="X228" s="289"/>
      <c r="Y228" s="289"/>
      <c r="Z228" s="289"/>
      <c r="AA228" s="289"/>
      <c r="AB228" s="289"/>
      <c r="AC228" s="289"/>
      <c r="AD228" s="295"/>
    </row>
    <row r="229" spans="18:30" ht="32.25" customHeight="1">
      <c r="R229" s="289"/>
      <c r="S229" s="289"/>
      <c r="T229" s="289"/>
      <c r="U229" s="289"/>
      <c r="V229" s="289"/>
      <c r="W229" s="289"/>
      <c r="X229" s="289"/>
      <c r="Y229" s="289"/>
      <c r="Z229" s="289"/>
      <c r="AA229" s="289"/>
      <c r="AB229" s="289"/>
      <c r="AC229" s="289"/>
      <c r="AD229" s="295"/>
    </row>
    <row r="230" spans="18:30" ht="32.25" customHeight="1">
      <c r="R230" s="289"/>
      <c r="S230" s="289"/>
      <c r="T230" s="289"/>
      <c r="U230" s="289"/>
      <c r="V230" s="289"/>
      <c r="W230" s="289"/>
      <c r="X230" s="289"/>
      <c r="Y230" s="289"/>
      <c r="Z230" s="289"/>
      <c r="AA230" s="289"/>
      <c r="AB230" s="289"/>
      <c r="AC230" s="289"/>
      <c r="AD230" s="295"/>
    </row>
    <row r="231" spans="18:30" ht="32.25" customHeight="1">
      <c r="R231" s="289"/>
      <c r="S231" s="289"/>
      <c r="T231" s="289"/>
      <c r="U231" s="289"/>
      <c r="V231" s="289"/>
      <c r="W231" s="289"/>
      <c r="X231" s="289"/>
      <c r="Y231" s="289"/>
      <c r="Z231" s="289"/>
      <c r="AA231" s="289"/>
      <c r="AB231" s="289"/>
      <c r="AC231" s="289"/>
      <c r="AD231" s="295"/>
    </row>
    <row r="232" spans="18:30" ht="32.25" customHeight="1">
      <c r="R232" s="289"/>
      <c r="S232" s="289"/>
      <c r="T232" s="289"/>
      <c r="U232" s="289"/>
      <c r="V232" s="289"/>
      <c r="W232" s="289"/>
      <c r="X232" s="289"/>
      <c r="Y232" s="289"/>
      <c r="Z232" s="289"/>
      <c r="AA232" s="289"/>
      <c r="AB232" s="289"/>
      <c r="AC232" s="289"/>
      <c r="AD232" s="295"/>
    </row>
    <row r="233" spans="18:30" ht="32.25" customHeight="1">
      <c r="R233" s="289"/>
      <c r="S233" s="289"/>
      <c r="T233" s="289"/>
      <c r="U233" s="289"/>
      <c r="V233" s="289"/>
      <c r="W233" s="289"/>
      <c r="X233" s="289"/>
      <c r="Y233" s="289"/>
      <c r="Z233" s="289"/>
      <c r="AA233" s="289"/>
      <c r="AB233" s="289"/>
      <c r="AC233" s="289"/>
      <c r="AD233" s="295"/>
    </row>
    <row r="234" spans="18:30" ht="32.25" customHeight="1">
      <c r="R234" s="289"/>
      <c r="S234" s="289"/>
      <c r="T234" s="289"/>
      <c r="U234" s="289"/>
      <c r="V234" s="289"/>
      <c r="W234" s="289"/>
      <c r="X234" s="289"/>
      <c r="Y234" s="289"/>
      <c r="Z234" s="289"/>
      <c r="AA234" s="289"/>
      <c r="AB234" s="289"/>
      <c r="AC234" s="289"/>
      <c r="AD234" s="295"/>
    </row>
    <row r="235" spans="18:30" ht="32.25" customHeight="1">
      <c r="R235" s="289"/>
      <c r="S235" s="289"/>
      <c r="T235" s="289"/>
      <c r="U235" s="289"/>
      <c r="V235" s="289"/>
      <c r="W235" s="289"/>
      <c r="X235" s="289"/>
      <c r="Y235" s="289"/>
      <c r="Z235" s="289"/>
      <c r="AA235" s="289"/>
      <c r="AB235" s="289"/>
      <c r="AC235" s="289"/>
      <c r="AD235" s="295"/>
    </row>
    <row r="236" spans="18:30" ht="32.25" customHeight="1">
      <c r="R236" s="289"/>
      <c r="S236" s="289"/>
      <c r="T236" s="289"/>
      <c r="U236" s="289"/>
      <c r="V236" s="289"/>
      <c r="W236" s="289"/>
      <c r="X236" s="289"/>
      <c r="Y236" s="289"/>
      <c r="Z236" s="289"/>
      <c r="AA236" s="289"/>
      <c r="AB236" s="289"/>
      <c r="AC236" s="289"/>
      <c r="AD236" s="295"/>
    </row>
    <row r="237" spans="18:30" ht="32.25" customHeight="1">
      <c r="R237" s="289"/>
      <c r="S237" s="289"/>
      <c r="T237" s="289"/>
      <c r="U237" s="289"/>
      <c r="V237" s="289"/>
      <c r="W237" s="289"/>
      <c r="X237" s="289"/>
      <c r="Y237" s="289"/>
      <c r="Z237" s="289"/>
      <c r="AA237" s="289"/>
      <c r="AB237" s="289"/>
      <c r="AC237" s="289"/>
      <c r="AD237" s="295"/>
    </row>
    <row r="238" spans="18:30" ht="32.25" customHeight="1">
      <c r="R238" s="289"/>
      <c r="S238" s="289"/>
      <c r="T238" s="289"/>
      <c r="U238" s="289"/>
      <c r="V238" s="289"/>
      <c r="W238" s="289"/>
      <c r="X238" s="289"/>
      <c r="Y238" s="289"/>
      <c r="Z238" s="289"/>
      <c r="AA238" s="289"/>
      <c r="AB238" s="289"/>
      <c r="AC238" s="289"/>
      <c r="AD238" s="295"/>
    </row>
    <row r="239" spans="18:30" ht="32.25" customHeight="1">
      <c r="R239" s="289"/>
      <c r="S239" s="289"/>
      <c r="T239" s="289"/>
      <c r="U239" s="289"/>
      <c r="V239" s="289"/>
      <c r="W239" s="289"/>
      <c r="X239" s="289"/>
      <c r="Y239" s="289"/>
      <c r="Z239" s="289"/>
      <c r="AA239" s="289"/>
      <c r="AB239" s="289"/>
      <c r="AC239" s="289"/>
      <c r="AD239" s="295"/>
    </row>
    <row r="240" spans="18:30" ht="32.25" customHeight="1">
      <c r="R240" s="289"/>
      <c r="S240" s="289"/>
      <c r="T240" s="289"/>
      <c r="U240" s="289"/>
      <c r="V240" s="289"/>
      <c r="W240" s="289"/>
      <c r="X240" s="289"/>
      <c r="Y240" s="289"/>
      <c r="Z240" s="289"/>
      <c r="AA240" s="289"/>
      <c r="AB240" s="289"/>
      <c r="AC240" s="289"/>
      <c r="AD240" s="295"/>
    </row>
    <row r="241" spans="18:30" ht="32.25" customHeight="1">
      <c r="R241" s="289"/>
      <c r="S241" s="289"/>
      <c r="T241" s="289"/>
      <c r="U241" s="289"/>
      <c r="V241" s="289"/>
      <c r="W241" s="289"/>
      <c r="X241" s="289"/>
      <c r="Y241" s="289"/>
      <c r="Z241" s="289"/>
      <c r="AA241" s="289"/>
      <c r="AB241" s="289"/>
      <c r="AC241" s="289"/>
      <c r="AD241" s="295"/>
    </row>
    <row r="242" spans="18:30" ht="32.25" customHeight="1">
      <c r="R242" s="289"/>
      <c r="S242" s="289"/>
      <c r="T242" s="289"/>
      <c r="U242" s="289"/>
      <c r="V242" s="289"/>
      <c r="W242" s="289"/>
      <c r="X242" s="289"/>
      <c r="Y242" s="289"/>
      <c r="Z242" s="289"/>
      <c r="AA242" s="289"/>
      <c r="AB242" s="289"/>
      <c r="AC242" s="289"/>
      <c r="AD242" s="295"/>
    </row>
    <row r="243" spans="18:30" ht="32.25" customHeight="1">
      <c r="R243" s="289"/>
      <c r="S243" s="289"/>
      <c r="T243" s="289"/>
      <c r="U243" s="289"/>
      <c r="V243" s="289"/>
      <c r="W243" s="289"/>
      <c r="X243" s="289"/>
      <c r="Y243" s="289"/>
      <c r="Z243" s="289"/>
      <c r="AA243" s="289"/>
      <c r="AB243" s="289"/>
      <c r="AC243" s="289"/>
      <c r="AD243" s="295"/>
    </row>
    <row r="244" spans="18:30" ht="32.25" customHeight="1">
      <c r="R244" s="289"/>
      <c r="S244" s="289"/>
      <c r="T244" s="289"/>
      <c r="U244" s="289"/>
      <c r="V244" s="289"/>
      <c r="W244" s="289"/>
      <c r="X244" s="289"/>
      <c r="Y244" s="289"/>
      <c r="Z244" s="289"/>
      <c r="AA244" s="289"/>
      <c r="AB244" s="289"/>
      <c r="AC244" s="289"/>
      <c r="AD244" s="295"/>
    </row>
    <row r="245" spans="18:30" ht="32.25" customHeight="1">
      <c r="R245" s="289"/>
      <c r="S245" s="289"/>
      <c r="T245" s="289"/>
      <c r="U245" s="289"/>
      <c r="V245" s="289"/>
      <c r="W245" s="289"/>
      <c r="X245" s="289"/>
      <c r="Y245" s="289"/>
      <c r="Z245" s="289"/>
      <c r="AA245" s="289"/>
      <c r="AB245" s="289"/>
      <c r="AC245" s="289"/>
      <c r="AD245" s="295"/>
    </row>
    <row r="246" spans="18:30" ht="32.25" customHeight="1">
      <c r="R246" s="289"/>
      <c r="S246" s="289"/>
      <c r="T246" s="289"/>
      <c r="U246" s="289"/>
      <c r="V246" s="289"/>
      <c r="W246" s="289"/>
      <c r="X246" s="289"/>
      <c r="Y246" s="289"/>
      <c r="Z246" s="289"/>
      <c r="AA246" s="289"/>
      <c r="AB246" s="289"/>
      <c r="AC246" s="289"/>
      <c r="AD246" s="295"/>
    </row>
    <row r="247" spans="18:30" ht="32.25" customHeight="1">
      <c r="R247" s="289"/>
      <c r="S247" s="289"/>
      <c r="T247" s="289"/>
      <c r="U247" s="289"/>
      <c r="V247" s="289"/>
      <c r="W247" s="289"/>
      <c r="X247" s="289"/>
      <c r="Y247" s="289"/>
      <c r="Z247" s="289"/>
      <c r="AA247" s="289"/>
      <c r="AB247" s="289"/>
      <c r="AC247" s="289"/>
      <c r="AD247" s="295"/>
    </row>
    <row r="248" spans="18:30" ht="32.25" customHeight="1">
      <c r="R248" s="289"/>
      <c r="S248" s="289"/>
      <c r="T248" s="289"/>
      <c r="U248" s="289"/>
      <c r="V248" s="289"/>
      <c r="W248" s="289"/>
      <c r="X248" s="289"/>
      <c r="Y248" s="289"/>
      <c r="Z248" s="289"/>
      <c r="AA248" s="289"/>
      <c r="AB248" s="289"/>
      <c r="AC248" s="289"/>
      <c r="AD248" s="295"/>
    </row>
    <row r="249" spans="18:30" ht="32.25" customHeight="1">
      <c r="R249" s="289"/>
      <c r="S249" s="289"/>
      <c r="T249" s="289"/>
      <c r="U249" s="289"/>
      <c r="V249" s="289"/>
      <c r="W249" s="289"/>
      <c r="X249" s="289"/>
      <c r="Y249" s="289"/>
      <c r="Z249" s="289"/>
      <c r="AA249" s="289"/>
      <c r="AB249" s="289"/>
      <c r="AC249" s="289"/>
      <c r="AD249" s="295"/>
    </row>
    <row r="250" spans="18:30" ht="32.25" customHeight="1">
      <c r="R250" s="289"/>
      <c r="S250" s="289"/>
      <c r="T250" s="289"/>
      <c r="U250" s="289"/>
      <c r="V250" s="289"/>
      <c r="W250" s="289"/>
      <c r="X250" s="289"/>
      <c r="Y250" s="289"/>
      <c r="Z250" s="289"/>
      <c r="AA250" s="289"/>
      <c r="AB250" s="289"/>
      <c r="AC250" s="289"/>
      <c r="AD250" s="295"/>
    </row>
    <row r="251" spans="18:30" ht="32.25" customHeight="1">
      <c r="R251" s="289"/>
      <c r="S251" s="289"/>
      <c r="T251" s="289"/>
      <c r="U251" s="289"/>
      <c r="V251" s="289"/>
      <c r="W251" s="289"/>
      <c r="X251" s="289"/>
      <c r="Y251" s="289"/>
      <c r="Z251" s="289"/>
      <c r="AA251" s="289"/>
      <c r="AB251" s="289"/>
      <c r="AC251" s="289"/>
      <c r="AD251" s="295"/>
    </row>
    <row r="252" spans="18:30" ht="32.25" customHeight="1">
      <c r="R252" s="289"/>
      <c r="S252" s="289"/>
      <c r="T252" s="289"/>
      <c r="U252" s="289"/>
      <c r="V252" s="289"/>
      <c r="W252" s="289"/>
      <c r="X252" s="289"/>
      <c r="Y252" s="289"/>
      <c r="Z252" s="289"/>
      <c r="AA252" s="289"/>
      <c r="AB252" s="289"/>
      <c r="AC252" s="289"/>
      <c r="AD252" s="295"/>
    </row>
    <row r="253" spans="18:30" ht="32.25" customHeight="1">
      <c r="R253" s="289"/>
      <c r="S253" s="289"/>
      <c r="T253" s="289"/>
      <c r="U253" s="289"/>
      <c r="V253" s="289"/>
      <c r="W253" s="289"/>
      <c r="X253" s="289"/>
      <c r="Y253" s="289"/>
      <c r="Z253" s="289"/>
      <c r="AA253" s="289"/>
      <c r="AB253" s="289"/>
      <c r="AC253" s="289"/>
      <c r="AD253" s="295"/>
    </row>
    <row r="254" spans="18:30" ht="32.25" customHeight="1">
      <c r="R254" s="289"/>
      <c r="S254" s="289"/>
      <c r="T254" s="289"/>
      <c r="U254" s="289"/>
      <c r="V254" s="289"/>
      <c r="W254" s="289"/>
      <c r="X254" s="289"/>
      <c r="Y254" s="289"/>
      <c r="Z254" s="289"/>
      <c r="AA254" s="289"/>
      <c r="AB254" s="289"/>
      <c r="AC254" s="289"/>
      <c r="AD254" s="295"/>
    </row>
    <row r="255" spans="18:30" ht="32.25" customHeight="1">
      <c r="R255" s="289"/>
      <c r="S255" s="289"/>
      <c r="T255" s="289"/>
      <c r="U255" s="289"/>
      <c r="V255" s="289"/>
      <c r="W255" s="289"/>
      <c r="X255" s="289"/>
      <c r="Y255" s="289"/>
      <c r="Z255" s="289"/>
      <c r="AA255" s="289"/>
      <c r="AB255" s="289"/>
      <c r="AC255" s="289"/>
      <c r="AD255" s="295"/>
    </row>
    <row r="256" spans="18:30" ht="32.25" customHeight="1">
      <c r="R256" s="289"/>
      <c r="S256" s="289"/>
      <c r="T256" s="289"/>
      <c r="U256" s="289"/>
      <c r="V256" s="289"/>
      <c r="W256" s="289"/>
      <c r="X256" s="289"/>
      <c r="Y256" s="289"/>
      <c r="Z256" s="289"/>
      <c r="AA256" s="289"/>
      <c r="AB256" s="289"/>
      <c r="AC256" s="289"/>
      <c r="AD256" s="295"/>
    </row>
    <row r="257" spans="18:30" ht="32.25" customHeight="1">
      <c r="R257" s="289"/>
      <c r="S257" s="289"/>
      <c r="T257" s="289"/>
      <c r="U257" s="289"/>
      <c r="V257" s="289"/>
      <c r="W257" s="289"/>
      <c r="X257" s="289"/>
      <c r="Y257" s="289"/>
      <c r="Z257" s="289"/>
      <c r="AA257" s="289"/>
      <c r="AB257" s="289"/>
      <c r="AC257" s="289"/>
      <c r="AD257" s="295"/>
    </row>
    <row r="258" spans="18:30" ht="32.25" customHeight="1">
      <c r="R258" s="289"/>
      <c r="S258" s="289"/>
      <c r="T258" s="289"/>
      <c r="U258" s="289"/>
      <c r="V258" s="289"/>
      <c r="W258" s="289"/>
      <c r="X258" s="289"/>
      <c r="Y258" s="289"/>
      <c r="Z258" s="289"/>
      <c r="AA258" s="289"/>
      <c r="AB258" s="289"/>
      <c r="AC258" s="289"/>
      <c r="AD258" s="295"/>
    </row>
    <row r="259" spans="18:30" ht="32.25" customHeight="1">
      <c r="R259" s="289"/>
      <c r="S259" s="289"/>
      <c r="T259" s="289"/>
      <c r="U259" s="289"/>
      <c r="V259" s="289"/>
      <c r="W259" s="289"/>
      <c r="X259" s="289"/>
      <c r="Y259" s="289"/>
      <c r="Z259" s="289"/>
      <c r="AA259" s="289"/>
      <c r="AB259" s="289"/>
      <c r="AC259" s="289"/>
      <c r="AD259" s="295"/>
    </row>
    <row r="260" spans="18:30" ht="32.25" customHeight="1">
      <c r="R260" s="289"/>
      <c r="S260" s="289"/>
      <c r="T260" s="289"/>
      <c r="U260" s="289"/>
      <c r="V260" s="289"/>
      <c r="W260" s="289"/>
      <c r="X260" s="289"/>
      <c r="Y260" s="289"/>
      <c r="Z260" s="289"/>
      <c r="AA260" s="289"/>
      <c r="AB260" s="289"/>
      <c r="AC260" s="289"/>
      <c r="AD260" s="295"/>
    </row>
    <row r="261" spans="18:30" ht="32.25" customHeight="1">
      <c r="R261" s="289"/>
      <c r="S261" s="289"/>
      <c r="T261" s="289"/>
      <c r="U261" s="289"/>
      <c r="V261" s="289"/>
      <c r="W261" s="289"/>
      <c r="X261" s="289"/>
      <c r="Y261" s="289"/>
      <c r="Z261" s="289"/>
      <c r="AA261" s="289"/>
      <c r="AB261" s="289"/>
      <c r="AC261" s="289"/>
      <c r="AD261" s="295"/>
    </row>
    <row r="262" spans="18:30" ht="32.25" customHeight="1">
      <c r="R262" s="289"/>
      <c r="S262" s="289"/>
      <c r="T262" s="289"/>
      <c r="U262" s="289"/>
      <c r="V262" s="289"/>
      <c r="W262" s="289"/>
      <c r="X262" s="289"/>
      <c r="Y262" s="289"/>
      <c r="Z262" s="289"/>
      <c r="AA262" s="289"/>
      <c r="AB262" s="289"/>
      <c r="AC262" s="289"/>
      <c r="AD262" s="295"/>
    </row>
    <row r="263" spans="18:30" ht="32.25" customHeight="1">
      <c r="R263" s="289"/>
      <c r="S263" s="289"/>
      <c r="T263" s="289"/>
      <c r="U263" s="289"/>
      <c r="V263" s="289"/>
      <c r="W263" s="289"/>
      <c r="X263" s="289"/>
      <c r="Y263" s="289"/>
      <c r="Z263" s="289"/>
      <c r="AA263" s="289"/>
      <c r="AB263" s="289"/>
      <c r="AC263" s="289"/>
      <c r="AD263" s="295"/>
    </row>
    <row r="264" spans="18:30" ht="32.25" customHeight="1">
      <c r="R264" s="289"/>
      <c r="S264" s="289"/>
      <c r="T264" s="289"/>
      <c r="U264" s="289"/>
      <c r="V264" s="289"/>
      <c r="W264" s="289"/>
      <c r="X264" s="289"/>
      <c r="Y264" s="289"/>
      <c r="Z264" s="289"/>
      <c r="AA264" s="289"/>
      <c r="AB264" s="289"/>
      <c r="AC264" s="289"/>
      <c r="AD264" s="295"/>
    </row>
    <row r="265" spans="18:30" ht="32.25" customHeight="1">
      <c r="R265" s="289"/>
      <c r="S265" s="289"/>
      <c r="T265" s="289"/>
      <c r="U265" s="289"/>
      <c r="V265" s="289"/>
      <c r="W265" s="289"/>
      <c r="X265" s="289"/>
      <c r="Y265" s="289"/>
      <c r="Z265" s="289"/>
      <c r="AA265" s="289"/>
      <c r="AB265" s="289"/>
      <c r="AC265" s="289"/>
      <c r="AD265" s="295"/>
    </row>
    <row r="266" spans="18:30" ht="32.25" customHeight="1">
      <c r="R266" s="289"/>
      <c r="S266" s="289"/>
      <c r="T266" s="289"/>
      <c r="U266" s="289"/>
      <c r="V266" s="289"/>
      <c r="W266" s="289"/>
      <c r="X266" s="289"/>
      <c r="Y266" s="289"/>
      <c r="Z266" s="289"/>
      <c r="AA266" s="289"/>
      <c r="AB266" s="289"/>
      <c r="AC266" s="289"/>
      <c r="AD266" s="295"/>
    </row>
    <row r="267" spans="18:30" ht="32.25" customHeight="1">
      <c r="R267" s="289"/>
      <c r="S267" s="289"/>
      <c r="T267" s="289"/>
      <c r="U267" s="289"/>
      <c r="V267" s="289"/>
      <c r="W267" s="289"/>
      <c r="X267" s="289"/>
      <c r="Y267" s="289"/>
      <c r="Z267" s="289"/>
      <c r="AA267" s="289"/>
      <c r="AB267" s="289"/>
      <c r="AC267" s="289"/>
      <c r="AD267" s="295"/>
    </row>
    <row r="268" spans="18:30" ht="32.25" customHeight="1">
      <c r="R268" s="289"/>
      <c r="S268" s="289"/>
      <c r="T268" s="289"/>
      <c r="U268" s="289"/>
      <c r="V268" s="289"/>
      <c r="W268" s="289"/>
      <c r="X268" s="289"/>
      <c r="Y268" s="289"/>
      <c r="Z268" s="289"/>
      <c r="AA268" s="289"/>
      <c r="AB268" s="289"/>
      <c r="AC268" s="289"/>
      <c r="AD268" s="295"/>
    </row>
    <row r="269" spans="18:30" ht="32.25" customHeight="1">
      <c r="R269" s="289"/>
      <c r="S269" s="289"/>
      <c r="T269" s="289"/>
      <c r="U269" s="289"/>
      <c r="V269" s="289"/>
      <c r="W269" s="289"/>
      <c r="X269" s="289"/>
      <c r="Y269" s="289"/>
      <c r="Z269" s="289"/>
      <c r="AA269" s="289"/>
      <c r="AB269" s="289"/>
      <c r="AC269" s="289"/>
      <c r="AD269" s="295"/>
    </row>
    <row r="270" spans="18:30" ht="32.25" customHeight="1">
      <c r="R270" s="289"/>
      <c r="S270" s="289"/>
      <c r="T270" s="289"/>
      <c r="U270" s="289"/>
      <c r="V270" s="289"/>
      <c r="W270" s="289"/>
      <c r="X270" s="289"/>
      <c r="Y270" s="289"/>
      <c r="Z270" s="289"/>
      <c r="AA270" s="289"/>
      <c r="AB270" s="289"/>
      <c r="AC270" s="289"/>
      <c r="AD270" s="295"/>
    </row>
    <row r="271" spans="18:30" ht="32.25" customHeight="1">
      <c r="R271" s="289"/>
      <c r="S271" s="289"/>
      <c r="T271" s="289"/>
      <c r="U271" s="289"/>
      <c r="V271" s="289"/>
      <c r="W271" s="289"/>
      <c r="X271" s="289"/>
      <c r="Y271" s="289"/>
      <c r="Z271" s="289"/>
      <c r="AA271" s="289"/>
      <c r="AB271" s="289"/>
      <c r="AC271" s="289"/>
      <c r="AD271" s="295"/>
    </row>
    <row r="272" spans="18:30" ht="32.25" customHeight="1">
      <c r="R272" s="289"/>
      <c r="S272" s="289"/>
      <c r="T272" s="289"/>
      <c r="U272" s="289"/>
      <c r="V272" s="289"/>
      <c r="W272" s="289"/>
      <c r="X272" s="289"/>
      <c r="Y272" s="289"/>
      <c r="Z272" s="289"/>
      <c r="AA272" s="289"/>
      <c r="AB272" s="289"/>
      <c r="AC272" s="289"/>
      <c r="AD272" s="295"/>
    </row>
    <row r="273" spans="18:30" ht="32.25" customHeight="1">
      <c r="R273" s="289"/>
      <c r="S273" s="289"/>
      <c r="T273" s="289"/>
      <c r="U273" s="289"/>
      <c r="V273" s="289"/>
      <c r="W273" s="289"/>
      <c r="X273" s="289"/>
      <c r="Y273" s="289"/>
      <c r="Z273" s="289"/>
      <c r="AA273" s="289"/>
      <c r="AB273" s="289"/>
      <c r="AC273" s="289"/>
      <c r="AD273" s="295"/>
    </row>
    <row r="274" spans="18:30" ht="32.25" customHeight="1">
      <c r="R274" s="289"/>
      <c r="S274" s="289"/>
      <c r="T274" s="289"/>
      <c r="U274" s="289"/>
      <c r="V274" s="289"/>
      <c r="W274" s="289"/>
      <c r="X274" s="289"/>
      <c r="Y274" s="289"/>
      <c r="Z274" s="289"/>
      <c r="AA274" s="289"/>
      <c r="AB274" s="289"/>
      <c r="AC274" s="289"/>
      <c r="AD274" s="295"/>
    </row>
    <row r="275" spans="18:30" ht="32.25" customHeight="1">
      <c r="R275" s="289"/>
      <c r="S275" s="289"/>
      <c r="T275" s="289"/>
      <c r="U275" s="289"/>
      <c r="V275" s="289"/>
      <c r="W275" s="289"/>
      <c r="X275" s="289"/>
      <c r="Y275" s="289"/>
      <c r="Z275" s="289"/>
      <c r="AA275" s="289"/>
      <c r="AB275" s="289"/>
      <c r="AC275" s="289"/>
      <c r="AD275" s="295"/>
    </row>
    <row r="276" spans="18:30" ht="32.25" customHeight="1">
      <c r="R276" s="289"/>
      <c r="S276" s="289"/>
      <c r="T276" s="289"/>
      <c r="U276" s="289"/>
      <c r="V276" s="289"/>
      <c r="W276" s="289"/>
      <c r="X276" s="289"/>
      <c r="Y276" s="289"/>
      <c r="Z276" s="289"/>
      <c r="AA276" s="289"/>
      <c r="AB276" s="289"/>
      <c r="AC276" s="289"/>
      <c r="AD276" s="295"/>
    </row>
    <row r="277" spans="18:30" ht="32.25" customHeight="1">
      <c r="R277" s="289"/>
      <c r="S277" s="289"/>
      <c r="T277" s="289"/>
      <c r="U277" s="289"/>
      <c r="V277" s="289"/>
      <c r="W277" s="289"/>
      <c r="X277" s="289"/>
      <c r="Y277" s="289"/>
      <c r="Z277" s="289"/>
      <c r="AA277" s="289"/>
      <c r="AB277" s="289"/>
      <c r="AC277" s="289"/>
      <c r="AD277" s="295"/>
    </row>
    <row r="278" spans="18:30" ht="32.25" customHeight="1">
      <c r="R278" s="289"/>
      <c r="S278" s="289"/>
      <c r="T278" s="289"/>
      <c r="U278" s="289"/>
      <c r="V278" s="289"/>
      <c r="W278" s="289"/>
      <c r="X278" s="289"/>
      <c r="Y278" s="289"/>
      <c r="Z278" s="289"/>
      <c r="AA278" s="289"/>
      <c r="AB278" s="289"/>
      <c r="AC278" s="289"/>
      <c r="AD278" s="295"/>
    </row>
    <row r="279" spans="18:30" ht="32.25" customHeight="1">
      <c r="R279" s="289"/>
      <c r="S279" s="289"/>
      <c r="T279" s="289"/>
      <c r="U279" s="289"/>
      <c r="V279" s="289"/>
      <c r="W279" s="289"/>
      <c r="X279" s="289"/>
      <c r="Y279" s="289"/>
      <c r="Z279" s="289"/>
      <c r="AA279" s="289"/>
      <c r="AB279" s="289"/>
      <c r="AC279" s="289"/>
      <c r="AD279" s="295"/>
    </row>
    <row r="280" spans="18:30" ht="32.25" customHeight="1">
      <c r="R280" s="289"/>
      <c r="S280" s="289"/>
      <c r="T280" s="289"/>
      <c r="U280" s="289"/>
      <c r="V280" s="289"/>
      <c r="W280" s="289"/>
      <c r="X280" s="289"/>
      <c r="Y280" s="289"/>
      <c r="Z280" s="289"/>
      <c r="AA280" s="289"/>
      <c r="AB280" s="289"/>
      <c r="AC280" s="289"/>
      <c r="AD280" s="295"/>
    </row>
    <row r="281" spans="18:30" ht="32.25" customHeight="1">
      <c r="R281" s="289"/>
      <c r="S281" s="289"/>
      <c r="T281" s="289"/>
      <c r="U281" s="289"/>
      <c r="V281" s="289"/>
      <c r="W281" s="289"/>
      <c r="X281" s="289"/>
      <c r="Y281" s="289"/>
      <c r="Z281" s="289"/>
      <c r="AA281" s="289"/>
      <c r="AB281" s="289"/>
      <c r="AC281" s="289"/>
      <c r="AD281" s="295"/>
    </row>
    <row r="282" spans="18:30" ht="32.25" customHeight="1">
      <c r="R282" s="289"/>
      <c r="S282" s="289"/>
      <c r="T282" s="289"/>
      <c r="U282" s="289"/>
      <c r="V282" s="289"/>
      <c r="W282" s="289"/>
      <c r="X282" s="289"/>
      <c r="Y282" s="289"/>
      <c r="Z282" s="289"/>
      <c r="AA282" s="289"/>
      <c r="AB282" s="289"/>
      <c r="AC282" s="289"/>
      <c r="AD282" s="295"/>
    </row>
    <row r="283" spans="18:30" ht="32.25" customHeight="1">
      <c r="R283" s="289"/>
      <c r="S283" s="289"/>
      <c r="T283" s="289"/>
      <c r="U283" s="289"/>
      <c r="V283" s="289"/>
      <c r="W283" s="289"/>
      <c r="X283" s="289"/>
      <c r="Y283" s="289"/>
      <c r="Z283" s="289"/>
      <c r="AA283" s="289"/>
      <c r="AB283" s="289"/>
      <c r="AC283" s="289"/>
      <c r="AD283" s="295"/>
    </row>
    <row r="284" spans="18:30" ht="32.25" customHeight="1">
      <c r="R284" s="289"/>
      <c r="S284" s="289"/>
      <c r="T284" s="289"/>
      <c r="U284" s="289"/>
      <c r="V284" s="289"/>
      <c r="W284" s="289"/>
      <c r="X284" s="289"/>
      <c r="Y284" s="289"/>
      <c r="Z284" s="289"/>
      <c r="AA284" s="289"/>
      <c r="AB284" s="289"/>
      <c r="AC284" s="289"/>
      <c r="AD284" s="295"/>
    </row>
    <row r="285" spans="18:30" ht="32.25" customHeight="1">
      <c r="R285" s="289"/>
      <c r="S285" s="289"/>
      <c r="T285" s="289"/>
      <c r="U285" s="289"/>
      <c r="V285" s="289"/>
      <c r="W285" s="289"/>
      <c r="X285" s="289"/>
      <c r="Y285" s="289"/>
      <c r="Z285" s="289"/>
      <c r="AA285" s="289"/>
      <c r="AB285" s="289"/>
      <c r="AC285" s="289"/>
      <c r="AD285" s="295"/>
    </row>
    <row r="286" spans="18:30" ht="32.25" customHeight="1">
      <c r="R286" s="289"/>
      <c r="S286" s="289"/>
      <c r="T286" s="289"/>
      <c r="U286" s="289"/>
      <c r="V286" s="289"/>
      <c r="W286" s="289"/>
      <c r="X286" s="289"/>
      <c r="Y286" s="289"/>
      <c r="Z286" s="289"/>
      <c r="AA286" s="289"/>
      <c r="AB286" s="289"/>
      <c r="AC286" s="289"/>
      <c r="AD286" s="295"/>
    </row>
    <row r="287" spans="18:30" ht="32.25" customHeight="1">
      <c r="R287" s="289"/>
      <c r="S287" s="289"/>
      <c r="T287" s="289"/>
      <c r="U287" s="289"/>
      <c r="V287" s="289"/>
      <c r="W287" s="289"/>
      <c r="X287" s="289"/>
      <c r="Y287" s="289"/>
      <c r="Z287" s="289"/>
      <c r="AA287" s="289"/>
      <c r="AB287" s="289"/>
      <c r="AC287" s="289"/>
      <c r="AD287" s="295"/>
    </row>
    <row r="288" spans="18:30" ht="32.25" customHeight="1">
      <c r="R288" s="289"/>
      <c r="S288" s="289"/>
      <c r="T288" s="289"/>
      <c r="U288" s="289"/>
      <c r="V288" s="289"/>
      <c r="W288" s="289"/>
      <c r="X288" s="289"/>
      <c r="Y288" s="289"/>
      <c r="Z288" s="289"/>
      <c r="AA288" s="289"/>
      <c r="AB288" s="289"/>
      <c r="AC288" s="289"/>
      <c r="AD288" s="295"/>
    </row>
    <row r="289" spans="18:30" ht="32.25" customHeight="1">
      <c r="R289" s="289"/>
      <c r="S289" s="289"/>
      <c r="T289" s="289"/>
      <c r="U289" s="289"/>
      <c r="V289" s="289"/>
      <c r="W289" s="289"/>
      <c r="X289" s="289"/>
      <c r="Y289" s="289"/>
      <c r="Z289" s="289"/>
      <c r="AA289" s="289"/>
      <c r="AB289" s="289"/>
      <c r="AC289" s="289"/>
      <c r="AD289" s="295"/>
    </row>
    <row r="290" spans="18:30" ht="32.25" customHeight="1">
      <c r="R290" s="289"/>
      <c r="S290" s="289"/>
      <c r="T290" s="289"/>
      <c r="U290" s="289"/>
      <c r="V290" s="289"/>
      <c r="W290" s="289"/>
      <c r="X290" s="289"/>
      <c r="Y290" s="289"/>
      <c r="Z290" s="289"/>
      <c r="AA290" s="289"/>
      <c r="AB290" s="289"/>
      <c r="AC290" s="289"/>
      <c r="AD290" s="295"/>
    </row>
    <row r="291" spans="18:30" ht="32.25" customHeight="1">
      <c r="R291" s="289"/>
      <c r="S291" s="289"/>
      <c r="T291" s="289"/>
      <c r="U291" s="289"/>
      <c r="V291" s="289"/>
      <c r="W291" s="289"/>
      <c r="X291" s="289"/>
      <c r="Y291" s="289"/>
      <c r="Z291" s="289"/>
      <c r="AA291" s="289"/>
      <c r="AB291" s="289"/>
      <c r="AC291" s="289"/>
      <c r="AD291" s="295"/>
    </row>
    <row r="292" spans="18:30" ht="32.25" customHeight="1">
      <c r="R292" s="289"/>
      <c r="S292" s="289"/>
      <c r="T292" s="289"/>
      <c r="U292" s="289"/>
      <c r="V292" s="289"/>
      <c r="W292" s="289"/>
      <c r="X292" s="289"/>
      <c r="Y292" s="289"/>
      <c r="Z292" s="289"/>
      <c r="AA292" s="289"/>
      <c r="AB292" s="289"/>
      <c r="AC292" s="289"/>
      <c r="AD292" s="295"/>
    </row>
    <row r="293" spans="18:30" ht="32.25" customHeight="1">
      <c r="R293" s="289"/>
      <c r="S293" s="289"/>
      <c r="T293" s="289"/>
      <c r="U293" s="289"/>
      <c r="V293" s="289"/>
      <c r="W293" s="289"/>
      <c r="X293" s="289"/>
      <c r="Y293" s="289"/>
      <c r="Z293" s="289"/>
      <c r="AA293" s="289"/>
      <c r="AB293" s="289"/>
      <c r="AC293" s="289"/>
      <c r="AD293" s="295"/>
    </row>
    <row r="294" spans="18:30" ht="32.25" customHeight="1">
      <c r="R294" s="289"/>
      <c r="S294" s="289"/>
      <c r="T294" s="289"/>
      <c r="U294" s="289"/>
      <c r="V294" s="289"/>
      <c r="W294" s="289"/>
      <c r="X294" s="289"/>
      <c r="Y294" s="289"/>
      <c r="Z294" s="289"/>
      <c r="AA294" s="289"/>
      <c r="AB294" s="289"/>
      <c r="AC294" s="289"/>
      <c r="AD294" s="295"/>
    </row>
    <row r="295" spans="18:30" ht="32.25" customHeight="1">
      <c r="R295" s="289"/>
      <c r="S295" s="289"/>
      <c r="T295" s="289"/>
      <c r="U295" s="289"/>
      <c r="V295" s="289"/>
      <c r="W295" s="289"/>
      <c r="X295" s="289"/>
      <c r="Y295" s="289"/>
      <c r="Z295" s="289"/>
      <c r="AA295" s="289"/>
      <c r="AB295" s="289"/>
      <c r="AC295" s="289"/>
      <c r="AD295" s="295"/>
    </row>
    <row r="296" spans="18:30" ht="32.25" customHeight="1">
      <c r="R296" s="289"/>
      <c r="S296" s="289"/>
      <c r="T296" s="289"/>
      <c r="U296" s="289"/>
      <c r="V296" s="289"/>
      <c r="W296" s="289"/>
      <c r="X296" s="289"/>
      <c r="Y296" s="289"/>
      <c r="Z296" s="289"/>
      <c r="AA296" s="289"/>
      <c r="AB296" s="289"/>
      <c r="AC296" s="289"/>
      <c r="AD296" s="295"/>
    </row>
    <row r="297" spans="18:30" ht="32.25" customHeight="1">
      <c r="R297" s="289"/>
      <c r="S297" s="289"/>
      <c r="T297" s="289"/>
      <c r="U297" s="289"/>
      <c r="V297" s="289"/>
      <c r="W297" s="289"/>
      <c r="X297" s="289"/>
      <c r="Y297" s="289"/>
      <c r="Z297" s="289"/>
      <c r="AA297" s="289"/>
      <c r="AB297" s="289"/>
      <c r="AC297" s="289"/>
      <c r="AD297" s="295"/>
    </row>
    <row r="298" spans="18:30" ht="32.25" customHeight="1">
      <c r="R298" s="289"/>
      <c r="S298" s="289"/>
      <c r="T298" s="289"/>
      <c r="U298" s="289"/>
      <c r="V298" s="289"/>
      <c r="W298" s="289"/>
      <c r="X298" s="289"/>
      <c r="Y298" s="289"/>
      <c r="Z298" s="289"/>
      <c r="AA298" s="289"/>
      <c r="AB298" s="289"/>
      <c r="AC298" s="289"/>
      <c r="AD298" s="295"/>
    </row>
    <row r="299" spans="18:30" ht="32.25" customHeight="1">
      <c r="R299" s="289"/>
      <c r="S299" s="289"/>
      <c r="T299" s="289"/>
      <c r="U299" s="289"/>
      <c r="V299" s="289"/>
      <c r="W299" s="289"/>
      <c r="X299" s="289"/>
      <c r="Y299" s="289"/>
      <c r="Z299" s="289"/>
      <c r="AA299" s="289"/>
      <c r="AB299" s="289"/>
      <c r="AC299" s="289"/>
      <c r="AD299" s="295"/>
    </row>
    <row r="300" spans="18:30" ht="32.25" customHeight="1">
      <c r="R300" s="289"/>
      <c r="S300" s="289"/>
      <c r="T300" s="289"/>
      <c r="U300" s="289"/>
      <c r="V300" s="289"/>
      <c r="W300" s="289"/>
      <c r="X300" s="289"/>
      <c r="Y300" s="289"/>
      <c r="Z300" s="289"/>
      <c r="AA300" s="289"/>
      <c r="AB300" s="289"/>
      <c r="AC300" s="289"/>
      <c r="AD300" s="295"/>
    </row>
    <row r="301" spans="18:30" ht="32.25" customHeight="1">
      <c r="R301" s="289"/>
      <c r="S301" s="289"/>
      <c r="T301" s="289"/>
      <c r="U301" s="289"/>
      <c r="V301" s="289"/>
      <c r="W301" s="289"/>
      <c r="X301" s="289"/>
      <c r="Y301" s="289"/>
      <c r="Z301" s="289"/>
      <c r="AA301" s="289"/>
      <c r="AB301" s="289"/>
      <c r="AC301" s="289"/>
      <c r="AD301" s="295"/>
    </row>
    <row r="302" spans="18:30" ht="32.25" customHeight="1">
      <c r="R302" s="289"/>
      <c r="S302" s="289"/>
      <c r="T302" s="289"/>
      <c r="U302" s="289"/>
      <c r="V302" s="289"/>
      <c r="W302" s="289"/>
      <c r="X302" s="289"/>
      <c r="Y302" s="289"/>
      <c r="Z302" s="289"/>
      <c r="AA302" s="289"/>
      <c r="AB302" s="289"/>
      <c r="AC302" s="289"/>
      <c r="AD302" s="295"/>
    </row>
    <row r="303" spans="18:30" ht="32.25" customHeight="1">
      <c r="R303" s="289"/>
      <c r="S303" s="289"/>
      <c r="T303" s="289"/>
      <c r="U303" s="289"/>
      <c r="V303" s="289"/>
      <c r="W303" s="289"/>
      <c r="X303" s="289"/>
      <c r="Y303" s="289"/>
      <c r="Z303" s="289"/>
      <c r="AA303" s="289"/>
      <c r="AB303" s="289"/>
      <c r="AC303" s="289"/>
      <c r="AD303" s="295"/>
    </row>
    <row r="304" spans="18:30" ht="32.25" customHeight="1">
      <c r="R304" s="289"/>
      <c r="S304" s="289"/>
      <c r="T304" s="289"/>
      <c r="U304" s="289"/>
      <c r="V304" s="289"/>
      <c r="W304" s="289"/>
      <c r="X304" s="289"/>
      <c r="Y304" s="289"/>
      <c r="Z304" s="289"/>
      <c r="AA304" s="289"/>
      <c r="AB304" s="289"/>
      <c r="AC304" s="289"/>
      <c r="AD304" s="295"/>
    </row>
    <row r="305" spans="18:30" ht="32.25" customHeight="1">
      <c r="R305" s="289"/>
      <c r="S305" s="289"/>
      <c r="T305" s="289"/>
      <c r="U305" s="289"/>
      <c r="V305" s="289"/>
      <c r="W305" s="289"/>
      <c r="X305" s="289"/>
      <c r="Y305" s="289"/>
      <c r="Z305" s="289"/>
      <c r="AA305" s="289"/>
      <c r="AB305" s="289"/>
      <c r="AC305" s="289"/>
      <c r="AD305" s="295"/>
    </row>
    <row r="306" spans="18:30" ht="32.25" customHeight="1">
      <c r="R306" s="289"/>
      <c r="S306" s="289"/>
      <c r="T306" s="289"/>
      <c r="U306" s="289"/>
      <c r="V306" s="289"/>
      <c r="W306" s="289"/>
      <c r="X306" s="289"/>
      <c r="Y306" s="289"/>
      <c r="Z306" s="289"/>
      <c r="AA306" s="289"/>
      <c r="AB306" s="289"/>
      <c r="AC306" s="289"/>
      <c r="AD306" s="295"/>
    </row>
    <row r="307" spans="18:30" ht="32.25" customHeight="1">
      <c r="R307" s="289"/>
      <c r="S307" s="289"/>
      <c r="T307" s="289"/>
      <c r="U307" s="289"/>
      <c r="V307" s="289"/>
      <c r="W307" s="289"/>
      <c r="X307" s="289"/>
      <c r="Y307" s="289"/>
      <c r="Z307" s="289"/>
      <c r="AA307" s="289"/>
      <c r="AB307" s="289"/>
      <c r="AC307" s="289"/>
      <c r="AD307" s="295"/>
    </row>
    <row r="308" spans="18:30" ht="32.25" customHeight="1">
      <c r="R308" s="289"/>
      <c r="S308" s="289"/>
      <c r="T308" s="289"/>
      <c r="U308" s="289"/>
      <c r="V308" s="289"/>
      <c r="W308" s="289"/>
      <c r="X308" s="289"/>
      <c r="Y308" s="289"/>
      <c r="Z308" s="289"/>
      <c r="AA308" s="289"/>
      <c r="AB308" s="289"/>
      <c r="AC308" s="289"/>
      <c r="AD308" s="295"/>
    </row>
    <row r="309" spans="18:30" ht="32.25" customHeight="1">
      <c r="R309" s="289"/>
      <c r="S309" s="289"/>
      <c r="T309" s="289"/>
      <c r="U309" s="289"/>
      <c r="V309" s="289"/>
      <c r="W309" s="289"/>
      <c r="X309" s="289"/>
      <c r="Y309" s="289"/>
      <c r="Z309" s="289"/>
      <c r="AA309" s="289"/>
      <c r="AB309" s="289"/>
      <c r="AC309" s="289"/>
      <c r="AD309" s="295"/>
    </row>
    <row r="310" spans="18:30" ht="32.25" customHeight="1">
      <c r="R310" s="289"/>
      <c r="S310" s="289"/>
      <c r="T310" s="289"/>
      <c r="U310" s="289"/>
      <c r="V310" s="289"/>
      <c r="W310" s="289"/>
      <c r="X310" s="289"/>
      <c r="Y310" s="289"/>
      <c r="Z310" s="289"/>
      <c r="AA310" s="289"/>
      <c r="AB310" s="289"/>
      <c r="AC310" s="289"/>
      <c r="AD310" s="295"/>
    </row>
    <row r="311" spans="18:30" ht="32.25" customHeight="1">
      <c r="R311" s="289"/>
      <c r="S311" s="289"/>
      <c r="T311" s="289"/>
      <c r="U311" s="289"/>
      <c r="V311" s="289"/>
      <c r="W311" s="289"/>
      <c r="X311" s="289"/>
      <c r="Y311" s="289"/>
      <c r="Z311" s="289"/>
      <c r="AA311" s="289"/>
      <c r="AB311" s="289"/>
      <c r="AC311" s="289"/>
      <c r="AD311" s="295"/>
    </row>
    <row r="312" spans="18:30" ht="32.25" customHeight="1">
      <c r="R312" s="289"/>
      <c r="S312" s="289"/>
      <c r="T312" s="289"/>
      <c r="U312" s="289"/>
      <c r="V312" s="289"/>
      <c r="W312" s="289"/>
      <c r="X312" s="289"/>
      <c r="Y312" s="289"/>
      <c r="Z312" s="289"/>
      <c r="AA312" s="289"/>
      <c r="AB312" s="289"/>
      <c r="AC312" s="289"/>
      <c r="AD312" s="295"/>
    </row>
    <row r="313" spans="18:30" ht="32.25" customHeight="1">
      <c r="R313" s="289"/>
      <c r="S313" s="289"/>
      <c r="T313" s="289"/>
      <c r="U313" s="289"/>
      <c r="V313" s="289"/>
      <c r="W313" s="289"/>
      <c r="X313" s="289"/>
      <c r="Y313" s="289"/>
      <c r="Z313" s="289"/>
      <c r="AA313" s="289"/>
      <c r="AB313" s="289"/>
      <c r="AC313" s="289"/>
      <c r="AD313" s="295"/>
    </row>
    <row r="314" spans="18:30" ht="32.25" customHeight="1">
      <c r="R314" s="289"/>
      <c r="S314" s="289"/>
      <c r="T314" s="289"/>
      <c r="U314" s="289"/>
      <c r="V314" s="289"/>
      <c r="W314" s="289"/>
      <c r="X314" s="289"/>
      <c r="Y314" s="289"/>
      <c r="Z314" s="289"/>
      <c r="AA314" s="289"/>
      <c r="AB314" s="289"/>
      <c r="AC314" s="289"/>
      <c r="AD314" s="295"/>
    </row>
    <row r="315" spans="18:30" ht="32.25" customHeight="1">
      <c r="R315" s="289"/>
      <c r="S315" s="289"/>
      <c r="T315" s="289"/>
      <c r="U315" s="289"/>
      <c r="V315" s="289"/>
      <c r="W315" s="289"/>
      <c r="X315" s="289"/>
      <c r="Y315" s="289"/>
      <c r="Z315" s="289"/>
      <c r="AA315" s="289"/>
      <c r="AB315" s="289"/>
      <c r="AC315" s="289"/>
      <c r="AD315" s="295"/>
    </row>
    <row r="316" spans="18:30" ht="32.25" customHeight="1">
      <c r="R316" s="289"/>
      <c r="S316" s="289"/>
      <c r="T316" s="289"/>
      <c r="U316" s="289"/>
      <c r="V316" s="289"/>
      <c r="W316" s="289"/>
      <c r="X316" s="289"/>
      <c r="Y316" s="289"/>
      <c r="Z316" s="289"/>
      <c r="AA316" s="289"/>
      <c r="AB316" s="289"/>
      <c r="AC316" s="289"/>
      <c r="AD316" s="295"/>
    </row>
    <row r="317" spans="18:30" ht="32.25" customHeight="1">
      <c r="R317" s="289"/>
      <c r="S317" s="289"/>
      <c r="T317" s="289"/>
      <c r="U317" s="289"/>
      <c r="V317" s="289"/>
      <c r="W317" s="289"/>
      <c r="X317" s="289"/>
      <c r="Y317" s="289"/>
      <c r="Z317" s="289"/>
      <c r="AA317" s="289"/>
      <c r="AB317" s="289"/>
      <c r="AC317" s="289"/>
      <c r="AD317" s="295"/>
    </row>
    <row r="318" spans="18:30" ht="32.25" customHeight="1">
      <c r="R318" s="289"/>
      <c r="S318" s="289"/>
      <c r="T318" s="289"/>
      <c r="U318" s="289"/>
      <c r="V318" s="289"/>
      <c r="W318" s="289"/>
      <c r="X318" s="289"/>
      <c r="Y318" s="289"/>
      <c r="Z318" s="289"/>
      <c r="AA318" s="289"/>
      <c r="AB318" s="289"/>
      <c r="AC318" s="289"/>
      <c r="AD318" s="295"/>
    </row>
    <row r="319" spans="18:30" ht="32.25" customHeight="1">
      <c r="R319" s="289"/>
      <c r="S319" s="289"/>
      <c r="T319" s="289"/>
      <c r="U319" s="289"/>
      <c r="V319" s="289"/>
      <c r="W319" s="289"/>
      <c r="X319" s="289"/>
      <c r="Y319" s="289"/>
      <c r="Z319" s="289"/>
      <c r="AA319" s="289"/>
      <c r="AB319" s="289"/>
      <c r="AC319" s="289"/>
      <c r="AD319" s="295"/>
    </row>
    <row r="320" spans="18:30" ht="32.25" customHeight="1">
      <c r="R320" s="289"/>
      <c r="S320" s="289"/>
      <c r="T320" s="289"/>
      <c r="U320" s="289"/>
      <c r="V320" s="289"/>
      <c r="W320" s="289"/>
      <c r="X320" s="289"/>
      <c r="Y320" s="289"/>
      <c r="Z320" s="289"/>
      <c r="AA320" s="289"/>
      <c r="AB320" s="289"/>
      <c r="AC320" s="289"/>
      <c r="AD320" s="295"/>
    </row>
    <row r="321" spans="18:30" ht="32.25" customHeight="1">
      <c r="R321" s="289"/>
      <c r="S321" s="289"/>
      <c r="T321" s="289"/>
      <c r="U321" s="289"/>
      <c r="V321" s="289"/>
      <c r="W321" s="289"/>
      <c r="X321" s="289"/>
      <c r="Y321" s="289"/>
      <c r="Z321" s="289"/>
      <c r="AA321" s="289"/>
      <c r="AB321" s="289"/>
      <c r="AC321" s="289"/>
      <c r="AD321" s="295"/>
    </row>
    <row r="322" spans="18:30" ht="32.25" customHeight="1">
      <c r="R322" s="289"/>
      <c r="S322" s="289"/>
      <c r="T322" s="289"/>
      <c r="U322" s="289"/>
      <c r="V322" s="289"/>
      <c r="W322" s="289"/>
      <c r="X322" s="289"/>
      <c r="Y322" s="289"/>
      <c r="Z322" s="289"/>
      <c r="AA322" s="289"/>
      <c r="AB322" s="289"/>
      <c r="AC322" s="289"/>
      <c r="AD322" s="295"/>
    </row>
    <row r="323" spans="18:30" ht="32.25" customHeight="1">
      <c r="R323" s="289"/>
      <c r="S323" s="289"/>
      <c r="T323" s="289"/>
      <c r="U323" s="289"/>
      <c r="V323" s="289"/>
      <c r="W323" s="289"/>
      <c r="X323" s="289"/>
      <c r="Y323" s="289"/>
      <c r="Z323" s="289"/>
      <c r="AA323" s="289"/>
      <c r="AB323" s="289"/>
      <c r="AC323" s="289"/>
      <c r="AD323" s="295"/>
    </row>
    <row r="324" spans="18:30" ht="32.25" customHeight="1">
      <c r="R324" s="289"/>
      <c r="S324" s="289"/>
      <c r="T324" s="289"/>
      <c r="U324" s="289"/>
      <c r="V324" s="289"/>
      <c r="W324" s="289"/>
      <c r="X324" s="289"/>
      <c r="Y324" s="289"/>
      <c r="Z324" s="289"/>
      <c r="AA324" s="289"/>
      <c r="AB324" s="289"/>
      <c r="AC324" s="289"/>
      <c r="AD324" s="295"/>
    </row>
    <row r="325" spans="18:30" ht="32.25" customHeight="1">
      <c r="R325" s="289"/>
      <c r="S325" s="289"/>
      <c r="T325" s="289"/>
      <c r="U325" s="289"/>
      <c r="V325" s="289"/>
      <c r="W325" s="289"/>
      <c r="X325" s="289"/>
      <c r="Y325" s="289"/>
      <c r="Z325" s="289"/>
      <c r="AA325" s="289"/>
      <c r="AB325" s="289"/>
      <c r="AC325" s="289"/>
      <c r="AD325" s="295"/>
    </row>
    <row r="326" spans="18:30" ht="32.25" customHeight="1">
      <c r="R326" s="289"/>
      <c r="S326" s="289"/>
      <c r="T326" s="289"/>
      <c r="U326" s="289"/>
      <c r="V326" s="289"/>
      <c r="W326" s="289"/>
      <c r="X326" s="289"/>
      <c r="Y326" s="289"/>
      <c r="Z326" s="289"/>
      <c r="AA326" s="289"/>
      <c r="AB326" s="289"/>
      <c r="AC326" s="289"/>
      <c r="AD326" s="295"/>
    </row>
    <row r="327" spans="18:30" ht="32.25" customHeight="1">
      <c r="R327" s="289"/>
      <c r="S327" s="289"/>
      <c r="T327" s="289"/>
      <c r="U327" s="289"/>
      <c r="V327" s="289"/>
      <c r="W327" s="289"/>
      <c r="X327" s="289"/>
      <c r="Y327" s="289"/>
      <c r="Z327" s="289"/>
      <c r="AA327" s="289"/>
      <c r="AB327" s="289"/>
      <c r="AC327" s="289"/>
      <c r="AD327" s="295"/>
    </row>
    <row r="328" spans="18:30" ht="32.25" customHeight="1">
      <c r="R328" s="289"/>
      <c r="S328" s="289"/>
      <c r="T328" s="289"/>
      <c r="U328" s="289"/>
      <c r="V328" s="289"/>
      <c r="W328" s="289"/>
      <c r="X328" s="289"/>
      <c r="Y328" s="289"/>
      <c r="Z328" s="289"/>
      <c r="AA328" s="289"/>
      <c r="AB328" s="289"/>
      <c r="AC328" s="289"/>
      <c r="AD328" s="295"/>
    </row>
    <row r="329" spans="18:30" ht="32.25" customHeight="1">
      <c r="R329" s="289"/>
      <c r="S329" s="289"/>
      <c r="T329" s="289"/>
      <c r="U329" s="289"/>
      <c r="V329" s="289"/>
      <c r="W329" s="289"/>
      <c r="X329" s="289"/>
      <c r="Y329" s="289"/>
      <c r="Z329" s="289"/>
      <c r="AA329" s="289"/>
      <c r="AB329" s="289"/>
      <c r="AC329" s="289"/>
      <c r="AD329" s="295"/>
    </row>
    <row r="330" spans="18:30" ht="32.25" customHeight="1">
      <c r="R330" s="289"/>
      <c r="S330" s="289"/>
      <c r="T330" s="289"/>
      <c r="U330" s="289"/>
      <c r="V330" s="289"/>
      <c r="W330" s="289"/>
      <c r="X330" s="289"/>
      <c r="Y330" s="289"/>
      <c r="Z330" s="289"/>
      <c r="AA330" s="289"/>
      <c r="AB330" s="289"/>
      <c r="AC330" s="289"/>
      <c r="AD330" s="295"/>
    </row>
    <row r="331" spans="18:30" ht="32.25" customHeight="1">
      <c r="R331" s="289"/>
      <c r="S331" s="289"/>
      <c r="T331" s="289"/>
      <c r="U331" s="289"/>
      <c r="V331" s="289"/>
      <c r="W331" s="289"/>
      <c r="X331" s="289"/>
      <c r="Y331" s="289"/>
      <c r="Z331" s="289"/>
      <c r="AA331" s="289"/>
      <c r="AB331" s="289"/>
      <c r="AC331" s="289"/>
      <c r="AD331" s="295"/>
    </row>
    <row r="332" spans="18:30" ht="32.25" customHeight="1">
      <c r="R332" s="289"/>
      <c r="S332" s="289"/>
      <c r="T332" s="289"/>
      <c r="U332" s="289"/>
      <c r="V332" s="289"/>
      <c r="W332" s="289"/>
      <c r="X332" s="289"/>
      <c r="Y332" s="289"/>
      <c r="Z332" s="289"/>
      <c r="AA332" s="289"/>
      <c r="AB332" s="289"/>
      <c r="AC332" s="289"/>
      <c r="AD332" s="295"/>
    </row>
    <row r="333" spans="18:30" ht="32.25" customHeight="1">
      <c r="R333" s="289"/>
      <c r="S333" s="289"/>
      <c r="T333" s="289"/>
      <c r="U333" s="289"/>
      <c r="V333" s="289"/>
      <c r="W333" s="289"/>
      <c r="X333" s="289"/>
      <c r="Y333" s="289"/>
      <c r="Z333" s="289"/>
      <c r="AA333" s="289"/>
      <c r="AB333" s="289"/>
      <c r="AC333" s="289"/>
      <c r="AD333" s="295"/>
    </row>
    <row r="334" spans="18:30" ht="32.25" customHeight="1">
      <c r="R334" s="289"/>
      <c r="S334" s="289"/>
      <c r="T334" s="289"/>
      <c r="U334" s="289"/>
      <c r="V334" s="289"/>
      <c r="W334" s="289"/>
      <c r="X334" s="289"/>
      <c r="Y334" s="289"/>
      <c r="Z334" s="289"/>
      <c r="AA334" s="289"/>
      <c r="AB334" s="289"/>
      <c r="AC334" s="289"/>
      <c r="AD334" s="295"/>
    </row>
    <row r="335" spans="18:30" ht="32.25" customHeight="1">
      <c r="R335" s="289"/>
      <c r="S335" s="289"/>
      <c r="T335" s="289"/>
      <c r="U335" s="289"/>
      <c r="V335" s="289"/>
      <c r="W335" s="289"/>
      <c r="X335" s="289"/>
      <c r="Y335" s="289"/>
      <c r="Z335" s="289"/>
      <c r="AA335" s="289"/>
      <c r="AB335" s="289"/>
      <c r="AC335" s="289"/>
      <c r="AD335" s="295"/>
    </row>
    <row r="336" spans="18:30" ht="32.25" customHeight="1">
      <c r="R336" s="289"/>
      <c r="S336" s="289"/>
      <c r="T336" s="289"/>
      <c r="U336" s="289"/>
      <c r="V336" s="289"/>
      <c r="W336" s="289"/>
      <c r="X336" s="289"/>
      <c r="Y336" s="289"/>
      <c r="Z336" s="289"/>
      <c r="AA336" s="289"/>
      <c r="AB336" s="289"/>
      <c r="AC336" s="289"/>
      <c r="AD336" s="295"/>
    </row>
    <row r="337" spans="18:30" ht="32.25" customHeight="1">
      <c r="R337" s="289"/>
      <c r="S337" s="289"/>
      <c r="T337" s="289"/>
      <c r="U337" s="289"/>
      <c r="V337" s="289"/>
      <c r="W337" s="289"/>
      <c r="X337" s="289"/>
      <c r="Y337" s="289"/>
      <c r="Z337" s="289"/>
      <c r="AA337" s="289"/>
      <c r="AB337" s="289"/>
      <c r="AC337" s="289"/>
      <c r="AD337" s="295"/>
    </row>
    <row r="338" spans="18:30" ht="32.25" customHeight="1">
      <c r="R338" s="289"/>
      <c r="S338" s="289"/>
      <c r="T338" s="289"/>
      <c r="U338" s="289"/>
      <c r="V338" s="289"/>
      <c r="W338" s="289"/>
      <c r="X338" s="289"/>
      <c r="Y338" s="289"/>
      <c r="Z338" s="289"/>
      <c r="AA338" s="289"/>
      <c r="AB338" s="289"/>
      <c r="AC338" s="289"/>
      <c r="AD338" s="295"/>
    </row>
    <row r="339" spans="18:30" ht="32.25" customHeight="1">
      <c r="R339" s="289"/>
      <c r="S339" s="289"/>
      <c r="T339" s="289"/>
      <c r="U339" s="289"/>
      <c r="V339" s="289"/>
      <c r="W339" s="289"/>
      <c r="X339" s="289"/>
      <c r="Y339" s="289"/>
      <c r="Z339" s="289"/>
      <c r="AA339" s="289"/>
      <c r="AB339" s="289"/>
      <c r="AC339" s="289"/>
      <c r="AD339" s="295"/>
    </row>
    <row r="340" spans="18:30" ht="32.25" customHeight="1">
      <c r="R340" s="289"/>
      <c r="S340" s="289"/>
      <c r="T340" s="289"/>
      <c r="U340" s="289"/>
      <c r="V340" s="289"/>
      <c r="W340" s="289"/>
      <c r="X340" s="289"/>
      <c r="Y340" s="289"/>
      <c r="Z340" s="289"/>
      <c r="AA340" s="289"/>
      <c r="AB340" s="289"/>
      <c r="AC340" s="289"/>
      <c r="AD340" s="295"/>
    </row>
    <row r="341" spans="18:30" ht="32.25" customHeight="1">
      <c r="R341" s="289"/>
      <c r="S341" s="289"/>
      <c r="T341" s="289"/>
      <c r="U341" s="289"/>
      <c r="V341" s="289"/>
      <c r="W341" s="289"/>
      <c r="X341" s="289"/>
      <c r="Y341" s="289"/>
      <c r="Z341" s="289"/>
      <c r="AA341" s="289"/>
      <c r="AB341" s="289"/>
      <c r="AC341" s="289"/>
      <c r="AD341" s="295"/>
    </row>
    <row r="342" spans="18:30" ht="32.25" customHeight="1">
      <c r="R342" s="289"/>
      <c r="S342" s="289"/>
      <c r="T342" s="289"/>
      <c r="U342" s="289"/>
      <c r="V342" s="289"/>
      <c r="W342" s="289"/>
      <c r="X342" s="289"/>
      <c r="Y342" s="289"/>
      <c r="Z342" s="289"/>
      <c r="AA342" s="289"/>
      <c r="AB342" s="289"/>
      <c r="AC342" s="289"/>
      <c r="AD342" s="295"/>
    </row>
    <row r="343" spans="18:30" ht="32.25" customHeight="1">
      <c r="R343" s="289"/>
      <c r="S343" s="289"/>
      <c r="T343" s="289"/>
      <c r="U343" s="289"/>
      <c r="V343" s="289"/>
      <c r="W343" s="289"/>
      <c r="X343" s="289"/>
      <c r="Y343" s="289"/>
      <c r="Z343" s="289"/>
      <c r="AA343" s="289"/>
      <c r="AB343" s="289"/>
      <c r="AC343" s="289"/>
      <c r="AD343" s="295"/>
    </row>
    <row r="344" spans="18:30" ht="32.25" customHeight="1">
      <c r="R344" s="289"/>
      <c r="S344" s="289"/>
      <c r="T344" s="289"/>
      <c r="U344" s="289"/>
      <c r="V344" s="289"/>
      <c r="W344" s="289"/>
      <c r="X344" s="289"/>
      <c r="Y344" s="289"/>
      <c r="Z344" s="289"/>
      <c r="AA344" s="289"/>
      <c r="AB344" s="289"/>
      <c r="AC344" s="289"/>
      <c r="AD344" s="295"/>
    </row>
    <row r="345" spans="18:30" ht="32.25" customHeight="1">
      <c r="R345" s="289"/>
      <c r="S345" s="289"/>
      <c r="T345" s="289"/>
      <c r="U345" s="289"/>
      <c r="V345" s="289"/>
      <c r="W345" s="289"/>
      <c r="X345" s="289"/>
      <c r="Y345" s="289"/>
      <c r="Z345" s="289"/>
      <c r="AA345" s="289"/>
      <c r="AB345" s="289"/>
      <c r="AC345" s="289"/>
      <c r="AD345" s="295"/>
    </row>
    <row r="346" spans="18:30" ht="32.25" customHeight="1">
      <c r="R346" s="289"/>
      <c r="S346" s="289"/>
      <c r="T346" s="289"/>
      <c r="U346" s="289"/>
      <c r="V346" s="289"/>
      <c r="W346" s="289"/>
      <c r="X346" s="289"/>
      <c r="Y346" s="289"/>
      <c r="Z346" s="289"/>
      <c r="AA346" s="289"/>
      <c r="AB346" s="289"/>
      <c r="AC346" s="289"/>
      <c r="AD346" s="295"/>
    </row>
    <row r="347" spans="18:30" ht="32.25" customHeight="1">
      <c r="R347" s="289"/>
      <c r="S347" s="289"/>
      <c r="T347" s="289"/>
      <c r="U347" s="289"/>
      <c r="V347" s="289"/>
      <c r="W347" s="289"/>
      <c r="X347" s="289"/>
      <c r="Y347" s="289"/>
      <c r="Z347" s="289"/>
      <c r="AA347" s="289"/>
      <c r="AB347" s="289"/>
      <c r="AC347" s="289"/>
      <c r="AD347" s="295"/>
    </row>
    <row r="348" spans="18:30" ht="32.25" customHeight="1">
      <c r="R348" s="289"/>
      <c r="S348" s="289"/>
      <c r="T348" s="289"/>
      <c r="U348" s="289"/>
      <c r="V348" s="289"/>
      <c r="W348" s="289"/>
      <c r="X348" s="289"/>
      <c r="Y348" s="289"/>
      <c r="Z348" s="289"/>
      <c r="AA348" s="289"/>
      <c r="AB348" s="289"/>
      <c r="AC348" s="289"/>
      <c r="AD348" s="295"/>
    </row>
    <row r="349" spans="18:30" ht="32.25" customHeight="1">
      <c r="R349" s="289"/>
      <c r="S349" s="289"/>
      <c r="T349" s="289"/>
      <c r="U349" s="289"/>
      <c r="V349" s="289"/>
      <c r="W349" s="289"/>
      <c r="X349" s="289"/>
      <c r="Y349" s="289"/>
      <c r="Z349" s="289"/>
      <c r="AA349" s="289"/>
      <c r="AB349" s="289"/>
      <c r="AC349" s="289"/>
      <c r="AD349" s="295"/>
    </row>
    <row r="350" spans="18:30" ht="32.25" customHeight="1">
      <c r="R350" s="289"/>
      <c r="S350" s="289"/>
      <c r="T350" s="289"/>
      <c r="U350" s="289"/>
      <c r="V350" s="289"/>
      <c r="W350" s="289"/>
      <c r="X350" s="289"/>
      <c r="Y350" s="289"/>
      <c r="Z350" s="289"/>
      <c r="AA350" s="289"/>
      <c r="AB350" s="289"/>
      <c r="AC350" s="289"/>
      <c r="AD350" s="295"/>
    </row>
    <row r="351" spans="18:30" ht="32.25" customHeight="1">
      <c r="R351" s="289"/>
      <c r="S351" s="289"/>
      <c r="T351" s="289"/>
      <c r="U351" s="289"/>
      <c r="V351" s="289"/>
      <c r="W351" s="289"/>
      <c r="X351" s="289"/>
      <c r="Y351" s="289"/>
      <c r="Z351" s="289"/>
      <c r="AA351" s="289"/>
      <c r="AB351" s="289"/>
      <c r="AC351" s="289"/>
      <c r="AD351" s="295"/>
    </row>
    <row r="352" spans="18:30" ht="32.25" customHeight="1">
      <c r="R352" s="289"/>
      <c r="S352" s="289"/>
      <c r="T352" s="289"/>
      <c r="U352" s="289"/>
      <c r="V352" s="289"/>
      <c r="W352" s="289"/>
      <c r="X352" s="289"/>
      <c r="Y352" s="289"/>
      <c r="Z352" s="289"/>
      <c r="AA352" s="289"/>
      <c r="AB352" s="289"/>
      <c r="AC352" s="289"/>
      <c r="AD352" s="295"/>
    </row>
    <row r="353" spans="18:30" ht="32.25" customHeight="1">
      <c r="R353" s="289"/>
      <c r="S353" s="289"/>
      <c r="T353" s="289"/>
      <c r="U353" s="289"/>
      <c r="V353" s="289"/>
      <c r="W353" s="289"/>
      <c r="X353" s="289"/>
      <c r="Y353" s="289"/>
      <c r="Z353" s="289"/>
      <c r="AA353" s="289"/>
      <c r="AB353" s="289"/>
      <c r="AC353" s="289"/>
      <c r="AD353" s="295"/>
    </row>
    <row r="354" spans="18:30" ht="32.25" customHeight="1">
      <c r="R354" s="289"/>
      <c r="S354" s="289"/>
      <c r="T354" s="289"/>
      <c r="U354" s="289"/>
      <c r="V354" s="289"/>
      <c r="W354" s="289"/>
      <c r="X354" s="289"/>
      <c r="Y354" s="289"/>
      <c r="Z354" s="289"/>
      <c r="AA354" s="289"/>
      <c r="AB354" s="289"/>
      <c r="AC354" s="289"/>
      <c r="AD354" s="295"/>
    </row>
    <row r="355" spans="18:30" ht="32.25" customHeight="1">
      <c r="R355" s="289"/>
      <c r="S355" s="289"/>
      <c r="T355" s="289"/>
      <c r="U355" s="289"/>
      <c r="V355" s="289"/>
      <c r="W355" s="289"/>
      <c r="X355" s="289"/>
      <c r="Y355" s="289"/>
      <c r="Z355" s="289"/>
      <c r="AA355" s="289"/>
      <c r="AB355" s="289"/>
      <c r="AC355" s="289"/>
      <c r="AD355" s="295"/>
    </row>
    <row r="356" spans="18:30" ht="32.25" customHeight="1">
      <c r="R356" s="289"/>
      <c r="S356" s="289"/>
      <c r="T356" s="289"/>
      <c r="U356" s="289"/>
      <c r="V356" s="289"/>
      <c r="W356" s="289"/>
      <c r="X356" s="289"/>
      <c r="Y356" s="289"/>
      <c r="Z356" s="289"/>
      <c r="AA356" s="289"/>
      <c r="AB356" s="289"/>
      <c r="AC356" s="289"/>
      <c r="AD356" s="295"/>
    </row>
    <row r="357" spans="18:30" ht="32.25" customHeight="1">
      <c r="R357" s="289"/>
      <c r="S357" s="289"/>
      <c r="T357" s="289"/>
      <c r="U357" s="289"/>
      <c r="V357" s="289"/>
      <c r="W357" s="289"/>
      <c r="X357" s="289"/>
      <c r="Y357" s="289"/>
      <c r="Z357" s="289"/>
      <c r="AA357" s="289"/>
      <c r="AB357" s="289"/>
      <c r="AC357" s="289"/>
      <c r="AD357" s="295"/>
    </row>
    <row r="358" spans="18:30" ht="32.25" customHeight="1">
      <c r="R358" s="289"/>
      <c r="S358" s="289"/>
      <c r="T358" s="289"/>
      <c r="U358" s="289"/>
      <c r="V358" s="289"/>
      <c r="W358" s="289"/>
      <c r="X358" s="289"/>
      <c r="Y358" s="289"/>
      <c r="Z358" s="289"/>
      <c r="AA358" s="289"/>
      <c r="AB358" s="289"/>
      <c r="AC358" s="289"/>
      <c r="AD358" s="295"/>
    </row>
    <row r="359" spans="18:30" ht="32.25" customHeight="1">
      <c r="R359" s="289"/>
      <c r="S359" s="289"/>
      <c r="T359" s="289"/>
      <c r="U359" s="289"/>
      <c r="V359" s="289"/>
      <c r="W359" s="289"/>
      <c r="X359" s="289"/>
      <c r="Y359" s="289"/>
      <c r="Z359" s="289"/>
      <c r="AA359" s="289"/>
      <c r="AB359" s="289"/>
      <c r="AC359" s="289"/>
      <c r="AD359" s="295"/>
    </row>
    <row r="360" spans="18:30" ht="32.25" customHeight="1">
      <c r="R360" s="289"/>
      <c r="S360" s="289"/>
      <c r="T360" s="289"/>
      <c r="U360" s="289"/>
      <c r="V360" s="289"/>
      <c r="W360" s="289"/>
      <c r="X360" s="289"/>
      <c r="Y360" s="289"/>
      <c r="Z360" s="289"/>
      <c r="AA360" s="289"/>
      <c r="AB360" s="289"/>
      <c r="AC360" s="289"/>
      <c r="AD360" s="295"/>
    </row>
    <row r="361" spans="18:30" ht="32.25" customHeight="1">
      <c r="R361" s="289"/>
      <c r="S361" s="289"/>
      <c r="T361" s="289"/>
      <c r="U361" s="289"/>
      <c r="V361" s="289"/>
      <c r="W361" s="289"/>
      <c r="X361" s="289"/>
      <c r="Y361" s="289"/>
      <c r="Z361" s="289"/>
      <c r="AA361" s="289"/>
      <c r="AB361" s="289"/>
      <c r="AC361" s="289"/>
      <c r="AD361" s="295"/>
    </row>
    <row r="362" spans="18:30" ht="32.25" customHeight="1">
      <c r="R362" s="289"/>
      <c r="S362" s="289"/>
      <c r="T362" s="289"/>
      <c r="U362" s="289"/>
      <c r="V362" s="289"/>
      <c r="W362" s="289"/>
      <c r="X362" s="289"/>
      <c r="Y362" s="289"/>
      <c r="Z362" s="289"/>
      <c r="AA362" s="289"/>
      <c r="AB362" s="289"/>
      <c r="AC362" s="289"/>
      <c r="AD362" s="295"/>
    </row>
    <row r="363" spans="18:30" ht="32.25" customHeight="1">
      <c r="R363" s="289"/>
      <c r="S363" s="289"/>
      <c r="T363" s="289"/>
      <c r="U363" s="289"/>
      <c r="V363" s="289"/>
      <c r="W363" s="289"/>
      <c r="X363" s="289"/>
      <c r="Y363" s="289"/>
      <c r="Z363" s="289"/>
      <c r="AA363" s="289"/>
      <c r="AB363" s="289"/>
      <c r="AC363" s="289"/>
      <c r="AD363" s="295"/>
    </row>
    <row r="364" spans="18:30" ht="32.25" customHeight="1">
      <c r="R364" s="289"/>
      <c r="S364" s="289"/>
      <c r="T364" s="289"/>
      <c r="U364" s="289"/>
      <c r="V364" s="289"/>
      <c r="W364" s="289"/>
      <c r="X364" s="289"/>
      <c r="Y364" s="289"/>
      <c r="Z364" s="289"/>
      <c r="AA364" s="289"/>
      <c r="AB364" s="289"/>
      <c r="AC364" s="289"/>
      <c r="AD364" s="295"/>
    </row>
    <row r="365" spans="18:30" ht="32.25" customHeight="1">
      <c r="R365" s="289"/>
      <c r="S365" s="289"/>
      <c r="T365" s="289"/>
      <c r="U365" s="289"/>
      <c r="V365" s="289"/>
      <c r="W365" s="289"/>
      <c r="X365" s="289"/>
      <c r="Y365" s="289"/>
      <c r="Z365" s="289"/>
      <c r="AA365" s="289"/>
      <c r="AB365" s="289"/>
      <c r="AC365" s="289"/>
      <c r="AD365" s="295"/>
    </row>
    <row r="366" spans="18:30" ht="32.25" customHeight="1">
      <c r="R366" s="289"/>
      <c r="S366" s="289"/>
      <c r="T366" s="289"/>
      <c r="U366" s="289"/>
      <c r="V366" s="289"/>
      <c r="W366" s="289"/>
      <c r="X366" s="289"/>
      <c r="Y366" s="289"/>
      <c r="Z366" s="289"/>
      <c r="AA366" s="289"/>
      <c r="AB366" s="289"/>
      <c r="AC366" s="289"/>
      <c r="AD366" s="295"/>
    </row>
    <row r="367" spans="18:30" ht="32.25" customHeight="1">
      <c r="R367" s="289"/>
      <c r="S367" s="289"/>
      <c r="T367" s="289"/>
      <c r="U367" s="289"/>
      <c r="V367" s="289"/>
      <c r="W367" s="289"/>
      <c r="X367" s="289"/>
      <c r="Y367" s="289"/>
      <c r="Z367" s="289"/>
      <c r="AA367" s="289"/>
      <c r="AB367" s="289"/>
      <c r="AC367" s="289"/>
      <c r="AD367" s="295"/>
    </row>
    <row r="368" spans="18:30" ht="32.25" customHeight="1">
      <c r="R368" s="289"/>
      <c r="S368" s="289"/>
      <c r="T368" s="289"/>
      <c r="U368" s="289"/>
      <c r="V368" s="289"/>
      <c r="W368" s="289"/>
      <c r="X368" s="289"/>
      <c r="Y368" s="289"/>
      <c r="Z368" s="289"/>
      <c r="AA368" s="289"/>
      <c r="AB368" s="289"/>
      <c r="AC368" s="289"/>
      <c r="AD368" s="295"/>
    </row>
    <row r="369" spans="18:30" ht="32.25" customHeight="1">
      <c r="R369" s="289"/>
      <c r="S369" s="289"/>
      <c r="T369" s="289"/>
      <c r="U369" s="289"/>
      <c r="V369" s="289"/>
      <c r="W369" s="289"/>
      <c r="X369" s="289"/>
      <c r="Y369" s="289"/>
      <c r="Z369" s="289"/>
      <c r="AA369" s="289"/>
      <c r="AB369" s="289"/>
      <c r="AC369" s="289"/>
      <c r="AD369" s="295"/>
    </row>
    <row r="370" spans="18:30" ht="32.25" customHeight="1">
      <c r="R370" s="289"/>
      <c r="S370" s="289"/>
      <c r="T370" s="289"/>
      <c r="U370" s="289"/>
      <c r="V370" s="289"/>
      <c r="W370" s="289"/>
      <c r="X370" s="289"/>
      <c r="Y370" s="289"/>
      <c r="Z370" s="289"/>
      <c r="AA370" s="289"/>
      <c r="AB370" s="289"/>
      <c r="AC370" s="289"/>
      <c r="AD370" s="295"/>
    </row>
    <row r="371" spans="18:30" ht="32.25" customHeight="1">
      <c r="R371" s="289"/>
      <c r="S371" s="289"/>
      <c r="T371" s="289"/>
      <c r="U371" s="289"/>
      <c r="V371" s="289"/>
      <c r="W371" s="289"/>
      <c r="X371" s="289"/>
      <c r="Y371" s="289"/>
      <c r="Z371" s="289"/>
      <c r="AA371" s="289"/>
      <c r="AB371" s="289"/>
      <c r="AC371" s="289"/>
      <c r="AD371" s="295"/>
    </row>
    <row r="372" spans="18:30" ht="32.25" customHeight="1">
      <c r="R372" s="289"/>
      <c r="S372" s="289"/>
      <c r="T372" s="289"/>
      <c r="U372" s="289"/>
      <c r="V372" s="289"/>
      <c r="W372" s="289"/>
      <c r="X372" s="289"/>
      <c r="Y372" s="289"/>
      <c r="Z372" s="289"/>
      <c r="AA372" s="289"/>
      <c r="AB372" s="289"/>
      <c r="AC372" s="289"/>
      <c r="AD372" s="295"/>
    </row>
    <row r="373" spans="18:30" ht="32.25" customHeight="1">
      <c r="R373" s="289"/>
      <c r="S373" s="289"/>
      <c r="T373" s="289"/>
      <c r="U373" s="289"/>
      <c r="V373" s="289"/>
      <c r="W373" s="289"/>
      <c r="X373" s="289"/>
      <c r="Y373" s="289"/>
      <c r="Z373" s="289"/>
      <c r="AA373" s="289"/>
      <c r="AB373" s="289"/>
      <c r="AC373" s="289"/>
      <c r="AD373" s="295"/>
    </row>
    <row r="374" spans="18:30" ht="32.25" customHeight="1">
      <c r="R374" s="289"/>
      <c r="S374" s="289"/>
      <c r="T374" s="289"/>
      <c r="U374" s="289"/>
      <c r="V374" s="289"/>
      <c r="W374" s="289"/>
      <c r="X374" s="289"/>
      <c r="Y374" s="289"/>
      <c r="Z374" s="289"/>
      <c r="AA374" s="289"/>
      <c r="AB374" s="289"/>
      <c r="AC374" s="289"/>
      <c r="AD374" s="295"/>
    </row>
    <row r="375" spans="18:30" ht="32.25" customHeight="1">
      <c r="R375" s="289"/>
      <c r="S375" s="289"/>
      <c r="T375" s="289"/>
      <c r="U375" s="289"/>
      <c r="V375" s="289"/>
      <c r="W375" s="289"/>
      <c r="X375" s="289"/>
      <c r="Y375" s="289"/>
      <c r="Z375" s="289"/>
      <c r="AA375" s="289"/>
      <c r="AB375" s="289"/>
      <c r="AC375" s="289"/>
      <c r="AD375" s="295"/>
    </row>
    <row r="376" spans="18:30" ht="32.25" customHeight="1">
      <c r="R376" s="289"/>
      <c r="S376" s="289"/>
      <c r="T376" s="289"/>
      <c r="U376" s="289"/>
      <c r="V376" s="289"/>
      <c r="W376" s="289"/>
      <c r="X376" s="289"/>
      <c r="Y376" s="289"/>
      <c r="Z376" s="289"/>
      <c r="AA376" s="289"/>
      <c r="AB376" s="289"/>
      <c r="AC376" s="289"/>
      <c r="AD376" s="295"/>
    </row>
    <row r="377" spans="18:30" ht="32.25" customHeight="1">
      <c r="R377" s="289"/>
      <c r="S377" s="289"/>
      <c r="T377" s="289"/>
      <c r="U377" s="289"/>
      <c r="V377" s="289"/>
      <c r="W377" s="289"/>
      <c r="X377" s="289"/>
      <c r="Y377" s="289"/>
      <c r="Z377" s="289"/>
      <c r="AA377" s="289"/>
      <c r="AB377" s="289"/>
      <c r="AC377" s="289"/>
      <c r="AD377" s="295"/>
    </row>
    <row r="378" spans="18:30" ht="32.25" customHeight="1">
      <c r="R378" s="289"/>
      <c r="S378" s="289"/>
      <c r="T378" s="289"/>
      <c r="U378" s="289"/>
      <c r="V378" s="289"/>
      <c r="W378" s="289"/>
      <c r="X378" s="289"/>
      <c r="Y378" s="289"/>
      <c r="Z378" s="289"/>
      <c r="AA378" s="289"/>
      <c r="AB378" s="289"/>
      <c r="AC378" s="289"/>
      <c r="AD378" s="295"/>
    </row>
    <row r="379" spans="18:30" ht="32.25" customHeight="1">
      <c r="R379" s="289"/>
      <c r="S379" s="289"/>
      <c r="T379" s="289"/>
      <c r="U379" s="289"/>
      <c r="V379" s="289"/>
      <c r="W379" s="289"/>
      <c r="X379" s="289"/>
      <c r="Y379" s="289"/>
      <c r="Z379" s="289"/>
      <c r="AA379" s="289"/>
      <c r="AB379" s="289"/>
      <c r="AC379" s="289"/>
      <c r="AD379" s="295"/>
    </row>
    <row r="380" spans="18:30" ht="32.25" customHeight="1">
      <c r="R380" s="289"/>
      <c r="S380" s="289"/>
      <c r="T380" s="289"/>
      <c r="U380" s="289"/>
      <c r="V380" s="289"/>
      <c r="W380" s="289"/>
      <c r="X380" s="289"/>
      <c r="Y380" s="289"/>
      <c r="Z380" s="289"/>
      <c r="AA380" s="289"/>
      <c r="AB380" s="289"/>
      <c r="AC380" s="289"/>
      <c r="AD380" s="295"/>
    </row>
    <row r="381" spans="18:30" ht="32.25" customHeight="1">
      <c r="R381" s="289"/>
      <c r="S381" s="289"/>
      <c r="T381" s="289"/>
      <c r="U381" s="289"/>
      <c r="V381" s="289"/>
      <c r="W381" s="289"/>
      <c r="X381" s="289"/>
      <c r="Y381" s="289"/>
      <c r="Z381" s="289"/>
      <c r="AA381" s="289"/>
      <c r="AB381" s="289"/>
      <c r="AC381" s="289"/>
      <c r="AD381" s="295"/>
    </row>
    <row r="382" spans="18:30" ht="32.25" customHeight="1">
      <c r="R382" s="289"/>
      <c r="S382" s="289"/>
      <c r="T382" s="289"/>
      <c r="U382" s="289"/>
      <c r="V382" s="289"/>
      <c r="W382" s="289"/>
      <c r="X382" s="289"/>
      <c r="Y382" s="289"/>
      <c r="Z382" s="289"/>
      <c r="AA382" s="289"/>
      <c r="AB382" s="289"/>
      <c r="AC382" s="289"/>
      <c r="AD382" s="295"/>
    </row>
    <row r="383" spans="18:30" ht="32.25" customHeight="1">
      <c r="R383" s="289"/>
      <c r="S383" s="289"/>
      <c r="T383" s="289"/>
      <c r="U383" s="289"/>
      <c r="V383" s="289"/>
      <c r="W383" s="289"/>
      <c r="X383" s="289"/>
      <c r="Y383" s="289"/>
      <c r="Z383" s="289"/>
      <c r="AA383" s="289"/>
      <c r="AB383" s="289"/>
      <c r="AC383" s="289"/>
      <c r="AD383" s="295"/>
    </row>
    <row r="384" spans="18:30" ht="32.25" customHeight="1">
      <c r="R384" s="289"/>
      <c r="S384" s="289"/>
      <c r="T384" s="289"/>
      <c r="U384" s="289"/>
      <c r="V384" s="289"/>
      <c r="W384" s="289"/>
      <c r="X384" s="289"/>
      <c r="Y384" s="289"/>
      <c r="Z384" s="289"/>
      <c r="AA384" s="289"/>
      <c r="AB384" s="289"/>
      <c r="AC384" s="289"/>
      <c r="AD384" s="295"/>
    </row>
    <row r="385" spans="18:30" ht="32.25" customHeight="1">
      <c r="R385" s="289"/>
      <c r="S385" s="289"/>
      <c r="T385" s="289"/>
      <c r="U385" s="289"/>
      <c r="V385" s="289"/>
      <c r="W385" s="289"/>
      <c r="X385" s="289"/>
      <c r="Y385" s="289"/>
      <c r="Z385" s="289"/>
      <c r="AA385" s="289"/>
      <c r="AB385" s="289"/>
      <c r="AC385" s="289"/>
      <c r="AD385" s="295"/>
    </row>
    <row r="386" spans="18:30" ht="32.25" customHeight="1">
      <c r="R386" s="289"/>
      <c r="S386" s="289"/>
      <c r="T386" s="289"/>
      <c r="U386" s="289"/>
      <c r="V386" s="289"/>
      <c r="W386" s="289"/>
      <c r="X386" s="289"/>
      <c r="Y386" s="289"/>
      <c r="Z386" s="289"/>
      <c r="AA386" s="289"/>
      <c r="AB386" s="289"/>
      <c r="AC386" s="289"/>
      <c r="AD386" s="295"/>
    </row>
    <row r="387" spans="18:30" ht="32.25" customHeight="1">
      <c r="R387" s="289"/>
      <c r="S387" s="289"/>
      <c r="T387" s="289"/>
      <c r="U387" s="289"/>
      <c r="V387" s="289"/>
      <c r="W387" s="289"/>
      <c r="X387" s="289"/>
      <c r="Y387" s="289"/>
      <c r="Z387" s="289"/>
      <c r="AA387" s="289"/>
      <c r="AB387" s="289"/>
      <c r="AC387" s="289"/>
      <c r="AD387" s="295"/>
    </row>
    <row r="388" spans="18:30" ht="32.25" customHeight="1">
      <c r="R388" s="289"/>
      <c r="S388" s="289"/>
      <c r="T388" s="289"/>
      <c r="U388" s="289"/>
      <c r="V388" s="289"/>
      <c r="W388" s="289"/>
      <c r="X388" s="289"/>
      <c r="Y388" s="289"/>
      <c r="Z388" s="289"/>
      <c r="AA388" s="289"/>
      <c r="AB388" s="289"/>
      <c r="AC388" s="289"/>
      <c r="AD388" s="295"/>
    </row>
    <row r="389" spans="18:30" ht="32.25" customHeight="1">
      <c r="R389" s="289"/>
      <c r="S389" s="289"/>
      <c r="T389" s="289"/>
      <c r="U389" s="289"/>
      <c r="V389" s="289"/>
      <c r="W389" s="289"/>
      <c r="X389" s="289"/>
      <c r="Y389" s="289"/>
      <c r="Z389" s="289"/>
      <c r="AA389" s="289"/>
      <c r="AB389" s="289"/>
      <c r="AC389" s="289"/>
      <c r="AD389" s="295"/>
    </row>
    <row r="390" spans="18:30" ht="32.25" customHeight="1">
      <c r="R390" s="289"/>
      <c r="S390" s="289"/>
      <c r="T390" s="289"/>
      <c r="U390" s="289"/>
      <c r="V390" s="289"/>
      <c r="W390" s="289"/>
      <c r="X390" s="289"/>
      <c r="Y390" s="289"/>
      <c r="Z390" s="289"/>
      <c r="AA390" s="289"/>
      <c r="AB390" s="289"/>
      <c r="AC390" s="289"/>
      <c r="AD390" s="295"/>
    </row>
    <row r="391" spans="18:30" ht="32.25" customHeight="1">
      <c r="R391" s="289"/>
      <c r="S391" s="289"/>
      <c r="T391" s="289"/>
      <c r="U391" s="289"/>
      <c r="V391" s="289"/>
      <c r="W391" s="289"/>
      <c r="X391" s="289"/>
      <c r="Y391" s="289"/>
      <c r="Z391" s="289"/>
      <c r="AA391" s="289"/>
      <c r="AB391" s="289"/>
      <c r="AC391" s="289"/>
      <c r="AD391" s="295"/>
    </row>
    <row r="392" spans="18:30" ht="32.25" customHeight="1">
      <c r="R392" s="289"/>
      <c r="S392" s="289"/>
      <c r="T392" s="289"/>
      <c r="U392" s="289"/>
      <c r="V392" s="289"/>
      <c r="W392" s="289"/>
      <c r="X392" s="289"/>
      <c r="Y392" s="289"/>
      <c r="Z392" s="289"/>
      <c r="AA392" s="289"/>
      <c r="AB392" s="289"/>
      <c r="AC392" s="289"/>
      <c r="AD392" s="295"/>
    </row>
    <row r="393" spans="18:30" ht="32.25" customHeight="1">
      <c r="R393" s="289"/>
      <c r="S393" s="289"/>
      <c r="T393" s="289"/>
      <c r="U393" s="289"/>
      <c r="V393" s="289"/>
      <c r="W393" s="289"/>
      <c r="X393" s="289"/>
      <c r="Y393" s="289"/>
      <c r="Z393" s="289"/>
      <c r="AA393" s="289"/>
      <c r="AB393" s="289"/>
      <c r="AC393" s="289"/>
      <c r="AD393" s="295"/>
    </row>
    <row r="394" spans="18:30" ht="32.25" customHeight="1">
      <c r="R394" s="289"/>
      <c r="S394" s="289"/>
      <c r="T394" s="289"/>
      <c r="U394" s="289"/>
      <c r="V394" s="289"/>
      <c r="W394" s="289"/>
      <c r="X394" s="289"/>
      <c r="Y394" s="289"/>
      <c r="Z394" s="289"/>
      <c r="AA394" s="289"/>
      <c r="AB394" s="289"/>
      <c r="AC394" s="289"/>
      <c r="AD394" s="295"/>
    </row>
    <row r="395" spans="18:30" ht="32.25" customHeight="1">
      <c r="R395" s="289"/>
      <c r="S395" s="289"/>
      <c r="T395" s="289"/>
      <c r="U395" s="289"/>
      <c r="V395" s="289"/>
      <c r="W395" s="289"/>
      <c r="X395" s="289"/>
      <c r="Y395" s="289"/>
      <c r="Z395" s="289"/>
      <c r="AA395" s="289"/>
      <c r="AB395" s="289"/>
      <c r="AC395" s="289"/>
      <c r="AD395" s="295"/>
    </row>
    <row r="396" spans="18:30" ht="32.25" customHeight="1">
      <c r="R396" s="289"/>
      <c r="S396" s="289"/>
      <c r="T396" s="289"/>
      <c r="U396" s="289"/>
      <c r="V396" s="289"/>
      <c r="W396" s="289"/>
      <c r="X396" s="289"/>
      <c r="Y396" s="289"/>
      <c r="Z396" s="289"/>
      <c r="AA396" s="289"/>
      <c r="AB396" s="289"/>
      <c r="AC396" s="289"/>
      <c r="AD396" s="295"/>
    </row>
    <row r="397" spans="18:30" ht="32.25" customHeight="1">
      <c r="R397" s="289"/>
      <c r="S397" s="289"/>
      <c r="T397" s="289"/>
      <c r="U397" s="289"/>
      <c r="V397" s="289"/>
      <c r="W397" s="289"/>
      <c r="X397" s="289"/>
      <c r="Y397" s="289"/>
      <c r="Z397" s="289"/>
      <c r="AA397" s="289"/>
      <c r="AB397" s="289"/>
      <c r="AC397" s="289"/>
      <c r="AD397" s="295"/>
    </row>
    <row r="398" spans="18:30" ht="32.25" customHeight="1">
      <c r="R398" s="289"/>
      <c r="S398" s="289"/>
      <c r="T398" s="289"/>
      <c r="U398" s="289"/>
      <c r="V398" s="289"/>
      <c r="W398" s="289"/>
      <c r="X398" s="289"/>
      <c r="Y398" s="289"/>
      <c r="Z398" s="289"/>
      <c r="AA398" s="289"/>
      <c r="AB398" s="289"/>
      <c r="AC398" s="289"/>
      <c r="AD398" s="295"/>
    </row>
    <row r="399" spans="18:30" ht="32.25" customHeight="1">
      <c r="R399" s="289"/>
      <c r="S399" s="289"/>
      <c r="T399" s="289"/>
      <c r="U399" s="289"/>
      <c r="V399" s="289"/>
      <c r="W399" s="289"/>
      <c r="X399" s="289"/>
      <c r="Y399" s="289"/>
      <c r="Z399" s="289"/>
      <c r="AA399" s="289"/>
      <c r="AB399" s="289"/>
      <c r="AC399" s="289"/>
      <c r="AD399" s="295"/>
    </row>
    <row r="400" spans="18:30" ht="32.25" customHeight="1">
      <c r="R400" s="289"/>
      <c r="S400" s="289"/>
      <c r="T400" s="289"/>
      <c r="U400" s="289"/>
      <c r="V400" s="289"/>
      <c r="W400" s="289"/>
      <c r="X400" s="289"/>
      <c r="Y400" s="289"/>
      <c r="Z400" s="289"/>
      <c r="AA400" s="289"/>
      <c r="AB400" s="289"/>
      <c r="AC400" s="289"/>
      <c r="AD400" s="295"/>
    </row>
    <row r="401" spans="18:30" ht="32.25" customHeight="1">
      <c r="R401" s="289"/>
      <c r="S401" s="289"/>
      <c r="T401" s="289"/>
      <c r="U401" s="289"/>
      <c r="V401" s="289"/>
      <c r="W401" s="289"/>
      <c r="X401" s="289"/>
      <c r="Y401" s="289"/>
      <c r="Z401" s="289"/>
      <c r="AA401" s="289"/>
      <c r="AB401" s="289"/>
      <c r="AC401" s="289"/>
      <c r="AD401" s="295"/>
    </row>
    <row r="402" spans="18:30" ht="32.25" customHeight="1">
      <c r="R402" s="289"/>
      <c r="S402" s="289"/>
      <c r="T402" s="289"/>
      <c r="U402" s="289"/>
      <c r="V402" s="289"/>
      <c r="W402" s="289"/>
      <c r="X402" s="289"/>
      <c r="Y402" s="289"/>
      <c r="Z402" s="289"/>
      <c r="AA402" s="289"/>
      <c r="AB402" s="289"/>
      <c r="AC402" s="289"/>
      <c r="AD402" s="295"/>
    </row>
    <row r="403" spans="18:30" ht="32.25" customHeight="1">
      <c r="R403" s="289"/>
      <c r="S403" s="289"/>
      <c r="T403" s="289"/>
      <c r="U403" s="289"/>
      <c r="V403" s="289"/>
      <c r="W403" s="289"/>
      <c r="X403" s="289"/>
      <c r="Y403" s="289"/>
      <c r="Z403" s="289"/>
      <c r="AA403" s="289"/>
      <c r="AB403" s="289"/>
      <c r="AC403" s="289"/>
      <c r="AD403" s="295"/>
    </row>
    <row r="404" spans="18:30" ht="32.25" customHeight="1">
      <c r="R404" s="289"/>
      <c r="S404" s="289"/>
      <c r="T404" s="289"/>
      <c r="U404" s="289"/>
      <c r="V404" s="289"/>
      <c r="W404" s="289"/>
      <c r="X404" s="289"/>
      <c r="Y404" s="289"/>
      <c r="Z404" s="289"/>
      <c r="AA404" s="289"/>
      <c r="AB404" s="289"/>
      <c r="AC404" s="289"/>
      <c r="AD404" s="295"/>
    </row>
    <row r="405" spans="18:30" ht="32.25" customHeight="1">
      <c r="R405" s="289"/>
      <c r="S405" s="289"/>
      <c r="T405" s="289"/>
      <c r="U405" s="289"/>
      <c r="V405" s="289"/>
      <c r="W405" s="289"/>
      <c r="X405" s="289"/>
      <c r="Y405" s="289"/>
      <c r="Z405" s="289"/>
      <c r="AA405" s="289"/>
      <c r="AB405" s="289"/>
      <c r="AC405" s="289"/>
      <c r="AD405" s="295"/>
    </row>
    <row r="406" spans="18:30" ht="32.25" customHeight="1">
      <c r="R406" s="289"/>
      <c r="S406" s="289"/>
      <c r="T406" s="289"/>
      <c r="U406" s="289"/>
      <c r="V406" s="289"/>
      <c r="W406" s="289"/>
      <c r="X406" s="289"/>
      <c r="Y406" s="289"/>
      <c r="Z406" s="289"/>
      <c r="AA406" s="289"/>
      <c r="AB406" s="289"/>
      <c r="AC406" s="289"/>
      <c r="AD406" s="295"/>
    </row>
    <row r="407" spans="18:30" ht="32.25" customHeight="1">
      <c r="R407" s="289"/>
      <c r="S407" s="289"/>
      <c r="T407" s="289"/>
      <c r="U407" s="289"/>
      <c r="V407" s="289"/>
      <c r="W407" s="289"/>
      <c r="X407" s="289"/>
      <c r="Y407" s="289"/>
      <c r="Z407" s="289"/>
      <c r="AA407" s="289"/>
      <c r="AB407" s="289"/>
      <c r="AC407" s="289"/>
      <c r="AD407" s="295"/>
    </row>
    <row r="408" spans="18:30" ht="32.25" customHeight="1">
      <c r="R408" s="289"/>
      <c r="S408" s="289"/>
      <c r="T408" s="289"/>
      <c r="U408" s="289"/>
      <c r="V408" s="289"/>
      <c r="W408" s="289"/>
      <c r="X408" s="289"/>
      <c r="Y408" s="289"/>
      <c r="Z408" s="289"/>
      <c r="AA408" s="289"/>
      <c r="AB408" s="289"/>
      <c r="AC408" s="289"/>
      <c r="AD408" s="295"/>
    </row>
    <row r="409" spans="18:30" ht="32.25" customHeight="1">
      <c r="R409" s="289"/>
      <c r="S409" s="289"/>
      <c r="T409" s="289"/>
      <c r="U409" s="289"/>
      <c r="V409" s="289"/>
      <c r="W409" s="289"/>
      <c r="X409" s="289"/>
      <c r="Y409" s="289"/>
      <c r="Z409" s="289"/>
      <c r="AA409" s="289"/>
      <c r="AB409" s="289"/>
      <c r="AC409" s="289"/>
      <c r="AD409" s="295"/>
    </row>
    <row r="410" spans="18:30" ht="32.25" customHeight="1">
      <c r="R410" s="289"/>
      <c r="S410" s="289"/>
      <c r="T410" s="289"/>
      <c r="U410" s="289"/>
      <c r="V410" s="289"/>
      <c r="W410" s="289"/>
      <c r="X410" s="289"/>
      <c r="Y410" s="289"/>
      <c r="Z410" s="289"/>
      <c r="AA410" s="289"/>
      <c r="AB410" s="289"/>
      <c r="AC410" s="289"/>
      <c r="AD410" s="295"/>
    </row>
    <row r="411" spans="18:30" ht="32.25" customHeight="1">
      <c r="R411" s="289"/>
      <c r="S411" s="289"/>
      <c r="T411" s="289"/>
      <c r="U411" s="289"/>
      <c r="V411" s="289"/>
      <c r="W411" s="289"/>
      <c r="X411" s="289"/>
      <c r="Y411" s="289"/>
      <c r="Z411" s="289"/>
      <c r="AA411" s="289"/>
      <c r="AB411" s="289"/>
      <c r="AC411" s="289"/>
      <c r="AD411" s="295"/>
    </row>
    <row r="412" spans="18:30" ht="32.25" customHeight="1">
      <c r="R412" s="289"/>
      <c r="S412" s="289"/>
      <c r="T412" s="289"/>
      <c r="U412" s="289"/>
      <c r="V412" s="289"/>
      <c r="W412" s="289"/>
      <c r="X412" s="289"/>
      <c r="Y412" s="289"/>
      <c r="Z412" s="289"/>
      <c r="AA412" s="289"/>
      <c r="AB412" s="289"/>
      <c r="AC412" s="289"/>
      <c r="AD412" s="295"/>
    </row>
    <row r="413" spans="18:30" ht="32.25" customHeight="1">
      <c r="R413" s="289"/>
      <c r="S413" s="289"/>
      <c r="T413" s="289"/>
      <c r="U413" s="289"/>
      <c r="V413" s="289"/>
      <c r="W413" s="289"/>
      <c r="X413" s="289"/>
      <c r="Y413" s="289"/>
      <c r="Z413" s="289"/>
      <c r="AA413" s="289"/>
      <c r="AB413" s="289"/>
      <c r="AC413" s="289"/>
      <c r="AD413" s="295"/>
    </row>
    <row r="414" spans="18:30" ht="32.25" customHeight="1">
      <c r="R414" s="289"/>
      <c r="S414" s="289"/>
      <c r="T414" s="289"/>
      <c r="U414" s="289"/>
      <c r="V414" s="289"/>
      <c r="W414" s="289"/>
      <c r="X414" s="289"/>
      <c r="Y414" s="289"/>
      <c r="Z414" s="289"/>
      <c r="AA414" s="289"/>
      <c r="AB414" s="289"/>
      <c r="AC414" s="289"/>
      <c r="AD414" s="295"/>
    </row>
    <row r="415" spans="18:30" ht="32.25" customHeight="1">
      <c r="R415" s="289"/>
      <c r="S415" s="289"/>
      <c r="T415" s="289"/>
      <c r="U415" s="289"/>
      <c r="V415" s="289"/>
      <c r="W415" s="289"/>
      <c r="X415" s="289"/>
      <c r="Y415" s="289"/>
      <c r="Z415" s="289"/>
      <c r="AA415" s="289"/>
      <c r="AB415" s="289"/>
      <c r="AC415" s="289"/>
      <c r="AD415" s="295"/>
    </row>
    <row r="416" spans="18:30" ht="32.25" customHeight="1">
      <c r="R416" s="289"/>
      <c r="S416" s="289"/>
      <c r="T416" s="289"/>
      <c r="U416" s="289"/>
      <c r="V416" s="289"/>
      <c r="W416" s="289"/>
      <c r="X416" s="289"/>
      <c r="Y416" s="289"/>
      <c r="Z416" s="289"/>
      <c r="AA416" s="289"/>
      <c r="AB416" s="289"/>
      <c r="AC416" s="289"/>
      <c r="AD416" s="295"/>
    </row>
    <row r="417" spans="18:30" ht="32.25" customHeight="1">
      <c r="R417" s="289"/>
      <c r="S417" s="289"/>
      <c r="T417" s="289"/>
      <c r="U417" s="289"/>
      <c r="V417" s="289"/>
      <c r="W417" s="289"/>
      <c r="X417" s="289"/>
      <c r="Y417" s="289"/>
      <c r="Z417" s="289"/>
      <c r="AA417" s="289"/>
      <c r="AB417" s="289"/>
      <c r="AC417" s="289"/>
      <c r="AD417" s="295"/>
    </row>
    <row r="418" spans="18:30" ht="32.25" customHeight="1">
      <c r="R418" s="289"/>
      <c r="S418" s="289"/>
      <c r="T418" s="289"/>
      <c r="U418" s="289"/>
      <c r="V418" s="289"/>
      <c r="W418" s="289"/>
      <c r="X418" s="289"/>
      <c r="Y418" s="289"/>
      <c r="Z418" s="289"/>
      <c r="AA418" s="289"/>
      <c r="AB418" s="289"/>
      <c r="AC418" s="289"/>
      <c r="AD418" s="295"/>
    </row>
    <row r="419" spans="18:30" ht="32.25" customHeight="1">
      <c r="R419" s="289"/>
      <c r="S419" s="289"/>
      <c r="T419" s="289"/>
      <c r="U419" s="289"/>
      <c r="V419" s="289"/>
      <c r="W419" s="289"/>
      <c r="X419" s="289"/>
      <c r="Y419" s="289"/>
      <c r="Z419" s="289"/>
      <c r="AA419" s="289"/>
      <c r="AB419" s="289"/>
      <c r="AC419" s="289"/>
      <c r="AD419" s="295"/>
    </row>
    <row r="420" spans="18:30" ht="32.25" customHeight="1">
      <c r="R420" s="289"/>
      <c r="S420" s="289"/>
      <c r="T420" s="289"/>
      <c r="U420" s="289"/>
      <c r="V420" s="289"/>
      <c r="W420" s="289"/>
      <c r="X420" s="289"/>
      <c r="Y420" s="289"/>
      <c r="Z420" s="289"/>
      <c r="AA420" s="289"/>
      <c r="AB420" s="289"/>
      <c r="AC420" s="289"/>
      <c r="AD420" s="295"/>
    </row>
    <row r="421" spans="18:30" ht="32.25" customHeight="1">
      <c r="R421" s="289"/>
      <c r="S421" s="289"/>
      <c r="T421" s="289"/>
      <c r="U421" s="289"/>
      <c r="V421" s="289"/>
      <c r="W421" s="289"/>
      <c r="X421" s="289"/>
      <c r="Y421" s="289"/>
      <c r="Z421" s="289"/>
      <c r="AA421" s="289"/>
      <c r="AB421" s="289"/>
      <c r="AC421" s="289"/>
      <c r="AD421" s="295"/>
    </row>
    <row r="422" spans="18:30" ht="32.25" customHeight="1">
      <c r="R422" s="289"/>
      <c r="S422" s="289"/>
      <c r="T422" s="289"/>
      <c r="U422" s="289"/>
      <c r="V422" s="289"/>
      <c r="W422" s="289"/>
      <c r="X422" s="289"/>
      <c r="Y422" s="289"/>
      <c r="Z422" s="289"/>
      <c r="AA422" s="289"/>
      <c r="AB422" s="289"/>
      <c r="AC422" s="289"/>
      <c r="AD422" s="295"/>
    </row>
    <row r="423" spans="18:30" ht="32.25" customHeight="1">
      <c r="R423" s="289"/>
      <c r="S423" s="289"/>
      <c r="T423" s="289"/>
      <c r="U423" s="289"/>
      <c r="V423" s="289"/>
      <c r="W423" s="289"/>
      <c r="X423" s="289"/>
      <c r="Y423" s="289"/>
      <c r="Z423" s="289"/>
      <c r="AA423" s="289"/>
      <c r="AB423" s="289"/>
      <c r="AC423" s="289"/>
      <c r="AD423" s="295"/>
    </row>
    <row r="424" spans="18:30" ht="32.25" customHeight="1">
      <c r="R424" s="289"/>
      <c r="S424" s="289"/>
      <c r="T424" s="289"/>
      <c r="U424" s="289"/>
      <c r="V424" s="289"/>
      <c r="W424" s="289"/>
      <c r="X424" s="289"/>
      <c r="Y424" s="289"/>
      <c r="Z424" s="289"/>
      <c r="AA424" s="289"/>
      <c r="AB424" s="289"/>
      <c r="AC424" s="289"/>
      <c r="AD424" s="295"/>
    </row>
    <row r="425" spans="18:30" ht="32.25" customHeight="1">
      <c r="R425" s="289"/>
      <c r="S425" s="289"/>
      <c r="T425" s="289"/>
      <c r="U425" s="289"/>
      <c r="V425" s="289"/>
      <c r="W425" s="289"/>
      <c r="X425" s="289"/>
      <c r="Y425" s="289"/>
      <c r="Z425" s="289"/>
      <c r="AA425" s="289"/>
      <c r="AB425" s="289"/>
      <c r="AC425" s="289"/>
      <c r="AD425" s="295"/>
    </row>
    <row r="426" spans="18:30" ht="32.25" customHeight="1">
      <c r="R426" s="289"/>
      <c r="S426" s="289"/>
      <c r="T426" s="289"/>
      <c r="U426" s="289"/>
      <c r="V426" s="289"/>
      <c r="W426" s="289"/>
      <c r="X426" s="289"/>
      <c r="Y426" s="289"/>
      <c r="Z426" s="289"/>
      <c r="AA426" s="289"/>
      <c r="AB426" s="289"/>
      <c r="AC426" s="289"/>
      <c r="AD426" s="295"/>
    </row>
    <row r="427" spans="18:30" ht="32.25" customHeight="1">
      <c r="R427" s="289"/>
      <c r="S427" s="289"/>
      <c r="T427" s="289"/>
      <c r="U427" s="289"/>
      <c r="V427" s="289"/>
      <c r="W427" s="289"/>
      <c r="X427" s="289"/>
      <c r="Y427" s="289"/>
      <c r="Z427" s="289"/>
      <c r="AA427" s="289"/>
      <c r="AB427" s="289"/>
      <c r="AC427" s="289"/>
      <c r="AD427" s="295"/>
    </row>
    <row r="428" spans="18:30" ht="32.25" customHeight="1">
      <c r="R428" s="289"/>
      <c r="S428" s="289"/>
      <c r="T428" s="289"/>
      <c r="U428" s="289"/>
      <c r="V428" s="289"/>
      <c r="W428" s="289"/>
      <c r="X428" s="289"/>
      <c r="Y428" s="289"/>
      <c r="Z428" s="289"/>
      <c r="AA428" s="289"/>
      <c r="AB428" s="289"/>
      <c r="AC428" s="289"/>
      <c r="AD428" s="295"/>
    </row>
    <row r="429" spans="18:30" ht="32.25" customHeight="1">
      <c r="R429" s="289"/>
      <c r="S429" s="289"/>
      <c r="T429" s="289"/>
      <c r="U429" s="289"/>
      <c r="V429" s="289"/>
      <c r="W429" s="289"/>
      <c r="X429" s="289"/>
      <c r="Y429" s="289"/>
      <c r="Z429" s="289"/>
      <c r="AA429" s="289"/>
      <c r="AB429" s="289"/>
      <c r="AC429" s="289"/>
      <c r="AD429" s="295"/>
    </row>
    <row r="430" spans="18:30" ht="32.25" customHeight="1">
      <c r="R430" s="289"/>
      <c r="S430" s="289"/>
      <c r="T430" s="289"/>
      <c r="U430" s="289"/>
      <c r="V430" s="289"/>
      <c r="W430" s="289"/>
      <c r="X430" s="289"/>
      <c r="Y430" s="289"/>
      <c r="Z430" s="289"/>
      <c r="AA430" s="289"/>
      <c r="AB430" s="289"/>
      <c r="AC430" s="289"/>
      <c r="AD430" s="295"/>
    </row>
    <row r="431" spans="18:30" ht="32.25" customHeight="1">
      <c r="R431" s="289"/>
      <c r="S431" s="289"/>
      <c r="T431" s="289"/>
      <c r="U431" s="289"/>
      <c r="V431" s="289"/>
      <c r="W431" s="289"/>
      <c r="X431" s="289"/>
      <c r="Y431" s="289"/>
      <c r="Z431" s="289"/>
      <c r="AA431" s="289"/>
      <c r="AB431" s="289"/>
      <c r="AC431" s="289"/>
      <c r="AD431" s="295"/>
    </row>
    <row r="432" spans="18:30" ht="32.25" customHeight="1">
      <c r="R432" s="289"/>
      <c r="S432" s="289"/>
      <c r="T432" s="289"/>
      <c r="U432" s="289"/>
      <c r="V432" s="289"/>
      <c r="W432" s="289"/>
      <c r="X432" s="289"/>
      <c r="Y432" s="289"/>
      <c r="Z432" s="289"/>
      <c r="AA432" s="289"/>
      <c r="AB432" s="289"/>
      <c r="AC432" s="289"/>
      <c r="AD432" s="295"/>
    </row>
    <row r="433" spans="18:30" ht="32.25" customHeight="1">
      <c r="R433" s="289"/>
      <c r="S433" s="289"/>
      <c r="T433" s="289"/>
      <c r="U433" s="289"/>
      <c r="V433" s="289"/>
      <c r="W433" s="289"/>
      <c r="X433" s="289"/>
      <c r="Y433" s="289"/>
      <c r="Z433" s="289"/>
      <c r="AA433" s="289"/>
      <c r="AB433" s="289"/>
      <c r="AC433" s="289"/>
      <c r="AD433" s="295"/>
    </row>
    <row r="434" spans="18:30" ht="32.25" customHeight="1">
      <c r="R434" s="289"/>
      <c r="S434" s="289"/>
      <c r="T434" s="289"/>
      <c r="U434" s="289"/>
      <c r="V434" s="289"/>
      <c r="W434" s="289"/>
      <c r="X434" s="289"/>
      <c r="Y434" s="289"/>
      <c r="Z434" s="289"/>
      <c r="AA434" s="289"/>
      <c r="AB434" s="289"/>
      <c r="AC434" s="289"/>
      <c r="AD434" s="295"/>
    </row>
    <row r="435" spans="18:30" ht="32.25" customHeight="1">
      <c r="R435" s="289"/>
      <c r="S435" s="289"/>
      <c r="T435" s="289"/>
      <c r="U435" s="289"/>
      <c r="V435" s="289"/>
      <c r="W435" s="289"/>
      <c r="X435" s="289"/>
      <c r="Y435" s="289"/>
      <c r="Z435" s="289"/>
      <c r="AA435" s="289"/>
      <c r="AB435" s="289"/>
      <c r="AC435" s="289"/>
      <c r="AD435" s="295"/>
    </row>
    <row r="436" spans="18:30" ht="32.25" customHeight="1">
      <c r="R436" s="289"/>
      <c r="S436" s="289"/>
      <c r="T436" s="289"/>
      <c r="U436" s="289"/>
      <c r="V436" s="289"/>
      <c r="W436" s="289"/>
      <c r="X436" s="289"/>
      <c r="Y436" s="289"/>
      <c r="Z436" s="289"/>
      <c r="AA436" s="289"/>
      <c r="AB436" s="289"/>
      <c r="AC436" s="289"/>
      <c r="AD436" s="295"/>
    </row>
    <row r="437" spans="18:30" ht="32.25" customHeight="1">
      <c r="R437" s="289"/>
      <c r="S437" s="289"/>
      <c r="T437" s="289"/>
      <c r="U437" s="289"/>
      <c r="V437" s="289"/>
      <c r="W437" s="289"/>
      <c r="X437" s="289"/>
      <c r="Y437" s="289"/>
      <c r="Z437" s="289"/>
      <c r="AA437" s="289"/>
      <c r="AB437" s="289"/>
      <c r="AC437" s="289"/>
      <c r="AD437" s="295"/>
    </row>
    <row r="438" spans="18:30" ht="32.25" customHeight="1">
      <c r="R438" s="289"/>
      <c r="S438" s="289"/>
      <c r="T438" s="289"/>
      <c r="U438" s="289"/>
      <c r="V438" s="289"/>
      <c r="W438" s="289"/>
      <c r="X438" s="289"/>
      <c r="Y438" s="289"/>
      <c r="Z438" s="289"/>
      <c r="AA438" s="289"/>
      <c r="AB438" s="289"/>
      <c r="AC438" s="289"/>
      <c r="AD438" s="295"/>
    </row>
    <row r="439" spans="18:30" ht="32.25" customHeight="1">
      <c r="R439" s="289"/>
      <c r="S439" s="289"/>
      <c r="T439" s="289"/>
      <c r="U439" s="289"/>
      <c r="V439" s="289"/>
      <c r="W439" s="289"/>
      <c r="X439" s="289"/>
      <c r="Y439" s="289"/>
      <c r="Z439" s="289"/>
      <c r="AA439" s="289"/>
      <c r="AB439" s="289"/>
      <c r="AC439" s="289"/>
      <c r="AD439" s="295"/>
    </row>
    <row r="440" spans="18:30" ht="32.25" customHeight="1">
      <c r="R440" s="289"/>
      <c r="S440" s="289"/>
      <c r="T440" s="289"/>
      <c r="U440" s="289"/>
      <c r="V440" s="289"/>
      <c r="W440" s="289"/>
      <c r="X440" s="289"/>
      <c r="Y440" s="289"/>
      <c r="Z440" s="289"/>
      <c r="AA440" s="289"/>
      <c r="AB440" s="289"/>
      <c r="AC440" s="289"/>
      <c r="AD440" s="295"/>
    </row>
    <row r="441" spans="18:30" ht="32.25" customHeight="1">
      <c r="R441" s="289"/>
      <c r="S441" s="289"/>
      <c r="T441" s="289"/>
      <c r="U441" s="289"/>
      <c r="V441" s="289"/>
      <c r="W441" s="289"/>
      <c r="X441" s="289"/>
      <c r="Y441" s="289"/>
      <c r="Z441" s="289"/>
      <c r="AA441" s="289"/>
      <c r="AB441" s="289"/>
      <c r="AC441" s="289"/>
      <c r="AD441" s="295"/>
    </row>
    <row r="442" spans="18:30" ht="32.25" customHeight="1">
      <c r="R442" s="289"/>
      <c r="S442" s="289"/>
      <c r="T442" s="289"/>
      <c r="U442" s="289"/>
      <c r="V442" s="289"/>
      <c r="W442" s="289"/>
      <c r="X442" s="289"/>
      <c r="Y442" s="289"/>
      <c r="Z442" s="289"/>
      <c r="AA442" s="289"/>
      <c r="AB442" s="289"/>
      <c r="AC442" s="289"/>
      <c r="AD442" s="295"/>
    </row>
    <row r="443" spans="18:30" ht="32.25" customHeight="1">
      <c r="R443" s="289"/>
      <c r="S443" s="289"/>
      <c r="T443" s="289"/>
      <c r="U443" s="289"/>
      <c r="V443" s="289"/>
      <c r="W443" s="289"/>
      <c r="X443" s="289"/>
      <c r="Y443" s="289"/>
      <c r="Z443" s="289"/>
      <c r="AA443" s="289"/>
      <c r="AB443" s="289"/>
      <c r="AC443" s="289"/>
      <c r="AD443" s="295"/>
    </row>
    <row r="444" spans="18:30" ht="32.25" customHeight="1">
      <c r="R444" s="289"/>
      <c r="S444" s="289"/>
      <c r="T444" s="289"/>
      <c r="U444" s="289"/>
      <c r="V444" s="289"/>
      <c r="W444" s="289"/>
      <c r="X444" s="289"/>
      <c r="Y444" s="289"/>
      <c r="Z444" s="289"/>
      <c r="AA444" s="289"/>
      <c r="AB444" s="289"/>
      <c r="AC444" s="289"/>
      <c r="AD444" s="295"/>
    </row>
    <row r="445" spans="18:30" ht="32.25" customHeight="1">
      <c r="R445" s="289"/>
      <c r="S445" s="289"/>
      <c r="T445" s="289"/>
      <c r="U445" s="289"/>
      <c r="V445" s="289"/>
      <c r="W445" s="289"/>
      <c r="X445" s="289"/>
      <c r="Y445" s="289"/>
      <c r="Z445" s="289"/>
      <c r="AA445" s="289"/>
      <c r="AB445" s="289"/>
      <c r="AC445" s="289"/>
      <c r="AD445" s="295"/>
    </row>
    <row r="446" spans="18:30" ht="32.25" customHeight="1">
      <c r="R446" s="289"/>
      <c r="S446" s="289"/>
      <c r="T446" s="289"/>
      <c r="U446" s="289"/>
      <c r="V446" s="289"/>
      <c r="W446" s="289"/>
      <c r="X446" s="289"/>
      <c r="Y446" s="289"/>
      <c r="Z446" s="289"/>
      <c r="AA446" s="289"/>
      <c r="AB446" s="289"/>
      <c r="AC446" s="289"/>
      <c r="AD446" s="295"/>
    </row>
    <row r="447" spans="18:30" ht="32.25" customHeight="1">
      <c r="R447" s="289"/>
      <c r="S447" s="289"/>
      <c r="T447" s="289"/>
      <c r="U447" s="289"/>
      <c r="V447" s="289"/>
      <c r="W447" s="289"/>
      <c r="X447" s="289"/>
      <c r="Y447" s="289"/>
      <c r="Z447" s="289"/>
      <c r="AA447" s="289"/>
      <c r="AB447" s="289"/>
      <c r="AC447" s="289"/>
      <c r="AD447" s="295"/>
    </row>
    <row r="448" spans="18:30" ht="32.25" customHeight="1">
      <c r="R448" s="289"/>
      <c r="S448" s="289"/>
      <c r="T448" s="289"/>
      <c r="U448" s="289"/>
      <c r="V448" s="289"/>
      <c r="W448" s="289"/>
      <c r="X448" s="289"/>
      <c r="Y448" s="289"/>
      <c r="Z448" s="289"/>
      <c r="AA448" s="289"/>
      <c r="AB448" s="289"/>
      <c r="AC448" s="289"/>
      <c r="AD448" s="295"/>
    </row>
    <row r="449" spans="18:30" ht="32.25" customHeight="1">
      <c r="R449" s="289"/>
      <c r="S449" s="289"/>
      <c r="T449" s="289"/>
      <c r="U449" s="289"/>
      <c r="V449" s="289"/>
      <c r="W449" s="289"/>
      <c r="X449" s="289"/>
      <c r="Y449" s="289"/>
      <c r="Z449" s="289"/>
      <c r="AA449" s="289"/>
      <c r="AB449" s="289"/>
      <c r="AC449" s="289"/>
      <c r="AD449" s="295"/>
    </row>
    <row r="450" spans="18:30" ht="32.25" customHeight="1">
      <c r="R450" s="289"/>
      <c r="S450" s="289"/>
      <c r="T450" s="289"/>
      <c r="U450" s="289"/>
      <c r="V450" s="289"/>
      <c r="W450" s="289"/>
      <c r="X450" s="289"/>
      <c r="Y450" s="289"/>
      <c r="Z450" s="289"/>
      <c r="AA450" s="289"/>
      <c r="AB450" s="289"/>
      <c r="AC450" s="289"/>
      <c r="AD450" s="295"/>
    </row>
    <row r="451" spans="18:30" ht="32.25" customHeight="1">
      <c r="R451" s="289"/>
      <c r="S451" s="289"/>
      <c r="T451" s="289"/>
      <c r="U451" s="289"/>
      <c r="V451" s="289"/>
      <c r="W451" s="289"/>
      <c r="X451" s="289"/>
      <c r="Y451" s="289"/>
      <c r="Z451" s="289"/>
      <c r="AA451" s="289"/>
      <c r="AB451" s="289"/>
      <c r="AC451" s="289"/>
      <c r="AD451" s="295"/>
    </row>
    <row r="452" spans="18:30" ht="32.25" customHeight="1">
      <c r="R452" s="289"/>
      <c r="S452" s="289"/>
      <c r="T452" s="289"/>
      <c r="U452" s="289"/>
      <c r="V452" s="289"/>
      <c r="W452" s="289"/>
      <c r="X452" s="289"/>
      <c r="Y452" s="289"/>
      <c r="Z452" s="289"/>
      <c r="AA452" s="289"/>
      <c r="AB452" s="289"/>
      <c r="AC452" s="289"/>
      <c r="AD452" s="295"/>
    </row>
    <row r="453" spans="18:30" ht="32.25" customHeight="1">
      <c r="R453" s="289"/>
      <c r="S453" s="289"/>
      <c r="T453" s="289"/>
      <c r="U453" s="289"/>
      <c r="V453" s="289"/>
      <c r="W453" s="289"/>
      <c r="X453" s="289"/>
      <c r="Y453" s="289"/>
      <c r="Z453" s="289"/>
      <c r="AA453" s="289"/>
      <c r="AB453" s="289"/>
      <c r="AC453" s="289"/>
      <c r="AD453" s="295"/>
    </row>
    <row r="454" spans="18:30" ht="32.25" customHeight="1">
      <c r="R454" s="289"/>
      <c r="S454" s="289"/>
      <c r="T454" s="289"/>
      <c r="U454" s="289"/>
      <c r="V454" s="289"/>
      <c r="W454" s="289"/>
      <c r="X454" s="289"/>
      <c r="Y454" s="289"/>
      <c r="Z454" s="289"/>
      <c r="AA454" s="289"/>
      <c r="AB454" s="289"/>
      <c r="AC454" s="289"/>
      <c r="AD454" s="295"/>
    </row>
    <row r="455" spans="18:30" ht="32.25" customHeight="1">
      <c r="R455" s="289"/>
      <c r="S455" s="289"/>
      <c r="T455" s="289"/>
      <c r="U455" s="289"/>
      <c r="V455" s="289"/>
      <c r="W455" s="289"/>
      <c r="X455" s="289"/>
      <c r="Y455" s="289"/>
      <c r="Z455" s="289"/>
      <c r="AA455" s="289"/>
      <c r="AB455" s="289"/>
      <c r="AC455" s="289"/>
      <c r="AD455" s="295"/>
    </row>
    <row r="456" spans="18:30" ht="32.25" customHeight="1">
      <c r="R456" s="289"/>
      <c r="S456" s="289"/>
      <c r="T456" s="289"/>
      <c r="U456" s="289"/>
      <c r="V456" s="289"/>
      <c r="W456" s="289"/>
      <c r="X456" s="289"/>
      <c r="Y456" s="289"/>
      <c r="Z456" s="289"/>
      <c r="AA456" s="289"/>
      <c r="AB456" s="289"/>
      <c r="AC456" s="289"/>
      <c r="AD456" s="295"/>
    </row>
    <row r="457" spans="18:30" ht="32.25" customHeight="1">
      <c r="R457" s="289"/>
      <c r="S457" s="289"/>
      <c r="T457" s="289"/>
      <c r="U457" s="289"/>
      <c r="V457" s="289"/>
      <c r="W457" s="289"/>
      <c r="X457" s="289"/>
      <c r="Y457" s="289"/>
      <c r="Z457" s="289"/>
      <c r="AA457" s="289"/>
      <c r="AB457" s="289"/>
      <c r="AC457" s="289"/>
      <c r="AD457" s="295"/>
    </row>
    <row r="458" spans="18:30" ht="32.25" customHeight="1">
      <c r="R458" s="289"/>
      <c r="S458" s="289"/>
      <c r="T458" s="289"/>
      <c r="U458" s="289"/>
      <c r="V458" s="289"/>
      <c r="W458" s="289"/>
      <c r="X458" s="289"/>
      <c r="Y458" s="289"/>
      <c r="Z458" s="289"/>
      <c r="AA458" s="289"/>
      <c r="AB458" s="289"/>
      <c r="AC458" s="289"/>
      <c r="AD458" s="295"/>
    </row>
    <row r="459" spans="18:30" ht="32.25" customHeight="1">
      <c r="R459" s="289"/>
      <c r="S459" s="289"/>
      <c r="T459" s="289"/>
      <c r="U459" s="289"/>
      <c r="V459" s="289"/>
      <c r="W459" s="289"/>
      <c r="X459" s="289"/>
      <c r="Y459" s="289"/>
      <c r="Z459" s="289"/>
      <c r="AA459" s="289"/>
      <c r="AB459" s="289"/>
      <c r="AC459" s="289"/>
      <c r="AD459" s="295"/>
    </row>
    <row r="460" spans="18:30" ht="32.25" customHeight="1">
      <c r="R460" s="289"/>
      <c r="S460" s="289"/>
      <c r="T460" s="289"/>
      <c r="U460" s="289"/>
      <c r="V460" s="289"/>
      <c r="W460" s="289"/>
      <c r="X460" s="289"/>
      <c r="Y460" s="289"/>
      <c r="Z460" s="289"/>
      <c r="AA460" s="289"/>
      <c r="AB460" s="289"/>
      <c r="AC460" s="289"/>
      <c r="AD460" s="295"/>
    </row>
    <row r="461" spans="18:30" ht="32.25" customHeight="1">
      <c r="R461" s="289"/>
      <c r="S461" s="289"/>
      <c r="T461" s="289"/>
      <c r="U461" s="289"/>
      <c r="V461" s="289"/>
      <c r="W461" s="289"/>
      <c r="X461" s="289"/>
      <c r="Y461" s="289"/>
      <c r="Z461" s="289"/>
      <c r="AA461" s="289"/>
      <c r="AB461" s="289"/>
      <c r="AC461" s="289"/>
      <c r="AD461" s="295"/>
    </row>
    <row r="462" spans="18:30" ht="32.25" customHeight="1">
      <c r="R462" s="289"/>
      <c r="S462" s="289"/>
      <c r="T462" s="289"/>
      <c r="U462" s="289"/>
      <c r="V462" s="289"/>
      <c r="W462" s="289"/>
      <c r="X462" s="289"/>
      <c r="Y462" s="289"/>
      <c r="Z462" s="289"/>
      <c r="AA462" s="289"/>
      <c r="AB462" s="289"/>
      <c r="AC462" s="289"/>
      <c r="AD462" s="295"/>
    </row>
    <row r="463" spans="18:30" ht="32.25" customHeight="1">
      <c r="R463" s="289"/>
      <c r="S463" s="289"/>
      <c r="T463" s="289"/>
      <c r="U463" s="289"/>
      <c r="V463" s="289"/>
      <c r="W463" s="289"/>
      <c r="X463" s="289"/>
      <c r="Y463" s="289"/>
      <c r="Z463" s="289"/>
      <c r="AA463" s="289"/>
      <c r="AB463" s="289"/>
      <c r="AC463" s="289"/>
      <c r="AD463" s="295"/>
    </row>
    <row r="464" spans="18:30" ht="32.25" customHeight="1">
      <c r="R464" s="289"/>
      <c r="S464" s="289"/>
      <c r="T464" s="289"/>
      <c r="U464" s="289"/>
      <c r="V464" s="289"/>
      <c r="W464" s="289"/>
      <c r="X464" s="289"/>
      <c r="Y464" s="289"/>
      <c r="Z464" s="289"/>
      <c r="AA464" s="289"/>
      <c r="AB464" s="289"/>
      <c r="AC464" s="289"/>
      <c r="AD464" s="295"/>
    </row>
    <row r="465" spans="18:30" ht="32.25" customHeight="1">
      <c r="R465" s="289"/>
      <c r="S465" s="289"/>
      <c r="T465" s="289"/>
      <c r="U465" s="289"/>
      <c r="V465" s="289"/>
      <c r="W465" s="289"/>
      <c r="X465" s="289"/>
      <c r="Y465" s="289"/>
      <c r="Z465" s="289"/>
      <c r="AA465" s="289"/>
      <c r="AB465" s="289"/>
      <c r="AC465" s="289"/>
      <c r="AD465" s="295"/>
    </row>
    <row r="466" spans="18:30" ht="32.25" customHeight="1">
      <c r="R466" s="289"/>
      <c r="S466" s="289"/>
      <c r="T466" s="289"/>
      <c r="U466" s="289"/>
      <c r="V466" s="289"/>
      <c r="W466" s="289"/>
      <c r="X466" s="289"/>
      <c r="Y466" s="289"/>
      <c r="Z466" s="289"/>
      <c r="AA466" s="289"/>
      <c r="AB466" s="289"/>
      <c r="AC466" s="289"/>
      <c r="AD466" s="295"/>
    </row>
    <row r="467" spans="18:30" ht="32.25" customHeight="1">
      <c r="R467" s="289"/>
      <c r="S467" s="289"/>
      <c r="T467" s="289"/>
      <c r="U467" s="289"/>
      <c r="V467" s="289"/>
      <c r="W467" s="289"/>
      <c r="X467" s="289"/>
      <c r="Y467" s="289"/>
      <c r="Z467" s="289"/>
      <c r="AA467" s="289"/>
      <c r="AB467" s="289"/>
      <c r="AC467" s="289"/>
      <c r="AD467" s="295"/>
    </row>
    <row r="468" spans="18:30" ht="32.25" customHeight="1">
      <c r="R468" s="289"/>
      <c r="S468" s="289"/>
      <c r="T468" s="289"/>
      <c r="U468" s="289"/>
      <c r="V468" s="289"/>
      <c r="W468" s="289"/>
      <c r="X468" s="289"/>
      <c r="Y468" s="289"/>
      <c r="Z468" s="289"/>
      <c r="AA468" s="289"/>
      <c r="AB468" s="289"/>
      <c r="AC468" s="289"/>
      <c r="AD468" s="295"/>
    </row>
    <row r="469" spans="18:30" ht="32.25" customHeight="1">
      <c r="R469" s="289"/>
      <c r="S469" s="289"/>
      <c r="T469" s="289"/>
      <c r="U469" s="289"/>
      <c r="V469" s="289"/>
      <c r="W469" s="289"/>
      <c r="X469" s="289"/>
      <c r="Y469" s="289"/>
      <c r="Z469" s="289"/>
      <c r="AA469" s="289"/>
      <c r="AB469" s="289"/>
      <c r="AC469" s="289"/>
      <c r="AD469" s="295"/>
    </row>
    <row r="470" spans="18:30" ht="32.25" customHeight="1">
      <c r="R470" s="289"/>
      <c r="S470" s="289"/>
      <c r="T470" s="289"/>
      <c r="U470" s="289"/>
      <c r="V470" s="289"/>
      <c r="W470" s="289"/>
      <c r="X470" s="289"/>
      <c r="Y470" s="289"/>
      <c r="Z470" s="289"/>
      <c r="AA470" s="289"/>
      <c r="AB470" s="289"/>
      <c r="AC470" s="289"/>
      <c r="AD470" s="295"/>
    </row>
    <row r="471" spans="18:30" ht="32.25" customHeight="1">
      <c r="R471" s="289"/>
      <c r="S471" s="289"/>
      <c r="T471" s="289"/>
      <c r="U471" s="289"/>
      <c r="V471" s="289"/>
      <c r="W471" s="289"/>
      <c r="X471" s="289"/>
      <c r="Y471" s="289"/>
      <c r="Z471" s="289"/>
      <c r="AA471" s="289"/>
      <c r="AB471" s="289"/>
      <c r="AC471" s="289"/>
      <c r="AD471" s="295"/>
    </row>
    <row r="472" spans="18:30" ht="32.25" customHeight="1">
      <c r="R472" s="289"/>
      <c r="S472" s="289"/>
      <c r="T472" s="289"/>
      <c r="U472" s="289"/>
      <c r="V472" s="289"/>
      <c r="W472" s="289"/>
      <c r="X472" s="289"/>
      <c r="Y472" s="289"/>
      <c r="Z472" s="289"/>
      <c r="AA472" s="289"/>
      <c r="AB472" s="289"/>
      <c r="AC472" s="289"/>
      <c r="AD472" s="295"/>
    </row>
    <row r="473" spans="18:30" ht="32.25" customHeight="1">
      <c r="R473" s="289"/>
      <c r="S473" s="289"/>
      <c r="T473" s="289"/>
      <c r="U473" s="289"/>
      <c r="V473" s="289"/>
      <c r="W473" s="289"/>
      <c r="X473" s="289"/>
      <c r="Y473" s="289"/>
      <c r="Z473" s="289"/>
      <c r="AA473" s="289"/>
      <c r="AB473" s="289"/>
      <c r="AC473" s="289"/>
      <c r="AD473" s="295"/>
    </row>
    <row r="474" spans="18:30" ht="32.25" customHeight="1">
      <c r="R474" s="289"/>
      <c r="S474" s="289"/>
      <c r="T474" s="289"/>
      <c r="U474" s="289"/>
      <c r="V474" s="289"/>
      <c r="W474" s="289"/>
      <c r="X474" s="289"/>
      <c r="Y474" s="289"/>
      <c r="Z474" s="289"/>
      <c r="AA474" s="289"/>
      <c r="AB474" s="289"/>
      <c r="AC474" s="289"/>
      <c r="AD474" s="295"/>
    </row>
    <row r="475" spans="18:30" ht="32.25" customHeight="1">
      <c r="R475" s="289"/>
      <c r="S475" s="289"/>
      <c r="T475" s="289"/>
      <c r="U475" s="289"/>
      <c r="V475" s="289"/>
      <c r="W475" s="289"/>
      <c r="X475" s="289"/>
      <c r="Y475" s="289"/>
      <c r="Z475" s="289"/>
      <c r="AA475" s="289"/>
      <c r="AB475" s="289"/>
      <c r="AC475" s="289"/>
      <c r="AD475" s="295"/>
    </row>
    <row r="476" spans="18:30" ht="32.25" customHeight="1">
      <c r="R476" s="289"/>
      <c r="S476" s="289"/>
      <c r="T476" s="289"/>
      <c r="U476" s="289"/>
      <c r="V476" s="289"/>
      <c r="W476" s="289"/>
      <c r="X476" s="289"/>
      <c r="Y476" s="289"/>
      <c r="Z476" s="289"/>
      <c r="AA476" s="289"/>
      <c r="AB476" s="289"/>
      <c r="AC476" s="289"/>
      <c r="AD476" s="295"/>
    </row>
    <row r="477" spans="18:30" ht="32.25" customHeight="1">
      <c r="R477" s="289"/>
      <c r="S477" s="289"/>
      <c r="T477" s="289"/>
      <c r="U477" s="289"/>
      <c r="V477" s="289"/>
      <c r="W477" s="289"/>
      <c r="X477" s="289"/>
      <c r="Y477" s="289"/>
      <c r="Z477" s="289"/>
      <c r="AA477" s="289"/>
      <c r="AB477" s="289"/>
      <c r="AC477" s="289"/>
      <c r="AD477" s="295"/>
    </row>
    <row r="478" spans="18:30" ht="32.25" customHeight="1">
      <c r="R478" s="289"/>
      <c r="S478" s="289"/>
      <c r="T478" s="289"/>
      <c r="U478" s="289"/>
      <c r="V478" s="289"/>
      <c r="W478" s="289"/>
      <c r="X478" s="289"/>
      <c r="Y478" s="289"/>
      <c r="Z478" s="289"/>
      <c r="AA478" s="289"/>
      <c r="AB478" s="289"/>
      <c r="AC478" s="289"/>
      <c r="AD478" s="295"/>
    </row>
    <row r="479" spans="18:30" ht="32.25" customHeight="1">
      <c r="R479" s="289"/>
      <c r="S479" s="289"/>
      <c r="T479" s="289"/>
      <c r="U479" s="289"/>
      <c r="V479" s="289"/>
      <c r="W479" s="289"/>
      <c r="X479" s="289"/>
      <c r="Y479" s="289"/>
      <c r="Z479" s="289"/>
      <c r="AA479" s="289"/>
      <c r="AB479" s="289"/>
      <c r="AC479" s="289"/>
      <c r="AD479" s="295"/>
    </row>
    <row r="480" spans="18:30" ht="32.25" customHeight="1">
      <c r="R480" s="289"/>
      <c r="S480" s="289"/>
      <c r="T480" s="289"/>
      <c r="U480" s="289"/>
      <c r="V480" s="289"/>
      <c r="W480" s="289"/>
      <c r="X480" s="289"/>
      <c r="Y480" s="289"/>
      <c r="Z480" s="289"/>
      <c r="AA480" s="289"/>
      <c r="AB480" s="289"/>
      <c r="AC480" s="289"/>
      <c r="AD480" s="295"/>
    </row>
    <row r="481" spans="18:30" ht="32.25" customHeight="1">
      <c r="R481" s="289"/>
      <c r="S481" s="289"/>
      <c r="T481" s="289"/>
      <c r="U481" s="289"/>
      <c r="V481" s="289"/>
      <c r="W481" s="289"/>
      <c r="X481" s="289"/>
      <c r="Y481" s="289"/>
      <c r="Z481" s="289"/>
      <c r="AA481" s="289"/>
      <c r="AB481" s="289"/>
      <c r="AC481" s="289"/>
      <c r="AD481" s="295"/>
    </row>
    <row r="482" spans="18:30" ht="32.25" customHeight="1">
      <c r="R482" s="289"/>
      <c r="S482" s="289"/>
      <c r="T482" s="289"/>
      <c r="U482" s="289"/>
      <c r="V482" s="289"/>
      <c r="W482" s="289"/>
      <c r="X482" s="289"/>
      <c r="Y482" s="289"/>
      <c r="Z482" s="289"/>
      <c r="AA482" s="289"/>
      <c r="AB482" s="289"/>
      <c r="AC482" s="289"/>
      <c r="AD482" s="295"/>
    </row>
    <row r="483" spans="18:30" ht="32.25" customHeight="1">
      <c r="R483" s="289"/>
      <c r="S483" s="289"/>
      <c r="T483" s="289"/>
      <c r="U483" s="289"/>
      <c r="V483" s="289"/>
      <c r="W483" s="289"/>
      <c r="X483" s="289"/>
      <c r="Y483" s="289"/>
      <c r="Z483" s="289"/>
      <c r="AA483" s="289"/>
      <c r="AB483" s="289"/>
      <c r="AC483" s="289"/>
      <c r="AD483" s="295"/>
    </row>
    <row r="484" spans="18:30" ht="32.25" customHeight="1">
      <c r="R484" s="289"/>
      <c r="S484" s="289"/>
      <c r="T484" s="289"/>
      <c r="U484" s="289"/>
      <c r="V484" s="289"/>
      <c r="W484" s="289"/>
      <c r="X484" s="289"/>
      <c r="Y484" s="289"/>
      <c r="Z484" s="289"/>
      <c r="AA484" s="289"/>
      <c r="AB484" s="289"/>
      <c r="AC484" s="289"/>
      <c r="AD484" s="295"/>
    </row>
    <row r="485" spans="18:30" ht="32.25" customHeight="1">
      <c r="R485" s="289"/>
      <c r="S485" s="289"/>
      <c r="T485" s="289"/>
      <c r="U485" s="289"/>
      <c r="V485" s="289"/>
      <c r="W485" s="289"/>
      <c r="X485" s="289"/>
      <c r="Y485" s="289"/>
      <c r="Z485" s="289"/>
      <c r="AA485" s="289"/>
      <c r="AB485" s="289"/>
      <c r="AC485" s="289"/>
      <c r="AD485" s="295"/>
    </row>
    <row r="486" spans="18:30" ht="32.25" customHeight="1">
      <c r="R486" s="289"/>
      <c r="S486" s="289"/>
      <c r="T486" s="289"/>
      <c r="U486" s="289"/>
      <c r="V486" s="289"/>
      <c r="W486" s="289"/>
      <c r="X486" s="289"/>
      <c r="Y486" s="289"/>
      <c r="Z486" s="289"/>
      <c r="AA486" s="289"/>
      <c r="AB486" s="289"/>
      <c r="AC486" s="289"/>
      <c r="AD486" s="295"/>
    </row>
    <row r="487" spans="18:30" ht="32.25" customHeight="1">
      <c r="R487" s="289"/>
      <c r="S487" s="289"/>
      <c r="T487" s="289"/>
      <c r="U487" s="289"/>
      <c r="V487" s="289"/>
      <c r="W487" s="289"/>
      <c r="X487" s="289"/>
      <c r="Y487" s="289"/>
      <c r="Z487" s="289"/>
      <c r="AA487" s="289"/>
      <c r="AB487" s="289"/>
      <c r="AC487" s="289"/>
      <c r="AD487" s="295"/>
    </row>
    <row r="488" spans="18:30" ht="32.25" customHeight="1">
      <c r="R488" s="289"/>
      <c r="S488" s="289"/>
      <c r="T488" s="289"/>
      <c r="U488" s="289"/>
      <c r="V488" s="289"/>
      <c r="W488" s="289"/>
      <c r="X488" s="289"/>
      <c r="Y488" s="289"/>
      <c r="Z488" s="289"/>
      <c r="AA488" s="289"/>
      <c r="AB488" s="289"/>
      <c r="AC488" s="289"/>
      <c r="AD488" s="295"/>
    </row>
    <row r="489" spans="18:30" ht="32.25" customHeight="1">
      <c r="R489" s="289"/>
      <c r="S489" s="289"/>
      <c r="T489" s="289"/>
      <c r="U489" s="289"/>
      <c r="V489" s="289"/>
      <c r="W489" s="289"/>
      <c r="X489" s="289"/>
      <c r="Y489" s="289"/>
      <c r="Z489" s="289"/>
      <c r="AA489" s="289"/>
      <c r="AB489" s="289"/>
      <c r="AC489" s="289"/>
      <c r="AD489" s="295"/>
    </row>
    <row r="490" spans="18:30" ht="32.25" customHeight="1">
      <c r="R490" s="289"/>
      <c r="S490" s="289"/>
      <c r="T490" s="289"/>
      <c r="U490" s="289"/>
      <c r="V490" s="289"/>
      <c r="W490" s="289"/>
      <c r="X490" s="289"/>
      <c r="Y490" s="289"/>
      <c r="Z490" s="289"/>
      <c r="AA490" s="289"/>
      <c r="AB490" s="289"/>
      <c r="AC490" s="289"/>
      <c r="AD490" s="295"/>
    </row>
    <row r="491" spans="18:30" ht="32.25" customHeight="1">
      <c r="R491" s="289"/>
      <c r="S491" s="289"/>
      <c r="T491" s="289"/>
      <c r="U491" s="289"/>
      <c r="V491" s="289"/>
      <c r="W491" s="289"/>
      <c r="X491" s="289"/>
      <c r="Y491" s="289"/>
      <c r="Z491" s="289"/>
      <c r="AA491" s="289"/>
      <c r="AB491" s="289"/>
      <c r="AC491" s="289"/>
      <c r="AD491" s="295"/>
    </row>
    <row r="492" spans="18:30" ht="32.25" customHeight="1">
      <c r="R492" s="289"/>
      <c r="S492" s="289"/>
      <c r="T492" s="289"/>
      <c r="U492" s="289"/>
      <c r="V492" s="289"/>
      <c r="W492" s="289"/>
      <c r="X492" s="289"/>
      <c r="Y492" s="289"/>
      <c r="Z492" s="289"/>
      <c r="AA492" s="289"/>
      <c r="AB492" s="289"/>
      <c r="AC492" s="289"/>
      <c r="AD492" s="295"/>
    </row>
    <row r="493" spans="18:30" ht="32.25" customHeight="1">
      <c r="R493" s="289"/>
      <c r="S493" s="289"/>
      <c r="T493" s="289"/>
      <c r="U493" s="289"/>
      <c r="V493" s="289"/>
      <c r="W493" s="289"/>
      <c r="X493" s="289"/>
      <c r="Y493" s="289"/>
      <c r="Z493" s="289"/>
      <c r="AA493" s="289"/>
      <c r="AB493" s="289"/>
      <c r="AC493" s="289"/>
      <c r="AD493" s="295"/>
    </row>
    <row r="494" spans="18:30" ht="32.25" customHeight="1">
      <c r="R494" s="289"/>
      <c r="S494" s="289"/>
      <c r="T494" s="289"/>
      <c r="U494" s="289"/>
      <c r="V494" s="289"/>
      <c r="W494" s="289"/>
      <c r="X494" s="289"/>
      <c r="Y494" s="289"/>
      <c r="Z494" s="289"/>
      <c r="AA494" s="289"/>
      <c r="AB494" s="289"/>
      <c r="AC494" s="289"/>
      <c r="AD494" s="295"/>
    </row>
    <row r="495" spans="18:30" ht="32.25" customHeight="1">
      <c r="R495" s="289"/>
      <c r="S495" s="289"/>
      <c r="T495" s="289"/>
      <c r="U495" s="289"/>
      <c r="V495" s="289"/>
      <c r="W495" s="289"/>
      <c r="X495" s="289"/>
      <c r="Y495" s="289"/>
      <c r="Z495" s="289"/>
      <c r="AA495" s="289"/>
      <c r="AB495" s="289"/>
      <c r="AC495" s="289"/>
      <c r="AD495" s="295"/>
    </row>
    <row r="496" spans="18:30" ht="32.25" customHeight="1">
      <c r="R496" s="289"/>
      <c r="S496" s="289"/>
      <c r="T496" s="289"/>
      <c r="U496" s="289"/>
      <c r="V496" s="289"/>
      <c r="W496" s="289"/>
      <c r="X496" s="289"/>
      <c r="Y496" s="289"/>
      <c r="Z496" s="289"/>
      <c r="AA496" s="289"/>
      <c r="AB496" s="289"/>
      <c r="AC496" s="289"/>
      <c r="AD496" s="295"/>
    </row>
    <row r="497" spans="18:30" ht="32.25" customHeight="1">
      <c r="R497" s="289"/>
      <c r="S497" s="289"/>
      <c r="T497" s="289"/>
      <c r="U497" s="289"/>
      <c r="V497" s="289"/>
      <c r="W497" s="289"/>
      <c r="X497" s="289"/>
      <c r="Y497" s="289"/>
      <c r="Z497" s="289"/>
      <c r="AA497" s="289"/>
      <c r="AB497" s="289"/>
      <c r="AC497" s="289"/>
      <c r="AD497" s="295"/>
    </row>
    <row r="498" spans="18:30" ht="32.25" customHeight="1">
      <c r="R498" s="289"/>
      <c r="S498" s="289"/>
      <c r="T498" s="289"/>
      <c r="U498" s="289"/>
      <c r="V498" s="289"/>
      <c r="W498" s="289"/>
      <c r="X498" s="289"/>
      <c r="Y498" s="289"/>
      <c r="Z498" s="289"/>
      <c r="AA498" s="289"/>
      <c r="AB498" s="289"/>
      <c r="AC498" s="289"/>
      <c r="AD498" s="295"/>
    </row>
    <row r="499" spans="18:30" ht="32.25" customHeight="1">
      <c r="R499" s="289"/>
      <c r="S499" s="289"/>
      <c r="T499" s="289"/>
      <c r="U499" s="289"/>
      <c r="V499" s="289"/>
      <c r="W499" s="289"/>
      <c r="X499" s="289"/>
      <c r="Y499" s="289"/>
      <c r="Z499" s="289"/>
      <c r="AA499" s="289"/>
      <c r="AB499" s="289"/>
      <c r="AC499" s="289"/>
      <c r="AD499" s="295"/>
    </row>
    <row r="500" spans="18:30" ht="32.25" customHeight="1">
      <c r="R500" s="289"/>
      <c r="S500" s="289"/>
      <c r="T500" s="289"/>
      <c r="U500" s="289"/>
      <c r="V500" s="289"/>
      <c r="W500" s="289"/>
      <c r="X500" s="289"/>
      <c r="Y500" s="289"/>
      <c r="Z500" s="289"/>
      <c r="AA500" s="289"/>
      <c r="AB500" s="289"/>
      <c r="AC500" s="289"/>
      <c r="AD500" s="295"/>
    </row>
    <row r="501" spans="18:30" ht="32.25" customHeight="1">
      <c r="R501" s="289"/>
      <c r="S501" s="289"/>
      <c r="T501" s="289"/>
      <c r="U501" s="289"/>
      <c r="V501" s="289"/>
      <c r="W501" s="289"/>
      <c r="X501" s="289"/>
      <c r="Y501" s="289"/>
      <c r="Z501" s="289"/>
      <c r="AA501" s="289"/>
      <c r="AB501" s="289"/>
      <c r="AC501" s="289"/>
      <c r="AD501" s="295"/>
    </row>
    <row r="502" spans="18:30" ht="32.25" customHeight="1">
      <c r="R502" s="289"/>
      <c r="S502" s="289"/>
      <c r="T502" s="289"/>
      <c r="U502" s="289"/>
      <c r="V502" s="289"/>
      <c r="W502" s="289"/>
      <c r="X502" s="289"/>
      <c r="Y502" s="289"/>
      <c r="Z502" s="289"/>
      <c r="AA502" s="289"/>
      <c r="AB502" s="289"/>
      <c r="AC502" s="289"/>
      <c r="AD502" s="295"/>
    </row>
    <row r="503" spans="18:30" ht="32.25" customHeight="1">
      <c r="R503" s="289"/>
      <c r="S503" s="289"/>
      <c r="T503" s="289"/>
      <c r="U503" s="289"/>
      <c r="V503" s="289"/>
      <c r="W503" s="289"/>
      <c r="X503" s="289"/>
      <c r="Y503" s="289"/>
      <c r="Z503" s="289"/>
      <c r="AA503" s="289"/>
      <c r="AB503" s="289"/>
      <c r="AC503" s="289"/>
      <c r="AD503" s="295"/>
    </row>
    <row r="504" spans="18:30" ht="32.25" customHeight="1">
      <c r="R504" s="289"/>
      <c r="S504" s="289"/>
      <c r="T504" s="289"/>
      <c r="U504" s="289"/>
      <c r="V504" s="289"/>
      <c r="W504" s="289"/>
      <c r="X504" s="289"/>
      <c r="Y504" s="289"/>
      <c r="Z504" s="289"/>
      <c r="AA504" s="289"/>
      <c r="AB504" s="289"/>
      <c r="AC504" s="289"/>
      <c r="AD504" s="295"/>
    </row>
    <row r="505" spans="18:30" ht="32.25" customHeight="1">
      <c r="R505" s="289"/>
      <c r="S505" s="289"/>
      <c r="T505" s="289"/>
      <c r="U505" s="289"/>
      <c r="V505" s="289"/>
      <c r="W505" s="289"/>
      <c r="X505" s="289"/>
      <c r="Y505" s="289"/>
      <c r="Z505" s="289"/>
      <c r="AA505" s="289"/>
      <c r="AB505" s="289"/>
      <c r="AC505" s="289"/>
      <c r="AD505" s="295"/>
    </row>
    <row r="506" spans="18:30" ht="32.25" customHeight="1">
      <c r="R506" s="289"/>
      <c r="S506" s="289"/>
      <c r="T506" s="289"/>
      <c r="U506" s="289"/>
      <c r="V506" s="289"/>
      <c r="W506" s="289"/>
      <c r="X506" s="289"/>
      <c r="Y506" s="289"/>
      <c r="Z506" s="289"/>
      <c r="AA506" s="289"/>
      <c r="AB506" s="289"/>
      <c r="AC506" s="289"/>
      <c r="AD506" s="295"/>
    </row>
    <row r="507" spans="18:30" ht="32.25" customHeight="1">
      <c r="R507" s="289"/>
      <c r="S507" s="289"/>
      <c r="T507" s="289"/>
      <c r="U507" s="289"/>
      <c r="V507" s="289"/>
      <c r="W507" s="289"/>
      <c r="X507" s="289"/>
      <c r="Y507" s="289"/>
      <c r="Z507" s="289"/>
      <c r="AA507" s="289"/>
      <c r="AB507" s="289"/>
      <c r="AC507" s="289"/>
      <c r="AD507" s="295"/>
    </row>
    <row r="508" spans="18:30" ht="32.25" customHeight="1">
      <c r="R508" s="289"/>
      <c r="S508" s="289"/>
      <c r="T508" s="289"/>
      <c r="U508" s="289"/>
      <c r="V508" s="289"/>
      <c r="W508" s="289"/>
      <c r="X508" s="289"/>
      <c r="Y508" s="289"/>
      <c r="Z508" s="289"/>
      <c r="AA508" s="289"/>
      <c r="AB508" s="289"/>
      <c r="AC508" s="289"/>
      <c r="AD508" s="295"/>
    </row>
    <row r="509" spans="18:30" ht="32.25" customHeight="1">
      <c r="R509" s="289"/>
      <c r="S509" s="289"/>
      <c r="T509" s="289"/>
      <c r="U509" s="289"/>
      <c r="V509" s="289"/>
      <c r="W509" s="289"/>
      <c r="X509" s="289"/>
      <c r="Y509" s="289"/>
      <c r="Z509" s="289"/>
      <c r="AA509" s="289"/>
      <c r="AB509" s="289"/>
      <c r="AC509" s="289"/>
      <c r="AD509" s="295"/>
    </row>
    <row r="510" spans="18:30" ht="32.25" customHeight="1">
      <c r="R510" s="289"/>
      <c r="S510" s="289"/>
      <c r="T510" s="289"/>
      <c r="U510" s="289"/>
      <c r="V510" s="289"/>
      <c r="W510" s="289"/>
      <c r="X510" s="289"/>
      <c r="Y510" s="289"/>
      <c r="Z510" s="289"/>
      <c r="AA510" s="289"/>
      <c r="AB510" s="289"/>
      <c r="AC510" s="289"/>
      <c r="AD510" s="295"/>
    </row>
    <row r="511" spans="18:30" ht="32.25" customHeight="1">
      <c r="R511" s="289"/>
      <c r="S511" s="289"/>
      <c r="T511" s="289"/>
      <c r="U511" s="289"/>
      <c r="V511" s="289"/>
      <c r="W511" s="289"/>
      <c r="X511" s="289"/>
      <c r="Y511" s="289"/>
      <c r="Z511" s="289"/>
      <c r="AA511" s="289"/>
      <c r="AB511" s="289"/>
      <c r="AC511" s="289"/>
      <c r="AD511" s="295"/>
    </row>
    <row r="512" spans="18:30" ht="32.25" customHeight="1">
      <c r="R512" s="289"/>
      <c r="S512" s="289"/>
      <c r="T512" s="289"/>
      <c r="U512" s="289"/>
      <c r="V512" s="289"/>
      <c r="W512" s="289"/>
      <c r="X512" s="289"/>
      <c r="Y512" s="289"/>
      <c r="Z512" s="289"/>
      <c r="AA512" s="289"/>
      <c r="AB512" s="289"/>
      <c r="AC512" s="289"/>
      <c r="AD512" s="295"/>
    </row>
    <row r="513" spans="18:30" ht="32.25" customHeight="1">
      <c r="R513" s="289"/>
      <c r="S513" s="289"/>
      <c r="T513" s="289"/>
      <c r="U513" s="289"/>
      <c r="V513" s="289"/>
      <c r="W513" s="289"/>
      <c r="X513" s="289"/>
      <c r="Y513" s="289"/>
      <c r="Z513" s="289"/>
      <c r="AA513" s="289"/>
      <c r="AB513" s="289"/>
      <c r="AC513" s="289"/>
      <c r="AD513" s="295"/>
    </row>
    <row r="514" spans="18:30" ht="32.25" customHeight="1">
      <c r="R514" s="289"/>
      <c r="S514" s="289"/>
      <c r="T514" s="289"/>
      <c r="U514" s="289"/>
      <c r="V514" s="289"/>
      <c r="W514" s="289"/>
      <c r="X514" s="289"/>
      <c r="Y514" s="289"/>
      <c r="Z514" s="289"/>
      <c r="AA514" s="289"/>
      <c r="AB514" s="289"/>
      <c r="AC514" s="289"/>
      <c r="AD514" s="295"/>
    </row>
    <row r="515" spans="18:30" ht="32.25" customHeight="1">
      <c r="R515" s="289"/>
      <c r="S515" s="289"/>
      <c r="T515" s="289"/>
      <c r="U515" s="289"/>
      <c r="V515" s="289"/>
      <c r="W515" s="289"/>
      <c r="X515" s="289"/>
      <c r="Y515" s="289"/>
      <c r="Z515" s="289"/>
      <c r="AA515" s="289"/>
      <c r="AB515" s="289"/>
      <c r="AC515" s="289"/>
      <c r="AD515" s="295"/>
    </row>
    <row r="516" spans="18:30" ht="32.25" customHeight="1">
      <c r="R516" s="289"/>
      <c r="S516" s="289"/>
      <c r="T516" s="289"/>
      <c r="U516" s="289"/>
      <c r="V516" s="289"/>
      <c r="W516" s="289"/>
      <c r="X516" s="289"/>
      <c r="Y516" s="289"/>
      <c r="Z516" s="289"/>
      <c r="AA516" s="289"/>
      <c r="AB516" s="289"/>
      <c r="AC516" s="289"/>
      <c r="AD516" s="295"/>
    </row>
    <row r="517" spans="18:30" ht="32.25" customHeight="1">
      <c r="R517" s="289"/>
      <c r="S517" s="289"/>
      <c r="T517" s="289"/>
      <c r="U517" s="289"/>
      <c r="V517" s="289"/>
      <c r="W517" s="289"/>
      <c r="X517" s="289"/>
      <c r="Y517" s="289"/>
      <c r="Z517" s="289"/>
      <c r="AA517" s="289"/>
      <c r="AB517" s="289"/>
      <c r="AC517" s="289"/>
      <c r="AD517" s="295"/>
    </row>
    <row r="518" spans="18:30" ht="32.25" customHeight="1">
      <c r="R518" s="289"/>
      <c r="S518" s="289"/>
      <c r="T518" s="289"/>
      <c r="U518" s="289"/>
      <c r="V518" s="289"/>
      <c r="W518" s="289"/>
      <c r="X518" s="289"/>
      <c r="Y518" s="289"/>
      <c r="Z518" s="289"/>
      <c r="AA518" s="289"/>
      <c r="AB518" s="289"/>
      <c r="AC518" s="289"/>
      <c r="AD518" s="295"/>
    </row>
    <row r="519" spans="18:30" ht="32.25" customHeight="1">
      <c r="R519" s="289"/>
      <c r="S519" s="289"/>
      <c r="T519" s="289"/>
      <c r="U519" s="289"/>
      <c r="V519" s="289"/>
      <c r="W519" s="289"/>
      <c r="X519" s="289"/>
      <c r="Y519" s="289"/>
      <c r="Z519" s="289"/>
      <c r="AA519" s="289"/>
      <c r="AB519" s="289"/>
      <c r="AC519" s="289"/>
      <c r="AD519" s="295"/>
    </row>
    <row r="520" spans="18:30" ht="32.25" customHeight="1">
      <c r="R520" s="289"/>
      <c r="S520" s="289"/>
      <c r="T520" s="289"/>
      <c r="U520" s="289"/>
      <c r="V520" s="289"/>
      <c r="W520" s="289"/>
      <c r="X520" s="289"/>
      <c r="Y520" s="289"/>
      <c r="Z520" s="289"/>
      <c r="AA520" s="289"/>
      <c r="AB520" s="289"/>
      <c r="AC520" s="289"/>
      <c r="AD520" s="295"/>
    </row>
    <row r="521" spans="18:30" ht="32.25" customHeight="1">
      <c r="R521" s="289"/>
      <c r="S521" s="289"/>
      <c r="T521" s="289"/>
      <c r="U521" s="289"/>
      <c r="V521" s="289"/>
      <c r="W521" s="289"/>
      <c r="X521" s="289"/>
      <c r="Y521" s="289"/>
      <c r="Z521" s="289"/>
      <c r="AA521" s="289"/>
      <c r="AB521" s="289"/>
      <c r="AC521" s="289"/>
      <c r="AD521" s="295"/>
    </row>
    <row r="522" spans="18:30" ht="32.25" customHeight="1">
      <c r="R522" s="289"/>
      <c r="S522" s="289"/>
      <c r="T522" s="289"/>
      <c r="U522" s="289"/>
      <c r="V522" s="289"/>
      <c r="W522" s="289"/>
      <c r="X522" s="289"/>
      <c r="Y522" s="289"/>
      <c r="Z522" s="289"/>
      <c r="AA522" s="289"/>
      <c r="AB522" s="289"/>
      <c r="AC522" s="289"/>
      <c r="AD522" s="295"/>
    </row>
    <row r="523" spans="18:30" ht="32.25" customHeight="1">
      <c r="R523" s="289"/>
      <c r="S523" s="289"/>
      <c r="T523" s="289"/>
      <c r="U523" s="289"/>
      <c r="V523" s="289"/>
      <c r="W523" s="289"/>
      <c r="X523" s="289"/>
      <c r="Y523" s="289"/>
      <c r="Z523" s="289"/>
      <c r="AA523" s="289"/>
      <c r="AB523" s="289"/>
      <c r="AC523" s="289"/>
      <c r="AD523" s="295"/>
    </row>
    <row r="524" spans="18:30" ht="32.25" customHeight="1">
      <c r="R524" s="289"/>
      <c r="S524" s="289"/>
      <c r="T524" s="289"/>
      <c r="U524" s="289"/>
      <c r="V524" s="289"/>
      <c r="W524" s="289"/>
      <c r="X524" s="289"/>
      <c r="Y524" s="289"/>
      <c r="Z524" s="289"/>
      <c r="AA524" s="289"/>
      <c r="AB524" s="289"/>
      <c r="AC524" s="289"/>
      <c r="AD524" s="295"/>
    </row>
    <row r="525" spans="18:30" ht="32.25" customHeight="1">
      <c r="R525" s="289"/>
      <c r="S525" s="289"/>
      <c r="T525" s="289"/>
      <c r="U525" s="289"/>
      <c r="V525" s="289"/>
      <c r="W525" s="289"/>
      <c r="X525" s="289"/>
      <c r="Y525" s="289"/>
      <c r="Z525" s="289"/>
      <c r="AA525" s="289"/>
      <c r="AB525" s="289"/>
      <c r="AC525" s="289"/>
      <c r="AD525" s="295"/>
    </row>
    <row r="526" spans="18:30" ht="32.25" customHeight="1">
      <c r="R526" s="289"/>
      <c r="S526" s="289"/>
      <c r="T526" s="289"/>
      <c r="U526" s="289"/>
      <c r="V526" s="289"/>
      <c r="W526" s="289"/>
      <c r="X526" s="289"/>
      <c r="Y526" s="289"/>
      <c r="Z526" s="289"/>
      <c r="AA526" s="289"/>
      <c r="AB526" s="289"/>
      <c r="AC526" s="289"/>
      <c r="AD526" s="295"/>
    </row>
    <row r="527" spans="18:30" ht="32.25" customHeight="1">
      <c r="R527" s="289"/>
      <c r="S527" s="289"/>
      <c r="T527" s="289"/>
      <c r="U527" s="289"/>
      <c r="V527" s="289"/>
      <c r="W527" s="289"/>
      <c r="X527" s="289"/>
      <c r="Y527" s="289"/>
      <c r="Z527" s="289"/>
      <c r="AA527" s="289"/>
      <c r="AB527" s="289"/>
      <c r="AC527" s="289"/>
      <c r="AD527" s="295"/>
    </row>
    <row r="528" spans="18:30" ht="32.25" customHeight="1">
      <c r="R528" s="289"/>
      <c r="S528" s="289"/>
      <c r="T528" s="289"/>
      <c r="U528" s="289"/>
      <c r="V528" s="289"/>
      <c r="W528" s="289"/>
      <c r="X528" s="289"/>
      <c r="Y528" s="289"/>
      <c r="Z528" s="289"/>
      <c r="AA528" s="289"/>
      <c r="AB528" s="289"/>
      <c r="AC528" s="289"/>
      <c r="AD528" s="295"/>
    </row>
    <row r="529" spans="18:30" ht="32.25" customHeight="1">
      <c r="R529" s="289"/>
      <c r="S529" s="289"/>
      <c r="T529" s="289"/>
      <c r="U529" s="289"/>
      <c r="V529" s="289"/>
      <c r="W529" s="289"/>
      <c r="X529" s="289"/>
      <c r="Y529" s="289"/>
      <c r="Z529" s="289"/>
      <c r="AA529" s="289"/>
      <c r="AB529" s="289"/>
      <c r="AC529" s="289"/>
      <c r="AD529" s="295"/>
    </row>
    <row r="530" spans="18:30" ht="32.25" customHeight="1">
      <c r="R530" s="289"/>
      <c r="S530" s="289"/>
      <c r="T530" s="289"/>
      <c r="U530" s="289"/>
      <c r="V530" s="289"/>
      <c r="W530" s="289"/>
      <c r="X530" s="289"/>
      <c r="Y530" s="289"/>
      <c r="Z530" s="289"/>
      <c r="AA530" s="289"/>
      <c r="AB530" s="289"/>
      <c r="AC530" s="289"/>
      <c r="AD530" s="295"/>
    </row>
    <row r="531" spans="18:30" ht="32.25" customHeight="1">
      <c r="R531" s="289"/>
      <c r="S531" s="289"/>
      <c r="T531" s="289"/>
      <c r="U531" s="289"/>
      <c r="V531" s="289"/>
      <c r="W531" s="289"/>
      <c r="X531" s="289"/>
      <c r="Y531" s="289"/>
      <c r="Z531" s="289"/>
      <c r="AA531" s="289"/>
      <c r="AB531" s="289"/>
      <c r="AC531" s="289"/>
      <c r="AD531" s="295"/>
    </row>
    <row r="532" spans="18:30" ht="32.25" customHeight="1">
      <c r="R532" s="289"/>
      <c r="S532" s="289"/>
      <c r="T532" s="289"/>
      <c r="U532" s="289"/>
      <c r="V532" s="289"/>
      <c r="W532" s="289"/>
      <c r="X532" s="289"/>
      <c r="Y532" s="289"/>
      <c r="Z532" s="289"/>
      <c r="AA532" s="289"/>
      <c r="AB532" s="289"/>
      <c r="AC532" s="289"/>
      <c r="AD532" s="295"/>
    </row>
    <row r="533" spans="18:30" ht="32.25" customHeight="1">
      <c r="R533" s="289"/>
      <c r="S533" s="289"/>
      <c r="T533" s="289"/>
      <c r="U533" s="289"/>
      <c r="V533" s="289"/>
      <c r="W533" s="289"/>
      <c r="X533" s="289"/>
      <c r="Y533" s="289"/>
      <c r="Z533" s="289"/>
      <c r="AA533" s="289"/>
      <c r="AB533" s="289"/>
      <c r="AC533" s="289"/>
      <c r="AD533" s="295"/>
    </row>
    <row r="534" spans="18:30" ht="32.25" customHeight="1">
      <c r="R534" s="289"/>
      <c r="S534" s="289"/>
      <c r="T534" s="289"/>
      <c r="U534" s="289"/>
      <c r="V534" s="289"/>
      <c r="W534" s="289"/>
      <c r="X534" s="289"/>
      <c r="Y534" s="289"/>
      <c r="Z534" s="289"/>
      <c r="AA534" s="289"/>
      <c r="AB534" s="289"/>
      <c r="AC534" s="289"/>
      <c r="AD534" s="295"/>
    </row>
    <row r="535" spans="18:30" ht="32.25" customHeight="1">
      <c r="R535" s="289"/>
      <c r="S535" s="289"/>
      <c r="T535" s="289"/>
      <c r="U535" s="289"/>
      <c r="V535" s="289"/>
      <c r="W535" s="289"/>
      <c r="X535" s="289"/>
      <c r="Y535" s="289"/>
      <c r="Z535" s="289"/>
      <c r="AA535" s="289"/>
      <c r="AB535" s="289"/>
      <c r="AC535" s="289"/>
      <c r="AD535" s="295"/>
    </row>
    <row r="536" spans="18:30" ht="32.25" customHeight="1">
      <c r="R536" s="289"/>
      <c r="S536" s="289"/>
      <c r="T536" s="289"/>
      <c r="U536" s="289"/>
      <c r="V536" s="289"/>
      <c r="W536" s="289"/>
      <c r="X536" s="289"/>
      <c r="Y536" s="289"/>
      <c r="Z536" s="289"/>
      <c r="AA536" s="289"/>
      <c r="AB536" s="289"/>
      <c r="AC536" s="289"/>
      <c r="AD536" s="295"/>
    </row>
    <row r="537" spans="18:30" ht="32.25" customHeight="1">
      <c r="R537" s="289"/>
      <c r="S537" s="289"/>
      <c r="T537" s="289"/>
      <c r="U537" s="289"/>
      <c r="V537" s="289"/>
      <c r="W537" s="289"/>
      <c r="X537" s="289"/>
      <c r="Y537" s="289"/>
      <c r="Z537" s="289"/>
      <c r="AA537" s="289"/>
      <c r="AB537" s="289"/>
      <c r="AC537" s="289"/>
      <c r="AD537" s="295"/>
    </row>
    <row r="538" spans="18:30" ht="32.25" customHeight="1">
      <c r="R538" s="289"/>
      <c r="S538" s="289"/>
      <c r="T538" s="289"/>
      <c r="U538" s="289"/>
      <c r="V538" s="289"/>
      <c r="W538" s="289"/>
      <c r="X538" s="289"/>
      <c r="Y538" s="289"/>
      <c r="Z538" s="289"/>
      <c r="AA538" s="289"/>
      <c r="AB538" s="289"/>
      <c r="AC538" s="289"/>
      <c r="AD538" s="295"/>
    </row>
    <row r="539" spans="18:30" ht="32.25" customHeight="1">
      <c r="R539" s="289"/>
      <c r="S539" s="289"/>
      <c r="T539" s="289"/>
      <c r="U539" s="289"/>
      <c r="V539" s="289"/>
      <c r="W539" s="289"/>
      <c r="X539" s="289"/>
      <c r="Y539" s="289"/>
      <c r="Z539" s="289"/>
      <c r="AA539" s="289"/>
      <c r="AB539" s="289"/>
      <c r="AC539" s="289"/>
      <c r="AD539" s="295"/>
    </row>
    <row r="540" spans="18:30" ht="32.25" customHeight="1">
      <c r="R540" s="289"/>
      <c r="S540" s="289"/>
      <c r="T540" s="289"/>
      <c r="U540" s="289"/>
      <c r="V540" s="289"/>
      <c r="W540" s="289"/>
      <c r="X540" s="289"/>
      <c r="Y540" s="289"/>
      <c r="Z540" s="289"/>
      <c r="AA540" s="289"/>
      <c r="AB540" s="289"/>
      <c r="AC540" s="289"/>
      <c r="AD540" s="295"/>
    </row>
    <row r="541" spans="18:30" ht="32.25" customHeight="1">
      <c r="R541" s="289"/>
      <c r="S541" s="289"/>
      <c r="T541" s="289"/>
      <c r="U541" s="289"/>
      <c r="V541" s="289"/>
      <c r="W541" s="289"/>
      <c r="X541" s="289"/>
      <c r="Y541" s="289"/>
      <c r="Z541" s="289"/>
      <c r="AA541" s="289"/>
      <c r="AB541" s="289"/>
      <c r="AC541" s="289"/>
      <c r="AD541" s="295"/>
    </row>
    <row r="542" spans="18:30" ht="32.25" customHeight="1">
      <c r="R542" s="289"/>
      <c r="S542" s="289"/>
      <c r="T542" s="289"/>
      <c r="U542" s="289"/>
      <c r="V542" s="289"/>
      <c r="W542" s="289"/>
      <c r="X542" s="289"/>
      <c r="Y542" s="289"/>
      <c r="Z542" s="289"/>
      <c r="AA542" s="289"/>
      <c r="AB542" s="289"/>
      <c r="AC542" s="289"/>
      <c r="AD542" s="295"/>
    </row>
    <row r="543" spans="18:30" ht="32.25" customHeight="1">
      <c r="R543" s="289"/>
      <c r="S543" s="289"/>
      <c r="T543" s="289"/>
      <c r="U543" s="289"/>
      <c r="V543" s="289"/>
      <c r="W543" s="289"/>
      <c r="X543" s="289"/>
      <c r="Y543" s="289"/>
      <c r="Z543" s="289"/>
      <c r="AA543" s="289"/>
      <c r="AB543" s="289"/>
      <c r="AC543" s="289"/>
      <c r="AD543" s="295"/>
    </row>
    <row r="544" spans="18:30" ht="32.25" customHeight="1">
      <c r="R544" s="289"/>
      <c r="S544" s="289"/>
      <c r="T544" s="289"/>
      <c r="U544" s="289"/>
      <c r="V544" s="289"/>
      <c r="W544" s="289"/>
      <c r="X544" s="289"/>
      <c r="Y544" s="289"/>
      <c r="Z544" s="289"/>
      <c r="AA544" s="289"/>
      <c r="AB544" s="289"/>
      <c r="AC544" s="289"/>
      <c r="AD544" s="295"/>
    </row>
    <row r="545" spans="18:30" ht="32.25" customHeight="1">
      <c r="R545" s="289"/>
      <c r="S545" s="289"/>
      <c r="T545" s="289"/>
      <c r="U545" s="289"/>
      <c r="V545" s="289"/>
      <c r="W545" s="289"/>
      <c r="X545" s="289"/>
      <c r="Y545" s="289"/>
      <c r="Z545" s="289"/>
      <c r="AA545" s="289"/>
      <c r="AB545" s="289"/>
      <c r="AC545" s="289"/>
      <c r="AD545" s="295"/>
    </row>
    <row r="546" spans="18:30" ht="32.25" customHeight="1">
      <c r="R546" s="289"/>
      <c r="S546" s="289"/>
      <c r="T546" s="289"/>
      <c r="U546" s="289"/>
      <c r="V546" s="289"/>
      <c r="W546" s="289"/>
      <c r="X546" s="289"/>
      <c r="Y546" s="289"/>
      <c r="Z546" s="289"/>
      <c r="AA546" s="289"/>
      <c r="AB546" s="289"/>
      <c r="AC546" s="289"/>
      <c r="AD546" s="295"/>
    </row>
    <row r="547" spans="18:30" ht="32.25" customHeight="1">
      <c r="R547" s="289"/>
      <c r="S547" s="289"/>
      <c r="T547" s="289"/>
      <c r="U547" s="289"/>
      <c r="V547" s="289"/>
      <c r="W547" s="289"/>
      <c r="X547" s="289"/>
      <c r="Y547" s="289"/>
      <c r="Z547" s="289"/>
      <c r="AA547" s="289"/>
      <c r="AB547" s="289"/>
      <c r="AC547" s="289"/>
      <c r="AD547" s="295"/>
    </row>
    <row r="548" spans="18:30" ht="32.25" customHeight="1">
      <c r="R548" s="289"/>
      <c r="S548" s="289"/>
      <c r="T548" s="289"/>
      <c r="U548" s="289"/>
      <c r="V548" s="289"/>
      <c r="W548" s="289"/>
      <c r="X548" s="289"/>
      <c r="Y548" s="289"/>
      <c r="Z548" s="289"/>
      <c r="AA548" s="289"/>
      <c r="AB548" s="289"/>
      <c r="AC548" s="289"/>
      <c r="AD548" s="295"/>
    </row>
    <row r="549" spans="18:30" ht="32.25" customHeight="1">
      <c r="R549" s="289"/>
      <c r="S549" s="289"/>
      <c r="T549" s="289"/>
      <c r="U549" s="289"/>
      <c r="V549" s="289"/>
      <c r="W549" s="289"/>
      <c r="X549" s="289"/>
      <c r="Y549" s="289"/>
      <c r="Z549" s="289"/>
      <c r="AA549" s="289"/>
      <c r="AB549" s="289"/>
      <c r="AC549" s="289"/>
      <c r="AD549" s="295"/>
    </row>
    <row r="550" spans="18:30" ht="32.25" customHeight="1">
      <c r="R550" s="289"/>
      <c r="S550" s="289"/>
      <c r="T550" s="289"/>
      <c r="U550" s="289"/>
      <c r="V550" s="289"/>
      <c r="W550" s="289"/>
      <c r="X550" s="289"/>
      <c r="Y550" s="289"/>
      <c r="Z550" s="289"/>
      <c r="AA550" s="289"/>
      <c r="AB550" s="289"/>
      <c r="AC550" s="289"/>
      <c r="AD550" s="295"/>
    </row>
    <row r="551" spans="18:30" ht="32.25" customHeight="1">
      <c r="R551" s="289"/>
      <c r="S551" s="289"/>
      <c r="T551" s="289"/>
      <c r="U551" s="289"/>
      <c r="V551" s="289"/>
      <c r="W551" s="289"/>
      <c r="X551" s="289"/>
      <c r="Y551" s="289"/>
      <c r="Z551" s="289"/>
      <c r="AA551" s="289"/>
      <c r="AB551" s="289"/>
      <c r="AC551" s="289"/>
      <c r="AD551" s="295"/>
    </row>
    <row r="552" spans="18:30" ht="32.25" customHeight="1">
      <c r="R552" s="289"/>
      <c r="S552" s="289"/>
      <c r="T552" s="289"/>
      <c r="U552" s="289"/>
      <c r="V552" s="289"/>
      <c r="W552" s="289"/>
      <c r="X552" s="289"/>
      <c r="Y552" s="289"/>
      <c r="Z552" s="289"/>
      <c r="AA552" s="289"/>
      <c r="AB552" s="289"/>
      <c r="AC552" s="289"/>
      <c r="AD552" s="295"/>
    </row>
    <row r="553" spans="18:30" ht="32.25" customHeight="1">
      <c r="R553" s="289"/>
      <c r="S553" s="289"/>
      <c r="T553" s="289"/>
      <c r="U553" s="289"/>
      <c r="V553" s="289"/>
      <c r="W553" s="289"/>
      <c r="X553" s="289"/>
      <c r="Y553" s="289"/>
      <c r="Z553" s="289"/>
      <c r="AA553" s="289"/>
      <c r="AB553" s="289"/>
      <c r="AC553" s="289"/>
      <c r="AD553" s="295"/>
    </row>
    <row r="554" spans="18:30" ht="32.25" customHeight="1">
      <c r="R554" s="289"/>
      <c r="S554" s="289"/>
      <c r="T554" s="289"/>
      <c r="U554" s="289"/>
      <c r="V554" s="289"/>
      <c r="W554" s="289"/>
      <c r="X554" s="289"/>
      <c r="Y554" s="289"/>
      <c r="Z554" s="289"/>
      <c r="AA554" s="289"/>
      <c r="AB554" s="289"/>
      <c r="AC554" s="289"/>
      <c r="AD554" s="295"/>
    </row>
    <row r="555" spans="18:30" ht="32.25" customHeight="1">
      <c r="R555" s="289"/>
      <c r="S555" s="289"/>
      <c r="T555" s="289"/>
      <c r="U555" s="289"/>
      <c r="V555" s="289"/>
      <c r="W555" s="289"/>
      <c r="X555" s="289"/>
      <c r="Y555" s="289"/>
      <c r="Z555" s="289"/>
      <c r="AA555" s="289"/>
      <c r="AB555" s="289"/>
      <c r="AC555" s="289"/>
      <c r="AD555" s="295"/>
    </row>
    <row r="556" spans="18:30" ht="32.25" customHeight="1">
      <c r="R556" s="289"/>
      <c r="S556" s="289"/>
      <c r="T556" s="289"/>
      <c r="U556" s="289"/>
      <c r="V556" s="289"/>
      <c r="W556" s="289"/>
      <c r="X556" s="289"/>
      <c r="Y556" s="289"/>
      <c r="Z556" s="289"/>
      <c r="AA556" s="289"/>
      <c r="AB556" s="289"/>
      <c r="AC556" s="289"/>
      <c r="AD556" s="295"/>
    </row>
    <row r="557" spans="18:30" ht="32.25" customHeight="1">
      <c r="R557" s="289"/>
      <c r="S557" s="289"/>
      <c r="T557" s="289"/>
      <c r="U557" s="289"/>
      <c r="V557" s="289"/>
      <c r="W557" s="289"/>
      <c r="X557" s="289"/>
      <c r="Y557" s="289"/>
      <c r="Z557" s="289"/>
      <c r="AA557" s="289"/>
      <c r="AB557" s="289"/>
      <c r="AC557" s="289"/>
      <c r="AD557" s="295"/>
    </row>
    <row r="558" spans="18:30" ht="32.25" customHeight="1">
      <c r="R558" s="289"/>
      <c r="S558" s="289"/>
      <c r="T558" s="289"/>
      <c r="U558" s="289"/>
      <c r="V558" s="289"/>
      <c r="W558" s="289"/>
      <c r="X558" s="289"/>
      <c r="Y558" s="289"/>
      <c r="Z558" s="289"/>
      <c r="AA558" s="289"/>
      <c r="AB558" s="289"/>
      <c r="AC558" s="289"/>
      <c r="AD558" s="295"/>
    </row>
    <row r="559" spans="18:30" ht="32.25" customHeight="1">
      <c r="R559" s="289"/>
      <c r="S559" s="289"/>
      <c r="T559" s="289"/>
      <c r="U559" s="289"/>
      <c r="V559" s="289"/>
      <c r="W559" s="289"/>
      <c r="X559" s="289"/>
      <c r="Y559" s="289"/>
      <c r="Z559" s="289"/>
      <c r="AA559" s="289"/>
      <c r="AB559" s="289"/>
      <c r="AC559" s="289"/>
      <c r="AD559" s="295"/>
    </row>
    <row r="560" spans="18:30" ht="32.25" customHeight="1">
      <c r="R560" s="289"/>
      <c r="S560" s="289"/>
      <c r="T560" s="289"/>
      <c r="U560" s="289"/>
      <c r="V560" s="289"/>
      <c r="W560" s="289"/>
      <c r="X560" s="289"/>
      <c r="Y560" s="289"/>
      <c r="Z560" s="289"/>
      <c r="AA560" s="289"/>
      <c r="AB560" s="289"/>
      <c r="AC560" s="289"/>
      <c r="AD560" s="295"/>
    </row>
    <row r="561" spans="18:30" ht="32.25" customHeight="1">
      <c r="R561" s="289"/>
      <c r="S561" s="289"/>
      <c r="T561" s="289"/>
      <c r="U561" s="289"/>
      <c r="V561" s="289"/>
      <c r="W561" s="289"/>
      <c r="X561" s="289"/>
      <c r="Y561" s="289"/>
      <c r="Z561" s="289"/>
      <c r="AA561" s="289"/>
      <c r="AB561" s="289"/>
      <c r="AC561" s="289"/>
      <c r="AD561" s="295"/>
    </row>
    <row r="562" spans="18:30" ht="32.25" customHeight="1">
      <c r="R562" s="289"/>
      <c r="S562" s="289"/>
      <c r="T562" s="289"/>
      <c r="U562" s="289"/>
      <c r="V562" s="289"/>
      <c r="W562" s="289"/>
      <c r="X562" s="289"/>
      <c r="Y562" s="289"/>
      <c r="Z562" s="289"/>
      <c r="AA562" s="289"/>
      <c r="AB562" s="289"/>
      <c r="AC562" s="289"/>
      <c r="AD562" s="295"/>
    </row>
    <row r="563" spans="18:30" ht="32.25" customHeight="1">
      <c r="R563" s="289"/>
      <c r="S563" s="289"/>
      <c r="T563" s="289"/>
      <c r="U563" s="289"/>
      <c r="V563" s="289"/>
      <c r="W563" s="289"/>
      <c r="X563" s="289"/>
      <c r="Y563" s="289"/>
      <c r="Z563" s="289"/>
      <c r="AA563" s="289"/>
      <c r="AB563" s="289"/>
      <c r="AC563" s="289"/>
      <c r="AD563" s="295"/>
    </row>
    <row r="564" spans="18:30" ht="32.25" customHeight="1">
      <c r="R564" s="289"/>
      <c r="S564" s="289"/>
      <c r="T564" s="289"/>
      <c r="U564" s="289"/>
      <c r="V564" s="289"/>
      <c r="W564" s="289"/>
      <c r="X564" s="289"/>
      <c r="Y564" s="289"/>
      <c r="Z564" s="289"/>
      <c r="AA564" s="289"/>
      <c r="AB564" s="289"/>
      <c r="AC564" s="289"/>
      <c r="AD564" s="295"/>
    </row>
    <row r="565" spans="18:30" ht="32.25" customHeight="1">
      <c r="R565" s="289"/>
      <c r="S565" s="289"/>
      <c r="T565" s="289"/>
      <c r="U565" s="289"/>
      <c r="V565" s="289"/>
      <c r="W565" s="289"/>
      <c r="X565" s="289"/>
      <c r="Y565" s="289"/>
      <c r="Z565" s="289"/>
      <c r="AA565" s="289"/>
      <c r="AB565" s="289"/>
      <c r="AC565" s="289"/>
      <c r="AD565" s="295"/>
    </row>
    <row r="566" spans="18:30" ht="32.25" customHeight="1">
      <c r="R566" s="289"/>
      <c r="S566" s="289"/>
      <c r="T566" s="289"/>
      <c r="U566" s="289"/>
      <c r="V566" s="289"/>
      <c r="W566" s="289"/>
      <c r="X566" s="289"/>
      <c r="Y566" s="289"/>
      <c r="Z566" s="289"/>
      <c r="AA566" s="289"/>
      <c r="AB566" s="289"/>
      <c r="AC566" s="289"/>
      <c r="AD566" s="295"/>
    </row>
    <row r="567" spans="18:30" ht="32.25" customHeight="1">
      <c r="R567" s="289"/>
      <c r="S567" s="289"/>
      <c r="T567" s="289"/>
      <c r="U567" s="289"/>
      <c r="V567" s="289"/>
      <c r="W567" s="289"/>
      <c r="X567" s="289"/>
      <c r="Y567" s="289"/>
      <c r="Z567" s="289"/>
      <c r="AA567" s="289"/>
      <c r="AB567" s="289"/>
      <c r="AC567" s="289"/>
      <c r="AD567" s="295"/>
    </row>
    <row r="568" spans="18:30" ht="32.25" customHeight="1">
      <c r="R568" s="289"/>
      <c r="S568" s="289"/>
      <c r="T568" s="289"/>
      <c r="U568" s="289"/>
      <c r="V568" s="289"/>
      <c r="W568" s="289"/>
      <c r="X568" s="289"/>
      <c r="Y568" s="289"/>
      <c r="Z568" s="289"/>
      <c r="AA568" s="289"/>
      <c r="AB568" s="289"/>
      <c r="AC568" s="289"/>
      <c r="AD568" s="295"/>
    </row>
    <row r="569" spans="18:30" ht="32.25" customHeight="1">
      <c r="R569" s="289"/>
      <c r="S569" s="289"/>
      <c r="T569" s="289"/>
      <c r="U569" s="289"/>
      <c r="V569" s="289"/>
      <c r="W569" s="289"/>
      <c r="X569" s="289"/>
      <c r="Y569" s="289"/>
      <c r="Z569" s="289"/>
      <c r="AA569" s="289"/>
      <c r="AB569" s="289"/>
      <c r="AC569" s="289"/>
      <c r="AD569" s="295"/>
    </row>
    <row r="570" spans="18:30" ht="32.25" customHeight="1">
      <c r="R570" s="289"/>
      <c r="S570" s="289"/>
      <c r="T570" s="289"/>
      <c r="U570" s="289"/>
      <c r="V570" s="289"/>
      <c r="W570" s="289"/>
      <c r="X570" s="289"/>
      <c r="Y570" s="289"/>
      <c r="Z570" s="289"/>
      <c r="AA570" s="289"/>
      <c r="AB570" s="289"/>
      <c r="AC570" s="289"/>
      <c r="AD570" s="295"/>
    </row>
    <row r="571" spans="18:30" ht="32.25" customHeight="1">
      <c r="R571" s="289"/>
      <c r="S571" s="289"/>
      <c r="T571" s="289"/>
      <c r="U571" s="289"/>
      <c r="V571" s="289"/>
      <c r="W571" s="289"/>
      <c r="X571" s="289"/>
      <c r="Y571" s="289"/>
      <c r="Z571" s="289"/>
      <c r="AA571" s="289"/>
      <c r="AB571" s="289"/>
      <c r="AC571" s="289"/>
      <c r="AD571" s="295"/>
    </row>
    <row r="572" spans="18:30" ht="32.25" customHeight="1">
      <c r="R572" s="289"/>
      <c r="S572" s="289"/>
      <c r="T572" s="289"/>
      <c r="U572" s="289"/>
      <c r="V572" s="289"/>
      <c r="W572" s="289"/>
      <c r="X572" s="289"/>
      <c r="Y572" s="289"/>
      <c r="Z572" s="289"/>
      <c r="AA572" s="289"/>
      <c r="AB572" s="289"/>
      <c r="AC572" s="289"/>
      <c r="AD572" s="295"/>
    </row>
    <row r="573" spans="18:30" ht="32.25" customHeight="1">
      <c r="R573" s="289"/>
      <c r="S573" s="289"/>
      <c r="T573" s="289"/>
      <c r="U573" s="289"/>
      <c r="V573" s="289"/>
      <c r="W573" s="289"/>
      <c r="X573" s="289"/>
      <c r="Y573" s="289"/>
      <c r="Z573" s="289"/>
      <c r="AA573" s="289"/>
      <c r="AB573" s="289"/>
      <c r="AC573" s="289"/>
      <c r="AD573" s="295"/>
    </row>
    <row r="574" spans="18:30" ht="32.25" customHeight="1">
      <c r="R574" s="289"/>
      <c r="S574" s="289"/>
      <c r="T574" s="289"/>
      <c r="U574" s="289"/>
      <c r="V574" s="289"/>
      <c r="W574" s="289"/>
      <c r="X574" s="289"/>
      <c r="Y574" s="289"/>
      <c r="Z574" s="289"/>
      <c r="AA574" s="289"/>
      <c r="AB574" s="289"/>
      <c r="AC574" s="289"/>
      <c r="AD574" s="295"/>
    </row>
    <row r="575" spans="18:30" ht="32.25" customHeight="1">
      <c r="R575" s="289"/>
      <c r="S575" s="289"/>
      <c r="T575" s="289"/>
      <c r="U575" s="289"/>
      <c r="V575" s="289"/>
      <c r="W575" s="289"/>
      <c r="X575" s="289"/>
      <c r="Y575" s="289"/>
      <c r="Z575" s="289"/>
      <c r="AA575" s="289"/>
      <c r="AB575" s="289"/>
      <c r="AC575" s="289"/>
      <c r="AD575" s="295"/>
    </row>
    <row r="576" spans="18:30" ht="32.25" customHeight="1">
      <c r="R576" s="289"/>
      <c r="S576" s="289"/>
      <c r="T576" s="289"/>
      <c r="U576" s="289"/>
      <c r="V576" s="289"/>
      <c r="W576" s="289"/>
      <c r="X576" s="289"/>
      <c r="Y576" s="289"/>
      <c r="Z576" s="289"/>
      <c r="AA576" s="289"/>
      <c r="AB576" s="289"/>
      <c r="AC576" s="289"/>
      <c r="AD576" s="295"/>
    </row>
    <row r="577" spans="18:30" ht="32.25" customHeight="1">
      <c r="R577" s="289"/>
      <c r="S577" s="289"/>
      <c r="T577" s="289"/>
      <c r="U577" s="289"/>
      <c r="V577" s="289"/>
      <c r="W577" s="289"/>
      <c r="X577" s="289"/>
      <c r="Y577" s="289"/>
      <c r="Z577" s="289"/>
      <c r="AA577" s="289"/>
      <c r="AB577" s="289"/>
      <c r="AC577" s="289"/>
      <c r="AD577" s="295"/>
    </row>
    <row r="578" spans="18:30" ht="32.25" customHeight="1">
      <c r="R578" s="289"/>
      <c r="S578" s="289"/>
      <c r="T578" s="289"/>
      <c r="U578" s="289"/>
      <c r="V578" s="289"/>
      <c r="W578" s="289"/>
      <c r="X578" s="289"/>
      <c r="Y578" s="289"/>
      <c r="Z578" s="289"/>
      <c r="AA578" s="289"/>
      <c r="AB578" s="289"/>
      <c r="AC578" s="289"/>
      <c r="AD578" s="295"/>
    </row>
    <row r="579" spans="18:30" ht="32.25" customHeight="1">
      <c r="R579" s="289"/>
      <c r="S579" s="289"/>
      <c r="T579" s="289"/>
      <c r="U579" s="289"/>
      <c r="V579" s="289"/>
      <c r="W579" s="289"/>
      <c r="X579" s="289"/>
      <c r="Y579" s="289"/>
      <c r="Z579" s="289"/>
      <c r="AA579" s="289"/>
      <c r="AB579" s="289"/>
      <c r="AC579" s="289"/>
      <c r="AD579" s="295"/>
    </row>
    <row r="580" spans="18:30" ht="32.25" customHeight="1">
      <c r="R580" s="289"/>
      <c r="S580" s="289"/>
      <c r="T580" s="289"/>
      <c r="U580" s="289"/>
      <c r="V580" s="289"/>
      <c r="W580" s="289"/>
      <c r="X580" s="289"/>
      <c r="Y580" s="289"/>
      <c r="Z580" s="289"/>
      <c r="AA580" s="289"/>
      <c r="AB580" s="289"/>
      <c r="AC580" s="289"/>
      <c r="AD580" s="295"/>
    </row>
    <row r="581" spans="18:30" ht="32.25" customHeight="1">
      <c r="R581" s="289"/>
      <c r="S581" s="289"/>
      <c r="T581" s="289"/>
      <c r="U581" s="289"/>
      <c r="V581" s="289"/>
      <c r="W581" s="289"/>
      <c r="X581" s="289"/>
      <c r="Y581" s="289"/>
      <c r="Z581" s="289"/>
      <c r="AA581" s="289"/>
      <c r="AB581" s="289"/>
      <c r="AC581" s="289"/>
      <c r="AD581" s="295"/>
    </row>
    <row r="582" spans="18:30" ht="32.25" customHeight="1">
      <c r="R582" s="289"/>
      <c r="S582" s="289"/>
      <c r="T582" s="289"/>
      <c r="U582" s="289"/>
      <c r="V582" s="289"/>
      <c r="W582" s="289"/>
      <c r="X582" s="289"/>
      <c r="Y582" s="289"/>
      <c r="Z582" s="289"/>
      <c r="AA582" s="289"/>
      <c r="AB582" s="289"/>
      <c r="AC582" s="289"/>
      <c r="AD582" s="295"/>
    </row>
    <row r="583" spans="18:30" ht="32.25" customHeight="1">
      <c r="R583" s="289"/>
      <c r="S583" s="289"/>
      <c r="T583" s="289"/>
      <c r="U583" s="289"/>
      <c r="V583" s="289"/>
      <c r="W583" s="289"/>
      <c r="X583" s="289"/>
      <c r="Y583" s="289"/>
      <c r="Z583" s="289"/>
      <c r="AA583" s="289"/>
      <c r="AB583" s="289"/>
      <c r="AC583" s="289"/>
      <c r="AD583" s="295"/>
    </row>
    <row r="584" spans="18:30" ht="32.25" customHeight="1">
      <c r="R584" s="289"/>
      <c r="S584" s="289"/>
      <c r="T584" s="289"/>
      <c r="U584" s="289"/>
      <c r="V584" s="289"/>
      <c r="W584" s="289"/>
      <c r="X584" s="289"/>
      <c r="Y584" s="289"/>
      <c r="Z584" s="289"/>
      <c r="AA584" s="289"/>
      <c r="AB584" s="289"/>
      <c r="AC584" s="289"/>
      <c r="AD584" s="295"/>
    </row>
    <row r="585" spans="18:30" ht="32.25" customHeight="1">
      <c r="R585" s="289"/>
      <c r="S585" s="289"/>
      <c r="T585" s="289"/>
      <c r="U585" s="289"/>
      <c r="V585" s="289"/>
      <c r="W585" s="289"/>
      <c r="X585" s="289"/>
      <c r="Y585" s="289"/>
      <c r="Z585" s="289"/>
      <c r="AA585" s="289"/>
      <c r="AB585" s="289"/>
      <c r="AC585" s="289"/>
      <c r="AD585" s="295"/>
    </row>
    <row r="586" spans="18:30" ht="32.25" customHeight="1">
      <c r="R586" s="289"/>
      <c r="S586" s="289"/>
      <c r="T586" s="289"/>
      <c r="U586" s="289"/>
      <c r="V586" s="289"/>
      <c r="W586" s="289"/>
      <c r="X586" s="289"/>
      <c r="Y586" s="289"/>
      <c r="Z586" s="289"/>
      <c r="AA586" s="289"/>
      <c r="AB586" s="289"/>
      <c r="AC586" s="289"/>
      <c r="AD586" s="295"/>
    </row>
    <row r="587" spans="18:30" ht="32.25" customHeight="1">
      <c r="R587" s="289"/>
      <c r="S587" s="289"/>
      <c r="T587" s="289"/>
      <c r="U587" s="289"/>
      <c r="V587" s="289"/>
      <c r="W587" s="289"/>
      <c r="X587" s="289"/>
      <c r="Y587" s="289"/>
      <c r="Z587" s="289"/>
      <c r="AA587" s="289"/>
      <c r="AB587" s="289"/>
      <c r="AC587" s="289"/>
      <c r="AD587" s="295"/>
    </row>
    <row r="588" spans="18:30" ht="32.25" customHeight="1">
      <c r="R588" s="289"/>
      <c r="S588" s="289"/>
      <c r="T588" s="289"/>
      <c r="U588" s="289"/>
      <c r="V588" s="289"/>
      <c r="W588" s="289"/>
      <c r="X588" s="289"/>
      <c r="Y588" s="289"/>
      <c r="Z588" s="289"/>
      <c r="AA588" s="289"/>
      <c r="AB588" s="289"/>
      <c r="AC588" s="289"/>
      <c r="AD588" s="295"/>
    </row>
    <row r="589" spans="18:30" ht="32.25" customHeight="1">
      <c r="R589" s="289"/>
      <c r="S589" s="289"/>
      <c r="T589" s="289"/>
      <c r="U589" s="289"/>
      <c r="V589" s="289"/>
      <c r="W589" s="289"/>
      <c r="X589" s="289"/>
      <c r="Y589" s="289"/>
      <c r="Z589" s="289"/>
      <c r="AA589" s="289"/>
      <c r="AB589" s="289"/>
      <c r="AC589" s="289"/>
      <c r="AD589" s="295"/>
    </row>
    <row r="590" spans="18:30" ht="32.25" customHeight="1">
      <c r="R590" s="289"/>
      <c r="S590" s="289"/>
      <c r="T590" s="289"/>
      <c r="U590" s="289"/>
      <c r="V590" s="289"/>
      <c r="W590" s="289"/>
      <c r="X590" s="289"/>
      <c r="Y590" s="289"/>
      <c r="Z590" s="289"/>
      <c r="AA590" s="289"/>
      <c r="AB590" s="289"/>
      <c r="AC590" s="289"/>
      <c r="AD590" s="295"/>
    </row>
    <row r="591" spans="18:30" ht="32.25" customHeight="1">
      <c r="R591" s="289"/>
      <c r="S591" s="289"/>
      <c r="T591" s="289"/>
      <c r="U591" s="289"/>
      <c r="V591" s="289"/>
      <c r="W591" s="289"/>
      <c r="X591" s="289"/>
      <c r="Y591" s="289"/>
      <c r="Z591" s="289"/>
      <c r="AA591" s="289"/>
      <c r="AB591" s="289"/>
      <c r="AC591" s="289"/>
      <c r="AD591" s="295"/>
    </row>
    <row r="592" spans="18:30" ht="32.25" customHeight="1">
      <c r="R592" s="289"/>
      <c r="S592" s="289"/>
      <c r="T592" s="289"/>
      <c r="U592" s="289"/>
      <c r="V592" s="289"/>
      <c r="W592" s="289"/>
      <c r="X592" s="289"/>
      <c r="Y592" s="289"/>
      <c r="Z592" s="289"/>
      <c r="AA592" s="289"/>
      <c r="AB592" s="289"/>
      <c r="AC592" s="289"/>
      <c r="AD592" s="295"/>
    </row>
    <row r="593" spans="18:30" ht="32.25" customHeight="1">
      <c r="R593" s="289"/>
      <c r="S593" s="289"/>
      <c r="T593" s="289"/>
      <c r="U593" s="289"/>
      <c r="V593" s="289"/>
      <c r="W593" s="289"/>
      <c r="X593" s="289"/>
      <c r="Y593" s="289"/>
      <c r="Z593" s="289"/>
      <c r="AA593" s="289"/>
      <c r="AB593" s="289"/>
      <c r="AC593" s="289"/>
      <c r="AD593" s="295"/>
    </row>
    <row r="594" spans="18:30" ht="32.25" customHeight="1">
      <c r="R594" s="289"/>
      <c r="S594" s="289"/>
      <c r="T594" s="289"/>
      <c r="U594" s="289"/>
      <c r="V594" s="289"/>
      <c r="W594" s="289"/>
      <c r="X594" s="289"/>
      <c r="Y594" s="289"/>
      <c r="Z594" s="289"/>
      <c r="AA594" s="289"/>
      <c r="AB594" s="289"/>
      <c r="AC594" s="289"/>
      <c r="AD594" s="295"/>
    </row>
    <row r="595" spans="18:30" ht="32.25" customHeight="1">
      <c r="R595" s="289"/>
      <c r="S595" s="289"/>
      <c r="T595" s="289"/>
      <c r="U595" s="289"/>
      <c r="V595" s="289"/>
      <c r="W595" s="289"/>
      <c r="X595" s="289"/>
      <c r="Y595" s="289"/>
      <c r="Z595" s="289"/>
      <c r="AA595" s="289"/>
      <c r="AB595" s="289"/>
      <c r="AC595" s="289"/>
      <c r="AD595" s="295"/>
    </row>
    <row r="596" spans="18:30" ht="32.25" customHeight="1">
      <c r="R596" s="289"/>
      <c r="S596" s="289"/>
      <c r="T596" s="289"/>
      <c r="U596" s="289"/>
      <c r="V596" s="289"/>
      <c r="W596" s="289"/>
      <c r="X596" s="289"/>
      <c r="Y596" s="289"/>
      <c r="Z596" s="289"/>
      <c r="AA596" s="289"/>
      <c r="AB596" s="289"/>
      <c r="AC596" s="289"/>
      <c r="AD596" s="295"/>
    </row>
    <row r="597" spans="18:30" ht="32.25" customHeight="1">
      <c r="R597" s="289"/>
      <c r="S597" s="289"/>
      <c r="T597" s="289"/>
      <c r="U597" s="289"/>
      <c r="V597" s="289"/>
      <c r="W597" s="289"/>
      <c r="X597" s="289"/>
      <c r="Y597" s="289"/>
      <c r="Z597" s="289"/>
      <c r="AA597" s="289"/>
      <c r="AB597" s="289"/>
      <c r="AC597" s="289"/>
      <c r="AD597" s="295"/>
    </row>
    <row r="598" spans="18:30" ht="32.25" customHeight="1">
      <c r="R598" s="289"/>
      <c r="S598" s="289"/>
      <c r="T598" s="289"/>
      <c r="U598" s="289"/>
      <c r="V598" s="289"/>
      <c r="W598" s="289"/>
      <c r="X598" s="289"/>
      <c r="Y598" s="289"/>
      <c r="Z598" s="289"/>
      <c r="AA598" s="289"/>
      <c r="AB598" s="289"/>
      <c r="AC598" s="289"/>
      <c r="AD598" s="295"/>
    </row>
    <row r="599" spans="18:30" ht="32.25" customHeight="1">
      <c r="R599" s="289"/>
      <c r="S599" s="289"/>
      <c r="T599" s="289"/>
      <c r="U599" s="289"/>
      <c r="V599" s="289"/>
      <c r="W599" s="289"/>
      <c r="X599" s="289"/>
      <c r="Y599" s="289"/>
      <c r="Z599" s="289"/>
      <c r="AA599" s="289"/>
      <c r="AB599" s="289"/>
      <c r="AC599" s="289"/>
      <c r="AD599" s="295"/>
    </row>
    <row r="600" spans="18:30" ht="32.25" customHeight="1">
      <c r="R600" s="289"/>
      <c r="S600" s="289"/>
      <c r="T600" s="289"/>
      <c r="U600" s="289"/>
      <c r="V600" s="289"/>
      <c r="W600" s="289"/>
      <c r="X600" s="289"/>
      <c r="Y600" s="289"/>
      <c r="Z600" s="289"/>
      <c r="AA600" s="289"/>
      <c r="AB600" s="289"/>
      <c r="AC600" s="289"/>
      <c r="AD600" s="295"/>
    </row>
    <row r="601" spans="18:30" ht="32.25" customHeight="1">
      <c r="R601" s="289"/>
      <c r="S601" s="289"/>
      <c r="T601" s="289"/>
      <c r="U601" s="289"/>
      <c r="V601" s="289"/>
      <c r="W601" s="289"/>
      <c r="X601" s="289"/>
      <c r="Y601" s="289"/>
      <c r="Z601" s="289"/>
      <c r="AA601" s="289"/>
      <c r="AB601" s="289"/>
      <c r="AC601" s="289"/>
      <c r="AD601" s="295"/>
    </row>
    <row r="602" spans="18:30" ht="32.25" customHeight="1">
      <c r="R602" s="289"/>
      <c r="S602" s="289"/>
      <c r="T602" s="289"/>
      <c r="U602" s="289"/>
      <c r="V602" s="289"/>
      <c r="W602" s="289"/>
      <c r="X602" s="289"/>
      <c r="Y602" s="289"/>
      <c r="Z602" s="289"/>
      <c r="AA602" s="289"/>
      <c r="AB602" s="289"/>
      <c r="AC602" s="289"/>
      <c r="AD602" s="295"/>
    </row>
    <row r="603" spans="18:30" ht="32.25" customHeight="1">
      <c r="R603" s="289"/>
      <c r="S603" s="289"/>
      <c r="T603" s="289"/>
      <c r="U603" s="289"/>
      <c r="V603" s="289"/>
      <c r="W603" s="289"/>
      <c r="X603" s="289"/>
      <c r="Y603" s="289"/>
      <c r="Z603" s="289"/>
      <c r="AA603" s="289"/>
      <c r="AB603" s="289"/>
      <c r="AC603" s="289"/>
      <c r="AD603" s="295"/>
    </row>
    <row r="604" spans="18:30" ht="32.25" customHeight="1">
      <c r="R604" s="289"/>
      <c r="S604" s="289"/>
      <c r="T604" s="289"/>
      <c r="U604" s="289"/>
      <c r="V604" s="289"/>
      <c r="W604" s="289"/>
      <c r="X604" s="289"/>
      <c r="Y604" s="289"/>
      <c r="Z604" s="289"/>
      <c r="AA604" s="289"/>
      <c r="AB604" s="289"/>
      <c r="AC604" s="289"/>
      <c r="AD604" s="295"/>
    </row>
    <row r="605" spans="18:30" ht="32.25" customHeight="1">
      <c r="R605" s="289"/>
      <c r="S605" s="289"/>
      <c r="T605" s="289"/>
      <c r="U605" s="289"/>
      <c r="V605" s="289"/>
      <c r="W605" s="289"/>
      <c r="X605" s="289"/>
      <c r="Y605" s="289"/>
      <c r="Z605" s="289"/>
      <c r="AA605" s="289"/>
      <c r="AB605" s="289"/>
      <c r="AC605" s="289"/>
      <c r="AD605" s="295"/>
    </row>
    <row r="606" spans="18:30" ht="32.25" customHeight="1">
      <c r="R606" s="289"/>
      <c r="S606" s="289"/>
      <c r="T606" s="289"/>
      <c r="U606" s="289"/>
      <c r="V606" s="289"/>
      <c r="W606" s="289"/>
      <c r="X606" s="289"/>
      <c r="Y606" s="289"/>
      <c r="Z606" s="289"/>
      <c r="AA606" s="289"/>
      <c r="AB606" s="289"/>
      <c r="AC606" s="289"/>
      <c r="AD606" s="295"/>
    </row>
    <row r="607" spans="18:30" ht="32.25" customHeight="1">
      <c r="R607" s="289"/>
      <c r="S607" s="289"/>
      <c r="T607" s="289"/>
      <c r="U607" s="289"/>
      <c r="V607" s="289"/>
      <c r="W607" s="289"/>
      <c r="X607" s="289"/>
      <c r="Y607" s="289"/>
      <c r="Z607" s="289"/>
      <c r="AA607" s="289"/>
      <c r="AB607" s="289"/>
      <c r="AC607" s="289"/>
      <c r="AD607" s="295"/>
    </row>
    <row r="608" spans="18:30" ht="32.25" customHeight="1">
      <c r="R608" s="289"/>
      <c r="S608" s="289"/>
      <c r="T608" s="289"/>
      <c r="U608" s="289"/>
      <c r="V608" s="289"/>
      <c r="W608" s="289"/>
      <c r="X608" s="289"/>
      <c r="Y608" s="289"/>
      <c r="Z608" s="289"/>
      <c r="AA608" s="289"/>
      <c r="AB608" s="289"/>
      <c r="AC608" s="289"/>
      <c r="AD608" s="295"/>
    </row>
    <row r="609" spans="18:30" ht="32.25" customHeight="1">
      <c r="R609" s="289"/>
      <c r="S609" s="289"/>
      <c r="T609" s="289"/>
      <c r="U609" s="289"/>
      <c r="V609" s="289"/>
      <c r="W609" s="289"/>
      <c r="X609" s="289"/>
      <c r="Y609" s="289"/>
      <c r="Z609" s="289"/>
      <c r="AA609" s="289"/>
      <c r="AB609" s="289"/>
      <c r="AC609" s="289"/>
      <c r="AD609" s="295"/>
    </row>
    <row r="610" spans="18:30" ht="32.25" customHeight="1">
      <c r="R610" s="289"/>
      <c r="S610" s="289"/>
      <c r="T610" s="289"/>
      <c r="U610" s="289"/>
      <c r="V610" s="289"/>
      <c r="W610" s="289"/>
      <c r="X610" s="289"/>
      <c r="Y610" s="289"/>
      <c r="Z610" s="289"/>
      <c r="AA610" s="289"/>
      <c r="AB610" s="289"/>
      <c r="AC610" s="289"/>
      <c r="AD610" s="295"/>
    </row>
    <row r="611" spans="18:30" ht="32.25" customHeight="1">
      <c r="R611" s="289"/>
      <c r="S611" s="289"/>
      <c r="T611" s="289"/>
      <c r="U611" s="289"/>
      <c r="V611" s="289"/>
      <c r="W611" s="289"/>
      <c r="X611" s="289"/>
      <c r="Y611" s="289"/>
      <c r="Z611" s="289"/>
      <c r="AA611" s="289"/>
      <c r="AB611" s="289"/>
      <c r="AC611" s="289"/>
      <c r="AD611" s="295"/>
    </row>
    <row r="612" spans="18:30" ht="32.25" customHeight="1">
      <c r="R612" s="289"/>
      <c r="S612" s="289"/>
      <c r="T612" s="289"/>
      <c r="U612" s="289"/>
      <c r="V612" s="289"/>
      <c r="W612" s="289"/>
      <c r="X612" s="289"/>
      <c r="Y612" s="289"/>
      <c r="Z612" s="289"/>
      <c r="AA612" s="289"/>
      <c r="AB612" s="289"/>
      <c r="AC612" s="289"/>
      <c r="AD612" s="295"/>
    </row>
    <row r="613" spans="18:30" ht="32.25" customHeight="1">
      <c r="R613" s="289"/>
      <c r="S613" s="289"/>
      <c r="T613" s="289"/>
      <c r="U613" s="289"/>
      <c r="V613" s="289"/>
      <c r="W613" s="289"/>
      <c r="X613" s="289"/>
      <c r="Y613" s="289"/>
      <c r="Z613" s="289"/>
      <c r="AA613" s="289"/>
      <c r="AB613" s="289"/>
      <c r="AC613" s="289"/>
      <c r="AD613" s="295"/>
    </row>
    <row r="614" spans="18:30" ht="32.25" customHeight="1">
      <c r="R614" s="289"/>
      <c r="S614" s="289"/>
      <c r="T614" s="289"/>
      <c r="U614" s="289"/>
      <c r="V614" s="289"/>
      <c r="W614" s="289"/>
      <c r="X614" s="289"/>
      <c r="Y614" s="289"/>
      <c r="Z614" s="289"/>
      <c r="AA614" s="289"/>
      <c r="AB614" s="289"/>
      <c r="AC614" s="289"/>
      <c r="AD614" s="295"/>
    </row>
    <row r="615" spans="18:30" ht="32.25" customHeight="1">
      <c r="R615" s="289"/>
      <c r="S615" s="289"/>
      <c r="T615" s="289"/>
      <c r="U615" s="289"/>
      <c r="V615" s="289"/>
      <c r="W615" s="289"/>
      <c r="X615" s="289"/>
      <c r="Y615" s="289"/>
      <c r="Z615" s="289"/>
      <c r="AA615" s="289"/>
      <c r="AB615" s="289"/>
      <c r="AC615" s="289"/>
      <c r="AD615" s="295"/>
    </row>
    <row r="616" spans="18:30" ht="32.25" customHeight="1">
      <c r="R616" s="289"/>
      <c r="S616" s="289"/>
      <c r="T616" s="289"/>
      <c r="U616" s="289"/>
      <c r="V616" s="289"/>
      <c r="W616" s="289"/>
      <c r="X616" s="289"/>
      <c r="Y616" s="289"/>
      <c r="Z616" s="289"/>
      <c r="AA616" s="289"/>
      <c r="AB616" s="289"/>
      <c r="AC616" s="289"/>
      <c r="AD616" s="295"/>
    </row>
    <row r="617" spans="18:30" ht="32.25" customHeight="1">
      <c r="R617" s="289"/>
      <c r="S617" s="289"/>
      <c r="T617" s="289"/>
      <c r="U617" s="289"/>
      <c r="V617" s="289"/>
      <c r="W617" s="289"/>
      <c r="X617" s="289"/>
      <c r="Y617" s="289"/>
      <c r="Z617" s="289"/>
      <c r="AA617" s="289"/>
      <c r="AB617" s="289"/>
      <c r="AC617" s="289"/>
      <c r="AD617" s="295"/>
    </row>
    <row r="618" spans="18:30" ht="32.25" customHeight="1">
      <c r="R618" s="289"/>
      <c r="S618" s="289"/>
      <c r="T618" s="289"/>
      <c r="U618" s="289"/>
      <c r="V618" s="289"/>
      <c r="W618" s="289"/>
      <c r="X618" s="289"/>
      <c r="Y618" s="289"/>
      <c r="Z618" s="289"/>
      <c r="AA618" s="289"/>
      <c r="AB618" s="289"/>
      <c r="AC618" s="289"/>
      <c r="AD618" s="295"/>
    </row>
    <row r="619" spans="18:30" ht="32.25" customHeight="1">
      <c r="R619" s="289"/>
      <c r="S619" s="289"/>
      <c r="T619" s="289"/>
      <c r="U619" s="289"/>
      <c r="V619" s="289"/>
      <c r="W619" s="289"/>
      <c r="X619" s="289"/>
      <c r="Y619" s="289"/>
      <c r="Z619" s="289"/>
      <c r="AA619" s="289"/>
      <c r="AB619" s="289"/>
      <c r="AC619" s="289"/>
      <c r="AD619" s="295"/>
    </row>
    <row r="620" spans="18:30" ht="32.25" customHeight="1">
      <c r="R620" s="289"/>
      <c r="S620" s="289"/>
      <c r="T620" s="289"/>
      <c r="U620" s="289"/>
      <c r="V620" s="289"/>
      <c r="W620" s="289"/>
      <c r="X620" s="289"/>
      <c r="Y620" s="289"/>
      <c r="Z620" s="289"/>
      <c r="AA620" s="289"/>
      <c r="AB620" s="289"/>
      <c r="AC620" s="289"/>
      <c r="AD620" s="295"/>
    </row>
    <row r="621" spans="18:30" ht="32.25" customHeight="1">
      <c r="R621" s="289"/>
      <c r="S621" s="289"/>
      <c r="T621" s="289"/>
      <c r="U621" s="289"/>
      <c r="V621" s="289"/>
      <c r="W621" s="289"/>
      <c r="X621" s="289"/>
      <c r="Y621" s="289"/>
      <c r="Z621" s="289"/>
      <c r="AA621" s="289"/>
      <c r="AB621" s="289"/>
      <c r="AC621" s="289"/>
      <c r="AD621" s="295"/>
    </row>
    <row r="622" spans="18:30" ht="32.25" customHeight="1">
      <c r="R622" s="289"/>
      <c r="S622" s="289"/>
      <c r="T622" s="289"/>
      <c r="U622" s="289"/>
      <c r="V622" s="289"/>
      <c r="W622" s="289"/>
      <c r="X622" s="289"/>
      <c r="Y622" s="289"/>
      <c r="Z622" s="289"/>
      <c r="AA622" s="289"/>
      <c r="AB622" s="289"/>
      <c r="AC622" s="289"/>
      <c r="AD622" s="295"/>
    </row>
    <row r="623" spans="18:30" ht="32.25" customHeight="1">
      <c r="R623" s="289"/>
      <c r="S623" s="289"/>
      <c r="T623" s="289"/>
      <c r="U623" s="289"/>
      <c r="V623" s="289"/>
      <c r="W623" s="289"/>
      <c r="X623" s="289"/>
      <c r="Y623" s="289"/>
      <c r="Z623" s="289"/>
      <c r="AA623" s="289"/>
      <c r="AB623" s="289"/>
      <c r="AC623" s="289"/>
      <c r="AD623" s="295"/>
    </row>
    <row r="624" spans="18:30" ht="32.25" customHeight="1">
      <c r="R624" s="289"/>
      <c r="S624" s="289"/>
      <c r="T624" s="289"/>
      <c r="U624" s="289"/>
      <c r="V624" s="289"/>
      <c r="W624" s="289"/>
      <c r="X624" s="289"/>
      <c r="Y624" s="289"/>
      <c r="Z624" s="289"/>
      <c r="AA624" s="289"/>
      <c r="AB624" s="289"/>
      <c r="AC624" s="289"/>
      <c r="AD624" s="295"/>
    </row>
    <row r="625" spans="18:30" ht="32.25" customHeight="1">
      <c r="R625" s="289"/>
      <c r="S625" s="289"/>
      <c r="T625" s="289"/>
      <c r="U625" s="289"/>
      <c r="V625" s="289"/>
      <c r="W625" s="289"/>
      <c r="X625" s="289"/>
      <c r="Y625" s="289"/>
      <c r="Z625" s="289"/>
      <c r="AA625" s="289"/>
      <c r="AB625" s="289"/>
      <c r="AC625" s="289"/>
      <c r="AD625" s="295"/>
    </row>
    <row r="626" spans="18:30" ht="32.25" customHeight="1">
      <c r="R626" s="289"/>
      <c r="S626" s="289"/>
      <c r="T626" s="289"/>
      <c r="U626" s="289"/>
      <c r="V626" s="289"/>
      <c r="W626" s="289"/>
      <c r="X626" s="289"/>
      <c r="Y626" s="289"/>
      <c r="Z626" s="289"/>
      <c r="AA626" s="289"/>
      <c r="AB626" s="289"/>
      <c r="AC626" s="289"/>
      <c r="AD626" s="295"/>
    </row>
    <row r="627" spans="18:30" ht="32.25" customHeight="1">
      <c r="R627" s="289"/>
      <c r="S627" s="289"/>
      <c r="T627" s="289"/>
      <c r="U627" s="289"/>
      <c r="V627" s="289"/>
      <c r="W627" s="289"/>
      <c r="X627" s="289"/>
      <c r="Y627" s="289"/>
      <c r="Z627" s="289"/>
      <c r="AA627" s="289"/>
      <c r="AB627" s="289"/>
      <c r="AC627" s="289"/>
      <c r="AD627" s="295"/>
    </row>
    <row r="628" spans="18:30" ht="32.25" customHeight="1">
      <c r="R628" s="289"/>
      <c r="S628" s="289"/>
      <c r="T628" s="289"/>
      <c r="U628" s="289"/>
      <c r="V628" s="289"/>
      <c r="W628" s="289"/>
      <c r="X628" s="289"/>
      <c r="Y628" s="289"/>
      <c r="Z628" s="289"/>
      <c r="AA628" s="289"/>
      <c r="AB628" s="289"/>
      <c r="AC628" s="289"/>
      <c r="AD628" s="295"/>
    </row>
    <row r="629" spans="18:30" ht="32.25" customHeight="1">
      <c r="R629" s="289"/>
      <c r="S629" s="289"/>
      <c r="T629" s="289"/>
      <c r="U629" s="289"/>
      <c r="V629" s="289"/>
      <c r="W629" s="289"/>
      <c r="X629" s="289"/>
      <c r="Y629" s="289"/>
      <c r="Z629" s="289"/>
      <c r="AA629" s="289"/>
      <c r="AB629" s="289"/>
      <c r="AC629" s="289"/>
      <c r="AD629" s="295"/>
    </row>
    <row r="630" spans="18:30" ht="32.25" customHeight="1">
      <c r="R630" s="289"/>
      <c r="S630" s="289"/>
      <c r="T630" s="289"/>
      <c r="U630" s="289"/>
      <c r="V630" s="289"/>
      <c r="W630" s="289"/>
      <c r="X630" s="289"/>
      <c r="Y630" s="289"/>
      <c r="Z630" s="289"/>
      <c r="AA630" s="289"/>
      <c r="AB630" s="289"/>
      <c r="AC630" s="289"/>
      <c r="AD630" s="295"/>
    </row>
    <row r="631" spans="18:30" ht="32.25" customHeight="1">
      <c r="R631" s="289"/>
      <c r="S631" s="289"/>
      <c r="T631" s="289"/>
      <c r="U631" s="289"/>
      <c r="V631" s="289"/>
      <c r="W631" s="289"/>
      <c r="X631" s="289"/>
      <c r="Y631" s="289"/>
      <c r="Z631" s="289"/>
      <c r="AA631" s="289"/>
      <c r="AB631" s="289"/>
      <c r="AC631" s="289"/>
      <c r="AD631" s="295"/>
    </row>
    <row r="632" spans="18:30" ht="32.25" customHeight="1">
      <c r="R632" s="289"/>
      <c r="S632" s="289"/>
      <c r="T632" s="289"/>
      <c r="U632" s="289"/>
      <c r="V632" s="289"/>
      <c r="W632" s="289"/>
      <c r="X632" s="289"/>
      <c r="Y632" s="289"/>
      <c r="Z632" s="289"/>
      <c r="AA632" s="289"/>
      <c r="AB632" s="289"/>
      <c r="AC632" s="289"/>
      <c r="AD632" s="295"/>
    </row>
    <row r="633" spans="18:30" ht="32.25" customHeight="1">
      <c r="R633" s="289"/>
      <c r="S633" s="289"/>
      <c r="T633" s="289"/>
      <c r="U633" s="289"/>
      <c r="V633" s="289"/>
      <c r="W633" s="289"/>
      <c r="X633" s="289"/>
      <c r="Y633" s="289"/>
      <c r="Z633" s="289"/>
      <c r="AA633" s="289"/>
      <c r="AB633" s="289"/>
      <c r="AC633" s="289"/>
      <c r="AD633" s="295"/>
    </row>
    <row r="634" spans="18:30" ht="32.25" customHeight="1">
      <c r="R634" s="289"/>
      <c r="S634" s="289"/>
      <c r="T634" s="289"/>
      <c r="U634" s="289"/>
      <c r="V634" s="289"/>
      <c r="W634" s="289"/>
      <c r="X634" s="289"/>
      <c r="Y634" s="289"/>
      <c r="Z634" s="289"/>
      <c r="AA634" s="289"/>
      <c r="AB634" s="289"/>
      <c r="AC634" s="289"/>
      <c r="AD634" s="295"/>
    </row>
    <row r="635" spans="18:30" ht="32.25" customHeight="1">
      <c r="R635" s="289"/>
      <c r="S635" s="289"/>
      <c r="T635" s="289"/>
      <c r="U635" s="289"/>
      <c r="V635" s="289"/>
      <c r="W635" s="289"/>
      <c r="X635" s="289"/>
      <c r="Y635" s="289"/>
      <c r="Z635" s="289"/>
      <c r="AA635" s="289"/>
      <c r="AB635" s="289"/>
      <c r="AC635" s="289"/>
      <c r="AD635" s="295"/>
    </row>
    <row r="636" spans="18:30" ht="32.25" customHeight="1">
      <c r="R636" s="289"/>
      <c r="S636" s="289"/>
      <c r="T636" s="289"/>
      <c r="U636" s="289"/>
      <c r="V636" s="289"/>
      <c r="W636" s="289"/>
      <c r="X636" s="289"/>
      <c r="Y636" s="289"/>
      <c r="Z636" s="289"/>
      <c r="AA636" s="289"/>
      <c r="AB636" s="289"/>
      <c r="AC636" s="289"/>
      <c r="AD636" s="295"/>
    </row>
    <row r="637" spans="18:30" ht="32.25" customHeight="1">
      <c r="R637" s="289"/>
      <c r="S637" s="289"/>
      <c r="T637" s="289"/>
      <c r="U637" s="289"/>
      <c r="V637" s="289"/>
      <c r="W637" s="289"/>
      <c r="X637" s="289"/>
      <c r="Y637" s="289"/>
      <c r="Z637" s="289"/>
      <c r="AA637" s="289"/>
      <c r="AB637" s="289"/>
      <c r="AC637" s="289"/>
      <c r="AD637" s="295"/>
    </row>
    <row r="638" spans="18:30" ht="32.25" customHeight="1">
      <c r="R638" s="289"/>
      <c r="S638" s="289"/>
      <c r="T638" s="289"/>
      <c r="U638" s="289"/>
      <c r="V638" s="289"/>
      <c r="W638" s="289"/>
      <c r="X638" s="289"/>
      <c r="Y638" s="289"/>
      <c r="Z638" s="289"/>
      <c r="AA638" s="289"/>
      <c r="AB638" s="289"/>
      <c r="AC638" s="289"/>
      <c r="AD638" s="295"/>
    </row>
    <row r="639" spans="18:30" ht="32.25" customHeight="1">
      <c r="R639" s="289"/>
      <c r="S639" s="289"/>
      <c r="T639" s="289"/>
      <c r="U639" s="289"/>
      <c r="V639" s="289"/>
      <c r="W639" s="289"/>
      <c r="X639" s="289"/>
      <c r="Y639" s="289"/>
      <c r="Z639" s="289"/>
      <c r="AA639" s="289"/>
      <c r="AB639" s="289"/>
      <c r="AC639" s="289"/>
      <c r="AD639" s="295"/>
    </row>
    <row r="640" spans="18:30" ht="32.25" customHeight="1">
      <c r="R640" s="289"/>
      <c r="S640" s="289"/>
      <c r="T640" s="289"/>
      <c r="U640" s="289"/>
      <c r="V640" s="289"/>
      <c r="W640" s="289"/>
      <c r="X640" s="289"/>
      <c r="Y640" s="289"/>
      <c r="Z640" s="289"/>
      <c r="AA640" s="289"/>
      <c r="AB640" s="289"/>
      <c r="AC640" s="289"/>
      <c r="AD640" s="295"/>
    </row>
    <row r="641" spans="18:30" ht="32.25" customHeight="1">
      <c r="R641" s="289"/>
      <c r="S641" s="289"/>
      <c r="T641" s="289"/>
      <c r="U641" s="289"/>
      <c r="V641" s="289"/>
      <c r="W641" s="289"/>
      <c r="X641" s="289"/>
      <c r="Y641" s="289"/>
      <c r="Z641" s="289"/>
      <c r="AA641" s="289"/>
      <c r="AB641" s="289"/>
      <c r="AC641" s="289"/>
      <c r="AD641" s="295"/>
    </row>
    <row r="642" spans="18:30" ht="32.25" customHeight="1">
      <c r="R642" s="289"/>
      <c r="S642" s="289"/>
      <c r="T642" s="289"/>
      <c r="U642" s="289"/>
      <c r="V642" s="289"/>
      <c r="W642" s="289"/>
      <c r="X642" s="289"/>
      <c r="Y642" s="289"/>
      <c r="Z642" s="289"/>
      <c r="AA642" s="289"/>
      <c r="AB642" s="289"/>
      <c r="AC642" s="289"/>
      <c r="AD642" s="295"/>
    </row>
    <row r="643" spans="18:30" ht="32.25" customHeight="1">
      <c r="R643" s="289"/>
      <c r="S643" s="289"/>
      <c r="T643" s="289"/>
      <c r="U643" s="289"/>
      <c r="V643" s="289"/>
      <c r="W643" s="289"/>
      <c r="X643" s="289"/>
      <c r="Y643" s="289"/>
      <c r="Z643" s="289"/>
      <c r="AA643" s="289"/>
      <c r="AB643" s="289"/>
      <c r="AC643" s="289"/>
      <c r="AD643" s="295"/>
    </row>
    <row r="644" spans="18:30" ht="32.25" customHeight="1">
      <c r="R644" s="289"/>
      <c r="S644" s="289"/>
      <c r="T644" s="289"/>
      <c r="U644" s="289"/>
      <c r="V644" s="289"/>
      <c r="W644" s="289"/>
      <c r="X644" s="289"/>
      <c r="Y644" s="289"/>
      <c r="Z644" s="289"/>
      <c r="AA644" s="289"/>
      <c r="AB644" s="289"/>
      <c r="AC644" s="289"/>
      <c r="AD644" s="295"/>
    </row>
    <row r="645" spans="18:30" ht="32.25" customHeight="1">
      <c r="R645" s="289"/>
      <c r="S645" s="289"/>
      <c r="T645" s="289"/>
      <c r="U645" s="289"/>
      <c r="V645" s="289"/>
      <c r="W645" s="289"/>
      <c r="X645" s="289"/>
      <c r="Y645" s="289"/>
      <c r="Z645" s="289"/>
      <c r="AA645" s="289"/>
      <c r="AB645" s="289"/>
      <c r="AC645" s="289"/>
      <c r="AD645" s="295"/>
    </row>
    <row r="646" spans="18:30" ht="32.25" customHeight="1">
      <c r="R646" s="289"/>
      <c r="S646" s="289"/>
      <c r="T646" s="289"/>
      <c r="U646" s="289"/>
      <c r="V646" s="289"/>
      <c r="W646" s="289"/>
      <c r="X646" s="289"/>
      <c r="Y646" s="289"/>
      <c r="Z646" s="289"/>
      <c r="AA646" s="289"/>
      <c r="AB646" s="289"/>
      <c r="AC646" s="289"/>
      <c r="AD646" s="295"/>
    </row>
    <row r="647" spans="18:30" ht="32.25" customHeight="1">
      <c r="R647" s="289"/>
      <c r="S647" s="289"/>
      <c r="T647" s="289"/>
      <c r="U647" s="289"/>
      <c r="V647" s="289"/>
      <c r="W647" s="289"/>
      <c r="X647" s="289"/>
      <c r="Y647" s="289"/>
      <c r="Z647" s="289"/>
      <c r="AA647" s="289"/>
      <c r="AB647" s="289"/>
      <c r="AC647" s="289"/>
      <c r="AD647" s="295"/>
    </row>
    <row r="648" spans="18:30" ht="32.25" customHeight="1">
      <c r="R648" s="289"/>
      <c r="S648" s="289"/>
      <c r="T648" s="289"/>
      <c r="U648" s="289"/>
      <c r="V648" s="289"/>
      <c r="W648" s="289"/>
      <c r="X648" s="289"/>
      <c r="Y648" s="289"/>
      <c r="Z648" s="289"/>
      <c r="AA648" s="289"/>
      <c r="AB648" s="289"/>
      <c r="AC648" s="289"/>
      <c r="AD648" s="295"/>
    </row>
    <row r="649" spans="18:30" ht="32.25" customHeight="1">
      <c r="R649" s="289"/>
      <c r="S649" s="289"/>
      <c r="T649" s="289"/>
      <c r="U649" s="289"/>
      <c r="V649" s="289"/>
      <c r="W649" s="289"/>
      <c r="X649" s="289"/>
      <c r="Y649" s="289"/>
      <c r="Z649" s="289"/>
      <c r="AA649" s="289"/>
      <c r="AB649" s="289"/>
      <c r="AC649" s="289"/>
      <c r="AD649" s="295"/>
    </row>
    <row r="650" spans="18:30" ht="32.25" customHeight="1">
      <c r="R650" s="289"/>
      <c r="S650" s="289"/>
      <c r="T650" s="289"/>
      <c r="U650" s="289"/>
      <c r="V650" s="289"/>
      <c r="W650" s="289"/>
      <c r="X650" s="289"/>
      <c r="Y650" s="289"/>
      <c r="Z650" s="289"/>
      <c r="AA650" s="289"/>
      <c r="AB650" s="289"/>
      <c r="AC650" s="289"/>
      <c r="AD650" s="295"/>
    </row>
    <row r="651" spans="18:30" ht="32.25" customHeight="1">
      <c r="R651" s="289"/>
      <c r="S651" s="289"/>
      <c r="T651" s="289"/>
      <c r="U651" s="289"/>
      <c r="V651" s="289"/>
      <c r="W651" s="289"/>
      <c r="X651" s="289"/>
      <c r="Y651" s="289"/>
      <c r="Z651" s="289"/>
      <c r="AA651" s="289"/>
      <c r="AB651" s="289"/>
      <c r="AC651" s="289"/>
      <c r="AD651" s="295"/>
    </row>
    <row r="652" spans="18:30" ht="32.25" customHeight="1">
      <c r="R652" s="289"/>
      <c r="S652" s="289"/>
      <c r="T652" s="289"/>
      <c r="U652" s="289"/>
      <c r="V652" s="289"/>
      <c r="W652" s="289"/>
      <c r="X652" s="289"/>
      <c r="Y652" s="289"/>
      <c r="Z652" s="289"/>
      <c r="AA652" s="289"/>
      <c r="AB652" s="289"/>
      <c r="AC652" s="289"/>
      <c r="AD652" s="295"/>
    </row>
    <row r="653" spans="18:30" ht="32.25" customHeight="1">
      <c r="R653" s="289"/>
      <c r="S653" s="289"/>
      <c r="T653" s="289"/>
      <c r="U653" s="289"/>
      <c r="V653" s="289"/>
      <c r="W653" s="289"/>
      <c r="X653" s="289"/>
      <c r="Y653" s="289"/>
      <c r="Z653" s="289"/>
      <c r="AA653" s="289"/>
      <c r="AB653" s="289"/>
      <c r="AC653" s="289"/>
      <c r="AD653" s="295"/>
    </row>
    <row r="654" spans="18:30" ht="32.25" customHeight="1">
      <c r="R654" s="289"/>
      <c r="S654" s="289"/>
      <c r="T654" s="289"/>
      <c r="U654" s="289"/>
      <c r="V654" s="289"/>
      <c r="W654" s="289"/>
      <c r="X654" s="289"/>
      <c r="Y654" s="289"/>
      <c r="Z654" s="289"/>
      <c r="AA654" s="289"/>
      <c r="AB654" s="289"/>
      <c r="AC654" s="289"/>
      <c r="AD654" s="295"/>
    </row>
    <row r="655" spans="18:30" ht="32.25" customHeight="1">
      <c r="R655" s="289"/>
      <c r="S655" s="289"/>
      <c r="T655" s="289"/>
      <c r="U655" s="289"/>
      <c r="V655" s="289"/>
      <c r="W655" s="289"/>
      <c r="X655" s="289"/>
      <c r="Y655" s="289"/>
      <c r="Z655" s="289"/>
      <c r="AA655" s="289"/>
      <c r="AB655" s="289"/>
      <c r="AC655" s="289"/>
      <c r="AD655" s="295"/>
    </row>
    <row r="656" spans="18:30" ht="32.25" customHeight="1">
      <c r="R656" s="289"/>
      <c r="S656" s="289"/>
      <c r="T656" s="289"/>
      <c r="U656" s="289"/>
      <c r="V656" s="289"/>
      <c r="W656" s="289"/>
      <c r="X656" s="289"/>
      <c r="Y656" s="289"/>
      <c r="Z656" s="289"/>
      <c r="AA656" s="289"/>
      <c r="AB656" s="289"/>
      <c r="AC656" s="289"/>
      <c r="AD656" s="295"/>
    </row>
    <row r="657" spans="18:30" ht="32.25" customHeight="1">
      <c r="R657" s="289"/>
      <c r="S657" s="289"/>
      <c r="T657" s="289"/>
      <c r="U657" s="289"/>
      <c r="V657" s="289"/>
      <c r="W657" s="289"/>
      <c r="X657" s="289"/>
      <c r="Y657" s="289"/>
      <c r="Z657" s="289"/>
      <c r="AA657" s="289"/>
      <c r="AB657" s="289"/>
      <c r="AC657" s="289"/>
      <c r="AD657" s="295"/>
    </row>
    <row r="658" spans="18:30" ht="32.25" customHeight="1">
      <c r="R658" s="289"/>
      <c r="S658" s="289"/>
      <c r="T658" s="289"/>
      <c r="U658" s="289"/>
      <c r="V658" s="289"/>
      <c r="W658" s="289"/>
      <c r="X658" s="289"/>
      <c r="Y658" s="289"/>
      <c r="Z658" s="289"/>
      <c r="AA658" s="289"/>
      <c r="AB658" s="289"/>
      <c r="AC658" s="289"/>
      <c r="AD658" s="295"/>
    </row>
    <row r="659" spans="18:30" ht="32.25" customHeight="1">
      <c r="R659" s="289"/>
      <c r="S659" s="289"/>
      <c r="T659" s="289"/>
      <c r="U659" s="289"/>
      <c r="V659" s="289"/>
      <c r="W659" s="289"/>
      <c r="X659" s="289"/>
      <c r="Y659" s="289"/>
      <c r="Z659" s="289"/>
      <c r="AA659" s="289"/>
      <c r="AB659" s="289"/>
      <c r="AC659" s="289"/>
      <c r="AD659" s="295"/>
    </row>
    <row r="660" spans="18:30" ht="32.25" customHeight="1">
      <c r="R660" s="289"/>
      <c r="S660" s="289"/>
      <c r="T660" s="289"/>
      <c r="U660" s="289"/>
      <c r="V660" s="289"/>
      <c r="W660" s="289"/>
      <c r="X660" s="289"/>
      <c r="Y660" s="289"/>
      <c r="Z660" s="289"/>
      <c r="AA660" s="289"/>
      <c r="AB660" s="289"/>
      <c r="AC660" s="289"/>
      <c r="AD660" s="295"/>
    </row>
    <row r="661" spans="18:30" ht="32.25" customHeight="1">
      <c r="R661" s="289"/>
      <c r="S661" s="289"/>
      <c r="T661" s="289"/>
      <c r="U661" s="289"/>
      <c r="V661" s="289"/>
      <c r="W661" s="289"/>
      <c r="X661" s="289"/>
      <c r="Y661" s="289"/>
      <c r="Z661" s="289"/>
      <c r="AA661" s="289"/>
      <c r="AB661" s="289"/>
      <c r="AC661" s="289"/>
      <c r="AD661" s="295"/>
    </row>
    <row r="662" spans="18:30" ht="32.25" customHeight="1">
      <c r="R662" s="289"/>
      <c r="S662" s="289"/>
      <c r="T662" s="289"/>
      <c r="U662" s="289"/>
      <c r="V662" s="289"/>
      <c r="W662" s="289"/>
      <c r="X662" s="289"/>
      <c r="Y662" s="289"/>
      <c r="Z662" s="289"/>
      <c r="AA662" s="289"/>
      <c r="AB662" s="289"/>
      <c r="AC662" s="289"/>
      <c r="AD662" s="295"/>
    </row>
    <row r="663" spans="18:30" ht="32.25" customHeight="1">
      <c r="R663" s="289"/>
      <c r="S663" s="289"/>
      <c r="T663" s="289"/>
      <c r="U663" s="289"/>
      <c r="V663" s="289"/>
      <c r="W663" s="289"/>
      <c r="X663" s="289"/>
      <c r="Y663" s="289"/>
      <c r="Z663" s="289"/>
      <c r="AA663" s="289"/>
      <c r="AB663" s="289"/>
      <c r="AC663" s="289"/>
      <c r="AD663" s="295"/>
    </row>
    <row r="664" spans="18:30" ht="32.25" customHeight="1">
      <c r="R664" s="289"/>
      <c r="S664" s="289"/>
      <c r="T664" s="289"/>
      <c r="U664" s="289"/>
      <c r="V664" s="289"/>
      <c r="W664" s="289"/>
      <c r="X664" s="289"/>
      <c r="Y664" s="289"/>
      <c r="Z664" s="289"/>
      <c r="AA664" s="289"/>
      <c r="AB664" s="289"/>
      <c r="AC664" s="289"/>
      <c r="AD664" s="295"/>
    </row>
    <row r="665" spans="18:30" ht="32.25" customHeight="1">
      <c r="R665" s="289"/>
      <c r="S665" s="289"/>
      <c r="T665" s="289"/>
      <c r="U665" s="289"/>
      <c r="V665" s="289"/>
      <c r="W665" s="289"/>
      <c r="X665" s="289"/>
      <c r="Y665" s="289"/>
      <c r="Z665" s="289"/>
      <c r="AA665" s="289"/>
      <c r="AB665" s="289"/>
      <c r="AC665" s="289"/>
      <c r="AD665" s="295"/>
    </row>
    <row r="666" spans="18:30" ht="32.25" customHeight="1">
      <c r="R666" s="289"/>
      <c r="S666" s="289"/>
      <c r="T666" s="289"/>
      <c r="U666" s="289"/>
      <c r="V666" s="289"/>
      <c r="W666" s="289"/>
      <c r="X666" s="289"/>
      <c r="Y666" s="289"/>
      <c r="Z666" s="289"/>
      <c r="AA666" s="289"/>
      <c r="AB666" s="289"/>
      <c r="AC666" s="289"/>
      <c r="AD666" s="295"/>
    </row>
    <row r="667" spans="18:30" ht="32.25" customHeight="1">
      <c r="R667" s="289"/>
      <c r="S667" s="289"/>
      <c r="T667" s="289"/>
      <c r="U667" s="289"/>
      <c r="V667" s="289"/>
      <c r="W667" s="289"/>
      <c r="X667" s="289"/>
      <c r="Y667" s="289"/>
      <c r="Z667" s="289"/>
      <c r="AA667" s="289"/>
      <c r="AB667" s="289"/>
      <c r="AC667" s="289"/>
      <c r="AD667" s="295"/>
    </row>
    <row r="668" spans="18:30" ht="32.25" customHeight="1">
      <c r="R668" s="289"/>
      <c r="S668" s="289"/>
      <c r="T668" s="289"/>
      <c r="U668" s="289"/>
      <c r="V668" s="289"/>
      <c r="W668" s="289"/>
      <c r="X668" s="289"/>
      <c r="Y668" s="289"/>
      <c r="Z668" s="289"/>
      <c r="AA668" s="289"/>
      <c r="AB668" s="289"/>
      <c r="AC668" s="289"/>
      <c r="AD668" s="295"/>
    </row>
    <row r="669" spans="18:30" ht="32.25" customHeight="1">
      <c r="R669" s="289"/>
      <c r="S669" s="289"/>
      <c r="T669" s="289"/>
      <c r="U669" s="289"/>
      <c r="V669" s="289"/>
      <c r="W669" s="289"/>
      <c r="X669" s="289"/>
      <c r="Y669" s="289"/>
      <c r="Z669" s="289"/>
      <c r="AA669" s="289"/>
      <c r="AB669" s="289"/>
      <c r="AC669" s="289"/>
      <c r="AD669" s="295"/>
    </row>
    <row r="670" spans="18:30" ht="32.25" customHeight="1">
      <c r="R670" s="289"/>
      <c r="S670" s="289"/>
      <c r="T670" s="289"/>
      <c r="U670" s="289"/>
      <c r="V670" s="289"/>
      <c r="W670" s="289"/>
      <c r="X670" s="289"/>
      <c r="Y670" s="289"/>
      <c r="Z670" s="289"/>
      <c r="AA670" s="289"/>
      <c r="AB670" s="289"/>
      <c r="AC670" s="289"/>
      <c r="AD670" s="295"/>
    </row>
    <row r="671" spans="18:30" ht="32.25" customHeight="1">
      <c r="R671" s="289"/>
      <c r="S671" s="289"/>
      <c r="T671" s="289"/>
      <c r="U671" s="289"/>
      <c r="V671" s="289"/>
      <c r="W671" s="289"/>
      <c r="X671" s="289"/>
      <c r="Y671" s="289"/>
      <c r="Z671" s="289"/>
      <c r="AA671" s="289"/>
      <c r="AB671" s="289"/>
      <c r="AC671" s="289"/>
      <c r="AD671" s="295"/>
    </row>
    <row r="672" spans="18:30" ht="32.25" customHeight="1">
      <c r="R672" s="289"/>
      <c r="S672" s="289"/>
      <c r="T672" s="289"/>
      <c r="U672" s="289"/>
      <c r="V672" s="289"/>
      <c r="W672" s="289"/>
      <c r="X672" s="289"/>
      <c r="Y672" s="289"/>
      <c r="Z672" s="289"/>
      <c r="AA672" s="289"/>
      <c r="AB672" s="289"/>
      <c r="AC672" s="289"/>
      <c r="AD672" s="295"/>
    </row>
    <row r="673" spans="18:30" ht="32.25" customHeight="1">
      <c r="R673" s="289"/>
      <c r="S673" s="289"/>
      <c r="T673" s="289"/>
      <c r="U673" s="289"/>
      <c r="V673" s="289"/>
      <c r="W673" s="289"/>
      <c r="X673" s="289"/>
      <c r="Y673" s="289"/>
      <c r="Z673" s="289"/>
      <c r="AA673" s="289"/>
      <c r="AB673" s="289"/>
      <c r="AC673" s="289"/>
      <c r="AD673" s="295"/>
    </row>
    <row r="674" spans="18:30" ht="32.25" customHeight="1">
      <c r="R674" s="289"/>
      <c r="S674" s="289"/>
      <c r="T674" s="289"/>
      <c r="U674" s="289"/>
      <c r="V674" s="289"/>
      <c r="W674" s="289"/>
      <c r="X674" s="289"/>
      <c r="Y674" s="289"/>
      <c r="Z674" s="289"/>
      <c r="AA674" s="289"/>
      <c r="AB674" s="289"/>
      <c r="AC674" s="289"/>
      <c r="AD674" s="295"/>
    </row>
    <row r="675" spans="18:30" ht="32.25" customHeight="1">
      <c r="R675" s="289"/>
      <c r="S675" s="289"/>
      <c r="T675" s="289"/>
      <c r="U675" s="289"/>
      <c r="V675" s="289"/>
      <c r="W675" s="289"/>
      <c r="X675" s="289"/>
      <c r="Y675" s="289"/>
      <c r="Z675" s="289"/>
      <c r="AA675" s="289"/>
      <c r="AB675" s="289"/>
      <c r="AC675" s="289"/>
      <c r="AD675" s="295"/>
    </row>
    <row r="676" spans="18:30" ht="32.25" customHeight="1">
      <c r="R676" s="289"/>
      <c r="S676" s="289"/>
      <c r="T676" s="289"/>
      <c r="U676" s="289"/>
      <c r="V676" s="289"/>
      <c r="W676" s="289"/>
      <c r="X676" s="289"/>
      <c r="Y676" s="289"/>
      <c r="Z676" s="289"/>
      <c r="AA676" s="289"/>
      <c r="AB676" s="289"/>
      <c r="AC676" s="289"/>
      <c r="AD676" s="295"/>
    </row>
    <row r="677" spans="18:30" ht="32.25" customHeight="1">
      <c r="R677" s="289"/>
      <c r="S677" s="289"/>
      <c r="T677" s="289"/>
      <c r="U677" s="289"/>
      <c r="V677" s="289"/>
      <c r="W677" s="289"/>
      <c r="X677" s="289"/>
      <c r="Y677" s="289"/>
      <c r="Z677" s="289"/>
      <c r="AA677" s="289"/>
      <c r="AB677" s="289"/>
      <c r="AC677" s="289"/>
      <c r="AD677" s="295"/>
    </row>
    <row r="678" spans="18:30" ht="32.25" customHeight="1">
      <c r="R678" s="289"/>
      <c r="S678" s="289"/>
      <c r="T678" s="289"/>
      <c r="U678" s="289"/>
      <c r="V678" s="289"/>
      <c r="W678" s="289"/>
      <c r="X678" s="289"/>
      <c r="Y678" s="289"/>
      <c r="Z678" s="289"/>
      <c r="AA678" s="289"/>
      <c r="AB678" s="289"/>
      <c r="AC678" s="289"/>
      <c r="AD678" s="295"/>
    </row>
    <row r="679" spans="18:30" ht="32.25" customHeight="1">
      <c r="R679" s="289"/>
      <c r="S679" s="289"/>
      <c r="T679" s="289"/>
      <c r="U679" s="289"/>
      <c r="V679" s="289"/>
      <c r="W679" s="289"/>
      <c r="X679" s="289"/>
      <c r="Y679" s="289"/>
      <c r="Z679" s="289"/>
      <c r="AA679" s="289"/>
      <c r="AB679" s="289"/>
      <c r="AC679" s="289"/>
      <c r="AD679" s="295"/>
    </row>
    <row r="680" spans="18:30" ht="32.25" customHeight="1">
      <c r="R680" s="289"/>
      <c r="S680" s="289"/>
      <c r="T680" s="289"/>
      <c r="U680" s="289"/>
      <c r="V680" s="289"/>
      <c r="W680" s="289"/>
      <c r="X680" s="289"/>
      <c r="Y680" s="289"/>
      <c r="Z680" s="289"/>
      <c r="AA680" s="289"/>
      <c r="AB680" s="289"/>
      <c r="AC680" s="289"/>
      <c r="AD680" s="295"/>
    </row>
    <row r="681" spans="18:30" ht="32.25" customHeight="1">
      <c r="R681" s="289"/>
      <c r="S681" s="289"/>
      <c r="T681" s="289"/>
      <c r="U681" s="289"/>
      <c r="V681" s="289"/>
      <c r="W681" s="289"/>
      <c r="X681" s="289"/>
      <c r="Y681" s="289"/>
      <c r="Z681" s="289"/>
      <c r="AA681" s="289"/>
      <c r="AB681" s="289"/>
      <c r="AC681" s="289"/>
      <c r="AD681" s="295"/>
    </row>
    <row r="682" spans="18:30" ht="32.25" customHeight="1">
      <c r="R682" s="289"/>
      <c r="S682" s="289"/>
      <c r="T682" s="289"/>
      <c r="U682" s="289"/>
      <c r="V682" s="289"/>
      <c r="W682" s="289"/>
      <c r="X682" s="289"/>
      <c r="Y682" s="289"/>
      <c r="Z682" s="289"/>
      <c r="AA682" s="289"/>
      <c r="AB682" s="289"/>
      <c r="AC682" s="289"/>
      <c r="AD682" s="295"/>
    </row>
    <row r="683" spans="18:30" ht="32.25" customHeight="1">
      <c r="R683" s="289"/>
      <c r="S683" s="289"/>
      <c r="T683" s="289"/>
      <c r="U683" s="289"/>
      <c r="V683" s="289"/>
      <c r="W683" s="289"/>
      <c r="X683" s="289"/>
      <c r="Y683" s="289"/>
      <c r="Z683" s="289"/>
      <c r="AA683" s="289"/>
      <c r="AB683" s="289"/>
      <c r="AC683" s="289"/>
      <c r="AD683" s="295"/>
    </row>
    <row r="684" spans="18:30" ht="32.25" customHeight="1">
      <c r="R684" s="289"/>
      <c r="S684" s="289"/>
      <c r="T684" s="289"/>
      <c r="U684" s="289"/>
      <c r="V684" s="289"/>
      <c r="W684" s="289"/>
      <c r="X684" s="289"/>
      <c r="Y684" s="289"/>
      <c r="Z684" s="289"/>
      <c r="AA684" s="289"/>
      <c r="AB684" s="289"/>
      <c r="AC684" s="289"/>
      <c r="AD684" s="295"/>
    </row>
    <row r="685" spans="18:30" ht="32.25" customHeight="1">
      <c r="R685" s="289"/>
      <c r="S685" s="289"/>
      <c r="T685" s="289"/>
      <c r="U685" s="289"/>
      <c r="V685" s="289"/>
      <c r="W685" s="289"/>
      <c r="X685" s="289"/>
      <c r="Y685" s="289"/>
      <c r="Z685" s="289"/>
      <c r="AA685" s="289"/>
      <c r="AB685" s="289"/>
      <c r="AC685" s="289"/>
      <c r="AD685" s="295"/>
    </row>
    <row r="686" spans="18:30" ht="32.25" customHeight="1">
      <c r="R686" s="289"/>
      <c r="S686" s="289"/>
      <c r="T686" s="289"/>
      <c r="U686" s="289"/>
      <c r="V686" s="289"/>
      <c r="W686" s="289"/>
      <c r="X686" s="289"/>
      <c r="Y686" s="289"/>
      <c r="Z686" s="289"/>
      <c r="AA686" s="289"/>
      <c r="AB686" s="289"/>
      <c r="AC686" s="289"/>
      <c r="AD686" s="295"/>
    </row>
    <row r="687" spans="18:30" ht="32.25" customHeight="1">
      <c r="R687" s="289"/>
      <c r="S687" s="289"/>
      <c r="T687" s="289"/>
      <c r="U687" s="289"/>
      <c r="V687" s="289"/>
      <c r="W687" s="289"/>
      <c r="X687" s="289"/>
      <c r="Y687" s="289"/>
      <c r="Z687" s="289"/>
      <c r="AA687" s="289"/>
      <c r="AB687" s="289"/>
      <c r="AC687" s="289"/>
      <c r="AD687" s="295"/>
    </row>
    <row r="688" spans="18:30" ht="32.25" customHeight="1">
      <c r="R688" s="289"/>
      <c r="S688" s="289"/>
      <c r="T688" s="289"/>
      <c r="U688" s="289"/>
      <c r="V688" s="289"/>
      <c r="W688" s="289"/>
      <c r="X688" s="289"/>
      <c r="Y688" s="289"/>
      <c r="Z688" s="289"/>
      <c r="AA688" s="289"/>
      <c r="AB688" s="289"/>
      <c r="AC688" s="289"/>
      <c r="AD688" s="295"/>
    </row>
    <row r="689" spans="18:30" ht="32.25" customHeight="1">
      <c r="R689" s="289"/>
      <c r="S689" s="289"/>
      <c r="T689" s="289"/>
      <c r="U689" s="289"/>
      <c r="V689" s="289"/>
      <c r="W689" s="289"/>
      <c r="X689" s="289"/>
      <c r="Y689" s="289"/>
      <c r="Z689" s="289"/>
      <c r="AA689" s="289"/>
      <c r="AB689" s="289"/>
      <c r="AC689" s="289"/>
      <c r="AD689" s="295"/>
    </row>
    <row r="690" spans="18:30" ht="32.25" customHeight="1">
      <c r="R690" s="289"/>
      <c r="S690" s="289"/>
      <c r="T690" s="289"/>
      <c r="U690" s="289"/>
      <c r="V690" s="289"/>
      <c r="W690" s="289"/>
      <c r="X690" s="289"/>
      <c r="Y690" s="289"/>
      <c r="Z690" s="289"/>
      <c r="AA690" s="289"/>
      <c r="AB690" s="289"/>
      <c r="AC690" s="289"/>
      <c r="AD690" s="295"/>
    </row>
    <row r="691" spans="18:30" ht="32.25" customHeight="1">
      <c r="R691" s="289"/>
      <c r="S691" s="289"/>
      <c r="T691" s="289"/>
      <c r="U691" s="289"/>
      <c r="V691" s="289"/>
      <c r="W691" s="289"/>
      <c r="X691" s="289"/>
      <c r="Y691" s="289"/>
      <c r="Z691" s="289"/>
      <c r="AA691" s="289"/>
      <c r="AB691" s="289"/>
      <c r="AC691" s="289"/>
      <c r="AD691" s="295"/>
    </row>
    <row r="692" spans="18:30" ht="32.25" customHeight="1">
      <c r="R692" s="289"/>
      <c r="S692" s="289"/>
      <c r="T692" s="289"/>
      <c r="U692" s="289"/>
      <c r="V692" s="289"/>
      <c r="W692" s="289"/>
      <c r="X692" s="289"/>
      <c r="Y692" s="289"/>
      <c r="Z692" s="289"/>
      <c r="AA692" s="289"/>
      <c r="AB692" s="289"/>
      <c r="AC692" s="289"/>
      <c r="AD692" s="295"/>
    </row>
    <row r="693" spans="18:30" ht="32.25" customHeight="1">
      <c r="R693" s="289"/>
      <c r="S693" s="289"/>
      <c r="T693" s="289"/>
      <c r="U693" s="289"/>
      <c r="V693" s="289"/>
      <c r="W693" s="289"/>
      <c r="X693" s="289"/>
      <c r="Y693" s="289"/>
      <c r="Z693" s="289"/>
      <c r="AA693" s="289"/>
      <c r="AB693" s="289"/>
      <c r="AC693" s="289"/>
      <c r="AD693" s="295"/>
    </row>
    <row r="694" spans="18:30" ht="32.25" customHeight="1">
      <c r="R694" s="289"/>
      <c r="S694" s="289"/>
      <c r="T694" s="289"/>
      <c r="U694" s="289"/>
      <c r="V694" s="289"/>
      <c r="W694" s="289"/>
      <c r="X694" s="289"/>
      <c r="Y694" s="289"/>
      <c r="Z694" s="289"/>
      <c r="AA694" s="289"/>
      <c r="AB694" s="289"/>
      <c r="AC694" s="289"/>
      <c r="AD694" s="295"/>
    </row>
    <row r="695" spans="18:30" ht="32.25" customHeight="1">
      <c r="R695" s="289"/>
      <c r="S695" s="289"/>
      <c r="T695" s="289"/>
      <c r="U695" s="289"/>
      <c r="V695" s="289"/>
      <c r="W695" s="289"/>
      <c r="X695" s="289"/>
      <c r="Y695" s="289"/>
      <c r="Z695" s="289"/>
      <c r="AA695" s="289"/>
      <c r="AB695" s="289"/>
      <c r="AC695" s="289"/>
      <c r="AD695" s="295"/>
    </row>
    <row r="696" spans="18:30" ht="32.25" customHeight="1">
      <c r="R696" s="289"/>
      <c r="S696" s="289"/>
      <c r="T696" s="289"/>
      <c r="U696" s="289"/>
      <c r="V696" s="289"/>
      <c r="W696" s="289"/>
      <c r="X696" s="289"/>
      <c r="Y696" s="289"/>
      <c r="Z696" s="289"/>
      <c r="AA696" s="289"/>
      <c r="AB696" s="289"/>
      <c r="AC696" s="289"/>
      <c r="AD696" s="295"/>
    </row>
    <row r="697" spans="18:30" ht="32.25" customHeight="1">
      <c r="R697" s="289"/>
      <c r="S697" s="289"/>
      <c r="T697" s="289"/>
      <c r="U697" s="289"/>
      <c r="V697" s="289"/>
      <c r="W697" s="289"/>
      <c r="X697" s="289"/>
      <c r="Y697" s="289"/>
      <c r="Z697" s="289"/>
      <c r="AA697" s="289"/>
      <c r="AB697" s="289"/>
      <c r="AC697" s="289"/>
      <c r="AD697" s="295"/>
    </row>
    <row r="698" spans="18:30" ht="32.25" customHeight="1">
      <c r="R698" s="289"/>
      <c r="S698" s="289"/>
      <c r="T698" s="289"/>
      <c r="U698" s="289"/>
      <c r="V698" s="289"/>
      <c r="W698" s="289"/>
      <c r="X698" s="289"/>
      <c r="Y698" s="289"/>
      <c r="Z698" s="289"/>
      <c r="AA698" s="289"/>
      <c r="AB698" s="289"/>
      <c r="AC698" s="289"/>
      <c r="AD698" s="295"/>
    </row>
    <row r="699" spans="18:30" ht="32.25" customHeight="1">
      <c r="R699" s="289"/>
      <c r="S699" s="289"/>
      <c r="T699" s="289"/>
      <c r="U699" s="289"/>
      <c r="V699" s="289"/>
      <c r="W699" s="289"/>
      <c r="X699" s="289"/>
      <c r="Y699" s="289"/>
      <c r="Z699" s="289"/>
      <c r="AA699" s="289"/>
      <c r="AB699" s="289"/>
      <c r="AC699" s="289"/>
      <c r="AD699" s="295"/>
    </row>
    <row r="700" spans="18:30" ht="32.25" customHeight="1">
      <c r="R700" s="289"/>
      <c r="S700" s="289"/>
      <c r="T700" s="289"/>
      <c r="U700" s="289"/>
      <c r="V700" s="289"/>
      <c r="W700" s="289"/>
      <c r="X700" s="289"/>
      <c r="Y700" s="289"/>
      <c r="Z700" s="289"/>
      <c r="AA700" s="289"/>
      <c r="AB700" s="289"/>
      <c r="AC700" s="289"/>
      <c r="AD700" s="295"/>
    </row>
    <row r="701" spans="18:30" ht="32.25" customHeight="1">
      <c r="R701" s="289"/>
      <c r="S701" s="289"/>
      <c r="T701" s="289"/>
      <c r="U701" s="289"/>
      <c r="V701" s="289"/>
      <c r="W701" s="289"/>
      <c r="X701" s="289"/>
      <c r="Y701" s="289"/>
      <c r="Z701" s="289"/>
      <c r="AA701" s="289"/>
      <c r="AB701" s="289"/>
      <c r="AC701" s="289"/>
      <c r="AD701" s="295"/>
    </row>
    <row r="702" spans="18:30" ht="32.25" customHeight="1">
      <c r="R702" s="289"/>
      <c r="S702" s="289"/>
      <c r="T702" s="289"/>
      <c r="U702" s="289"/>
      <c r="V702" s="289"/>
      <c r="W702" s="289"/>
      <c r="X702" s="289"/>
      <c r="Y702" s="289"/>
      <c r="Z702" s="289"/>
      <c r="AA702" s="289"/>
      <c r="AB702" s="289"/>
      <c r="AC702" s="289"/>
      <c r="AD702" s="295"/>
    </row>
    <row r="703" spans="18:30" ht="32.25" customHeight="1">
      <c r="R703" s="289"/>
      <c r="S703" s="289"/>
      <c r="T703" s="289"/>
      <c r="U703" s="289"/>
      <c r="V703" s="289"/>
      <c r="W703" s="289"/>
      <c r="X703" s="289"/>
      <c r="Y703" s="289"/>
      <c r="Z703" s="289"/>
      <c r="AA703" s="289"/>
      <c r="AB703" s="289"/>
      <c r="AC703" s="289"/>
      <c r="AD703" s="295"/>
    </row>
    <row r="704" spans="18:30" ht="32.25" customHeight="1">
      <c r="R704" s="289"/>
      <c r="S704" s="289"/>
      <c r="T704" s="289"/>
      <c r="U704" s="289"/>
      <c r="V704" s="289"/>
      <c r="W704" s="289"/>
      <c r="X704" s="289"/>
      <c r="Y704" s="289"/>
      <c r="Z704" s="289"/>
      <c r="AA704" s="289"/>
      <c r="AB704" s="289"/>
      <c r="AC704" s="289"/>
      <c r="AD704" s="295"/>
    </row>
    <row r="705" spans="18:30" ht="32.25" customHeight="1">
      <c r="R705" s="289"/>
      <c r="S705" s="289"/>
      <c r="T705" s="289"/>
      <c r="U705" s="289"/>
      <c r="V705" s="289"/>
      <c r="W705" s="289"/>
      <c r="X705" s="289"/>
      <c r="Y705" s="289"/>
      <c r="Z705" s="289"/>
      <c r="AA705" s="289"/>
      <c r="AB705" s="289"/>
      <c r="AC705" s="289"/>
      <c r="AD705" s="295"/>
    </row>
    <row r="706" spans="18:30" ht="32.25" customHeight="1">
      <c r="R706" s="289"/>
      <c r="S706" s="289"/>
      <c r="T706" s="289"/>
      <c r="U706" s="289"/>
      <c r="V706" s="289"/>
      <c r="W706" s="289"/>
      <c r="X706" s="289"/>
      <c r="Y706" s="289"/>
      <c r="Z706" s="289"/>
      <c r="AA706" s="289"/>
      <c r="AB706" s="289"/>
      <c r="AC706" s="289"/>
      <c r="AD706" s="295"/>
    </row>
    <row r="707" spans="18:30" ht="32.25" customHeight="1">
      <c r="R707" s="289"/>
      <c r="S707" s="289"/>
      <c r="T707" s="289"/>
      <c r="U707" s="289"/>
      <c r="V707" s="289"/>
      <c r="W707" s="289"/>
      <c r="X707" s="289"/>
      <c r="Y707" s="289"/>
      <c r="Z707" s="289"/>
      <c r="AA707" s="289"/>
      <c r="AB707" s="289"/>
      <c r="AC707" s="289"/>
      <c r="AD707" s="295"/>
    </row>
    <row r="708" spans="18:30" ht="32.25" customHeight="1">
      <c r="R708" s="289"/>
      <c r="S708" s="289"/>
      <c r="T708" s="289"/>
      <c r="U708" s="289"/>
      <c r="V708" s="289"/>
      <c r="W708" s="289"/>
      <c r="X708" s="289"/>
      <c r="Y708" s="289"/>
      <c r="Z708" s="289"/>
      <c r="AA708" s="289"/>
      <c r="AB708" s="289"/>
      <c r="AC708" s="289"/>
      <c r="AD708" s="295"/>
    </row>
    <row r="709" spans="18:30" ht="32.25" customHeight="1">
      <c r="R709" s="289"/>
      <c r="S709" s="289"/>
      <c r="T709" s="289"/>
      <c r="U709" s="289"/>
      <c r="V709" s="289"/>
      <c r="W709" s="289"/>
      <c r="X709" s="289"/>
      <c r="Y709" s="289"/>
      <c r="Z709" s="289"/>
      <c r="AA709" s="289"/>
      <c r="AB709" s="289"/>
      <c r="AC709" s="289"/>
      <c r="AD709" s="295"/>
    </row>
    <row r="710" spans="18:30" ht="32.25" customHeight="1">
      <c r="R710" s="289"/>
      <c r="S710" s="289"/>
      <c r="T710" s="289"/>
      <c r="U710" s="289"/>
      <c r="V710" s="289"/>
      <c r="W710" s="289"/>
      <c r="X710" s="289"/>
      <c r="Y710" s="289"/>
      <c r="Z710" s="289"/>
      <c r="AA710" s="289"/>
      <c r="AB710" s="289"/>
      <c r="AC710" s="289"/>
      <c r="AD710" s="295"/>
    </row>
    <row r="711" spans="18:30" ht="32.25" customHeight="1">
      <c r="R711" s="289"/>
      <c r="S711" s="289"/>
      <c r="T711" s="289"/>
      <c r="U711" s="289"/>
      <c r="V711" s="289"/>
      <c r="W711" s="289"/>
      <c r="X711" s="289"/>
      <c r="Y711" s="289"/>
      <c r="Z711" s="289"/>
      <c r="AA711" s="289"/>
      <c r="AB711" s="289"/>
      <c r="AC711" s="289"/>
      <c r="AD711" s="295"/>
    </row>
    <row r="712" spans="18:30" ht="32.25" customHeight="1">
      <c r="R712" s="289"/>
      <c r="S712" s="289"/>
      <c r="T712" s="289"/>
      <c r="U712" s="289"/>
      <c r="V712" s="289"/>
      <c r="W712" s="289"/>
      <c r="X712" s="289"/>
      <c r="Y712" s="289"/>
      <c r="Z712" s="289"/>
      <c r="AA712" s="289"/>
      <c r="AB712" s="289"/>
      <c r="AC712" s="289"/>
      <c r="AD712" s="295"/>
    </row>
    <row r="713" spans="18:30" ht="32.25" customHeight="1">
      <c r="R713" s="289"/>
      <c r="S713" s="289"/>
      <c r="T713" s="289"/>
      <c r="U713" s="289"/>
      <c r="V713" s="289"/>
      <c r="W713" s="289"/>
      <c r="X713" s="289"/>
      <c r="Y713" s="289"/>
      <c r="Z713" s="289"/>
      <c r="AA713" s="289"/>
      <c r="AB713" s="289"/>
      <c r="AC713" s="289"/>
      <c r="AD713" s="295"/>
    </row>
    <row r="714" spans="18:30" ht="32.25" customHeight="1">
      <c r="R714" s="289"/>
      <c r="S714" s="289"/>
      <c r="T714" s="289"/>
      <c r="U714" s="289"/>
      <c r="V714" s="289"/>
      <c r="W714" s="289"/>
      <c r="X714" s="289"/>
      <c r="Y714" s="289"/>
      <c r="Z714" s="289"/>
      <c r="AA714" s="289"/>
      <c r="AB714" s="289"/>
      <c r="AC714" s="289"/>
      <c r="AD714" s="295"/>
    </row>
    <row r="715" spans="18:30" ht="32.25" customHeight="1">
      <c r="R715" s="289"/>
      <c r="S715" s="289"/>
      <c r="T715" s="289"/>
      <c r="U715" s="289"/>
      <c r="V715" s="289"/>
      <c r="W715" s="289"/>
      <c r="X715" s="289"/>
      <c r="Y715" s="289"/>
      <c r="Z715" s="289"/>
      <c r="AA715" s="289"/>
      <c r="AB715" s="289"/>
      <c r="AC715" s="289"/>
      <c r="AD715" s="295"/>
    </row>
    <row r="716" spans="18:30" ht="32.25" customHeight="1">
      <c r="R716" s="289"/>
      <c r="S716" s="289"/>
      <c r="T716" s="289"/>
      <c r="U716" s="289"/>
      <c r="V716" s="289"/>
      <c r="W716" s="289"/>
      <c r="X716" s="289"/>
      <c r="Y716" s="289"/>
      <c r="Z716" s="289"/>
      <c r="AA716" s="289"/>
      <c r="AB716" s="289"/>
      <c r="AC716" s="289"/>
      <c r="AD716" s="295"/>
    </row>
    <row r="717" spans="18:30" ht="32.25" customHeight="1">
      <c r="R717" s="289"/>
      <c r="S717" s="289"/>
      <c r="T717" s="289"/>
      <c r="U717" s="289"/>
      <c r="V717" s="289"/>
      <c r="W717" s="289"/>
      <c r="X717" s="289"/>
      <c r="Y717" s="289"/>
      <c r="Z717" s="289"/>
      <c r="AA717" s="289"/>
      <c r="AB717" s="289"/>
      <c r="AC717" s="289"/>
      <c r="AD717" s="295"/>
    </row>
    <row r="718" spans="18:30" ht="32.25" customHeight="1">
      <c r="R718" s="289"/>
      <c r="S718" s="289"/>
      <c r="T718" s="289"/>
      <c r="U718" s="289"/>
      <c r="V718" s="289"/>
      <c r="W718" s="289"/>
      <c r="X718" s="289"/>
      <c r="Y718" s="289"/>
      <c r="Z718" s="289"/>
      <c r="AA718" s="289"/>
      <c r="AB718" s="289"/>
      <c r="AC718" s="289"/>
      <c r="AD718" s="295"/>
    </row>
    <row r="719" spans="18:30" ht="32.25" customHeight="1">
      <c r="R719" s="289"/>
      <c r="S719" s="289"/>
      <c r="T719" s="289"/>
      <c r="U719" s="289"/>
      <c r="V719" s="289"/>
      <c r="W719" s="289"/>
      <c r="X719" s="289"/>
      <c r="Y719" s="289"/>
      <c r="Z719" s="289"/>
      <c r="AA719" s="289"/>
      <c r="AB719" s="289"/>
      <c r="AC719" s="289"/>
      <c r="AD719" s="295"/>
    </row>
    <row r="720" spans="18:30" ht="32.25" customHeight="1">
      <c r="R720" s="289"/>
      <c r="S720" s="289"/>
      <c r="T720" s="289"/>
      <c r="U720" s="289"/>
      <c r="V720" s="289"/>
      <c r="W720" s="289"/>
      <c r="X720" s="289"/>
      <c r="Y720" s="289"/>
      <c r="Z720" s="289"/>
      <c r="AA720" s="289"/>
      <c r="AB720" s="289"/>
      <c r="AC720" s="289"/>
      <c r="AD720" s="295"/>
    </row>
    <row r="721" spans="18:30" ht="32.25" customHeight="1">
      <c r="R721" s="289"/>
      <c r="S721" s="289"/>
      <c r="T721" s="289"/>
      <c r="U721" s="289"/>
      <c r="V721" s="289"/>
      <c r="W721" s="289"/>
      <c r="X721" s="289"/>
      <c r="Y721" s="289"/>
      <c r="Z721" s="289"/>
      <c r="AA721" s="289"/>
      <c r="AB721" s="289"/>
      <c r="AC721" s="289"/>
      <c r="AD721" s="295"/>
    </row>
    <row r="722" spans="18:30" ht="32.25" customHeight="1">
      <c r="R722" s="289"/>
      <c r="S722" s="289"/>
      <c r="T722" s="289"/>
      <c r="U722" s="289"/>
      <c r="V722" s="289"/>
      <c r="W722" s="289"/>
      <c r="X722" s="289"/>
      <c r="Y722" s="289"/>
      <c r="Z722" s="289"/>
      <c r="AA722" s="289"/>
      <c r="AB722" s="289"/>
      <c r="AC722" s="289"/>
      <c r="AD722" s="295"/>
    </row>
    <row r="723" spans="18:30" ht="32.25" customHeight="1">
      <c r="R723" s="289"/>
      <c r="S723" s="289"/>
      <c r="T723" s="289"/>
      <c r="U723" s="289"/>
      <c r="V723" s="289"/>
      <c r="W723" s="289"/>
      <c r="X723" s="289"/>
      <c r="Y723" s="289"/>
      <c r="Z723" s="289"/>
      <c r="AA723" s="289"/>
      <c r="AB723" s="289"/>
      <c r="AC723" s="289"/>
      <c r="AD723" s="295"/>
    </row>
    <row r="724" spans="18:30" ht="32.25" customHeight="1">
      <c r="R724" s="289"/>
      <c r="S724" s="289"/>
      <c r="T724" s="289"/>
      <c r="U724" s="289"/>
      <c r="V724" s="289"/>
      <c r="W724" s="289"/>
      <c r="X724" s="289"/>
      <c r="Y724" s="289"/>
      <c r="Z724" s="289"/>
      <c r="AA724" s="289"/>
      <c r="AB724" s="289"/>
      <c r="AC724" s="289"/>
      <c r="AD724" s="295"/>
    </row>
    <row r="725" spans="18:30" ht="32.25" customHeight="1">
      <c r="R725" s="289"/>
      <c r="S725" s="289"/>
      <c r="T725" s="289"/>
      <c r="U725" s="289"/>
      <c r="V725" s="289"/>
      <c r="W725" s="289"/>
      <c r="X725" s="289"/>
      <c r="Y725" s="289"/>
      <c r="Z725" s="289"/>
      <c r="AA725" s="289"/>
      <c r="AB725" s="289"/>
      <c r="AC725" s="289"/>
      <c r="AD725" s="295"/>
    </row>
    <row r="726" spans="18:30" ht="32.25" customHeight="1">
      <c r="R726" s="289"/>
      <c r="S726" s="289"/>
      <c r="T726" s="289"/>
      <c r="U726" s="289"/>
      <c r="V726" s="289"/>
      <c r="W726" s="289"/>
      <c r="X726" s="289"/>
      <c r="Y726" s="289"/>
      <c r="Z726" s="289"/>
      <c r="AA726" s="289"/>
      <c r="AB726" s="289"/>
      <c r="AC726" s="289"/>
      <c r="AD726" s="295"/>
    </row>
    <row r="727" spans="18:30" ht="32.25" customHeight="1">
      <c r="R727" s="289"/>
      <c r="S727" s="289"/>
      <c r="T727" s="289"/>
      <c r="U727" s="289"/>
      <c r="V727" s="289"/>
      <c r="W727" s="289"/>
      <c r="X727" s="289"/>
      <c r="Y727" s="289"/>
      <c r="Z727" s="289"/>
      <c r="AA727" s="289"/>
      <c r="AB727" s="289"/>
      <c r="AC727" s="289"/>
      <c r="AD727" s="295"/>
    </row>
    <row r="728" spans="18:30" ht="32.25" customHeight="1">
      <c r="R728" s="289"/>
      <c r="S728" s="289"/>
      <c r="T728" s="289"/>
      <c r="U728" s="289"/>
      <c r="V728" s="289"/>
      <c r="W728" s="289"/>
      <c r="X728" s="289"/>
      <c r="Y728" s="289"/>
      <c r="Z728" s="289"/>
      <c r="AA728" s="289"/>
      <c r="AB728" s="289"/>
      <c r="AC728" s="289"/>
      <c r="AD728" s="295"/>
    </row>
    <row r="729" spans="18:30" ht="32.25" customHeight="1">
      <c r="R729" s="289"/>
      <c r="S729" s="289"/>
      <c r="T729" s="289"/>
      <c r="U729" s="289"/>
      <c r="V729" s="289"/>
      <c r="W729" s="289"/>
      <c r="X729" s="289"/>
      <c r="Y729" s="289"/>
      <c r="Z729" s="289"/>
      <c r="AA729" s="289"/>
      <c r="AB729" s="289"/>
      <c r="AC729" s="289"/>
      <c r="AD729" s="295"/>
    </row>
    <row r="730" spans="18:30" ht="32.25" customHeight="1">
      <c r="R730" s="289"/>
      <c r="S730" s="289"/>
      <c r="T730" s="289"/>
      <c r="U730" s="289"/>
      <c r="V730" s="289"/>
      <c r="W730" s="289"/>
      <c r="X730" s="289"/>
      <c r="Y730" s="289"/>
      <c r="Z730" s="289"/>
      <c r="AA730" s="289"/>
      <c r="AB730" s="289"/>
      <c r="AC730" s="289"/>
      <c r="AD730" s="295"/>
    </row>
    <row r="731" spans="18:30" ht="32.25" customHeight="1">
      <c r="R731" s="289"/>
      <c r="S731" s="289"/>
      <c r="T731" s="289"/>
      <c r="U731" s="289"/>
      <c r="V731" s="289"/>
      <c r="W731" s="289"/>
      <c r="X731" s="289"/>
      <c r="Y731" s="289"/>
      <c r="Z731" s="289"/>
      <c r="AA731" s="289"/>
      <c r="AB731" s="289"/>
      <c r="AC731" s="289"/>
      <c r="AD731" s="295"/>
    </row>
    <row r="732" spans="18:30" ht="32.25" customHeight="1">
      <c r="R732" s="289"/>
      <c r="S732" s="289"/>
      <c r="T732" s="289"/>
      <c r="U732" s="289"/>
      <c r="V732" s="289"/>
      <c r="W732" s="289"/>
      <c r="X732" s="289"/>
      <c r="Y732" s="289"/>
      <c r="Z732" s="289"/>
      <c r="AA732" s="289"/>
      <c r="AB732" s="289"/>
      <c r="AC732" s="289"/>
      <c r="AD732" s="295"/>
    </row>
    <row r="733" spans="18:30" ht="32.25" customHeight="1">
      <c r="R733" s="289"/>
      <c r="S733" s="289"/>
      <c r="T733" s="289"/>
      <c r="U733" s="289"/>
      <c r="V733" s="289"/>
      <c r="W733" s="289"/>
      <c r="X733" s="289"/>
      <c r="Y733" s="289"/>
      <c r="Z733" s="289"/>
      <c r="AA733" s="289"/>
      <c r="AB733" s="289"/>
      <c r="AC733" s="289"/>
      <c r="AD733" s="295"/>
    </row>
    <row r="734" spans="18:30" ht="32.25" customHeight="1">
      <c r="R734" s="289"/>
      <c r="S734" s="289"/>
      <c r="T734" s="289"/>
      <c r="U734" s="289"/>
      <c r="V734" s="289"/>
      <c r="W734" s="289"/>
      <c r="X734" s="289"/>
      <c r="Y734" s="289"/>
      <c r="Z734" s="289"/>
      <c r="AA734" s="289"/>
      <c r="AB734" s="289"/>
      <c r="AC734" s="289"/>
      <c r="AD734" s="295"/>
    </row>
    <row r="735" spans="18:30" ht="32.25" customHeight="1">
      <c r="R735" s="289"/>
      <c r="S735" s="289"/>
      <c r="T735" s="289"/>
      <c r="U735" s="289"/>
      <c r="V735" s="289"/>
      <c r="W735" s="289"/>
      <c r="X735" s="289"/>
      <c r="Y735" s="289"/>
      <c r="Z735" s="289"/>
      <c r="AA735" s="289"/>
      <c r="AB735" s="289"/>
      <c r="AC735" s="289"/>
      <c r="AD735" s="295"/>
    </row>
    <row r="736" spans="18:30" ht="32.25" customHeight="1">
      <c r="R736" s="289"/>
      <c r="S736" s="289"/>
      <c r="T736" s="289"/>
      <c r="U736" s="289"/>
      <c r="V736" s="289"/>
      <c r="W736" s="289"/>
      <c r="X736" s="289"/>
      <c r="Y736" s="289"/>
      <c r="Z736" s="289"/>
      <c r="AA736" s="289"/>
      <c r="AB736" s="289"/>
      <c r="AC736" s="289"/>
      <c r="AD736" s="295"/>
    </row>
    <row r="737" spans="18:30" ht="32.25" customHeight="1">
      <c r="R737" s="289"/>
      <c r="S737" s="289"/>
      <c r="T737" s="289"/>
      <c r="U737" s="289"/>
      <c r="V737" s="289"/>
      <c r="W737" s="289"/>
      <c r="X737" s="289"/>
      <c r="Y737" s="289"/>
      <c r="Z737" s="289"/>
      <c r="AA737" s="289"/>
      <c r="AB737" s="289"/>
      <c r="AC737" s="289"/>
      <c r="AD737" s="295"/>
    </row>
    <row r="738" spans="18:30" ht="32.25" customHeight="1">
      <c r="R738" s="289"/>
      <c r="S738" s="289"/>
      <c r="T738" s="289"/>
      <c r="U738" s="289"/>
      <c r="V738" s="289"/>
      <c r="W738" s="289"/>
      <c r="X738" s="289"/>
      <c r="Y738" s="289"/>
      <c r="Z738" s="289"/>
      <c r="AA738" s="289"/>
      <c r="AB738" s="289"/>
      <c r="AC738" s="289"/>
      <c r="AD738" s="295"/>
    </row>
    <row r="739" spans="18:30" ht="32.25" customHeight="1">
      <c r="R739" s="289"/>
      <c r="S739" s="289"/>
      <c r="T739" s="289"/>
      <c r="U739" s="289"/>
      <c r="V739" s="289"/>
      <c r="W739" s="289"/>
      <c r="X739" s="289"/>
      <c r="Y739" s="289"/>
      <c r="Z739" s="289"/>
      <c r="AA739" s="289"/>
      <c r="AB739" s="289"/>
      <c r="AC739" s="289"/>
      <c r="AD739" s="295"/>
    </row>
    <row r="740" spans="18:30" ht="32.25" customHeight="1">
      <c r="R740" s="289"/>
      <c r="S740" s="289"/>
      <c r="T740" s="289"/>
      <c r="U740" s="289"/>
      <c r="V740" s="289"/>
      <c r="W740" s="289"/>
      <c r="X740" s="289"/>
      <c r="Y740" s="289"/>
      <c r="Z740" s="289"/>
      <c r="AA740" s="289"/>
      <c r="AB740" s="289"/>
      <c r="AC740" s="289"/>
      <c r="AD740" s="295"/>
    </row>
    <row r="741" spans="18:30" ht="32.25" customHeight="1">
      <c r="R741" s="289"/>
      <c r="S741" s="289"/>
      <c r="T741" s="289"/>
      <c r="U741" s="289"/>
      <c r="V741" s="289"/>
      <c r="W741" s="289"/>
      <c r="X741" s="289"/>
      <c r="Y741" s="289"/>
      <c r="Z741" s="289"/>
      <c r="AA741" s="289"/>
      <c r="AB741" s="289"/>
      <c r="AC741" s="289"/>
      <c r="AD741" s="295"/>
    </row>
    <row r="742" spans="18:30" ht="32.25" customHeight="1">
      <c r="R742" s="289"/>
      <c r="S742" s="289"/>
      <c r="T742" s="289"/>
      <c r="U742" s="289"/>
      <c r="V742" s="289"/>
      <c r="W742" s="289"/>
      <c r="X742" s="289"/>
      <c r="Y742" s="289"/>
      <c r="Z742" s="289"/>
      <c r="AA742" s="289"/>
      <c r="AB742" s="289"/>
      <c r="AC742" s="289"/>
      <c r="AD742" s="295"/>
    </row>
    <row r="743" spans="18:30" ht="32.25" customHeight="1">
      <c r="R743" s="289"/>
      <c r="S743" s="289"/>
      <c r="T743" s="289"/>
      <c r="U743" s="289"/>
      <c r="V743" s="289"/>
      <c r="W743" s="289"/>
      <c r="X743" s="289"/>
      <c r="Y743" s="289"/>
      <c r="Z743" s="289"/>
      <c r="AA743" s="289"/>
      <c r="AB743" s="289"/>
      <c r="AC743" s="289"/>
      <c r="AD743" s="295"/>
    </row>
    <row r="744" spans="18:30" ht="32.25" customHeight="1">
      <c r="R744" s="289"/>
      <c r="S744" s="289"/>
      <c r="T744" s="289"/>
      <c r="U744" s="289"/>
      <c r="V744" s="289"/>
      <c r="W744" s="289"/>
      <c r="X744" s="289"/>
      <c r="Y744" s="289"/>
      <c r="Z744" s="289"/>
      <c r="AA744" s="289"/>
      <c r="AB744" s="289"/>
      <c r="AC744" s="289"/>
      <c r="AD744" s="295"/>
    </row>
    <row r="745" spans="18:30" ht="32.25" customHeight="1">
      <c r="R745" s="289"/>
      <c r="S745" s="289"/>
      <c r="T745" s="289"/>
      <c r="U745" s="289"/>
      <c r="V745" s="289"/>
      <c r="W745" s="289"/>
      <c r="X745" s="289"/>
      <c r="Y745" s="289"/>
      <c r="Z745" s="289"/>
      <c r="AA745" s="289"/>
      <c r="AB745" s="289"/>
      <c r="AC745" s="289"/>
      <c r="AD745" s="295"/>
    </row>
    <row r="746" spans="18:30" ht="32.25" customHeight="1">
      <c r="R746" s="289"/>
      <c r="S746" s="289"/>
      <c r="T746" s="289"/>
      <c r="U746" s="289"/>
      <c r="V746" s="289"/>
      <c r="W746" s="289"/>
      <c r="X746" s="289"/>
      <c r="Y746" s="289"/>
      <c r="Z746" s="289"/>
      <c r="AA746" s="289"/>
      <c r="AB746" s="289"/>
      <c r="AC746" s="289"/>
      <c r="AD746" s="295"/>
    </row>
    <row r="747" spans="18:30" ht="32.25" customHeight="1">
      <c r="R747" s="289"/>
      <c r="S747" s="289"/>
      <c r="T747" s="289"/>
      <c r="U747" s="289"/>
      <c r="V747" s="289"/>
      <c r="W747" s="289"/>
      <c r="X747" s="289"/>
      <c r="Y747" s="289"/>
      <c r="Z747" s="289"/>
      <c r="AA747" s="289"/>
      <c r="AB747" s="289"/>
      <c r="AC747" s="289"/>
      <c r="AD747" s="295"/>
    </row>
    <row r="748" spans="18:30" ht="32.25" customHeight="1">
      <c r="R748" s="289"/>
      <c r="S748" s="289"/>
      <c r="T748" s="289"/>
      <c r="U748" s="289"/>
      <c r="V748" s="289"/>
      <c r="W748" s="289"/>
      <c r="X748" s="289"/>
      <c r="Y748" s="289"/>
      <c r="Z748" s="289"/>
      <c r="AA748" s="289"/>
      <c r="AB748" s="289"/>
      <c r="AC748" s="289"/>
      <c r="AD748" s="295"/>
    </row>
    <row r="749" spans="18:30" ht="32.25" customHeight="1">
      <c r="R749" s="289"/>
      <c r="S749" s="289"/>
      <c r="T749" s="289"/>
      <c r="U749" s="289"/>
      <c r="V749" s="289"/>
      <c r="W749" s="289"/>
      <c r="X749" s="289"/>
      <c r="Y749" s="289"/>
      <c r="Z749" s="289"/>
      <c r="AA749" s="289"/>
      <c r="AB749" s="289"/>
      <c r="AC749" s="289"/>
      <c r="AD749" s="295"/>
    </row>
    <row r="750" spans="18:30" ht="32.25" customHeight="1">
      <c r="R750" s="289"/>
      <c r="S750" s="289"/>
      <c r="T750" s="289"/>
      <c r="U750" s="289"/>
      <c r="V750" s="289"/>
      <c r="W750" s="289"/>
      <c r="X750" s="289"/>
      <c r="Y750" s="289"/>
      <c r="Z750" s="289"/>
      <c r="AA750" s="289"/>
      <c r="AB750" s="289"/>
      <c r="AC750" s="289"/>
      <c r="AD750" s="295"/>
    </row>
    <row r="751" spans="18:30" ht="32.25" customHeight="1">
      <c r="R751" s="289"/>
      <c r="S751" s="289"/>
      <c r="T751" s="289"/>
      <c r="U751" s="289"/>
      <c r="V751" s="289"/>
      <c r="W751" s="289"/>
      <c r="X751" s="289"/>
      <c r="Y751" s="289"/>
      <c r="Z751" s="289"/>
      <c r="AA751" s="289"/>
      <c r="AB751" s="289"/>
      <c r="AC751" s="289"/>
      <c r="AD751" s="295"/>
    </row>
    <row r="752" spans="18:30" ht="32.25" customHeight="1">
      <c r="R752" s="289"/>
      <c r="S752" s="289"/>
      <c r="T752" s="289"/>
      <c r="U752" s="289"/>
      <c r="V752" s="289"/>
      <c r="W752" s="289"/>
      <c r="X752" s="289"/>
      <c r="Y752" s="289"/>
      <c r="Z752" s="289"/>
      <c r="AA752" s="289"/>
      <c r="AB752" s="289"/>
      <c r="AC752" s="289"/>
      <c r="AD752" s="295"/>
    </row>
    <row r="753" spans="18:30" ht="32.25" customHeight="1">
      <c r="R753" s="289"/>
      <c r="S753" s="289"/>
      <c r="T753" s="289"/>
      <c r="U753" s="289"/>
      <c r="V753" s="289"/>
      <c r="W753" s="289"/>
      <c r="X753" s="289"/>
      <c r="Y753" s="289"/>
      <c r="Z753" s="289"/>
      <c r="AA753" s="289"/>
      <c r="AB753" s="289"/>
      <c r="AC753" s="289"/>
      <c r="AD753" s="295"/>
    </row>
    <row r="754" spans="18:30" ht="32.25" customHeight="1">
      <c r="R754" s="289"/>
      <c r="S754" s="289"/>
      <c r="T754" s="289"/>
      <c r="U754" s="289"/>
      <c r="V754" s="289"/>
      <c r="W754" s="289"/>
      <c r="X754" s="289"/>
      <c r="Y754" s="289"/>
      <c r="Z754" s="289"/>
      <c r="AA754" s="289"/>
      <c r="AB754" s="289"/>
      <c r="AC754" s="289"/>
      <c r="AD754" s="295"/>
    </row>
    <row r="755" spans="18:30" ht="32.25" customHeight="1">
      <c r="R755" s="289"/>
      <c r="S755" s="289"/>
      <c r="T755" s="289"/>
      <c r="U755" s="289"/>
      <c r="V755" s="289"/>
      <c r="W755" s="289"/>
      <c r="X755" s="289"/>
      <c r="Y755" s="289"/>
      <c r="Z755" s="289"/>
      <c r="AA755" s="289"/>
      <c r="AB755" s="289"/>
      <c r="AC755" s="289"/>
      <c r="AD755" s="295"/>
    </row>
    <row r="756" spans="18:30" ht="32.25" customHeight="1">
      <c r="R756" s="289"/>
      <c r="S756" s="289"/>
      <c r="T756" s="289"/>
      <c r="U756" s="289"/>
      <c r="V756" s="289"/>
      <c r="W756" s="289"/>
      <c r="X756" s="289"/>
      <c r="Y756" s="289"/>
      <c r="Z756" s="289"/>
      <c r="AA756" s="289"/>
      <c r="AB756" s="289"/>
      <c r="AC756" s="289"/>
      <c r="AD756" s="295"/>
    </row>
    <row r="757" spans="18:30" ht="32.25" customHeight="1">
      <c r="R757" s="289"/>
      <c r="S757" s="289"/>
      <c r="T757" s="289"/>
      <c r="U757" s="289"/>
      <c r="V757" s="289"/>
      <c r="W757" s="289"/>
      <c r="X757" s="289"/>
      <c r="Y757" s="289"/>
      <c r="Z757" s="289"/>
      <c r="AA757" s="289"/>
      <c r="AB757" s="289"/>
      <c r="AC757" s="289"/>
      <c r="AD757" s="295"/>
    </row>
    <row r="758" spans="18:30" ht="32.25" customHeight="1">
      <c r="R758" s="289"/>
      <c r="S758" s="289"/>
      <c r="T758" s="289"/>
      <c r="U758" s="289"/>
      <c r="V758" s="289"/>
      <c r="W758" s="289"/>
      <c r="X758" s="289"/>
      <c r="Y758" s="289"/>
      <c r="Z758" s="289"/>
      <c r="AA758" s="289"/>
      <c r="AB758" s="289"/>
      <c r="AC758" s="289"/>
      <c r="AD758" s="295"/>
    </row>
    <row r="759" spans="18:30" ht="32.25" customHeight="1">
      <c r="R759" s="289"/>
      <c r="S759" s="289"/>
      <c r="T759" s="289"/>
      <c r="U759" s="289"/>
      <c r="V759" s="289"/>
      <c r="W759" s="289"/>
      <c r="X759" s="289"/>
      <c r="Y759" s="289"/>
      <c r="Z759" s="289"/>
      <c r="AA759" s="289"/>
      <c r="AB759" s="289"/>
      <c r="AC759" s="289"/>
      <c r="AD759" s="295"/>
    </row>
    <row r="760" spans="18:30" ht="32.25" customHeight="1">
      <c r="R760" s="289"/>
      <c r="S760" s="289"/>
      <c r="T760" s="289"/>
      <c r="U760" s="289"/>
      <c r="V760" s="289"/>
      <c r="W760" s="289"/>
      <c r="X760" s="289"/>
      <c r="Y760" s="289"/>
      <c r="Z760" s="289"/>
      <c r="AA760" s="289"/>
      <c r="AB760" s="289"/>
      <c r="AC760" s="289"/>
      <c r="AD760" s="295"/>
    </row>
    <row r="761" spans="18:30" ht="32.25" customHeight="1">
      <c r="R761" s="289"/>
      <c r="S761" s="289"/>
      <c r="T761" s="289"/>
      <c r="U761" s="289"/>
      <c r="V761" s="289"/>
      <c r="W761" s="289"/>
      <c r="X761" s="289"/>
      <c r="Y761" s="289"/>
      <c r="Z761" s="289"/>
      <c r="AA761" s="289"/>
      <c r="AB761" s="289"/>
      <c r="AC761" s="289"/>
      <c r="AD761" s="295"/>
    </row>
    <row r="762" spans="18:30" ht="32.25" customHeight="1">
      <c r="R762" s="289"/>
      <c r="S762" s="289"/>
      <c r="T762" s="289"/>
      <c r="U762" s="289"/>
      <c r="V762" s="289"/>
      <c r="W762" s="289"/>
      <c r="X762" s="289"/>
      <c r="Y762" s="289"/>
      <c r="Z762" s="289"/>
      <c r="AA762" s="289"/>
      <c r="AB762" s="289"/>
      <c r="AC762" s="289"/>
      <c r="AD762" s="295"/>
    </row>
    <row r="763" spans="18:30" ht="32.25" customHeight="1">
      <c r="R763" s="289"/>
      <c r="S763" s="289"/>
      <c r="T763" s="289"/>
      <c r="U763" s="289"/>
      <c r="V763" s="289"/>
      <c r="W763" s="289"/>
      <c r="X763" s="289"/>
      <c r="Y763" s="289"/>
      <c r="Z763" s="289"/>
      <c r="AA763" s="289"/>
      <c r="AB763" s="289"/>
      <c r="AC763" s="289"/>
      <c r="AD763" s="295"/>
    </row>
    <row r="764" spans="18:30" ht="32.25" customHeight="1">
      <c r="R764" s="289"/>
      <c r="S764" s="289"/>
      <c r="T764" s="289"/>
      <c r="U764" s="289"/>
      <c r="V764" s="289"/>
      <c r="W764" s="289"/>
      <c r="X764" s="289"/>
      <c r="Y764" s="289"/>
      <c r="Z764" s="289"/>
      <c r="AA764" s="289"/>
      <c r="AB764" s="289"/>
      <c r="AC764" s="289"/>
      <c r="AD764" s="295"/>
    </row>
    <row r="765" spans="18:30" ht="32.25" customHeight="1">
      <c r="R765" s="289"/>
      <c r="S765" s="289"/>
      <c r="T765" s="289"/>
      <c r="U765" s="289"/>
      <c r="V765" s="289"/>
      <c r="W765" s="289"/>
      <c r="X765" s="289"/>
      <c r="Y765" s="289"/>
      <c r="Z765" s="289"/>
      <c r="AA765" s="289"/>
      <c r="AB765" s="289"/>
      <c r="AC765" s="289"/>
      <c r="AD765" s="295"/>
    </row>
    <row r="766" spans="18:30" ht="32.25" customHeight="1">
      <c r="R766" s="289"/>
      <c r="S766" s="289"/>
      <c r="T766" s="289"/>
      <c r="U766" s="289"/>
      <c r="V766" s="289"/>
      <c r="W766" s="289"/>
      <c r="X766" s="289"/>
      <c r="Y766" s="289"/>
      <c r="Z766" s="289"/>
      <c r="AA766" s="289"/>
      <c r="AB766" s="289"/>
      <c r="AC766" s="289"/>
      <c r="AD766" s="295"/>
    </row>
    <row r="767" spans="18:30" ht="32.25" customHeight="1">
      <c r="R767" s="289"/>
      <c r="S767" s="289"/>
      <c r="T767" s="289"/>
      <c r="U767" s="289"/>
      <c r="V767" s="289"/>
      <c r="W767" s="289"/>
      <c r="X767" s="289"/>
      <c r="Y767" s="289"/>
      <c r="Z767" s="289"/>
      <c r="AA767" s="289"/>
      <c r="AB767" s="289"/>
      <c r="AC767" s="289"/>
      <c r="AD767" s="295"/>
    </row>
    <row r="768" spans="18:30" ht="32.25" customHeight="1">
      <c r="R768" s="289"/>
      <c r="S768" s="289"/>
      <c r="T768" s="289"/>
      <c r="U768" s="289"/>
      <c r="V768" s="289"/>
      <c r="W768" s="289"/>
      <c r="X768" s="289"/>
      <c r="Y768" s="289"/>
      <c r="Z768" s="289"/>
      <c r="AA768" s="289"/>
      <c r="AB768" s="289"/>
      <c r="AC768" s="289"/>
      <c r="AD768" s="295"/>
    </row>
    <row r="769" spans="18:30" ht="32.25" customHeight="1">
      <c r="R769" s="289"/>
      <c r="S769" s="289"/>
      <c r="T769" s="289"/>
      <c r="U769" s="289"/>
      <c r="V769" s="289"/>
      <c r="W769" s="289"/>
      <c r="X769" s="289"/>
      <c r="Y769" s="289"/>
      <c r="Z769" s="289"/>
      <c r="AA769" s="289"/>
      <c r="AB769" s="289"/>
      <c r="AC769" s="289"/>
      <c r="AD769" s="295"/>
    </row>
    <row r="770" spans="18:30" ht="32.25" customHeight="1">
      <c r="R770" s="289"/>
      <c r="S770" s="289"/>
      <c r="T770" s="289"/>
      <c r="U770" s="289"/>
      <c r="V770" s="289"/>
      <c r="W770" s="289"/>
      <c r="X770" s="289"/>
      <c r="Y770" s="289"/>
      <c r="Z770" s="289"/>
      <c r="AA770" s="289"/>
      <c r="AB770" s="289"/>
      <c r="AC770" s="289"/>
      <c r="AD770" s="295"/>
    </row>
    <row r="771" spans="18:30" ht="32.25" customHeight="1">
      <c r="R771" s="289"/>
      <c r="S771" s="289"/>
      <c r="T771" s="289"/>
      <c r="U771" s="289"/>
      <c r="V771" s="289"/>
      <c r="W771" s="289"/>
      <c r="X771" s="289"/>
      <c r="Y771" s="289"/>
      <c r="Z771" s="289"/>
      <c r="AA771" s="289"/>
      <c r="AB771" s="289"/>
      <c r="AC771" s="289"/>
      <c r="AD771" s="295"/>
    </row>
    <row r="772" spans="18:30" ht="32.25" customHeight="1">
      <c r="R772" s="289"/>
      <c r="S772" s="289"/>
      <c r="T772" s="289"/>
      <c r="U772" s="289"/>
      <c r="V772" s="289"/>
      <c r="W772" s="289"/>
      <c r="X772" s="289"/>
      <c r="Y772" s="289"/>
      <c r="Z772" s="289"/>
      <c r="AA772" s="289"/>
      <c r="AB772" s="289"/>
      <c r="AC772" s="289"/>
      <c r="AD772" s="295"/>
    </row>
    <row r="773" spans="18:30" ht="32.25" customHeight="1">
      <c r="R773" s="289"/>
      <c r="S773" s="289"/>
      <c r="T773" s="289"/>
      <c r="U773" s="289"/>
      <c r="V773" s="289"/>
      <c r="W773" s="289"/>
      <c r="X773" s="289"/>
      <c r="Y773" s="289"/>
      <c r="Z773" s="289"/>
      <c r="AA773" s="289"/>
      <c r="AB773" s="289"/>
      <c r="AC773" s="289"/>
      <c r="AD773" s="295"/>
    </row>
    <row r="774" spans="18:30" ht="32.25" customHeight="1">
      <c r="R774" s="289"/>
      <c r="S774" s="289"/>
      <c r="T774" s="289"/>
      <c r="U774" s="289"/>
      <c r="V774" s="289"/>
      <c r="W774" s="289"/>
      <c r="X774" s="289"/>
      <c r="Y774" s="289"/>
      <c r="Z774" s="289"/>
      <c r="AA774" s="289"/>
      <c r="AB774" s="289"/>
      <c r="AC774" s="289"/>
      <c r="AD774" s="295"/>
    </row>
    <row r="775" spans="18:30" ht="32.25" customHeight="1">
      <c r="R775" s="289"/>
      <c r="S775" s="289"/>
      <c r="T775" s="289"/>
      <c r="U775" s="289"/>
      <c r="V775" s="289"/>
      <c r="W775" s="289"/>
      <c r="X775" s="289"/>
      <c r="Y775" s="289"/>
      <c r="Z775" s="289"/>
      <c r="AA775" s="289"/>
      <c r="AB775" s="289"/>
      <c r="AC775" s="289"/>
      <c r="AD775" s="295"/>
    </row>
    <row r="776" spans="18:30" ht="32.25" customHeight="1">
      <c r="R776" s="289"/>
      <c r="S776" s="289"/>
      <c r="T776" s="289"/>
      <c r="U776" s="289"/>
      <c r="V776" s="289"/>
      <c r="W776" s="289"/>
      <c r="X776" s="289"/>
      <c r="Y776" s="289"/>
      <c r="Z776" s="289"/>
      <c r="AA776" s="289"/>
      <c r="AB776" s="289"/>
      <c r="AC776" s="289"/>
      <c r="AD776" s="295"/>
    </row>
    <row r="777" spans="18:30" ht="32.25" customHeight="1">
      <c r="R777" s="289"/>
      <c r="S777" s="289"/>
      <c r="T777" s="289"/>
      <c r="U777" s="289"/>
      <c r="V777" s="289"/>
      <c r="W777" s="289"/>
      <c r="X777" s="289"/>
      <c r="Y777" s="289"/>
      <c r="Z777" s="289"/>
      <c r="AA777" s="289"/>
      <c r="AB777" s="289"/>
      <c r="AC777" s="289"/>
      <c r="AD777" s="295"/>
    </row>
    <row r="778" spans="18:30" ht="32.25" customHeight="1">
      <c r="R778" s="289"/>
      <c r="S778" s="289"/>
      <c r="T778" s="289"/>
      <c r="U778" s="289"/>
      <c r="V778" s="289"/>
      <c r="W778" s="289"/>
      <c r="X778" s="289"/>
      <c r="Y778" s="289"/>
      <c r="Z778" s="289"/>
      <c r="AA778" s="289"/>
      <c r="AB778" s="289"/>
      <c r="AC778" s="289"/>
      <c r="AD778" s="295"/>
    </row>
    <row r="779" spans="18:30" ht="32.25" customHeight="1">
      <c r="R779" s="289"/>
      <c r="S779" s="289"/>
      <c r="T779" s="289"/>
      <c r="U779" s="289"/>
      <c r="V779" s="289"/>
      <c r="W779" s="289"/>
      <c r="X779" s="289"/>
      <c r="Y779" s="289"/>
      <c r="Z779" s="289"/>
      <c r="AA779" s="289"/>
      <c r="AB779" s="289"/>
      <c r="AC779" s="289"/>
      <c r="AD779" s="295"/>
    </row>
    <row r="780" spans="18:30" ht="32.25" customHeight="1">
      <c r="R780" s="289"/>
      <c r="S780" s="289"/>
      <c r="T780" s="289"/>
      <c r="U780" s="289"/>
      <c r="V780" s="289"/>
      <c r="W780" s="289"/>
      <c r="X780" s="289"/>
      <c r="Y780" s="289"/>
      <c r="Z780" s="289"/>
      <c r="AA780" s="289"/>
      <c r="AB780" s="289"/>
      <c r="AC780" s="289"/>
      <c r="AD780" s="295"/>
    </row>
    <row r="781" spans="18:30" ht="32.25" customHeight="1">
      <c r="R781" s="289"/>
      <c r="S781" s="289"/>
      <c r="T781" s="289"/>
      <c r="U781" s="289"/>
      <c r="V781" s="289"/>
      <c r="W781" s="289"/>
      <c r="X781" s="289"/>
      <c r="Y781" s="289"/>
      <c r="Z781" s="289"/>
      <c r="AA781" s="289"/>
      <c r="AB781" s="289"/>
      <c r="AC781" s="289"/>
      <c r="AD781" s="295"/>
    </row>
    <row r="782" spans="18:30" ht="32.25" customHeight="1">
      <c r="R782" s="289"/>
      <c r="S782" s="289"/>
      <c r="T782" s="289"/>
      <c r="U782" s="289"/>
      <c r="V782" s="289"/>
      <c r="W782" s="289"/>
      <c r="X782" s="289"/>
      <c r="Y782" s="289"/>
      <c r="Z782" s="289"/>
      <c r="AA782" s="289"/>
      <c r="AB782" s="289"/>
      <c r="AC782" s="289"/>
      <c r="AD782" s="295"/>
    </row>
    <row r="783" spans="18:30" ht="32.25" customHeight="1">
      <c r="R783" s="289"/>
      <c r="S783" s="289"/>
      <c r="T783" s="289"/>
      <c r="U783" s="289"/>
      <c r="V783" s="289"/>
      <c r="W783" s="289"/>
      <c r="X783" s="289"/>
      <c r="Y783" s="289"/>
      <c r="Z783" s="289"/>
      <c r="AA783" s="289"/>
      <c r="AB783" s="289"/>
      <c r="AC783" s="289"/>
      <c r="AD783" s="295"/>
    </row>
    <row r="784" spans="18:30" ht="32.25" customHeight="1">
      <c r="R784" s="289"/>
      <c r="S784" s="289"/>
      <c r="T784" s="289"/>
      <c r="U784" s="289"/>
      <c r="V784" s="289"/>
      <c r="W784" s="289"/>
      <c r="X784" s="289"/>
      <c r="Y784" s="289"/>
      <c r="Z784" s="289"/>
      <c r="AA784" s="289"/>
      <c r="AB784" s="289"/>
      <c r="AC784" s="289"/>
      <c r="AD784" s="295"/>
    </row>
    <row r="785" spans="18:30" ht="32.25" customHeight="1">
      <c r="R785" s="289"/>
      <c r="S785" s="289"/>
      <c r="T785" s="289"/>
      <c r="U785" s="289"/>
      <c r="V785" s="289"/>
      <c r="W785" s="289"/>
      <c r="X785" s="289"/>
      <c r="Y785" s="289"/>
      <c r="Z785" s="289"/>
      <c r="AA785" s="289"/>
      <c r="AB785" s="289"/>
      <c r="AC785" s="289"/>
      <c r="AD785" s="295"/>
    </row>
    <row r="786" spans="18:30" ht="32.25" customHeight="1">
      <c r="R786" s="289"/>
      <c r="S786" s="289"/>
      <c r="T786" s="289"/>
      <c r="U786" s="289"/>
      <c r="V786" s="289"/>
      <c r="W786" s="289"/>
      <c r="X786" s="289"/>
      <c r="Y786" s="289"/>
      <c r="Z786" s="289"/>
      <c r="AA786" s="289"/>
      <c r="AB786" s="289"/>
      <c r="AC786" s="289"/>
      <c r="AD786" s="295"/>
    </row>
    <row r="787" spans="18:30" ht="32.25" customHeight="1">
      <c r="R787" s="289"/>
      <c r="S787" s="289"/>
      <c r="T787" s="289"/>
      <c r="U787" s="289"/>
      <c r="V787" s="289"/>
      <c r="W787" s="289"/>
      <c r="X787" s="289"/>
      <c r="Y787" s="289"/>
      <c r="Z787" s="289"/>
      <c r="AA787" s="289"/>
      <c r="AB787" s="289"/>
      <c r="AC787" s="289"/>
      <c r="AD787" s="295"/>
    </row>
    <row r="788" spans="18:30" ht="32.25" customHeight="1">
      <c r="R788" s="289"/>
      <c r="S788" s="289"/>
      <c r="T788" s="289"/>
      <c r="U788" s="289"/>
      <c r="V788" s="289"/>
      <c r="W788" s="289"/>
      <c r="X788" s="289"/>
      <c r="Y788" s="289"/>
      <c r="Z788" s="289"/>
      <c r="AA788" s="289"/>
      <c r="AB788" s="289"/>
      <c r="AC788" s="289"/>
      <c r="AD788" s="295"/>
    </row>
    <row r="789" spans="18:30" ht="32.25" customHeight="1">
      <c r="R789" s="289"/>
      <c r="S789" s="289"/>
      <c r="T789" s="289"/>
      <c r="U789" s="289"/>
      <c r="V789" s="289"/>
      <c r="W789" s="289"/>
      <c r="X789" s="289"/>
      <c r="Y789" s="289"/>
      <c r="Z789" s="289"/>
      <c r="AA789" s="289"/>
      <c r="AB789" s="289"/>
      <c r="AC789" s="289"/>
      <c r="AD789" s="295"/>
    </row>
    <row r="790" spans="18:30" ht="32.25" customHeight="1">
      <c r="R790" s="289"/>
      <c r="S790" s="289"/>
      <c r="T790" s="289"/>
      <c r="U790" s="289"/>
      <c r="V790" s="289"/>
      <c r="W790" s="289"/>
      <c r="X790" s="289"/>
      <c r="Y790" s="289"/>
      <c r="Z790" s="289"/>
      <c r="AA790" s="289"/>
      <c r="AB790" s="289"/>
      <c r="AC790" s="289"/>
      <c r="AD790" s="295"/>
    </row>
    <row r="791" spans="18:30" ht="32.25" customHeight="1">
      <c r="R791" s="289"/>
      <c r="S791" s="289"/>
      <c r="T791" s="289"/>
      <c r="U791" s="289"/>
      <c r="V791" s="289"/>
      <c r="W791" s="289"/>
      <c r="X791" s="289"/>
      <c r="Y791" s="289"/>
      <c r="Z791" s="289"/>
      <c r="AA791" s="289"/>
      <c r="AB791" s="289"/>
      <c r="AC791" s="289"/>
      <c r="AD791" s="295"/>
    </row>
    <row r="792" spans="18:30" ht="32.25" customHeight="1">
      <c r="R792" s="289"/>
      <c r="S792" s="289"/>
      <c r="T792" s="289"/>
      <c r="U792" s="289"/>
      <c r="V792" s="289"/>
      <c r="W792" s="289"/>
      <c r="X792" s="289"/>
      <c r="Y792" s="289"/>
      <c r="Z792" s="289"/>
      <c r="AA792" s="289"/>
      <c r="AB792" s="289"/>
      <c r="AC792" s="289"/>
      <c r="AD792" s="295"/>
    </row>
    <row r="793" spans="18:30" ht="32.25" customHeight="1">
      <c r="R793" s="289"/>
      <c r="S793" s="289"/>
      <c r="T793" s="289"/>
      <c r="U793" s="289"/>
      <c r="V793" s="289"/>
      <c r="W793" s="289"/>
      <c r="X793" s="289"/>
      <c r="Y793" s="289"/>
      <c r="Z793" s="289"/>
      <c r="AA793" s="289"/>
      <c r="AB793" s="289"/>
      <c r="AC793" s="289"/>
      <c r="AD793" s="295"/>
    </row>
    <row r="794" spans="18:30" ht="32.25" customHeight="1">
      <c r="R794" s="289"/>
      <c r="S794" s="289"/>
      <c r="T794" s="289"/>
      <c r="U794" s="289"/>
      <c r="V794" s="289"/>
      <c r="W794" s="289"/>
      <c r="X794" s="289"/>
      <c r="Y794" s="289"/>
      <c r="Z794" s="289"/>
      <c r="AA794" s="289"/>
      <c r="AB794" s="289"/>
      <c r="AC794" s="289"/>
      <c r="AD794" s="295"/>
    </row>
    <row r="795" spans="18:30" ht="32.25" customHeight="1">
      <c r="R795" s="289"/>
      <c r="S795" s="289"/>
      <c r="T795" s="289"/>
      <c r="U795" s="289"/>
      <c r="V795" s="289"/>
      <c r="W795" s="289"/>
      <c r="X795" s="289"/>
      <c r="Y795" s="289"/>
      <c r="Z795" s="289"/>
      <c r="AA795" s="289"/>
      <c r="AB795" s="289"/>
      <c r="AC795" s="289"/>
      <c r="AD795" s="295"/>
    </row>
    <row r="796" spans="18:30" ht="32.25" customHeight="1">
      <c r="R796" s="289"/>
      <c r="S796" s="289"/>
      <c r="T796" s="289"/>
      <c r="U796" s="289"/>
      <c r="V796" s="289"/>
      <c r="W796" s="289"/>
      <c r="X796" s="289"/>
      <c r="Y796" s="289"/>
      <c r="Z796" s="289"/>
      <c r="AA796" s="289"/>
      <c r="AB796" s="289"/>
      <c r="AC796" s="289"/>
      <c r="AD796" s="295"/>
    </row>
    <row r="797" spans="18:30" ht="32.25" customHeight="1">
      <c r="R797" s="289"/>
      <c r="S797" s="289"/>
      <c r="T797" s="289"/>
      <c r="U797" s="289"/>
      <c r="V797" s="289"/>
      <c r="W797" s="289"/>
      <c r="X797" s="289"/>
      <c r="Y797" s="289"/>
      <c r="Z797" s="289"/>
      <c r="AA797" s="289"/>
      <c r="AB797" s="289"/>
      <c r="AC797" s="289"/>
      <c r="AD797" s="295"/>
    </row>
    <row r="798" spans="18:30" ht="32.25" customHeight="1">
      <c r="R798" s="289"/>
      <c r="S798" s="289"/>
      <c r="T798" s="289"/>
      <c r="U798" s="289"/>
      <c r="V798" s="289"/>
      <c r="W798" s="289"/>
      <c r="X798" s="289"/>
      <c r="Y798" s="289"/>
      <c r="Z798" s="289"/>
      <c r="AA798" s="289"/>
      <c r="AB798" s="289"/>
      <c r="AC798" s="289"/>
      <c r="AD798" s="295"/>
    </row>
    <row r="799" spans="18:30" ht="32.25" customHeight="1">
      <c r="R799" s="289"/>
      <c r="S799" s="289"/>
      <c r="T799" s="289"/>
      <c r="U799" s="289"/>
      <c r="V799" s="289"/>
      <c r="W799" s="289"/>
      <c r="X799" s="289"/>
      <c r="Y799" s="289"/>
      <c r="Z799" s="289"/>
      <c r="AA799" s="289"/>
      <c r="AB799" s="289"/>
      <c r="AC799" s="289"/>
      <c r="AD799" s="295"/>
    </row>
    <row r="800" spans="18:30" ht="32.25" customHeight="1">
      <c r="R800" s="289"/>
      <c r="S800" s="289"/>
      <c r="T800" s="289"/>
      <c r="U800" s="289"/>
      <c r="V800" s="289"/>
      <c r="W800" s="289"/>
      <c r="X800" s="289"/>
      <c r="Y800" s="289"/>
      <c r="Z800" s="289"/>
      <c r="AA800" s="289"/>
      <c r="AB800" s="289"/>
      <c r="AC800" s="289"/>
      <c r="AD800" s="295"/>
    </row>
    <row r="801" spans="18:30" ht="32.25" customHeight="1">
      <c r="R801" s="289"/>
      <c r="S801" s="289"/>
      <c r="T801" s="289"/>
      <c r="U801" s="289"/>
      <c r="V801" s="289"/>
      <c r="W801" s="289"/>
      <c r="X801" s="289"/>
      <c r="Y801" s="289"/>
      <c r="Z801" s="289"/>
      <c r="AA801" s="289"/>
      <c r="AB801" s="289"/>
      <c r="AC801" s="289"/>
      <c r="AD801" s="295"/>
    </row>
    <row r="802" spans="18:30" ht="32.25" customHeight="1">
      <c r="R802" s="289"/>
      <c r="S802" s="289"/>
      <c r="T802" s="289"/>
      <c r="U802" s="289"/>
      <c r="V802" s="289"/>
      <c r="W802" s="289"/>
      <c r="X802" s="289"/>
      <c r="Y802" s="289"/>
      <c r="Z802" s="289"/>
      <c r="AA802" s="289"/>
      <c r="AB802" s="289"/>
      <c r="AC802" s="289"/>
      <c r="AD802" s="295"/>
    </row>
    <row r="803" spans="18:30" ht="32.25" customHeight="1">
      <c r="R803" s="289"/>
      <c r="S803" s="289"/>
      <c r="T803" s="289"/>
      <c r="U803" s="289"/>
      <c r="V803" s="289"/>
      <c r="W803" s="289"/>
      <c r="X803" s="289"/>
      <c r="Y803" s="289"/>
      <c r="Z803" s="289"/>
      <c r="AA803" s="289"/>
      <c r="AB803" s="289"/>
      <c r="AC803" s="289"/>
      <c r="AD803" s="295"/>
    </row>
    <row r="804" spans="18:30" ht="32.25" customHeight="1">
      <c r="R804" s="289"/>
      <c r="S804" s="289"/>
      <c r="T804" s="289"/>
      <c r="U804" s="289"/>
      <c r="V804" s="289"/>
      <c r="W804" s="289"/>
      <c r="X804" s="289"/>
      <c r="Y804" s="289"/>
      <c r="Z804" s="289"/>
      <c r="AA804" s="289"/>
      <c r="AB804" s="289"/>
      <c r="AC804" s="289"/>
      <c r="AD804" s="295"/>
    </row>
    <row r="805" spans="18:30" ht="32.25" customHeight="1">
      <c r="R805" s="289"/>
      <c r="S805" s="289"/>
      <c r="T805" s="289"/>
      <c r="U805" s="289"/>
      <c r="V805" s="289"/>
      <c r="W805" s="289"/>
      <c r="X805" s="289"/>
      <c r="Y805" s="289"/>
      <c r="Z805" s="289"/>
      <c r="AA805" s="289"/>
      <c r="AB805" s="289"/>
      <c r="AC805" s="289"/>
      <c r="AD805" s="295"/>
    </row>
    <row r="806" spans="18:30" ht="32.25" customHeight="1">
      <c r="R806" s="289"/>
      <c r="S806" s="289"/>
      <c r="T806" s="289"/>
      <c r="U806" s="289"/>
      <c r="V806" s="289"/>
      <c r="W806" s="289"/>
      <c r="X806" s="289"/>
      <c r="Y806" s="289"/>
      <c r="Z806" s="289"/>
      <c r="AA806" s="289"/>
      <c r="AB806" s="289"/>
      <c r="AC806" s="289"/>
      <c r="AD806" s="295"/>
    </row>
    <row r="807" spans="18:30" ht="32.25" customHeight="1">
      <c r="R807" s="289"/>
      <c r="S807" s="289"/>
      <c r="T807" s="289"/>
      <c r="U807" s="289"/>
      <c r="V807" s="289"/>
      <c r="W807" s="289"/>
      <c r="X807" s="289"/>
      <c r="Y807" s="289"/>
      <c r="Z807" s="289"/>
      <c r="AA807" s="289"/>
      <c r="AB807" s="289"/>
      <c r="AC807" s="289"/>
      <c r="AD807" s="295"/>
    </row>
    <row r="808" spans="18:30" ht="32.25" customHeight="1">
      <c r="R808" s="289"/>
      <c r="S808" s="289"/>
      <c r="T808" s="289"/>
      <c r="U808" s="289"/>
      <c r="V808" s="289"/>
      <c r="W808" s="289"/>
      <c r="X808" s="289"/>
      <c r="Y808" s="289"/>
      <c r="Z808" s="289"/>
      <c r="AA808" s="289"/>
      <c r="AB808" s="289"/>
      <c r="AC808" s="289"/>
      <c r="AD808" s="295"/>
    </row>
    <row r="809" spans="18:30" ht="32.25" customHeight="1">
      <c r="R809" s="289"/>
      <c r="S809" s="289"/>
      <c r="T809" s="289"/>
      <c r="U809" s="289"/>
      <c r="V809" s="289"/>
      <c r="W809" s="289"/>
      <c r="X809" s="289"/>
      <c r="Y809" s="289"/>
      <c r="Z809" s="289"/>
      <c r="AA809" s="289"/>
      <c r="AB809" s="289"/>
      <c r="AC809" s="289"/>
      <c r="AD809" s="295"/>
    </row>
    <row r="810" spans="18:30" ht="32.25" customHeight="1">
      <c r="R810" s="289"/>
      <c r="S810" s="289"/>
      <c r="T810" s="289"/>
      <c r="U810" s="289"/>
      <c r="V810" s="289"/>
      <c r="W810" s="289"/>
      <c r="X810" s="289"/>
      <c r="Y810" s="289"/>
      <c r="Z810" s="289"/>
      <c r="AA810" s="289"/>
      <c r="AB810" s="289"/>
      <c r="AC810" s="289"/>
      <c r="AD810" s="295"/>
    </row>
    <row r="811" spans="18:30" ht="32.25" customHeight="1">
      <c r="R811" s="289"/>
      <c r="S811" s="289"/>
      <c r="T811" s="289"/>
      <c r="U811" s="289"/>
      <c r="V811" s="289"/>
      <c r="W811" s="289"/>
      <c r="X811" s="289"/>
      <c r="Y811" s="289"/>
      <c r="Z811" s="289"/>
      <c r="AA811" s="289"/>
      <c r="AB811" s="289"/>
      <c r="AC811" s="289"/>
      <c r="AD811" s="295"/>
    </row>
    <row r="812" spans="18:30" ht="32.25" customHeight="1">
      <c r="R812" s="289"/>
      <c r="S812" s="289"/>
      <c r="T812" s="289"/>
      <c r="U812" s="289"/>
      <c r="V812" s="289"/>
      <c r="W812" s="289"/>
      <c r="X812" s="289"/>
      <c r="Y812" s="289"/>
      <c r="Z812" s="289"/>
      <c r="AA812" s="289"/>
      <c r="AB812" s="289"/>
      <c r="AC812" s="289"/>
      <c r="AD812" s="295"/>
    </row>
    <row r="813" spans="18:30" ht="32.25" customHeight="1">
      <c r="R813" s="289"/>
      <c r="S813" s="289"/>
      <c r="T813" s="289"/>
      <c r="U813" s="289"/>
      <c r="V813" s="289"/>
      <c r="W813" s="289"/>
      <c r="X813" s="289"/>
      <c r="Y813" s="289"/>
      <c r="Z813" s="289"/>
      <c r="AA813" s="289"/>
      <c r="AB813" s="289"/>
      <c r="AC813" s="289"/>
      <c r="AD813" s="295"/>
    </row>
    <row r="814" spans="18:30" ht="32.25" customHeight="1">
      <c r="R814" s="289"/>
      <c r="S814" s="289"/>
      <c r="T814" s="289"/>
      <c r="U814" s="289"/>
      <c r="V814" s="289"/>
      <c r="W814" s="289"/>
      <c r="X814" s="289"/>
      <c r="Y814" s="289"/>
      <c r="Z814" s="289"/>
      <c r="AA814" s="289"/>
      <c r="AB814" s="289"/>
      <c r="AC814" s="289"/>
      <c r="AD814" s="295"/>
    </row>
    <row r="815" spans="18:30" ht="32.25" customHeight="1">
      <c r="R815" s="289"/>
      <c r="S815" s="289"/>
      <c r="T815" s="289"/>
      <c r="U815" s="289"/>
      <c r="V815" s="289"/>
      <c r="W815" s="289"/>
      <c r="X815" s="289"/>
      <c r="Y815" s="289"/>
      <c r="Z815" s="289"/>
      <c r="AA815" s="289"/>
      <c r="AB815" s="289"/>
      <c r="AC815" s="289"/>
      <c r="AD815" s="295"/>
    </row>
    <row r="816" spans="18:30" ht="32.25" customHeight="1">
      <c r="R816" s="289"/>
      <c r="S816" s="289"/>
      <c r="T816" s="289"/>
      <c r="U816" s="289"/>
      <c r="V816" s="289"/>
      <c r="W816" s="289"/>
      <c r="X816" s="289"/>
      <c r="Y816" s="289"/>
      <c r="Z816" s="289"/>
      <c r="AA816" s="289"/>
      <c r="AB816" s="289"/>
      <c r="AC816" s="289"/>
      <c r="AD816" s="295"/>
    </row>
    <row r="817" spans="18:30" ht="32.25" customHeight="1">
      <c r="R817" s="289"/>
      <c r="S817" s="289"/>
      <c r="T817" s="289"/>
      <c r="U817" s="289"/>
      <c r="V817" s="289"/>
      <c r="W817" s="289"/>
      <c r="X817" s="289"/>
      <c r="Y817" s="289"/>
      <c r="Z817" s="289"/>
      <c r="AA817" s="289"/>
      <c r="AB817" s="289"/>
      <c r="AC817" s="289"/>
      <c r="AD817" s="295"/>
    </row>
    <row r="818" spans="18:30" ht="32.25" customHeight="1">
      <c r="R818" s="289"/>
      <c r="S818" s="289"/>
      <c r="T818" s="289"/>
      <c r="U818" s="289"/>
      <c r="V818" s="289"/>
      <c r="W818" s="289"/>
      <c r="X818" s="289"/>
      <c r="Y818" s="289"/>
      <c r="Z818" s="289"/>
      <c r="AA818" s="289"/>
      <c r="AB818" s="289"/>
      <c r="AC818" s="289"/>
      <c r="AD818" s="295"/>
    </row>
    <row r="819" spans="18:30" ht="32.25" customHeight="1">
      <c r="R819" s="289"/>
      <c r="S819" s="289"/>
      <c r="T819" s="289"/>
      <c r="U819" s="289"/>
      <c r="V819" s="289"/>
      <c r="W819" s="289"/>
      <c r="X819" s="289"/>
      <c r="Y819" s="289"/>
      <c r="Z819" s="289"/>
      <c r="AA819" s="289"/>
      <c r="AB819" s="289"/>
      <c r="AC819" s="289"/>
      <c r="AD819" s="295"/>
    </row>
    <row r="820" spans="18:30" ht="32.25" customHeight="1">
      <c r="R820" s="289"/>
      <c r="S820" s="289"/>
      <c r="T820" s="289"/>
      <c r="U820" s="289"/>
      <c r="V820" s="289"/>
      <c r="W820" s="289"/>
      <c r="X820" s="289"/>
      <c r="Y820" s="289"/>
      <c r="Z820" s="289"/>
      <c r="AA820" s="289"/>
      <c r="AB820" s="289"/>
      <c r="AC820" s="289"/>
      <c r="AD820" s="295"/>
    </row>
    <row r="821" spans="18:30" ht="32.25" customHeight="1">
      <c r="R821" s="289"/>
      <c r="S821" s="289"/>
      <c r="T821" s="289"/>
      <c r="U821" s="289"/>
      <c r="V821" s="289"/>
      <c r="W821" s="289"/>
      <c r="X821" s="289"/>
      <c r="Y821" s="289"/>
      <c r="Z821" s="289"/>
      <c r="AA821" s="289"/>
      <c r="AB821" s="289"/>
      <c r="AC821" s="289"/>
      <c r="AD821" s="295"/>
    </row>
    <row r="822" spans="18:30" ht="32.25" customHeight="1">
      <c r="R822" s="289"/>
      <c r="S822" s="289"/>
      <c r="T822" s="289"/>
      <c r="U822" s="289"/>
      <c r="V822" s="289"/>
      <c r="W822" s="289"/>
      <c r="X822" s="289"/>
      <c r="Y822" s="289"/>
      <c r="Z822" s="289"/>
      <c r="AA822" s="289"/>
      <c r="AB822" s="289"/>
      <c r="AC822" s="289"/>
      <c r="AD822" s="295"/>
    </row>
    <row r="823" spans="18:30" ht="32.25" customHeight="1">
      <c r="R823" s="289"/>
      <c r="S823" s="289"/>
      <c r="T823" s="289"/>
      <c r="U823" s="289"/>
      <c r="V823" s="289"/>
      <c r="W823" s="289"/>
      <c r="X823" s="289"/>
      <c r="Y823" s="289"/>
      <c r="Z823" s="289"/>
      <c r="AA823" s="289"/>
      <c r="AB823" s="289"/>
      <c r="AC823" s="289"/>
      <c r="AD823" s="295"/>
    </row>
    <row r="824" spans="18:30" ht="32.25" customHeight="1">
      <c r="R824" s="289"/>
      <c r="S824" s="289"/>
      <c r="T824" s="289"/>
      <c r="U824" s="289"/>
      <c r="V824" s="289"/>
      <c r="W824" s="289"/>
      <c r="X824" s="289"/>
      <c r="Y824" s="289"/>
      <c r="Z824" s="289"/>
      <c r="AA824" s="289"/>
      <c r="AB824" s="289"/>
      <c r="AC824" s="289"/>
      <c r="AD824" s="295"/>
    </row>
    <row r="825" spans="18:30" ht="32.25" customHeight="1">
      <c r="R825" s="289"/>
      <c r="S825" s="289"/>
      <c r="T825" s="289"/>
      <c r="U825" s="289"/>
      <c r="V825" s="289"/>
      <c r="W825" s="289"/>
      <c r="X825" s="289"/>
      <c r="Y825" s="289"/>
      <c r="Z825" s="289"/>
      <c r="AA825" s="289"/>
      <c r="AB825" s="289"/>
      <c r="AC825" s="289"/>
      <c r="AD825" s="295"/>
    </row>
    <row r="826" spans="18:30" ht="32.25" customHeight="1">
      <c r="R826" s="289"/>
      <c r="S826" s="289"/>
      <c r="T826" s="289"/>
      <c r="U826" s="289"/>
      <c r="V826" s="289"/>
      <c r="W826" s="289"/>
      <c r="X826" s="289"/>
      <c r="Y826" s="289"/>
      <c r="Z826" s="289"/>
      <c r="AA826" s="289"/>
      <c r="AB826" s="289"/>
      <c r="AC826" s="289"/>
      <c r="AD826" s="295"/>
    </row>
    <row r="827" spans="18:30" ht="32.25" customHeight="1">
      <c r="R827" s="289"/>
      <c r="S827" s="289"/>
      <c r="T827" s="289"/>
      <c r="U827" s="289"/>
      <c r="V827" s="289"/>
      <c r="W827" s="289"/>
      <c r="X827" s="289"/>
      <c r="Y827" s="289"/>
      <c r="Z827" s="289"/>
      <c r="AA827" s="289"/>
      <c r="AB827" s="289"/>
      <c r="AC827" s="289"/>
      <c r="AD827" s="295"/>
    </row>
    <row r="828" spans="18:30" ht="32.25" customHeight="1">
      <c r="R828" s="289"/>
      <c r="S828" s="289"/>
      <c r="T828" s="289"/>
      <c r="U828" s="289"/>
      <c r="V828" s="289"/>
      <c r="W828" s="289"/>
      <c r="X828" s="289"/>
      <c r="Y828" s="289"/>
      <c r="Z828" s="289"/>
      <c r="AA828" s="289"/>
      <c r="AB828" s="289"/>
      <c r="AC828" s="289"/>
      <c r="AD828" s="295"/>
    </row>
    <row r="829" spans="18:30" ht="32.25" customHeight="1">
      <c r="R829" s="289"/>
      <c r="S829" s="289"/>
      <c r="T829" s="289"/>
      <c r="U829" s="289"/>
      <c r="V829" s="289"/>
      <c r="W829" s="289"/>
      <c r="X829" s="289"/>
      <c r="Y829" s="289"/>
      <c r="Z829" s="289"/>
      <c r="AA829" s="289"/>
      <c r="AB829" s="289"/>
      <c r="AC829" s="289"/>
      <c r="AD829" s="295"/>
    </row>
    <row r="830" spans="18:30" ht="32.25" customHeight="1">
      <c r="R830" s="289"/>
      <c r="S830" s="289"/>
      <c r="T830" s="289"/>
      <c r="U830" s="289"/>
      <c r="V830" s="289"/>
      <c r="W830" s="289"/>
      <c r="X830" s="289"/>
      <c r="Y830" s="289"/>
      <c r="Z830" s="289"/>
      <c r="AA830" s="289"/>
      <c r="AB830" s="289"/>
      <c r="AC830" s="289"/>
      <c r="AD830" s="295"/>
    </row>
    <row r="831" spans="18:30" ht="32.25" customHeight="1">
      <c r="R831" s="289"/>
      <c r="S831" s="289"/>
      <c r="T831" s="289"/>
      <c r="U831" s="289"/>
      <c r="V831" s="289"/>
      <c r="W831" s="289"/>
      <c r="X831" s="289"/>
      <c r="Y831" s="289"/>
      <c r="Z831" s="289"/>
      <c r="AA831" s="289"/>
      <c r="AB831" s="289"/>
      <c r="AC831" s="289"/>
      <c r="AD831" s="295"/>
    </row>
    <row r="832" spans="18:30" ht="32.25" customHeight="1">
      <c r="R832" s="289"/>
      <c r="S832" s="289"/>
      <c r="T832" s="289"/>
      <c r="U832" s="289"/>
      <c r="V832" s="289"/>
      <c r="W832" s="289"/>
      <c r="X832" s="289"/>
      <c r="Y832" s="289"/>
      <c r="Z832" s="289"/>
      <c r="AA832" s="289"/>
      <c r="AB832" s="289"/>
      <c r="AC832" s="289"/>
      <c r="AD832" s="295"/>
    </row>
    <row r="833" spans="18:30" ht="32.25" customHeight="1">
      <c r="R833" s="289"/>
      <c r="S833" s="289"/>
      <c r="T833" s="289"/>
      <c r="U833" s="289"/>
      <c r="V833" s="289"/>
      <c r="W833" s="289"/>
      <c r="X833" s="289"/>
      <c r="Y833" s="289"/>
      <c r="Z833" s="289"/>
      <c r="AA833" s="289"/>
      <c r="AB833" s="289"/>
      <c r="AC833" s="289"/>
      <c r="AD833" s="295"/>
    </row>
    <row r="834" spans="18:30" ht="32.25" customHeight="1">
      <c r="R834" s="289"/>
      <c r="S834" s="289"/>
      <c r="T834" s="289"/>
      <c r="U834" s="289"/>
      <c r="V834" s="289"/>
      <c r="W834" s="289"/>
      <c r="X834" s="289"/>
      <c r="Y834" s="289"/>
      <c r="Z834" s="289"/>
      <c r="AA834" s="289"/>
      <c r="AB834" s="289"/>
      <c r="AC834" s="289"/>
      <c r="AD834" s="295"/>
    </row>
    <row r="835" spans="18:30" ht="32.25" customHeight="1">
      <c r="R835" s="289"/>
      <c r="S835" s="289"/>
      <c r="T835" s="289"/>
      <c r="U835" s="289"/>
      <c r="V835" s="289"/>
      <c r="W835" s="289"/>
      <c r="X835" s="289"/>
      <c r="Y835" s="289"/>
      <c r="Z835" s="289"/>
      <c r="AA835" s="289"/>
      <c r="AB835" s="289"/>
      <c r="AC835" s="289"/>
      <c r="AD835" s="295"/>
    </row>
    <row r="836" spans="18:30" ht="32.25" customHeight="1">
      <c r="R836" s="289"/>
      <c r="S836" s="289"/>
      <c r="T836" s="289"/>
      <c r="U836" s="289"/>
      <c r="V836" s="289"/>
      <c r="W836" s="289"/>
      <c r="X836" s="289"/>
      <c r="Y836" s="289"/>
      <c r="Z836" s="289"/>
      <c r="AA836" s="289"/>
      <c r="AB836" s="289"/>
      <c r="AC836" s="289"/>
      <c r="AD836" s="295"/>
    </row>
    <row r="837" spans="18:30" ht="32.25" customHeight="1">
      <c r="R837" s="289"/>
      <c r="S837" s="289"/>
      <c r="T837" s="289"/>
      <c r="U837" s="289"/>
      <c r="V837" s="289"/>
      <c r="W837" s="289"/>
      <c r="X837" s="289"/>
      <c r="Y837" s="289"/>
      <c r="Z837" s="289"/>
      <c r="AA837" s="289"/>
      <c r="AB837" s="289"/>
      <c r="AC837" s="289"/>
      <c r="AD837" s="295"/>
    </row>
    <row r="838" spans="18:30" ht="32.25" customHeight="1">
      <c r="R838" s="289"/>
      <c r="S838" s="289"/>
      <c r="T838" s="289"/>
      <c r="U838" s="289"/>
      <c r="V838" s="289"/>
      <c r="W838" s="289"/>
      <c r="X838" s="289"/>
      <c r="Y838" s="289"/>
      <c r="Z838" s="289"/>
      <c r="AA838" s="289"/>
      <c r="AB838" s="289"/>
      <c r="AC838" s="289"/>
      <c r="AD838" s="295"/>
    </row>
    <row r="839" spans="18:30" ht="32.25" customHeight="1">
      <c r="R839" s="289"/>
      <c r="S839" s="289"/>
      <c r="T839" s="289"/>
      <c r="U839" s="289"/>
      <c r="V839" s="289"/>
      <c r="W839" s="289"/>
      <c r="X839" s="289"/>
      <c r="Y839" s="289"/>
      <c r="Z839" s="289"/>
      <c r="AA839" s="289"/>
      <c r="AB839" s="289"/>
      <c r="AC839" s="289"/>
      <c r="AD839" s="295"/>
    </row>
    <row r="840" spans="18:30" ht="32.25" customHeight="1">
      <c r="R840" s="289"/>
      <c r="S840" s="289"/>
      <c r="T840" s="289"/>
      <c r="U840" s="289"/>
      <c r="V840" s="289"/>
      <c r="W840" s="289"/>
      <c r="X840" s="289"/>
      <c r="Y840" s="289"/>
      <c r="Z840" s="289"/>
      <c r="AA840" s="289"/>
      <c r="AB840" s="289"/>
      <c r="AC840" s="289"/>
      <c r="AD840" s="295"/>
    </row>
    <row r="841" spans="18:30" ht="32.25" customHeight="1">
      <c r="R841" s="289"/>
      <c r="S841" s="289"/>
      <c r="T841" s="289"/>
      <c r="U841" s="289"/>
      <c r="V841" s="289"/>
      <c r="W841" s="289"/>
      <c r="X841" s="289"/>
      <c r="Y841" s="289"/>
      <c r="Z841" s="289"/>
      <c r="AA841" s="289"/>
      <c r="AB841" s="289"/>
      <c r="AC841" s="289"/>
      <c r="AD841" s="295"/>
    </row>
    <row r="842" spans="18:30" ht="32.25" customHeight="1">
      <c r="R842" s="289"/>
      <c r="S842" s="289"/>
      <c r="T842" s="289"/>
      <c r="U842" s="289"/>
      <c r="V842" s="289"/>
      <c r="W842" s="289"/>
      <c r="X842" s="289"/>
      <c r="Y842" s="289"/>
      <c r="Z842" s="289"/>
      <c r="AA842" s="289"/>
      <c r="AB842" s="289"/>
      <c r="AC842" s="289"/>
      <c r="AD842" s="295"/>
    </row>
    <row r="843" spans="18:30" ht="32.25" customHeight="1">
      <c r="R843" s="289"/>
      <c r="S843" s="289"/>
      <c r="T843" s="289"/>
      <c r="U843" s="289"/>
      <c r="V843" s="289"/>
      <c r="W843" s="289"/>
      <c r="X843" s="289"/>
      <c r="Y843" s="289"/>
      <c r="Z843" s="289"/>
      <c r="AA843" s="289"/>
      <c r="AB843" s="289"/>
      <c r="AC843" s="289"/>
      <c r="AD843" s="295"/>
    </row>
    <row r="844" spans="18:30" ht="32.25" customHeight="1">
      <c r="R844" s="289"/>
      <c r="S844" s="289"/>
      <c r="T844" s="289"/>
      <c r="U844" s="289"/>
      <c r="V844" s="289"/>
      <c r="W844" s="289"/>
      <c r="X844" s="289"/>
      <c r="Y844" s="289"/>
      <c r="Z844" s="289"/>
      <c r="AA844" s="289"/>
      <c r="AB844" s="289"/>
      <c r="AC844" s="289"/>
      <c r="AD844" s="295"/>
    </row>
    <row r="845" spans="18:30" ht="32.25" customHeight="1">
      <c r="R845" s="289"/>
      <c r="S845" s="289"/>
      <c r="T845" s="289"/>
      <c r="U845" s="289"/>
      <c r="V845" s="289"/>
      <c r="W845" s="289"/>
      <c r="X845" s="289"/>
      <c r="Y845" s="289"/>
      <c r="Z845" s="289"/>
      <c r="AA845" s="289"/>
      <c r="AB845" s="289"/>
      <c r="AC845" s="289"/>
      <c r="AD845" s="295"/>
    </row>
    <row r="846" spans="18:30" ht="32.25" customHeight="1">
      <c r="R846" s="289"/>
      <c r="S846" s="289"/>
      <c r="T846" s="289"/>
      <c r="U846" s="289"/>
      <c r="V846" s="289"/>
      <c r="W846" s="289"/>
      <c r="X846" s="289"/>
      <c r="Y846" s="289"/>
      <c r="Z846" s="289"/>
      <c r="AA846" s="289"/>
      <c r="AB846" s="289"/>
      <c r="AC846" s="289"/>
      <c r="AD846" s="295"/>
    </row>
    <row r="847" spans="18:30" ht="32.25" customHeight="1">
      <c r="R847" s="289"/>
      <c r="S847" s="289"/>
      <c r="T847" s="289"/>
      <c r="U847" s="289"/>
      <c r="V847" s="289"/>
      <c r="W847" s="289"/>
      <c r="X847" s="289"/>
      <c r="Y847" s="289"/>
      <c r="Z847" s="289"/>
      <c r="AA847" s="289"/>
      <c r="AB847" s="289"/>
      <c r="AC847" s="289"/>
      <c r="AD847" s="295"/>
    </row>
    <row r="848" spans="18:30" ht="32.25" customHeight="1">
      <c r="R848" s="289"/>
      <c r="S848" s="289"/>
      <c r="T848" s="289"/>
      <c r="U848" s="289"/>
      <c r="V848" s="289"/>
      <c r="W848" s="289"/>
      <c r="X848" s="289"/>
      <c r="Y848" s="289"/>
      <c r="Z848" s="289"/>
      <c r="AA848" s="289"/>
      <c r="AB848" s="289"/>
      <c r="AC848" s="289"/>
      <c r="AD848" s="295"/>
    </row>
    <row r="849" spans="18:30" ht="32.25" customHeight="1">
      <c r="R849" s="289"/>
      <c r="S849" s="289"/>
      <c r="T849" s="289"/>
      <c r="U849" s="289"/>
      <c r="V849" s="289"/>
      <c r="W849" s="289"/>
      <c r="X849" s="289"/>
      <c r="Y849" s="289"/>
      <c r="Z849" s="289"/>
      <c r="AA849" s="289"/>
      <c r="AB849" s="289"/>
      <c r="AC849" s="289"/>
      <c r="AD849" s="295"/>
    </row>
    <row r="850" spans="18:30" ht="32.25" customHeight="1">
      <c r="R850" s="289"/>
      <c r="S850" s="289"/>
      <c r="T850" s="289"/>
      <c r="U850" s="289"/>
      <c r="V850" s="289"/>
      <c r="W850" s="289"/>
      <c r="X850" s="289"/>
      <c r="Y850" s="289"/>
      <c r="Z850" s="289"/>
      <c r="AA850" s="289"/>
      <c r="AB850" s="289"/>
      <c r="AC850" s="289"/>
      <c r="AD850" s="295"/>
    </row>
    <row r="851" spans="18:30" ht="32.25" customHeight="1">
      <c r="R851" s="289"/>
      <c r="S851" s="289"/>
      <c r="T851" s="289"/>
      <c r="U851" s="289"/>
      <c r="V851" s="289"/>
      <c r="W851" s="289"/>
      <c r="X851" s="289"/>
      <c r="Y851" s="289"/>
      <c r="Z851" s="289"/>
      <c r="AA851" s="289"/>
      <c r="AB851" s="289"/>
      <c r="AC851" s="289"/>
      <c r="AD851" s="295"/>
    </row>
    <row r="852" spans="18:30" ht="32.25" customHeight="1">
      <c r="R852" s="289"/>
      <c r="S852" s="289"/>
      <c r="T852" s="289"/>
      <c r="U852" s="289"/>
      <c r="V852" s="289"/>
      <c r="W852" s="289"/>
      <c r="X852" s="289"/>
      <c r="Y852" s="289"/>
      <c r="Z852" s="289"/>
      <c r="AA852" s="289"/>
      <c r="AB852" s="289"/>
      <c r="AC852" s="289"/>
      <c r="AD852" s="295"/>
    </row>
    <row r="853" spans="18:30" ht="32.25" customHeight="1">
      <c r="R853" s="289"/>
      <c r="S853" s="289"/>
      <c r="T853" s="289"/>
      <c r="U853" s="289"/>
      <c r="V853" s="289"/>
      <c r="W853" s="289"/>
      <c r="X853" s="289"/>
      <c r="Y853" s="289"/>
      <c r="Z853" s="289"/>
      <c r="AA853" s="289"/>
      <c r="AB853" s="289"/>
      <c r="AC853" s="289"/>
      <c r="AD853" s="295"/>
    </row>
    <row r="854" spans="18:30" ht="32.25" customHeight="1">
      <c r="R854" s="289"/>
      <c r="S854" s="289"/>
      <c r="T854" s="289"/>
      <c r="U854" s="289"/>
      <c r="V854" s="289"/>
      <c r="W854" s="289"/>
      <c r="X854" s="289"/>
      <c r="Y854" s="289"/>
      <c r="Z854" s="289"/>
      <c r="AA854" s="289"/>
      <c r="AB854" s="289"/>
      <c r="AC854" s="289"/>
      <c r="AD854" s="295"/>
    </row>
    <row r="855" spans="18:30" ht="32.25" customHeight="1">
      <c r="R855" s="289"/>
      <c r="S855" s="289"/>
      <c r="T855" s="289"/>
      <c r="U855" s="289"/>
      <c r="V855" s="289"/>
      <c r="W855" s="289"/>
      <c r="X855" s="289"/>
      <c r="Y855" s="289"/>
      <c r="Z855" s="289"/>
      <c r="AA855" s="289"/>
      <c r="AB855" s="289"/>
      <c r="AC855" s="289"/>
      <c r="AD855" s="295"/>
    </row>
    <row r="856" spans="18:30" ht="32.25" customHeight="1">
      <c r="R856" s="289"/>
      <c r="S856" s="289"/>
      <c r="T856" s="289"/>
      <c r="U856" s="289"/>
      <c r="V856" s="289"/>
      <c r="W856" s="289"/>
      <c r="X856" s="289"/>
      <c r="Y856" s="289"/>
      <c r="Z856" s="289"/>
      <c r="AA856" s="289"/>
      <c r="AB856" s="289"/>
      <c r="AC856" s="289"/>
      <c r="AD856" s="295"/>
    </row>
    <row r="857" spans="18:30" ht="32.25" customHeight="1">
      <c r="R857" s="289"/>
      <c r="S857" s="289"/>
      <c r="T857" s="289"/>
      <c r="U857" s="289"/>
      <c r="V857" s="289"/>
      <c r="W857" s="289"/>
      <c r="X857" s="289"/>
      <c r="Y857" s="289"/>
      <c r="Z857" s="289"/>
      <c r="AA857" s="289"/>
      <c r="AB857" s="289"/>
      <c r="AC857" s="289"/>
      <c r="AD857" s="295"/>
    </row>
    <row r="858" spans="18:30" ht="32.25" customHeight="1">
      <c r="R858" s="289"/>
      <c r="S858" s="289"/>
      <c r="T858" s="289"/>
      <c r="U858" s="289"/>
      <c r="V858" s="289"/>
      <c r="W858" s="289"/>
      <c r="X858" s="289"/>
      <c r="Y858" s="289"/>
      <c r="Z858" s="289"/>
      <c r="AA858" s="289"/>
      <c r="AB858" s="289"/>
      <c r="AC858" s="289"/>
      <c r="AD858" s="295"/>
    </row>
    <row r="859" spans="18:30" ht="32.25" customHeight="1">
      <c r="R859" s="289"/>
      <c r="S859" s="289"/>
      <c r="T859" s="289"/>
      <c r="U859" s="289"/>
      <c r="V859" s="289"/>
      <c r="W859" s="289"/>
      <c r="X859" s="289"/>
      <c r="Y859" s="289"/>
      <c r="Z859" s="289"/>
      <c r="AA859" s="289"/>
      <c r="AB859" s="289"/>
      <c r="AC859" s="289"/>
      <c r="AD859" s="295"/>
    </row>
    <row r="860" spans="18:30" ht="32.25" customHeight="1">
      <c r="R860" s="289"/>
      <c r="S860" s="289"/>
      <c r="T860" s="289"/>
      <c r="U860" s="289"/>
      <c r="V860" s="289"/>
      <c r="W860" s="289"/>
      <c r="X860" s="289"/>
      <c r="Y860" s="289"/>
      <c r="Z860" s="289"/>
      <c r="AA860" s="289"/>
      <c r="AB860" s="289"/>
      <c r="AC860" s="289"/>
      <c r="AD860" s="295"/>
    </row>
    <row r="861" spans="18:30" ht="32.25" customHeight="1">
      <c r="R861" s="289"/>
      <c r="S861" s="289"/>
      <c r="T861" s="289"/>
      <c r="U861" s="289"/>
      <c r="V861" s="289"/>
      <c r="W861" s="289"/>
      <c r="X861" s="289"/>
      <c r="Y861" s="289"/>
      <c r="Z861" s="289"/>
      <c r="AA861" s="289"/>
      <c r="AB861" s="289"/>
      <c r="AC861" s="289"/>
      <c r="AD861" s="295"/>
    </row>
    <row r="862" spans="18:30" ht="32.25" customHeight="1">
      <c r="R862" s="289"/>
      <c r="S862" s="289"/>
      <c r="T862" s="289"/>
      <c r="U862" s="289"/>
      <c r="V862" s="289"/>
      <c r="W862" s="289"/>
      <c r="X862" s="289"/>
      <c r="Y862" s="289"/>
      <c r="Z862" s="289"/>
      <c r="AA862" s="289"/>
      <c r="AB862" s="289"/>
      <c r="AC862" s="289"/>
      <c r="AD862" s="295"/>
    </row>
    <row r="863" spans="18:30" ht="32.25" customHeight="1">
      <c r="R863" s="289"/>
      <c r="S863" s="289"/>
      <c r="T863" s="289"/>
      <c r="U863" s="289"/>
      <c r="V863" s="289"/>
      <c r="W863" s="289"/>
      <c r="X863" s="289"/>
      <c r="Y863" s="289"/>
      <c r="Z863" s="289"/>
      <c r="AA863" s="289"/>
      <c r="AB863" s="289"/>
      <c r="AC863" s="289"/>
      <c r="AD863" s="295"/>
    </row>
    <row r="864" spans="18:30" ht="32.25" customHeight="1">
      <c r="R864" s="289"/>
      <c r="S864" s="289"/>
      <c r="T864" s="289"/>
      <c r="U864" s="289"/>
      <c r="V864" s="289"/>
      <c r="W864" s="289"/>
      <c r="X864" s="289"/>
      <c r="Y864" s="289"/>
      <c r="Z864" s="289"/>
      <c r="AA864" s="289"/>
      <c r="AB864" s="289"/>
      <c r="AC864" s="289"/>
      <c r="AD864" s="295"/>
    </row>
    <row r="865" spans="18:30" ht="32.25" customHeight="1">
      <c r="R865" s="289"/>
      <c r="S865" s="289"/>
      <c r="T865" s="289"/>
      <c r="U865" s="289"/>
      <c r="V865" s="289"/>
      <c r="W865" s="289"/>
      <c r="X865" s="289"/>
      <c r="Y865" s="289"/>
      <c r="Z865" s="289"/>
      <c r="AA865" s="289"/>
      <c r="AB865" s="289"/>
      <c r="AC865" s="289"/>
      <c r="AD865" s="295"/>
    </row>
    <row r="866" spans="18:30" ht="32.25" customHeight="1">
      <c r="R866" s="289"/>
      <c r="S866" s="289"/>
      <c r="T866" s="289"/>
      <c r="U866" s="289"/>
      <c r="V866" s="289"/>
      <c r="W866" s="289"/>
      <c r="X866" s="289"/>
      <c r="Y866" s="289"/>
      <c r="Z866" s="289"/>
      <c r="AA866" s="289"/>
      <c r="AB866" s="289"/>
      <c r="AC866" s="289"/>
      <c r="AD866" s="295"/>
    </row>
    <row r="867" spans="18:30" ht="32.25" customHeight="1">
      <c r="R867" s="289"/>
      <c r="S867" s="289"/>
      <c r="T867" s="289"/>
      <c r="U867" s="289"/>
      <c r="V867" s="289"/>
      <c r="W867" s="289"/>
      <c r="X867" s="289"/>
      <c r="Y867" s="289"/>
      <c r="Z867" s="289"/>
      <c r="AA867" s="289"/>
      <c r="AB867" s="289"/>
      <c r="AC867" s="289"/>
      <c r="AD867" s="295"/>
    </row>
    <row r="868" spans="18:30" ht="32.25" customHeight="1">
      <c r="R868" s="289"/>
      <c r="S868" s="289"/>
      <c r="T868" s="289"/>
      <c r="U868" s="289"/>
      <c r="V868" s="289"/>
      <c r="W868" s="289"/>
      <c r="X868" s="289"/>
      <c r="Y868" s="289"/>
      <c r="Z868" s="289"/>
      <c r="AA868" s="289"/>
      <c r="AB868" s="289"/>
      <c r="AC868" s="289"/>
      <c r="AD868" s="295"/>
    </row>
    <row r="869" spans="18:30" ht="32.25" customHeight="1">
      <c r="R869" s="289"/>
      <c r="S869" s="289"/>
      <c r="T869" s="289"/>
      <c r="U869" s="289"/>
      <c r="V869" s="289"/>
      <c r="W869" s="289"/>
      <c r="X869" s="289"/>
      <c r="Y869" s="289"/>
      <c r="Z869" s="289"/>
      <c r="AA869" s="289"/>
      <c r="AB869" s="289"/>
      <c r="AC869" s="289"/>
      <c r="AD869" s="295"/>
    </row>
    <row r="870" spans="18:30" ht="32.25" customHeight="1">
      <c r="R870" s="289"/>
      <c r="S870" s="289"/>
      <c r="T870" s="289"/>
      <c r="U870" s="289"/>
      <c r="V870" s="289"/>
      <c r="W870" s="289"/>
      <c r="X870" s="289"/>
      <c r="Y870" s="289"/>
      <c r="Z870" s="289"/>
      <c r="AA870" s="289"/>
      <c r="AB870" s="289"/>
      <c r="AC870" s="289"/>
      <c r="AD870" s="295"/>
    </row>
    <row r="871" spans="18:30" ht="32.25" customHeight="1">
      <c r="R871" s="289"/>
      <c r="S871" s="289"/>
      <c r="T871" s="289"/>
      <c r="U871" s="289"/>
      <c r="V871" s="289"/>
      <c r="W871" s="289"/>
      <c r="X871" s="289"/>
      <c r="Y871" s="289"/>
      <c r="Z871" s="289"/>
      <c r="AA871" s="289"/>
      <c r="AB871" s="289"/>
      <c r="AC871" s="289"/>
      <c r="AD871" s="295"/>
    </row>
    <row r="872" spans="18:30" ht="32.25" customHeight="1">
      <c r="R872" s="289"/>
      <c r="S872" s="289"/>
      <c r="T872" s="289"/>
      <c r="U872" s="289"/>
      <c r="V872" s="289"/>
      <c r="W872" s="289"/>
      <c r="X872" s="289"/>
      <c r="Y872" s="289"/>
      <c r="Z872" s="289"/>
      <c r="AA872" s="289"/>
      <c r="AB872" s="289"/>
      <c r="AC872" s="289"/>
      <c r="AD872" s="295"/>
    </row>
    <row r="873" spans="18:30" ht="32.25" customHeight="1">
      <c r="R873" s="289"/>
      <c r="S873" s="289"/>
      <c r="T873" s="289"/>
      <c r="U873" s="289"/>
      <c r="V873" s="289"/>
      <c r="W873" s="289"/>
      <c r="X873" s="289"/>
      <c r="Y873" s="289"/>
      <c r="Z873" s="289"/>
      <c r="AA873" s="289"/>
      <c r="AB873" s="289"/>
      <c r="AC873" s="289"/>
      <c r="AD873" s="295"/>
    </row>
    <row r="874" spans="18:30" ht="32.25" customHeight="1">
      <c r="R874" s="289"/>
      <c r="S874" s="289"/>
      <c r="T874" s="289"/>
      <c r="U874" s="289"/>
      <c r="V874" s="289"/>
      <c r="W874" s="289"/>
      <c r="X874" s="289"/>
      <c r="Y874" s="289"/>
      <c r="Z874" s="289"/>
      <c r="AA874" s="289"/>
      <c r="AB874" s="289"/>
      <c r="AC874" s="289"/>
      <c r="AD874" s="295"/>
    </row>
    <row r="875" spans="18:30" ht="32.25" customHeight="1">
      <c r="R875" s="289"/>
      <c r="S875" s="289"/>
      <c r="T875" s="289"/>
      <c r="U875" s="289"/>
      <c r="V875" s="289"/>
      <c r="W875" s="289"/>
      <c r="X875" s="289"/>
      <c r="Y875" s="289"/>
      <c r="Z875" s="289"/>
      <c r="AA875" s="289"/>
      <c r="AB875" s="289"/>
      <c r="AC875" s="289"/>
      <c r="AD875" s="295"/>
    </row>
    <row r="876" spans="18:30" ht="32.25" customHeight="1">
      <c r="R876" s="289"/>
      <c r="S876" s="289"/>
      <c r="T876" s="289"/>
      <c r="U876" s="289"/>
      <c r="V876" s="289"/>
      <c r="W876" s="289"/>
      <c r="X876" s="289"/>
      <c r="Y876" s="289"/>
      <c r="Z876" s="289"/>
      <c r="AA876" s="289"/>
      <c r="AB876" s="289"/>
      <c r="AC876" s="289"/>
      <c r="AD876" s="295"/>
    </row>
    <row r="877" spans="18:30" ht="32.25" customHeight="1">
      <c r="R877" s="289"/>
      <c r="S877" s="289"/>
      <c r="T877" s="289"/>
      <c r="U877" s="289"/>
      <c r="V877" s="289"/>
      <c r="W877" s="289"/>
      <c r="X877" s="289"/>
      <c r="Y877" s="289"/>
      <c r="Z877" s="289"/>
      <c r="AA877" s="289"/>
      <c r="AB877" s="289"/>
      <c r="AC877" s="289"/>
      <c r="AD877" s="295"/>
    </row>
    <row r="878" spans="18:30" ht="32.25" customHeight="1">
      <c r="R878" s="289"/>
      <c r="S878" s="289"/>
      <c r="T878" s="289"/>
      <c r="U878" s="289"/>
      <c r="V878" s="289"/>
      <c r="W878" s="289"/>
      <c r="X878" s="289"/>
      <c r="Y878" s="289"/>
      <c r="Z878" s="289"/>
      <c r="AA878" s="289"/>
      <c r="AB878" s="289"/>
      <c r="AC878" s="289"/>
      <c r="AD878" s="295"/>
    </row>
    <row r="879" spans="18:30" ht="32.25" customHeight="1">
      <c r="R879" s="289"/>
      <c r="S879" s="289"/>
      <c r="T879" s="289"/>
      <c r="U879" s="289"/>
      <c r="V879" s="289"/>
      <c r="W879" s="289"/>
      <c r="X879" s="289"/>
      <c r="Y879" s="289"/>
      <c r="Z879" s="289"/>
      <c r="AA879" s="289"/>
      <c r="AB879" s="289"/>
      <c r="AC879" s="289"/>
      <c r="AD879" s="295"/>
    </row>
    <row r="880" spans="18:30" ht="32.25" customHeight="1">
      <c r="R880" s="289"/>
      <c r="S880" s="289"/>
      <c r="T880" s="289"/>
      <c r="U880" s="289"/>
      <c r="V880" s="289"/>
      <c r="W880" s="289"/>
      <c r="X880" s="289"/>
      <c r="Y880" s="289"/>
      <c r="Z880" s="289"/>
      <c r="AA880" s="289"/>
      <c r="AB880" s="289"/>
      <c r="AC880" s="289"/>
      <c r="AD880" s="295"/>
    </row>
    <row r="881" spans="18:30" ht="32.25" customHeight="1">
      <c r="R881" s="289"/>
      <c r="S881" s="289"/>
      <c r="T881" s="289"/>
      <c r="U881" s="289"/>
      <c r="V881" s="289"/>
      <c r="W881" s="289"/>
      <c r="X881" s="289"/>
      <c r="Y881" s="289"/>
      <c r="Z881" s="289"/>
      <c r="AA881" s="289"/>
      <c r="AB881" s="289"/>
      <c r="AC881" s="289"/>
      <c r="AD881" s="295"/>
    </row>
    <row r="882" spans="18:30" ht="32.25" customHeight="1">
      <c r="R882" s="289"/>
      <c r="S882" s="289"/>
      <c r="T882" s="289"/>
      <c r="U882" s="289"/>
      <c r="V882" s="289"/>
      <c r="W882" s="289"/>
      <c r="X882" s="289"/>
      <c r="Y882" s="289"/>
      <c r="Z882" s="289"/>
      <c r="AA882" s="289"/>
      <c r="AB882" s="289"/>
      <c r="AC882" s="289"/>
      <c r="AD882" s="295"/>
    </row>
    <row r="883" spans="18:30" ht="32.25" customHeight="1">
      <c r="R883" s="289"/>
      <c r="S883" s="289"/>
      <c r="T883" s="289"/>
      <c r="U883" s="289"/>
      <c r="V883" s="289"/>
      <c r="W883" s="289"/>
      <c r="X883" s="289"/>
      <c r="Y883" s="289"/>
      <c r="Z883" s="289"/>
      <c r="AA883" s="289"/>
      <c r="AB883" s="289"/>
      <c r="AC883" s="289"/>
      <c r="AD883" s="295"/>
    </row>
    <row r="884" spans="18:30" ht="32.25" customHeight="1">
      <c r="R884" s="289"/>
      <c r="S884" s="289"/>
      <c r="T884" s="289"/>
      <c r="U884" s="289"/>
      <c r="V884" s="289"/>
      <c r="W884" s="289"/>
      <c r="X884" s="289"/>
      <c r="Y884" s="289"/>
      <c r="Z884" s="289"/>
      <c r="AA884" s="289"/>
      <c r="AB884" s="289"/>
      <c r="AC884" s="289"/>
      <c r="AD884" s="295"/>
    </row>
    <row r="885" spans="18:30" ht="32.25" customHeight="1">
      <c r="R885" s="289"/>
      <c r="S885" s="289"/>
      <c r="T885" s="289"/>
      <c r="U885" s="289"/>
      <c r="V885" s="289"/>
      <c r="W885" s="289"/>
      <c r="X885" s="289"/>
      <c r="Y885" s="289"/>
      <c r="Z885" s="289"/>
      <c r="AA885" s="289"/>
      <c r="AB885" s="289"/>
      <c r="AC885" s="289"/>
      <c r="AD885" s="295"/>
    </row>
    <row r="886" spans="18:30" ht="32.25" customHeight="1">
      <c r="R886" s="289"/>
      <c r="S886" s="289"/>
      <c r="T886" s="289"/>
      <c r="U886" s="289"/>
      <c r="V886" s="289"/>
      <c r="W886" s="289"/>
      <c r="X886" s="289"/>
      <c r="Y886" s="289"/>
      <c r="Z886" s="289"/>
      <c r="AA886" s="289"/>
      <c r="AB886" s="289"/>
      <c r="AC886" s="289"/>
      <c r="AD886" s="295"/>
    </row>
    <row r="887" spans="18:30" ht="32.25" customHeight="1">
      <c r="R887" s="289"/>
      <c r="S887" s="289"/>
      <c r="T887" s="289"/>
      <c r="U887" s="289"/>
      <c r="V887" s="289"/>
      <c r="W887" s="289"/>
      <c r="X887" s="289"/>
      <c r="Y887" s="289"/>
      <c r="Z887" s="289"/>
      <c r="AA887" s="289"/>
      <c r="AB887" s="289"/>
      <c r="AC887" s="289"/>
      <c r="AD887" s="295"/>
    </row>
    <row r="888" spans="18:30" ht="32.25" customHeight="1">
      <c r="R888" s="289"/>
      <c r="S888" s="289"/>
      <c r="T888" s="289"/>
      <c r="U888" s="289"/>
      <c r="V888" s="289"/>
      <c r="W888" s="289"/>
      <c r="X888" s="289"/>
      <c r="Y888" s="289"/>
      <c r="Z888" s="289"/>
      <c r="AA888" s="289"/>
      <c r="AB888" s="289"/>
      <c r="AC888" s="289"/>
      <c r="AD888" s="295"/>
    </row>
    <row r="889" spans="18:30" ht="32.25" customHeight="1">
      <c r="R889" s="289"/>
      <c r="S889" s="289"/>
      <c r="T889" s="289"/>
      <c r="U889" s="289"/>
      <c r="V889" s="289"/>
      <c r="W889" s="289"/>
      <c r="X889" s="289"/>
      <c r="Y889" s="289"/>
      <c r="Z889" s="289"/>
      <c r="AA889" s="289"/>
      <c r="AB889" s="289"/>
      <c r="AC889" s="289"/>
      <c r="AD889" s="295"/>
    </row>
    <row r="890" spans="18:30" ht="32.25" customHeight="1">
      <c r="R890" s="289"/>
      <c r="S890" s="289"/>
      <c r="T890" s="289"/>
      <c r="U890" s="289"/>
      <c r="V890" s="289"/>
      <c r="W890" s="289"/>
      <c r="X890" s="289"/>
      <c r="Y890" s="289"/>
      <c r="Z890" s="289"/>
      <c r="AA890" s="289"/>
      <c r="AB890" s="289"/>
      <c r="AC890" s="289"/>
      <c r="AD890" s="295"/>
    </row>
    <row r="891" spans="18:30" ht="32.25" customHeight="1">
      <c r="R891" s="289"/>
      <c r="S891" s="289"/>
      <c r="T891" s="289"/>
      <c r="U891" s="289"/>
      <c r="V891" s="289"/>
      <c r="W891" s="289"/>
      <c r="X891" s="289"/>
      <c r="Y891" s="289"/>
      <c r="Z891" s="289"/>
      <c r="AA891" s="289"/>
      <c r="AB891" s="289"/>
      <c r="AC891" s="289"/>
      <c r="AD891" s="295"/>
    </row>
    <row r="892" spans="18:30" ht="32.25" customHeight="1">
      <c r="R892" s="289"/>
      <c r="S892" s="289"/>
      <c r="T892" s="289"/>
      <c r="U892" s="289"/>
      <c r="V892" s="289"/>
      <c r="W892" s="289"/>
      <c r="X892" s="289"/>
      <c r="Y892" s="289"/>
      <c r="Z892" s="289"/>
      <c r="AA892" s="289"/>
      <c r="AB892" s="289"/>
      <c r="AC892" s="289"/>
      <c r="AD892" s="295"/>
    </row>
    <row r="893" spans="18:30" ht="32.25" customHeight="1">
      <c r="R893" s="289"/>
      <c r="S893" s="289"/>
      <c r="T893" s="289"/>
      <c r="U893" s="289"/>
      <c r="V893" s="289"/>
      <c r="W893" s="289"/>
      <c r="X893" s="289"/>
      <c r="Y893" s="289"/>
      <c r="Z893" s="289"/>
      <c r="AA893" s="289"/>
      <c r="AB893" s="289"/>
      <c r="AC893" s="289"/>
      <c r="AD893" s="295"/>
    </row>
    <row r="894" spans="18:30" ht="32.25" customHeight="1">
      <c r="R894" s="289"/>
      <c r="S894" s="289"/>
      <c r="T894" s="289"/>
      <c r="U894" s="289"/>
      <c r="V894" s="289"/>
      <c r="W894" s="289"/>
      <c r="X894" s="289"/>
      <c r="Y894" s="289"/>
      <c r="Z894" s="289"/>
      <c r="AA894" s="289"/>
      <c r="AB894" s="289"/>
      <c r="AC894" s="289"/>
      <c r="AD894" s="295"/>
    </row>
    <row r="895" spans="18:30" ht="32.25" customHeight="1">
      <c r="R895" s="289"/>
      <c r="S895" s="289"/>
      <c r="T895" s="289"/>
      <c r="U895" s="289"/>
      <c r="V895" s="289"/>
      <c r="W895" s="289"/>
      <c r="X895" s="289"/>
      <c r="Y895" s="289"/>
      <c r="Z895" s="289"/>
      <c r="AA895" s="289"/>
      <c r="AB895" s="289"/>
      <c r="AC895" s="289"/>
      <c r="AD895" s="295"/>
    </row>
    <row r="896" spans="18:30" ht="32.25" customHeight="1">
      <c r="R896" s="289"/>
      <c r="S896" s="289"/>
      <c r="T896" s="289"/>
      <c r="U896" s="289"/>
      <c r="V896" s="289"/>
      <c r="W896" s="289"/>
      <c r="X896" s="289"/>
      <c r="Y896" s="289"/>
      <c r="Z896" s="289"/>
      <c r="AA896" s="289"/>
      <c r="AB896" s="289"/>
      <c r="AC896" s="289"/>
      <c r="AD896" s="295"/>
    </row>
    <row r="897" spans="18:30" ht="32.25" customHeight="1">
      <c r="R897" s="289"/>
      <c r="S897" s="289"/>
      <c r="T897" s="289"/>
      <c r="U897" s="289"/>
      <c r="V897" s="289"/>
      <c r="W897" s="289"/>
      <c r="X897" s="289"/>
      <c r="Y897" s="289"/>
      <c r="Z897" s="289"/>
      <c r="AA897" s="289"/>
      <c r="AB897" s="289"/>
      <c r="AC897" s="289"/>
      <c r="AD897" s="295"/>
    </row>
    <row r="898" spans="18:30" ht="32.25" customHeight="1">
      <c r="R898" s="289"/>
      <c r="S898" s="289"/>
      <c r="T898" s="289"/>
      <c r="U898" s="289"/>
      <c r="V898" s="289"/>
      <c r="W898" s="289"/>
      <c r="X898" s="289"/>
      <c r="Y898" s="289"/>
      <c r="Z898" s="289"/>
      <c r="AA898" s="289"/>
      <c r="AB898" s="289"/>
      <c r="AC898" s="289"/>
      <c r="AD898" s="295"/>
    </row>
    <row r="899" spans="18:30" ht="32.25" customHeight="1">
      <c r="R899" s="289"/>
      <c r="S899" s="289"/>
      <c r="T899" s="289"/>
      <c r="U899" s="289"/>
      <c r="V899" s="289"/>
      <c r="W899" s="289"/>
      <c r="X899" s="289"/>
      <c r="Y899" s="289"/>
      <c r="Z899" s="289"/>
      <c r="AA899" s="289"/>
      <c r="AB899" s="289"/>
      <c r="AC899" s="289"/>
      <c r="AD899" s="295"/>
    </row>
    <row r="900" spans="18:30" ht="32.25" customHeight="1">
      <c r="R900" s="289"/>
      <c r="S900" s="289"/>
      <c r="T900" s="289"/>
      <c r="U900" s="289"/>
      <c r="V900" s="289"/>
      <c r="W900" s="289"/>
      <c r="X900" s="289"/>
      <c r="Y900" s="289"/>
      <c r="Z900" s="289"/>
      <c r="AA900" s="289"/>
      <c r="AB900" s="289"/>
      <c r="AC900" s="289"/>
      <c r="AD900" s="295"/>
    </row>
    <row r="901" spans="18:30" ht="32.25" customHeight="1">
      <c r="R901" s="289"/>
      <c r="S901" s="289"/>
      <c r="T901" s="289"/>
      <c r="U901" s="289"/>
      <c r="V901" s="289"/>
      <c r="W901" s="289"/>
      <c r="X901" s="289"/>
      <c r="Y901" s="289"/>
      <c r="Z901" s="289"/>
      <c r="AA901" s="289"/>
      <c r="AB901" s="289"/>
      <c r="AC901" s="289"/>
      <c r="AD901" s="295"/>
    </row>
    <row r="902" spans="18:30" ht="32.25" customHeight="1">
      <c r="R902" s="289"/>
      <c r="S902" s="289"/>
      <c r="T902" s="289"/>
      <c r="U902" s="289"/>
      <c r="V902" s="289"/>
      <c r="W902" s="289"/>
      <c r="X902" s="289"/>
      <c r="Y902" s="289"/>
      <c r="Z902" s="289"/>
      <c r="AA902" s="289"/>
      <c r="AB902" s="289"/>
      <c r="AC902" s="289"/>
      <c r="AD902" s="295"/>
    </row>
    <row r="903" spans="18:30" ht="32.25" customHeight="1">
      <c r="R903" s="289"/>
      <c r="S903" s="289"/>
      <c r="T903" s="289"/>
      <c r="U903" s="289"/>
      <c r="V903" s="289"/>
      <c r="W903" s="289"/>
      <c r="X903" s="289"/>
      <c r="Y903" s="289"/>
      <c r="Z903" s="289"/>
      <c r="AA903" s="289"/>
      <c r="AB903" s="289"/>
      <c r="AC903" s="289"/>
      <c r="AD903" s="295"/>
    </row>
    <row r="904" spans="18:30" ht="32.25" customHeight="1">
      <c r="R904" s="289"/>
      <c r="S904" s="289"/>
      <c r="T904" s="289"/>
      <c r="U904" s="289"/>
      <c r="V904" s="289"/>
      <c r="W904" s="289"/>
      <c r="X904" s="289"/>
      <c r="Y904" s="289"/>
      <c r="Z904" s="289"/>
      <c r="AA904" s="289"/>
      <c r="AB904" s="289"/>
      <c r="AC904" s="289"/>
      <c r="AD904" s="295"/>
    </row>
    <row r="905" spans="18:30" ht="32.25" customHeight="1">
      <c r="R905" s="289"/>
      <c r="S905" s="289"/>
      <c r="T905" s="289"/>
      <c r="U905" s="289"/>
      <c r="V905" s="289"/>
      <c r="W905" s="289"/>
      <c r="X905" s="289"/>
      <c r="Y905" s="289"/>
      <c r="Z905" s="289"/>
      <c r="AA905" s="289"/>
      <c r="AB905" s="289"/>
      <c r="AC905" s="289"/>
      <c r="AD905" s="295"/>
    </row>
    <row r="906" spans="18:30" ht="32.25" customHeight="1">
      <c r="R906" s="289"/>
      <c r="S906" s="289"/>
      <c r="T906" s="289"/>
      <c r="U906" s="289"/>
      <c r="V906" s="289"/>
      <c r="W906" s="289"/>
      <c r="X906" s="289"/>
      <c r="Y906" s="289"/>
      <c r="Z906" s="289"/>
      <c r="AA906" s="289"/>
      <c r="AB906" s="289"/>
      <c r="AC906" s="289"/>
      <c r="AD906" s="295"/>
    </row>
    <row r="907" spans="18:30" ht="32.25" customHeight="1">
      <c r="R907" s="289"/>
      <c r="S907" s="289"/>
      <c r="T907" s="289"/>
      <c r="U907" s="289"/>
      <c r="V907" s="289"/>
      <c r="W907" s="289"/>
      <c r="X907" s="289"/>
      <c r="Y907" s="289"/>
      <c r="Z907" s="289"/>
      <c r="AA907" s="289"/>
      <c r="AB907" s="289"/>
      <c r="AC907" s="289"/>
      <c r="AD907" s="295"/>
    </row>
    <row r="908" spans="18:30" ht="32.25" customHeight="1">
      <c r="R908" s="289"/>
      <c r="S908" s="289"/>
      <c r="T908" s="289"/>
      <c r="U908" s="289"/>
      <c r="V908" s="289"/>
      <c r="W908" s="289"/>
      <c r="X908" s="289"/>
      <c r="Y908" s="289"/>
      <c r="Z908" s="289"/>
      <c r="AA908" s="289"/>
      <c r="AB908" s="289"/>
      <c r="AC908" s="289"/>
      <c r="AD908" s="295"/>
    </row>
    <row r="909" spans="18:30" ht="32.25" customHeight="1">
      <c r="R909" s="289"/>
      <c r="S909" s="289"/>
      <c r="T909" s="289"/>
      <c r="U909" s="289"/>
      <c r="V909" s="289"/>
      <c r="W909" s="289"/>
      <c r="X909" s="289"/>
      <c r="Y909" s="289"/>
      <c r="Z909" s="289"/>
      <c r="AA909" s="289"/>
      <c r="AB909" s="289"/>
      <c r="AC909" s="289"/>
      <c r="AD909" s="295"/>
    </row>
    <row r="910" spans="18:30" ht="32.25" customHeight="1">
      <c r="R910" s="289"/>
      <c r="S910" s="289"/>
      <c r="T910" s="289"/>
      <c r="U910" s="289"/>
      <c r="V910" s="289"/>
      <c r="W910" s="289"/>
      <c r="X910" s="289"/>
      <c r="Y910" s="289"/>
      <c r="Z910" s="289"/>
      <c r="AA910" s="289"/>
      <c r="AB910" s="289"/>
      <c r="AC910" s="289"/>
      <c r="AD910" s="295"/>
    </row>
    <row r="911" spans="18:30" ht="32.25" customHeight="1">
      <c r="R911" s="289"/>
      <c r="S911" s="289"/>
      <c r="T911" s="289"/>
      <c r="U911" s="289"/>
      <c r="V911" s="289"/>
      <c r="W911" s="289"/>
      <c r="X911" s="289"/>
      <c r="Y911" s="289"/>
      <c r="Z911" s="289"/>
      <c r="AA911" s="289"/>
      <c r="AB911" s="289"/>
      <c r="AC911" s="289"/>
      <c r="AD911" s="295"/>
    </row>
    <row r="912" spans="18:30" ht="32.25" customHeight="1">
      <c r="R912" s="289"/>
      <c r="S912" s="289"/>
      <c r="T912" s="289"/>
      <c r="U912" s="289"/>
      <c r="V912" s="289"/>
      <c r="W912" s="289"/>
      <c r="X912" s="289"/>
      <c r="Y912" s="289"/>
      <c r="Z912" s="289"/>
      <c r="AA912" s="289"/>
      <c r="AB912" s="289"/>
      <c r="AC912" s="289"/>
      <c r="AD912" s="295"/>
    </row>
    <row r="913" spans="18:30" ht="32.25" customHeight="1">
      <c r="R913" s="289"/>
      <c r="S913" s="289"/>
      <c r="T913" s="289"/>
      <c r="U913" s="289"/>
      <c r="V913" s="289"/>
      <c r="W913" s="289"/>
      <c r="X913" s="289"/>
      <c r="Y913" s="289"/>
      <c r="Z913" s="289"/>
      <c r="AA913" s="289"/>
      <c r="AB913" s="289"/>
      <c r="AC913" s="289"/>
      <c r="AD913" s="295"/>
    </row>
    <row r="914" spans="18:30" ht="32.25" customHeight="1">
      <c r="R914" s="289"/>
      <c r="S914" s="289"/>
      <c r="T914" s="289"/>
      <c r="U914" s="289"/>
      <c r="V914" s="289"/>
      <c r="W914" s="289"/>
      <c r="X914" s="289"/>
      <c r="Y914" s="289"/>
      <c r="Z914" s="289"/>
      <c r="AA914" s="289"/>
      <c r="AB914" s="289"/>
      <c r="AC914" s="289"/>
      <c r="AD914" s="295"/>
    </row>
    <row r="915" spans="18:30" ht="32.25" customHeight="1">
      <c r="R915" s="289"/>
      <c r="S915" s="289"/>
      <c r="T915" s="289"/>
      <c r="U915" s="289"/>
      <c r="V915" s="289"/>
      <c r="W915" s="289"/>
      <c r="X915" s="289"/>
      <c r="Y915" s="289"/>
      <c r="Z915" s="289"/>
      <c r="AA915" s="289"/>
      <c r="AB915" s="289"/>
      <c r="AC915" s="289"/>
      <c r="AD915" s="295"/>
    </row>
    <row r="916" spans="18:30" ht="32.25" customHeight="1">
      <c r="R916" s="289"/>
      <c r="S916" s="289"/>
      <c r="T916" s="289"/>
      <c r="U916" s="289"/>
      <c r="V916" s="289"/>
      <c r="W916" s="289"/>
      <c r="X916" s="289"/>
      <c r="Y916" s="289"/>
      <c r="Z916" s="289"/>
      <c r="AA916" s="289"/>
      <c r="AB916" s="289"/>
      <c r="AC916" s="289"/>
      <c r="AD916" s="295"/>
    </row>
    <row r="917" spans="18:30" ht="32.25" customHeight="1">
      <c r="R917" s="289"/>
      <c r="S917" s="289"/>
      <c r="T917" s="289"/>
      <c r="U917" s="289"/>
      <c r="V917" s="289"/>
      <c r="W917" s="289"/>
      <c r="X917" s="289"/>
      <c r="Y917" s="289"/>
      <c r="Z917" s="289"/>
      <c r="AA917" s="289"/>
      <c r="AB917" s="289"/>
      <c r="AC917" s="289"/>
      <c r="AD917" s="295"/>
    </row>
    <row r="918" spans="18:30" ht="32.25" customHeight="1">
      <c r="R918" s="289"/>
      <c r="S918" s="289"/>
      <c r="T918" s="289"/>
      <c r="U918" s="289"/>
      <c r="V918" s="289"/>
      <c r="W918" s="289"/>
      <c r="X918" s="289"/>
      <c r="Y918" s="289"/>
      <c r="Z918" s="289"/>
      <c r="AA918" s="289"/>
      <c r="AB918" s="289"/>
      <c r="AC918" s="289"/>
      <c r="AD918" s="295"/>
    </row>
    <row r="919" spans="18:30" ht="32.25" customHeight="1">
      <c r="R919" s="289"/>
      <c r="S919" s="289"/>
      <c r="T919" s="289"/>
      <c r="U919" s="289"/>
      <c r="V919" s="289"/>
      <c r="W919" s="289"/>
      <c r="X919" s="289"/>
      <c r="Y919" s="289"/>
      <c r="Z919" s="289"/>
      <c r="AA919" s="289"/>
      <c r="AB919" s="289"/>
      <c r="AC919" s="289"/>
      <c r="AD919" s="295"/>
    </row>
    <row r="920" spans="18:30" ht="32.25" customHeight="1">
      <c r="R920" s="289"/>
      <c r="S920" s="289"/>
      <c r="T920" s="289"/>
      <c r="U920" s="289"/>
      <c r="V920" s="289"/>
      <c r="W920" s="289"/>
      <c r="X920" s="289"/>
      <c r="Y920" s="289"/>
      <c r="Z920" s="289"/>
      <c r="AA920" s="289"/>
      <c r="AB920" s="289"/>
      <c r="AC920" s="289"/>
      <c r="AD920" s="295"/>
    </row>
    <row r="921" spans="18:30" ht="32.25" customHeight="1">
      <c r="R921" s="289"/>
      <c r="S921" s="289"/>
      <c r="T921" s="289"/>
      <c r="U921" s="289"/>
      <c r="V921" s="289"/>
      <c r="W921" s="289"/>
      <c r="X921" s="289"/>
      <c r="Y921" s="289"/>
      <c r="Z921" s="289"/>
      <c r="AA921" s="289"/>
      <c r="AB921" s="289"/>
      <c r="AC921" s="289"/>
      <c r="AD921" s="295"/>
    </row>
    <row r="922" spans="18:30" ht="32.25" customHeight="1">
      <c r="R922" s="289"/>
      <c r="S922" s="289"/>
      <c r="T922" s="289"/>
      <c r="U922" s="289"/>
      <c r="V922" s="289"/>
      <c r="W922" s="289"/>
      <c r="X922" s="289"/>
      <c r="Y922" s="289"/>
      <c r="Z922" s="289"/>
      <c r="AA922" s="289"/>
      <c r="AB922" s="289"/>
      <c r="AC922" s="289"/>
      <c r="AD922" s="295"/>
    </row>
    <row r="923" spans="18:30" ht="32.25" customHeight="1">
      <c r="R923" s="289"/>
      <c r="S923" s="289"/>
      <c r="T923" s="289"/>
      <c r="U923" s="289"/>
      <c r="V923" s="289"/>
      <c r="W923" s="289"/>
      <c r="X923" s="289"/>
      <c r="Y923" s="289"/>
      <c r="Z923" s="289"/>
      <c r="AA923" s="289"/>
      <c r="AB923" s="289"/>
      <c r="AC923" s="289"/>
      <c r="AD923" s="295"/>
    </row>
    <row r="924" spans="18:30" ht="32.25" customHeight="1">
      <c r="R924" s="289"/>
      <c r="S924" s="289"/>
      <c r="T924" s="289"/>
      <c r="U924" s="289"/>
      <c r="V924" s="289"/>
      <c r="W924" s="289"/>
      <c r="X924" s="289"/>
      <c r="Y924" s="289"/>
      <c r="Z924" s="289"/>
      <c r="AA924" s="289"/>
      <c r="AB924" s="289"/>
      <c r="AC924" s="289"/>
      <c r="AD924" s="295"/>
    </row>
    <row r="925" spans="18:30" ht="32.25" customHeight="1">
      <c r="R925" s="289"/>
      <c r="S925" s="289"/>
      <c r="T925" s="289"/>
      <c r="U925" s="289"/>
      <c r="V925" s="289"/>
      <c r="W925" s="289"/>
      <c r="X925" s="289"/>
      <c r="Y925" s="289"/>
      <c r="Z925" s="289"/>
      <c r="AA925" s="289"/>
      <c r="AB925" s="289"/>
      <c r="AC925" s="289"/>
      <c r="AD925" s="295"/>
    </row>
    <row r="926" spans="18:30" ht="32.25" customHeight="1">
      <c r="R926" s="289"/>
      <c r="S926" s="289"/>
      <c r="T926" s="289"/>
      <c r="U926" s="289"/>
      <c r="V926" s="289"/>
      <c r="W926" s="289"/>
      <c r="X926" s="289"/>
      <c r="Y926" s="289"/>
      <c r="Z926" s="289"/>
      <c r="AA926" s="289"/>
      <c r="AB926" s="289"/>
      <c r="AC926" s="289"/>
      <c r="AD926" s="295"/>
    </row>
    <row r="927" spans="18:30" ht="32.25" customHeight="1">
      <c r="R927" s="289"/>
      <c r="S927" s="289"/>
      <c r="T927" s="289"/>
      <c r="U927" s="289"/>
      <c r="V927" s="289"/>
      <c r="W927" s="289"/>
      <c r="X927" s="289"/>
      <c r="Y927" s="289"/>
      <c r="Z927" s="289"/>
      <c r="AA927" s="289"/>
      <c r="AB927" s="289"/>
      <c r="AC927" s="289"/>
      <c r="AD927" s="295"/>
    </row>
    <row r="928" spans="18:30" ht="32.25" customHeight="1">
      <c r="R928" s="289"/>
      <c r="S928" s="289"/>
      <c r="T928" s="289"/>
      <c r="U928" s="289"/>
      <c r="V928" s="289"/>
      <c r="W928" s="289"/>
      <c r="X928" s="289"/>
      <c r="Y928" s="289"/>
      <c r="Z928" s="289"/>
      <c r="AA928" s="289"/>
      <c r="AB928" s="289"/>
      <c r="AC928" s="289"/>
      <c r="AD928" s="295"/>
    </row>
    <row r="929" spans="18:30" ht="32.25" customHeight="1">
      <c r="R929" s="289"/>
      <c r="S929" s="289"/>
      <c r="T929" s="289"/>
      <c r="U929" s="289"/>
      <c r="V929" s="289"/>
      <c r="W929" s="289"/>
      <c r="X929" s="289"/>
      <c r="Y929" s="289"/>
      <c r="Z929" s="289"/>
      <c r="AA929" s="289"/>
      <c r="AB929" s="289"/>
      <c r="AC929" s="289"/>
      <c r="AD929" s="295"/>
    </row>
    <row r="930" spans="18:30" ht="32.25" customHeight="1">
      <c r="R930" s="289"/>
      <c r="S930" s="289"/>
      <c r="T930" s="289"/>
      <c r="U930" s="289"/>
      <c r="V930" s="289"/>
      <c r="W930" s="289"/>
      <c r="X930" s="289"/>
      <c r="Y930" s="289"/>
      <c r="Z930" s="289"/>
      <c r="AA930" s="289"/>
      <c r="AB930" s="289"/>
      <c r="AC930" s="289"/>
      <c r="AD930" s="295"/>
    </row>
    <row r="931" spans="18:30" ht="32.25" customHeight="1">
      <c r="R931" s="289"/>
      <c r="S931" s="289"/>
      <c r="T931" s="289"/>
      <c r="U931" s="289"/>
      <c r="V931" s="289"/>
      <c r="W931" s="289"/>
      <c r="X931" s="289"/>
      <c r="Y931" s="289"/>
      <c r="Z931" s="289"/>
      <c r="AA931" s="289"/>
      <c r="AB931" s="289"/>
      <c r="AC931" s="289"/>
      <c r="AD931" s="295"/>
    </row>
    <row r="932" spans="18:30" ht="32.25" customHeight="1">
      <c r="R932" s="289"/>
      <c r="S932" s="289"/>
      <c r="T932" s="289"/>
      <c r="U932" s="289"/>
      <c r="V932" s="289"/>
      <c r="W932" s="289"/>
      <c r="X932" s="289"/>
      <c r="Y932" s="289"/>
      <c r="Z932" s="289"/>
      <c r="AA932" s="289"/>
      <c r="AB932" s="289"/>
      <c r="AC932" s="289"/>
      <c r="AD932" s="295"/>
    </row>
    <row r="933" spans="18:30" ht="32.25" customHeight="1">
      <c r="R933" s="289"/>
      <c r="S933" s="289"/>
      <c r="T933" s="289"/>
      <c r="U933" s="289"/>
      <c r="V933" s="289"/>
      <c r="W933" s="289"/>
      <c r="X933" s="289"/>
      <c r="Y933" s="289"/>
      <c r="Z933" s="289"/>
      <c r="AA933" s="289"/>
      <c r="AB933" s="289"/>
      <c r="AC933" s="289"/>
      <c r="AD933" s="295"/>
    </row>
    <row r="934" spans="18:30" ht="32.25" customHeight="1">
      <c r="R934" s="289"/>
      <c r="S934" s="289"/>
      <c r="T934" s="289"/>
      <c r="U934" s="289"/>
      <c r="V934" s="289"/>
      <c r="W934" s="289"/>
      <c r="X934" s="289"/>
      <c r="Y934" s="289"/>
      <c r="Z934" s="289"/>
      <c r="AA934" s="289"/>
      <c r="AB934" s="289"/>
      <c r="AC934" s="289"/>
      <c r="AD934" s="295"/>
    </row>
    <row r="935" spans="18:30" ht="32.25" customHeight="1">
      <c r="R935" s="289"/>
      <c r="S935" s="289"/>
      <c r="T935" s="289"/>
      <c r="U935" s="289"/>
      <c r="V935" s="289"/>
      <c r="W935" s="289"/>
      <c r="X935" s="289"/>
      <c r="Y935" s="289"/>
      <c r="Z935" s="289"/>
      <c r="AA935" s="289"/>
      <c r="AB935" s="289"/>
      <c r="AC935" s="289"/>
      <c r="AD935" s="295"/>
    </row>
    <row r="936" spans="18:30" ht="32.25" customHeight="1">
      <c r="R936" s="289"/>
      <c r="S936" s="289"/>
      <c r="T936" s="289"/>
      <c r="U936" s="289"/>
      <c r="V936" s="289"/>
      <c r="W936" s="289"/>
      <c r="X936" s="289"/>
      <c r="Y936" s="289"/>
      <c r="Z936" s="289"/>
      <c r="AA936" s="289"/>
      <c r="AB936" s="289"/>
      <c r="AC936" s="289"/>
      <c r="AD936" s="295"/>
    </row>
    <row r="937" spans="18:30" ht="32.25" customHeight="1">
      <c r="R937" s="289"/>
      <c r="S937" s="289"/>
      <c r="T937" s="289"/>
      <c r="U937" s="289"/>
      <c r="V937" s="289"/>
      <c r="W937" s="289"/>
      <c r="X937" s="289"/>
      <c r="Y937" s="289"/>
      <c r="Z937" s="289"/>
      <c r="AA937" s="289"/>
      <c r="AB937" s="289"/>
      <c r="AC937" s="289"/>
      <c r="AD937" s="295"/>
    </row>
    <row r="938" spans="18:30" ht="32.25" customHeight="1">
      <c r="R938" s="289"/>
      <c r="S938" s="289"/>
      <c r="T938" s="289"/>
      <c r="U938" s="289"/>
      <c r="V938" s="289"/>
      <c r="W938" s="289"/>
      <c r="X938" s="289"/>
      <c r="Y938" s="289"/>
      <c r="Z938" s="289"/>
      <c r="AA938" s="289"/>
      <c r="AB938" s="289"/>
      <c r="AC938" s="289"/>
      <c r="AD938" s="295"/>
    </row>
    <row r="939" spans="18:30" ht="32.25" customHeight="1">
      <c r="R939" s="289"/>
      <c r="S939" s="289"/>
      <c r="T939" s="289"/>
      <c r="U939" s="289"/>
      <c r="V939" s="289"/>
      <c r="W939" s="289"/>
      <c r="X939" s="289"/>
      <c r="Y939" s="289"/>
      <c r="Z939" s="289"/>
      <c r="AA939" s="289"/>
      <c r="AB939" s="289"/>
      <c r="AC939" s="289"/>
      <c r="AD939" s="295"/>
    </row>
    <row r="940" spans="18:30" ht="32.25" customHeight="1">
      <c r="R940" s="289"/>
      <c r="S940" s="289"/>
      <c r="T940" s="289"/>
      <c r="U940" s="289"/>
      <c r="V940" s="289"/>
      <c r="W940" s="289"/>
      <c r="X940" s="289"/>
      <c r="Y940" s="289"/>
      <c r="Z940" s="289"/>
      <c r="AA940" s="289"/>
      <c r="AB940" s="289"/>
      <c r="AC940" s="289"/>
      <c r="AD940" s="295"/>
    </row>
    <row r="941" spans="18:30" ht="32.25" customHeight="1">
      <c r="R941" s="289"/>
      <c r="S941" s="289"/>
      <c r="T941" s="289"/>
      <c r="U941" s="289"/>
      <c r="V941" s="289"/>
      <c r="W941" s="289"/>
      <c r="X941" s="289"/>
      <c r="Y941" s="289"/>
      <c r="Z941" s="289"/>
      <c r="AA941" s="289"/>
      <c r="AB941" s="289"/>
      <c r="AC941" s="289"/>
      <c r="AD941" s="295"/>
    </row>
    <row r="942" spans="18:30" ht="32.25" customHeight="1">
      <c r="R942" s="289"/>
      <c r="S942" s="289"/>
      <c r="T942" s="289"/>
      <c r="U942" s="289"/>
      <c r="V942" s="289"/>
      <c r="W942" s="289"/>
      <c r="X942" s="289"/>
      <c r="Y942" s="289"/>
      <c r="Z942" s="289"/>
      <c r="AA942" s="289"/>
      <c r="AB942" s="289"/>
      <c r="AC942" s="289"/>
      <c r="AD942" s="295"/>
    </row>
    <row r="943" spans="18:30" ht="32.25" customHeight="1">
      <c r="R943" s="289"/>
      <c r="S943" s="289"/>
      <c r="T943" s="289"/>
      <c r="U943" s="289"/>
      <c r="V943" s="289"/>
      <c r="W943" s="289"/>
      <c r="X943" s="289"/>
      <c r="Y943" s="289"/>
      <c r="Z943" s="289"/>
      <c r="AA943" s="289"/>
      <c r="AB943" s="289"/>
      <c r="AC943" s="289"/>
      <c r="AD943" s="295"/>
    </row>
    <row r="944" spans="18:30" ht="32.25" customHeight="1">
      <c r="R944" s="289"/>
      <c r="S944" s="289"/>
      <c r="T944" s="289"/>
      <c r="U944" s="289"/>
      <c r="V944" s="289"/>
      <c r="W944" s="289"/>
      <c r="X944" s="289"/>
      <c r="Y944" s="289"/>
      <c r="Z944" s="289"/>
      <c r="AA944" s="289"/>
      <c r="AB944" s="289"/>
      <c r="AC944" s="289"/>
      <c r="AD944" s="295"/>
    </row>
    <row r="945" spans="18:30" ht="32.25" customHeight="1">
      <c r="R945" s="289"/>
      <c r="S945" s="289"/>
      <c r="T945" s="289"/>
      <c r="U945" s="289"/>
      <c r="V945" s="289"/>
      <c r="W945" s="289"/>
      <c r="X945" s="289"/>
      <c r="Y945" s="289"/>
      <c r="Z945" s="289"/>
      <c r="AA945" s="289"/>
      <c r="AB945" s="289"/>
      <c r="AC945" s="289"/>
      <c r="AD945" s="295"/>
    </row>
    <row r="946" spans="18:30" ht="32.25" customHeight="1">
      <c r="R946" s="289"/>
      <c r="S946" s="289"/>
      <c r="T946" s="289"/>
      <c r="U946" s="289"/>
      <c r="V946" s="289"/>
      <c r="W946" s="289"/>
      <c r="X946" s="289"/>
      <c r="Y946" s="289"/>
      <c r="Z946" s="289"/>
      <c r="AA946" s="289"/>
      <c r="AB946" s="289"/>
      <c r="AC946" s="289"/>
      <c r="AD946" s="295"/>
    </row>
    <row r="947" spans="18:30" ht="32.25" customHeight="1">
      <c r="R947" s="289"/>
      <c r="S947" s="289"/>
      <c r="T947" s="289"/>
      <c r="U947" s="289"/>
      <c r="V947" s="289"/>
      <c r="W947" s="289"/>
      <c r="X947" s="289"/>
      <c r="Y947" s="289"/>
      <c r="Z947" s="289"/>
      <c r="AA947" s="289"/>
      <c r="AB947" s="289"/>
      <c r="AC947" s="289"/>
      <c r="AD947" s="295"/>
    </row>
    <row r="948" spans="18:30" ht="32.25" customHeight="1">
      <c r="R948" s="289"/>
      <c r="S948" s="289"/>
      <c r="T948" s="289"/>
      <c r="U948" s="289"/>
      <c r="V948" s="289"/>
      <c r="W948" s="289"/>
      <c r="X948" s="289"/>
      <c r="Y948" s="289"/>
      <c r="Z948" s="289"/>
      <c r="AA948" s="289"/>
      <c r="AB948" s="289"/>
      <c r="AC948" s="289"/>
      <c r="AD948" s="295"/>
    </row>
    <row r="949" spans="18:30" ht="32.25" customHeight="1">
      <c r="R949" s="289"/>
      <c r="S949" s="289"/>
      <c r="T949" s="289"/>
      <c r="U949" s="289"/>
      <c r="V949" s="289"/>
      <c r="W949" s="289"/>
      <c r="X949" s="289"/>
      <c r="Y949" s="289"/>
      <c r="Z949" s="289"/>
      <c r="AA949" s="289"/>
      <c r="AB949" s="289"/>
      <c r="AC949" s="289"/>
      <c r="AD949" s="295"/>
    </row>
    <row r="950" spans="18:30" ht="32.25" customHeight="1">
      <c r="R950" s="289"/>
      <c r="S950" s="289"/>
      <c r="T950" s="289"/>
      <c r="U950" s="289"/>
      <c r="V950" s="289"/>
      <c r="W950" s="289"/>
      <c r="X950" s="289"/>
      <c r="Y950" s="289"/>
      <c r="Z950" s="289"/>
      <c r="AA950" s="289"/>
      <c r="AB950" s="289"/>
      <c r="AC950" s="289"/>
      <c r="AD950" s="295"/>
    </row>
    <row r="951" spans="18:30" ht="32.25" customHeight="1">
      <c r="R951" s="289"/>
      <c r="S951" s="289"/>
      <c r="T951" s="289"/>
      <c r="U951" s="289"/>
      <c r="V951" s="289"/>
      <c r="W951" s="289"/>
      <c r="X951" s="289"/>
      <c r="Y951" s="289"/>
      <c r="Z951" s="289"/>
      <c r="AA951" s="289"/>
      <c r="AB951" s="289"/>
      <c r="AC951" s="289"/>
      <c r="AD951" s="295"/>
    </row>
    <row r="952" spans="18:30" ht="32.25" customHeight="1">
      <c r="R952" s="289"/>
      <c r="S952" s="289"/>
      <c r="T952" s="289"/>
      <c r="U952" s="289"/>
      <c r="V952" s="289"/>
      <c r="W952" s="289"/>
      <c r="X952" s="289"/>
      <c r="Y952" s="289"/>
      <c r="Z952" s="289"/>
      <c r="AA952" s="289"/>
      <c r="AB952" s="289"/>
      <c r="AC952" s="289"/>
      <c r="AD952" s="295"/>
    </row>
    <row r="953" spans="18:30" ht="32.25" customHeight="1">
      <c r="R953" s="289"/>
      <c r="S953" s="289"/>
      <c r="T953" s="289"/>
      <c r="U953" s="289"/>
      <c r="V953" s="289"/>
      <c r="W953" s="289"/>
      <c r="X953" s="289"/>
      <c r="Y953" s="289"/>
      <c r="Z953" s="289"/>
      <c r="AA953" s="289"/>
      <c r="AB953" s="289"/>
      <c r="AC953" s="289"/>
      <c r="AD953" s="295"/>
    </row>
    <row r="954" spans="18:30" ht="32.25" customHeight="1">
      <c r="R954" s="289"/>
      <c r="S954" s="289"/>
      <c r="T954" s="289"/>
      <c r="U954" s="289"/>
      <c r="V954" s="289"/>
      <c r="W954" s="289"/>
      <c r="X954" s="289"/>
      <c r="Y954" s="289"/>
      <c r="Z954" s="289"/>
      <c r="AA954" s="289"/>
      <c r="AB954" s="289"/>
      <c r="AC954" s="289"/>
      <c r="AD954" s="295"/>
    </row>
    <row r="955" spans="18:30" ht="32.25" customHeight="1">
      <c r="R955" s="289"/>
      <c r="S955" s="289"/>
      <c r="T955" s="289"/>
      <c r="U955" s="289"/>
      <c r="V955" s="289"/>
      <c r="W955" s="289"/>
      <c r="X955" s="289"/>
      <c r="Y955" s="289"/>
      <c r="Z955" s="289"/>
      <c r="AA955" s="289"/>
      <c r="AB955" s="289"/>
      <c r="AC955" s="289"/>
      <c r="AD955" s="295"/>
    </row>
    <row r="956" spans="18:30" ht="32.25" customHeight="1">
      <c r="R956" s="289"/>
      <c r="S956" s="289"/>
      <c r="T956" s="289"/>
      <c r="U956" s="289"/>
      <c r="V956" s="289"/>
      <c r="W956" s="289"/>
      <c r="X956" s="289"/>
      <c r="Y956" s="289"/>
      <c r="Z956" s="289"/>
      <c r="AA956" s="289"/>
      <c r="AB956" s="289"/>
      <c r="AC956" s="289"/>
      <c r="AD956" s="295"/>
    </row>
    <row r="957" spans="18:30" ht="32.25" customHeight="1">
      <c r="R957" s="289"/>
      <c r="S957" s="289"/>
      <c r="T957" s="289"/>
      <c r="U957" s="289"/>
      <c r="V957" s="289"/>
      <c r="W957" s="289"/>
      <c r="X957" s="289"/>
      <c r="Y957" s="289"/>
      <c r="Z957" s="289"/>
      <c r="AA957" s="289"/>
      <c r="AB957" s="289"/>
      <c r="AC957" s="289"/>
      <c r="AD957" s="295"/>
    </row>
    <row r="958" spans="18:30" ht="32.25" customHeight="1">
      <c r="R958" s="289"/>
      <c r="S958" s="289"/>
      <c r="T958" s="289"/>
      <c r="U958" s="289"/>
      <c r="V958" s="289"/>
      <c r="W958" s="289"/>
      <c r="X958" s="289"/>
      <c r="Y958" s="289"/>
      <c r="Z958" s="289"/>
      <c r="AA958" s="289"/>
      <c r="AB958" s="289"/>
      <c r="AC958" s="289"/>
      <c r="AD958" s="295"/>
    </row>
    <row r="959" spans="18:30" ht="32.25" customHeight="1">
      <c r="R959" s="289"/>
      <c r="S959" s="289"/>
      <c r="T959" s="289"/>
      <c r="U959" s="289"/>
      <c r="V959" s="289"/>
      <c r="W959" s="289"/>
      <c r="X959" s="289"/>
      <c r="Y959" s="289"/>
      <c r="Z959" s="289"/>
      <c r="AA959" s="289"/>
      <c r="AB959" s="289"/>
      <c r="AC959" s="289"/>
      <c r="AD959" s="295"/>
    </row>
    <row r="960" spans="18:30" ht="32.25" customHeight="1">
      <c r="R960" s="289"/>
      <c r="S960" s="289"/>
      <c r="T960" s="289"/>
      <c r="U960" s="289"/>
      <c r="V960" s="289"/>
      <c r="W960" s="289"/>
      <c r="X960" s="289"/>
      <c r="Y960" s="289"/>
      <c r="Z960" s="289"/>
      <c r="AA960" s="289"/>
      <c r="AB960" s="289"/>
      <c r="AC960" s="289"/>
      <c r="AD960" s="295"/>
    </row>
    <row r="961" spans="18:30" ht="32.25" customHeight="1">
      <c r="R961" s="289"/>
      <c r="S961" s="289"/>
      <c r="T961" s="289"/>
      <c r="U961" s="289"/>
      <c r="V961" s="289"/>
      <c r="W961" s="289"/>
      <c r="X961" s="289"/>
      <c r="Y961" s="289"/>
      <c r="Z961" s="289"/>
      <c r="AA961" s="289"/>
      <c r="AB961" s="289"/>
      <c r="AC961" s="289"/>
      <c r="AD961" s="295"/>
    </row>
    <row r="962" spans="18:30" ht="32.25" customHeight="1">
      <c r="R962" s="289"/>
      <c r="S962" s="289"/>
      <c r="T962" s="289"/>
      <c r="U962" s="289"/>
      <c r="V962" s="289"/>
      <c r="W962" s="289"/>
      <c r="X962" s="289"/>
      <c r="Y962" s="289"/>
      <c r="Z962" s="289"/>
      <c r="AA962" s="289"/>
      <c r="AB962" s="289"/>
      <c r="AC962" s="289"/>
      <c r="AD962" s="295"/>
    </row>
    <row r="963" spans="18:30" ht="32.25" customHeight="1">
      <c r="R963" s="289"/>
      <c r="S963" s="289"/>
      <c r="T963" s="289"/>
      <c r="U963" s="289"/>
      <c r="V963" s="289"/>
      <c r="W963" s="289"/>
      <c r="X963" s="289"/>
      <c r="Y963" s="289"/>
      <c r="Z963" s="289"/>
      <c r="AA963" s="289"/>
      <c r="AB963" s="289"/>
      <c r="AC963" s="289"/>
      <c r="AD963" s="295"/>
    </row>
    <row r="964" spans="18:30" ht="32.25" customHeight="1">
      <c r="R964" s="289"/>
      <c r="S964" s="289"/>
      <c r="T964" s="289"/>
      <c r="U964" s="289"/>
      <c r="V964" s="289"/>
      <c r="W964" s="289"/>
      <c r="X964" s="289"/>
      <c r="Y964" s="289"/>
      <c r="Z964" s="289"/>
      <c r="AA964" s="289"/>
      <c r="AB964" s="289"/>
      <c r="AC964" s="289"/>
      <c r="AD964" s="295"/>
    </row>
    <row r="965" spans="18:30" ht="32.25" customHeight="1">
      <c r="R965" s="289"/>
      <c r="S965" s="289"/>
      <c r="T965" s="289"/>
      <c r="U965" s="289"/>
      <c r="V965" s="289"/>
      <c r="W965" s="289"/>
      <c r="X965" s="289"/>
      <c r="Y965" s="289"/>
      <c r="Z965" s="289"/>
      <c r="AA965" s="289"/>
      <c r="AB965" s="289"/>
      <c r="AC965" s="289"/>
      <c r="AD965" s="295"/>
    </row>
    <row r="966" spans="18:30" ht="32.25" customHeight="1">
      <c r="R966" s="289"/>
      <c r="S966" s="289"/>
      <c r="T966" s="289"/>
      <c r="U966" s="289"/>
      <c r="V966" s="289"/>
      <c r="W966" s="289"/>
      <c r="X966" s="289"/>
      <c r="Y966" s="289"/>
      <c r="Z966" s="289"/>
      <c r="AA966" s="289"/>
      <c r="AB966" s="289"/>
      <c r="AC966" s="289"/>
      <c r="AD966" s="295"/>
    </row>
    <row r="967" spans="18:30" ht="32.25" customHeight="1">
      <c r="R967" s="289"/>
      <c r="S967" s="289"/>
      <c r="T967" s="289"/>
      <c r="U967" s="289"/>
      <c r="V967" s="289"/>
      <c r="W967" s="289"/>
      <c r="X967" s="289"/>
      <c r="Y967" s="289"/>
      <c r="Z967" s="289"/>
      <c r="AA967" s="289"/>
      <c r="AB967" s="289"/>
      <c r="AC967" s="289"/>
      <c r="AD967" s="295"/>
    </row>
    <row r="968" spans="18:30" ht="32.25" customHeight="1">
      <c r="R968" s="289"/>
      <c r="S968" s="289"/>
      <c r="T968" s="289"/>
      <c r="U968" s="289"/>
      <c r="V968" s="289"/>
      <c r="W968" s="289"/>
      <c r="X968" s="289"/>
      <c r="Y968" s="289"/>
      <c r="Z968" s="289"/>
      <c r="AA968" s="289"/>
      <c r="AB968" s="289"/>
      <c r="AC968" s="289"/>
      <c r="AD968" s="295"/>
    </row>
    <row r="969" spans="18:30" ht="32.25" customHeight="1">
      <c r="R969" s="289"/>
      <c r="S969" s="289"/>
      <c r="T969" s="289"/>
      <c r="U969" s="289"/>
      <c r="V969" s="289"/>
      <c r="W969" s="289"/>
      <c r="X969" s="289"/>
      <c r="Y969" s="289"/>
      <c r="Z969" s="289"/>
      <c r="AA969" s="289"/>
      <c r="AB969" s="289"/>
      <c r="AC969" s="289"/>
      <c r="AD969" s="295"/>
    </row>
    <row r="970" spans="18:30" ht="32.25" customHeight="1">
      <c r="R970" s="289"/>
      <c r="S970" s="289"/>
      <c r="T970" s="289"/>
      <c r="U970" s="289"/>
      <c r="V970" s="289"/>
      <c r="W970" s="289"/>
      <c r="X970" s="289"/>
      <c r="Y970" s="289"/>
      <c r="Z970" s="289"/>
      <c r="AA970" s="289"/>
      <c r="AB970" s="289"/>
      <c r="AC970" s="289"/>
      <c r="AD970" s="295"/>
    </row>
    <row r="971" spans="18:30" ht="32.25" customHeight="1">
      <c r="R971" s="289"/>
      <c r="S971" s="289"/>
      <c r="T971" s="289"/>
      <c r="U971" s="289"/>
      <c r="V971" s="289"/>
      <c r="W971" s="289"/>
      <c r="X971" s="289"/>
      <c r="Y971" s="289"/>
      <c r="Z971" s="289"/>
      <c r="AA971" s="289"/>
      <c r="AB971" s="289"/>
      <c r="AC971" s="289"/>
      <c r="AD971" s="295"/>
    </row>
    <row r="972" spans="18:30" ht="32.25" customHeight="1">
      <c r="R972" s="289"/>
      <c r="S972" s="289"/>
      <c r="T972" s="289"/>
      <c r="U972" s="289"/>
      <c r="V972" s="289"/>
      <c r="W972" s="289"/>
      <c r="X972" s="289"/>
      <c r="Y972" s="289"/>
      <c r="Z972" s="289"/>
      <c r="AA972" s="289"/>
      <c r="AB972" s="289"/>
      <c r="AC972" s="289"/>
      <c r="AD972" s="295"/>
    </row>
    <row r="973" spans="18:30" ht="32.25" customHeight="1">
      <c r="R973" s="289"/>
      <c r="S973" s="289"/>
      <c r="T973" s="289"/>
      <c r="U973" s="289"/>
      <c r="V973" s="289"/>
      <c r="W973" s="289"/>
      <c r="X973" s="289"/>
      <c r="Y973" s="289"/>
      <c r="Z973" s="289"/>
      <c r="AA973" s="289"/>
      <c r="AB973" s="289"/>
      <c r="AC973" s="289"/>
      <c r="AD973" s="295"/>
    </row>
    <row r="974" spans="18:30" ht="32.25" customHeight="1">
      <c r="R974" s="289"/>
      <c r="S974" s="289"/>
      <c r="T974" s="289"/>
      <c r="U974" s="289"/>
      <c r="V974" s="289"/>
      <c r="W974" s="289"/>
      <c r="X974" s="289"/>
      <c r="Y974" s="289"/>
      <c r="Z974" s="289"/>
      <c r="AA974" s="289"/>
      <c r="AB974" s="289"/>
      <c r="AC974" s="289"/>
      <c r="AD974" s="295"/>
    </row>
    <row r="975" spans="18:30" ht="32.25" customHeight="1">
      <c r="R975" s="289"/>
      <c r="S975" s="289"/>
      <c r="T975" s="289"/>
      <c r="U975" s="289"/>
      <c r="V975" s="289"/>
      <c r="W975" s="289"/>
      <c r="X975" s="289"/>
      <c r="Y975" s="289"/>
      <c r="Z975" s="289"/>
      <c r="AA975" s="289"/>
      <c r="AB975" s="289"/>
      <c r="AC975" s="289"/>
      <c r="AD975" s="295"/>
    </row>
    <row r="976" spans="18:30" ht="32.25" customHeight="1">
      <c r="R976" s="289"/>
      <c r="S976" s="289"/>
      <c r="T976" s="289"/>
      <c r="U976" s="289"/>
      <c r="V976" s="289"/>
      <c r="W976" s="289"/>
      <c r="X976" s="289"/>
      <c r="Y976" s="289"/>
      <c r="Z976" s="289"/>
      <c r="AA976" s="289"/>
      <c r="AB976" s="289"/>
      <c r="AC976" s="289"/>
      <c r="AD976" s="295"/>
    </row>
    <row r="977" spans="18:30" ht="32.25" customHeight="1">
      <c r="R977" s="289"/>
      <c r="S977" s="289"/>
      <c r="T977" s="289"/>
      <c r="U977" s="289"/>
      <c r="V977" s="289"/>
      <c r="W977" s="289"/>
      <c r="X977" s="289"/>
      <c r="Y977" s="289"/>
      <c r="Z977" s="289"/>
      <c r="AA977" s="289"/>
      <c r="AB977" s="289"/>
      <c r="AC977" s="289"/>
      <c r="AD977" s="295"/>
    </row>
    <row r="978" spans="18:30" ht="32.25" customHeight="1">
      <c r="R978" s="289"/>
      <c r="S978" s="289"/>
      <c r="T978" s="289"/>
      <c r="U978" s="289"/>
      <c r="V978" s="289"/>
      <c r="W978" s="289"/>
      <c r="X978" s="289"/>
      <c r="Y978" s="289"/>
      <c r="Z978" s="289"/>
      <c r="AA978" s="289"/>
      <c r="AB978" s="289"/>
      <c r="AC978" s="289"/>
      <c r="AD978" s="295"/>
    </row>
    <row r="979" spans="18:30" ht="32.25" customHeight="1">
      <c r="R979" s="289"/>
      <c r="S979" s="289"/>
      <c r="T979" s="289"/>
      <c r="U979" s="289"/>
      <c r="V979" s="289"/>
      <c r="W979" s="289"/>
      <c r="X979" s="289"/>
      <c r="Y979" s="289"/>
      <c r="Z979" s="289"/>
      <c r="AA979" s="289"/>
      <c r="AB979" s="289"/>
      <c r="AC979" s="289"/>
      <c r="AD979" s="295"/>
    </row>
    <row r="980" spans="18:30" ht="32.25" customHeight="1">
      <c r="R980" s="289"/>
      <c r="S980" s="289"/>
      <c r="T980" s="289"/>
      <c r="U980" s="289"/>
      <c r="V980" s="289"/>
      <c r="W980" s="289"/>
      <c r="X980" s="289"/>
      <c r="Y980" s="289"/>
      <c r="Z980" s="289"/>
      <c r="AA980" s="289"/>
      <c r="AB980" s="289"/>
      <c r="AC980" s="289"/>
      <c r="AD980" s="295"/>
    </row>
    <row r="981" spans="18:30" ht="32.25" customHeight="1">
      <c r="R981" s="289"/>
      <c r="S981" s="289"/>
      <c r="T981" s="289"/>
      <c r="U981" s="289"/>
      <c r="V981" s="289"/>
      <c r="W981" s="289"/>
      <c r="X981" s="289"/>
      <c r="Y981" s="289"/>
      <c r="Z981" s="289"/>
      <c r="AA981" s="289"/>
      <c r="AB981" s="289"/>
      <c r="AC981" s="289"/>
      <c r="AD981" s="295"/>
    </row>
    <row r="982" spans="18:30" ht="32.25" customHeight="1">
      <c r="R982" s="289"/>
      <c r="S982" s="289"/>
      <c r="T982" s="289"/>
      <c r="U982" s="289"/>
      <c r="V982" s="289"/>
      <c r="W982" s="289"/>
      <c r="X982" s="289"/>
      <c r="Y982" s="289"/>
      <c r="Z982" s="289"/>
      <c r="AA982" s="289"/>
      <c r="AB982" s="289"/>
      <c r="AC982" s="289"/>
      <c r="AD982" s="295"/>
    </row>
    <row r="983" spans="18:30" ht="32.25" customHeight="1">
      <c r="R983" s="289"/>
      <c r="S983" s="289"/>
      <c r="T983" s="289"/>
      <c r="U983" s="289"/>
      <c r="V983" s="289"/>
      <c r="W983" s="289"/>
      <c r="X983" s="289"/>
      <c r="Y983" s="289"/>
      <c r="Z983" s="289"/>
      <c r="AA983" s="289"/>
      <c r="AB983" s="289"/>
      <c r="AC983" s="289"/>
      <c r="AD983" s="295"/>
    </row>
    <row r="984" spans="18:30" ht="32.25" customHeight="1">
      <c r="R984" s="289"/>
      <c r="S984" s="289"/>
      <c r="T984" s="289"/>
      <c r="U984" s="289"/>
      <c r="V984" s="289"/>
      <c r="W984" s="289"/>
      <c r="X984" s="289"/>
      <c r="Y984" s="289"/>
      <c r="Z984" s="289"/>
      <c r="AA984" s="289"/>
      <c r="AB984" s="289"/>
      <c r="AC984" s="289"/>
      <c r="AD984" s="295"/>
    </row>
    <row r="985" spans="18:30" ht="32.25" customHeight="1">
      <c r="R985" s="289"/>
      <c r="S985" s="289"/>
      <c r="T985" s="289"/>
      <c r="U985" s="289"/>
      <c r="V985" s="289"/>
      <c r="W985" s="289"/>
      <c r="X985" s="289"/>
      <c r="Y985" s="289"/>
      <c r="Z985" s="289"/>
      <c r="AA985" s="289"/>
      <c r="AB985" s="289"/>
      <c r="AC985" s="289"/>
      <c r="AD985" s="295"/>
    </row>
    <row r="986" spans="18:30" ht="32.25" customHeight="1">
      <c r="R986" s="289"/>
      <c r="S986" s="289"/>
      <c r="T986" s="289"/>
      <c r="U986" s="289"/>
      <c r="V986" s="289"/>
      <c r="W986" s="289"/>
      <c r="X986" s="289"/>
      <c r="Y986" s="289"/>
      <c r="Z986" s="289"/>
      <c r="AA986" s="289"/>
      <c r="AB986" s="289"/>
      <c r="AC986" s="289"/>
      <c r="AD986" s="295"/>
    </row>
    <row r="987" spans="18:30" ht="32.25" customHeight="1">
      <c r="R987" s="289"/>
      <c r="S987" s="289"/>
      <c r="T987" s="289"/>
      <c r="U987" s="289"/>
      <c r="V987" s="289"/>
      <c r="W987" s="289"/>
      <c r="X987" s="289"/>
      <c r="Y987" s="289"/>
      <c r="Z987" s="289"/>
      <c r="AA987" s="289"/>
      <c r="AB987" s="289"/>
      <c r="AC987" s="289"/>
      <c r="AD987" s="295"/>
    </row>
    <row r="988" spans="18:30" ht="32.25" customHeight="1">
      <c r="R988" s="289"/>
      <c r="S988" s="289"/>
      <c r="T988" s="289"/>
      <c r="U988" s="289"/>
      <c r="V988" s="289"/>
      <c r="W988" s="289"/>
      <c r="X988" s="289"/>
      <c r="Y988" s="289"/>
      <c r="Z988" s="289"/>
      <c r="AA988" s="289"/>
      <c r="AB988" s="289"/>
      <c r="AC988" s="289"/>
      <c r="AD988" s="295"/>
    </row>
    <row r="989" spans="18:30" ht="32.25" customHeight="1">
      <c r="R989" s="289"/>
      <c r="S989" s="289"/>
      <c r="T989" s="289"/>
      <c r="U989" s="289"/>
      <c r="V989" s="289"/>
      <c r="W989" s="289"/>
      <c r="X989" s="289"/>
      <c r="Y989" s="289"/>
      <c r="Z989" s="289"/>
      <c r="AA989" s="289"/>
      <c r="AB989" s="289"/>
      <c r="AC989" s="289"/>
      <c r="AD989" s="295"/>
    </row>
    <row r="990" spans="18:30" ht="32.25" customHeight="1">
      <c r="R990" s="289"/>
      <c r="S990" s="289"/>
      <c r="T990" s="289"/>
      <c r="U990" s="289"/>
      <c r="V990" s="289"/>
      <c r="W990" s="289"/>
      <c r="X990" s="289"/>
      <c r="Y990" s="289"/>
      <c r="Z990" s="289"/>
      <c r="AA990" s="289"/>
      <c r="AB990" s="289"/>
      <c r="AC990" s="289"/>
      <c r="AD990" s="295"/>
    </row>
    <row r="991" spans="18:30" ht="32.25" customHeight="1">
      <c r="R991" s="289"/>
      <c r="S991" s="289"/>
      <c r="T991" s="289"/>
      <c r="U991" s="289"/>
      <c r="V991" s="289"/>
      <c r="W991" s="289"/>
      <c r="X991" s="289"/>
      <c r="Y991" s="289"/>
      <c r="Z991" s="289"/>
      <c r="AA991" s="289"/>
      <c r="AB991" s="289"/>
      <c r="AC991" s="289"/>
      <c r="AD991" s="295"/>
    </row>
    <row r="992" spans="18:30" ht="32.25" customHeight="1">
      <c r="R992" s="289"/>
      <c r="S992" s="289"/>
      <c r="T992" s="289"/>
      <c r="U992" s="289"/>
      <c r="V992" s="289"/>
      <c r="W992" s="289"/>
      <c r="X992" s="289"/>
      <c r="Y992" s="289"/>
      <c r="Z992" s="289"/>
      <c r="AA992" s="289"/>
      <c r="AB992" s="289"/>
      <c r="AC992" s="289"/>
      <c r="AD992" s="295"/>
    </row>
    <row r="993" spans="18:30" ht="32.25" customHeight="1">
      <c r="R993" s="289"/>
      <c r="S993" s="289"/>
      <c r="T993" s="289"/>
      <c r="U993" s="289"/>
      <c r="V993" s="289"/>
      <c r="W993" s="289"/>
      <c r="X993" s="289"/>
      <c r="Y993" s="289"/>
      <c r="Z993" s="289"/>
      <c r="AA993" s="289"/>
      <c r="AB993" s="289"/>
      <c r="AC993" s="289"/>
      <c r="AD993" s="295"/>
    </row>
    <row r="994" spans="18:30" ht="32.25" customHeight="1">
      <c r="R994" s="289"/>
      <c r="S994" s="289"/>
      <c r="T994" s="289"/>
      <c r="U994" s="289"/>
      <c r="V994" s="289"/>
      <c r="W994" s="289"/>
      <c r="X994" s="289"/>
      <c r="Y994" s="289"/>
      <c r="Z994" s="289"/>
      <c r="AA994" s="289"/>
      <c r="AB994" s="289"/>
      <c r="AC994" s="289"/>
      <c r="AD994" s="295"/>
    </row>
    <row r="995" spans="18:30" ht="32.25" customHeight="1">
      <c r="R995" s="289"/>
      <c r="S995" s="289"/>
      <c r="T995" s="289"/>
      <c r="U995" s="289"/>
      <c r="V995" s="289"/>
      <c r="W995" s="289"/>
      <c r="X995" s="289"/>
      <c r="Y995" s="289"/>
      <c r="Z995" s="289"/>
      <c r="AA995" s="289"/>
      <c r="AB995" s="289"/>
      <c r="AC995" s="289"/>
      <c r="AD995" s="295"/>
    </row>
    <row r="996" spans="18:30" ht="32.25" customHeight="1">
      <c r="R996" s="289"/>
      <c r="S996" s="289"/>
      <c r="T996" s="289"/>
      <c r="U996" s="289"/>
      <c r="V996" s="289"/>
      <c r="W996" s="289"/>
      <c r="X996" s="289"/>
      <c r="Y996" s="289"/>
      <c r="Z996" s="289"/>
      <c r="AA996" s="289"/>
      <c r="AB996" s="289"/>
      <c r="AC996" s="289"/>
      <c r="AD996" s="295"/>
    </row>
    <row r="997" spans="18:30" ht="32.25" customHeight="1">
      <c r="R997" s="289"/>
      <c r="S997" s="289"/>
      <c r="T997" s="289"/>
      <c r="U997" s="289"/>
      <c r="V997" s="289"/>
      <c r="W997" s="289"/>
      <c r="X997" s="289"/>
      <c r="Y997" s="289"/>
      <c r="Z997" s="289"/>
      <c r="AA997" s="289"/>
      <c r="AB997" s="289"/>
      <c r="AC997" s="289"/>
      <c r="AD997" s="295"/>
    </row>
    <row r="998" spans="18:30" ht="32.25" customHeight="1">
      <c r="R998" s="289"/>
      <c r="S998" s="289"/>
      <c r="T998" s="289"/>
      <c r="U998" s="289"/>
      <c r="V998" s="289"/>
      <c r="W998" s="289"/>
      <c r="X998" s="289"/>
      <c r="Y998" s="289"/>
      <c r="Z998" s="289"/>
      <c r="AA998" s="289"/>
      <c r="AB998" s="289"/>
      <c r="AC998" s="289"/>
      <c r="AD998" s="295"/>
    </row>
    <row r="999" spans="18:30" ht="32.25" customHeight="1">
      <c r="R999" s="289"/>
      <c r="S999" s="289"/>
      <c r="T999" s="289"/>
      <c r="U999" s="289"/>
      <c r="V999" s="289"/>
      <c r="W999" s="289"/>
      <c r="X999" s="289"/>
      <c r="Y999" s="289"/>
      <c r="Z999" s="289"/>
      <c r="AA999" s="289"/>
      <c r="AB999" s="289"/>
      <c r="AC999" s="289"/>
      <c r="AD999" s="295"/>
    </row>
    <row r="1000" spans="18:30" ht="32.25" customHeight="1">
      <c r="R1000" s="289"/>
      <c r="S1000" s="289"/>
      <c r="T1000" s="289"/>
      <c r="U1000" s="289"/>
      <c r="V1000" s="289"/>
      <c r="W1000" s="289"/>
      <c r="X1000" s="289"/>
      <c r="Y1000" s="289"/>
      <c r="Z1000" s="289"/>
      <c r="AA1000" s="289"/>
      <c r="AB1000" s="289"/>
      <c r="AC1000" s="289"/>
      <c r="AD1000" s="295"/>
    </row>
    <row r="1001" spans="18:30" ht="32.25" customHeight="1">
      <c r="R1001" s="289"/>
      <c r="S1001" s="289"/>
      <c r="T1001" s="289"/>
      <c r="U1001" s="289"/>
      <c r="V1001" s="289"/>
      <c r="W1001" s="289"/>
      <c r="X1001" s="289"/>
      <c r="Y1001" s="289"/>
      <c r="Z1001" s="289"/>
      <c r="AA1001" s="289"/>
      <c r="AB1001" s="289"/>
      <c r="AC1001" s="289"/>
      <c r="AD1001" s="295"/>
    </row>
    <row r="1002" spans="18:30" ht="32.25" customHeight="1">
      <c r="R1002" s="289"/>
      <c r="S1002" s="289"/>
      <c r="T1002" s="289"/>
      <c r="U1002" s="289"/>
      <c r="V1002" s="289"/>
      <c r="W1002" s="289"/>
      <c r="X1002" s="289"/>
      <c r="Y1002" s="289"/>
      <c r="Z1002" s="289"/>
      <c r="AA1002" s="289"/>
      <c r="AB1002" s="289"/>
      <c r="AC1002" s="289"/>
      <c r="AD1002" s="295"/>
    </row>
    <row r="1003" spans="18:30" ht="32.25" customHeight="1">
      <c r="R1003" s="289"/>
      <c r="S1003" s="289"/>
      <c r="T1003" s="289"/>
      <c r="U1003" s="289"/>
      <c r="V1003" s="289"/>
      <c r="W1003" s="289"/>
      <c r="X1003" s="289"/>
      <c r="Y1003" s="289"/>
      <c r="Z1003" s="289"/>
      <c r="AA1003" s="289"/>
      <c r="AB1003" s="289"/>
      <c r="AC1003" s="289"/>
      <c r="AD1003" s="295"/>
    </row>
    <row r="1004" spans="18:30" ht="32.25" customHeight="1">
      <c r="R1004" s="289"/>
      <c r="S1004" s="289"/>
      <c r="T1004" s="289"/>
      <c r="U1004" s="289"/>
      <c r="V1004" s="289"/>
      <c r="W1004" s="289"/>
      <c r="X1004" s="289"/>
      <c r="Y1004" s="289"/>
      <c r="Z1004" s="289"/>
      <c r="AA1004" s="289"/>
      <c r="AB1004" s="289"/>
      <c r="AC1004" s="289"/>
      <c r="AD1004" s="295"/>
    </row>
    <row r="1005" spans="18:30" ht="32.25" customHeight="1">
      <c r="R1005" s="289"/>
      <c r="S1005" s="289"/>
      <c r="T1005" s="289"/>
      <c r="U1005" s="289"/>
      <c r="V1005" s="289"/>
      <c r="W1005" s="289"/>
      <c r="X1005" s="289"/>
      <c r="Y1005" s="289"/>
      <c r="Z1005" s="289"/>
      <c r="AA1005" s="289"/>
      <c r="AB1005" s="289"/>
      <c r="AC1005" s="289"/>
      <c r="AD1005" s="295"/>
    </row>
    <row r="1006" spans="18:30" ht="32.25" customHeight="1">
      <c r="R1006" s="289"/>
      <c r="S1006" s="289"/>
      <c r="T1006" s="289"/>
      <c r="U1006" s="289"/>
      <c r="V1006" s="289"/>
      <c r="W1006" s="289"/>
      <c r="X1006" s="289"/>
      <c r="Y1006" s="289"/>
      <c r="Z1006" s="289"/>
      <c r="AA1006" s="289"/>
      <c r="AB1006" s="289"/>
      <c r="AC1006" s="289"/>
      <c r="AD1006" s="295"/>
    </row>
    <row r="1007" spans="18:30" ht="32.25" customHeight="1">
      <c r="R1007" s="289"/>
      <c r="S1007" s="289"/>
      <c r="T1007" s="289"/>
      <c r="U1007" s="289"/>
      <c r="V1007" s="289"/>
      <c r="W1007" s="289"/>
      <c r="X1007" s="289"/>
      <c r="Y1007" s="289"/>
      <c r="Z1007" s="289"/>
      <c r="AA1007" s="289"/>
      <c r="AB1007" s="289"/>
      <c r="AC1007" s="289"/>
      <c r="AD1007" s="295"/>
    </row>
    <row r="1008" spans="18:30" ht="32.25" customHeight="1">
      <c r="R1008" s="289"/>
      <c r="S1008" s="289"/>
      <c r="T1008" s="289"/>
      <c r="U1008" s="289"/>
      <c r="V1008" s="289"/>
      <c r="W1008" s="289"/>
      <c r="X1008" s="289"/>
      <c r="Y1008" s="289"/>
      <c r="Z1008" s="289"/>
      <c r="AA1008" s="289"/>
      <c r="AB1008" s="289"/>
      <c r="AC1008" s="289"/>
      <c r="AD1008" s="295"/>
    </row>
    <row r="1009" spans="18:30" ht="32.25" customHeight="1">
      <c r="R1009" s="289"/>
      <c r="S1009" s="289"/>
      <c r="T1009" s="289"/>
      <c r="U1009" s="289"/>
      <c r="V1009" s="289"/>
      <c r="W1009" s="289"/>
      <c r="X1009" s="289"/>
      <c r="Y1009" s="289"/>
      <c r="Z1009" s="289"/>
      <c r="AA1009" s="289"/>
      <c r="AB1009" s="289"/>
      <c r="AC1009" s="289"/>
      <c r="AD1009" s="295"/>
    </row>
    <row r="1010" spans="18:30" ht="32.25" customHeight="1">
      <c r="R1010" s="289"/>
      <c r="S1010" s="289"/>
      <c r="T1010" s="289"/>
      <c r="U1010" s="289"/>
      <c r="V1010" s="289"/>
      <c r="W1010" s="289"/>
      <c r="X1010" s="289"/>
      <c r="Y1010" s="289"/>
      <c r="Z1010" s="289"/>
      <c r="AA1010" s="289"/>
      <c r="AB1010" s="289"/>
      <c r="AC1010" s="289"/>
      <c r="AD1010" s="295"/>
    </row>
    <row r="1011" spans="18:30" ht="32.25" customHeight="1">
      <c r="R1011" s="289"/>
      <c r="S1011" s="289"/>
      <c r="T1011" s="289"/>
      <c r="U1011" s="289"/>
      <c r="V1011" s="289"/>
      <c r="W1011" s="289"/>
      <c r="X1011" s="289"/>
      <c r="Y1011" s="289"/>
      <c r="Z1011" s="289"/>
      <c r="AA1011" s="289"/>
      <c r="AB1011" s="289"/>
      <c r="AC1011" s="289"/>
      <c r="AD1011" s="295"/>
    </row>
    <row r="1012" spans="18:30" ht="32.25" customHeight="1">
      <c r="R1012" s="289"/>
      <c r="S1012" s="289"/>
      <c r="T1012" s="289"/>
      <c r="U1012" s="289"/>
      <c r="V1012" s="289"/>
      <c r="W1012" s="289"/>
      <c r="X1012" s="289"/>
      <c r="Y1012" s="289"/>
      <c r="Z1012" s="289"/>
      <c r="AA1012" s="289"/>
      <c r="AB1012" s="289"/>
      <c r="AC1012" s="289"/>
      <c r="AD1012" s="295"/>
    </row>
    <row r="1013" spans="18:30" ht="32.25" customHeight="1">
      <c r="R1013" s="289"/>
      <c r="S1013" s="289"/>
      <c r="T1013" s="289"/>
      <c r="U1013" s="289"/>
      <c r="V1013" s="289"/>
      <c r="W1013" s="289"/>
      <c r="X1013" s="289"/>
      <c r="Y1013" s="289"/>
      <c r="Z1013" s="289"/>
      <c r="AA1013" s="289"/>
      <c r="AB1013" s="289"/>
      <c r="AC1013" s="289"/>
      <c r="AD1013" s="295"/>
    </row>
    <row r="1014" spans="18:30" ht="32.25" customHeight="1">
      <c r="R1014" s="289"/>
      <c r="S1014" s="289"/>
      <c r="T1014" s="289"/>
      <c r="U1014" s="289"/>
      <c r="V1014" s="289"/>
      <c r="W1014" s="289"/>
      <c r="X1014" s="289"/>
      <c r="Y1014" s="289"/>
      <c r="Z1014" s="289"/>
      <c r="AA1014" s="289"/>
      <c r="AB1014" s="289"/>
      <c r="AC1014" s="289"/>
      <c r="AD1014" s="295"/>
    </row>
    <row r="1015" spans="18:30" ht="32.25" customHeight="1">
      <c r="R1015" s="289"/>
      <c r="S1015" s="289"/>
      <c r="T1015" s="289"/>
      <c r="U1015" s="289"/>
      <c r="V1015" s="289"/>
      <c r="W1015" s="289"/>
      <c r="X1015" s="289"/>
      <c r="Y1015" s="289"/>
      <c r="Z1015" s="289"/>
      <c r="AA1015" s="289"/>
      <c r="AB1015" s="289"/>
      <c r="AC1015" s="289"/>
      <c r="AD1015" s="295"/>
    </row>
    <row r="1016" spans="18:30" ht="32.25" customHeight="1">
      <c r="R1016" s="289"/>
      <c r="S1016" s="289"/>
      <c r="T1016" s="289"/>
      <c r="U1016" s="289"/>
      <c r="V1016" s="289"/>
      <c r="W1016" s="289"/>
      <c r="X1016" s="289"/>
      <c r="Y1016" s="289"/>
      <c r="Z1016" s="289"/>
      <c r="AA1016" s="289"/>
      <c r="AB1016" s="289"/>
      <c r="AC1016" s="289"/>
      <c r="AD1016" s="295"/>
    </row>
    <row r="1017" spans="18:30" ht="32.25" customHeight="1">
      <c r="R1017" s="289"/>
      <c r="S1017" s="289"/>
      <c r="T1017" s="289"/>
      <c r="U1017" s="289"/>
      <c r="V1017" s="289"/>
      <c r="W1017" s="289"/>
      <c r="X1017" s="289"/>
      <c r="Y1017" s="289"/>
      <c r="Z1017" s="289"/>
      <c r="AA1017" s="289"/>
      <c r="AB1017" s="289"/>
      <c r="AC1017" s="289"/>
      <c r="AD1017" s="295"/>
    </row>
    <row r="1018" spans="18:30" ht="32.25" customHeight="1">
      <c r="R1018" s="289"/>
      <c r="S1018" s="289"/>
      <c r="T1018" s="289"/>
      <c r="U1018" s="289"/>
      <c r="V1018" s="289"/>
      <c r="W1018" s="289"/>
      <c r="X1018" s="289"/>
      <c r="Y1018" s="289"/>
      <c r="Z1018" s="289"/>
      <c r="AA1018" s="289"/>
      <c r="AB1018" s="289"/>
      <c r="AC1018" s="289"/>
      <c r="AD1018" s="295"/>
    </row>
    <row r="1019" spans="18:30" ht="32.25" customHeight="1">
      <c r="R1019" s="289"/>
      <c r="S1019" s="289"/>
      <c r="T1019" s="289"/>
      <c r="U1019" s="289"/>
      <c r="V1019" s="289"/>
      <c r="W1019" s="289"/>
      <c r="X1019" s="289"/>
      <c r="Y1019" s="289"/>
      <c r="Z1019" s="289"/>
      <c r="AA1019" s="289"/>
      <c r="AB1019" s="289"/>
      <c r="AC1019" s="289"/>
      <c r="AD1019" s="295"/>
    </row>
    <row r="1020" spans="18:30" ht="32.25" customHeight="1">
      <c r="R1020" s="289"/>
      <c r="S1020" s="289"/>
      <c r="T1020" s="289"/>
      <c r="U1020" s="289"/>
      <c r="V1020" s="289"/>
      <c r="W1020" s="289"/>
      <c r="X1020" s="289"/>
      <c r="Y1020" s="289"/>
      <c r="Z1020" s="289"/>
      <c r="AA1020" s="289"/>
      <c r="AB1020" s="289"/>
      <c r="AC1020" s="289"/>
      <c r="AD1020" s="295"/>
    </row>
    <row r="1021" spans="18:30" ht="32.25" customHeight="1">
      <c r="R1021" s="289"/>
      <c r="S1021" s="289"/>
      <c r="T1021" s="289"/>
      <c r="U1021" s="289"/>
      <c r="V1021" s="289"/>
      <c r="W1021" s="289"/>
      <c r="X1021" s="289"/>
      <c r="Y1021" s="289"/>
      <c r="Z1021" s="289"/>
      <c r="AA1021" s="289"/>
      <c r="AB1021" s="289"/>
      <c r="AC1021" s="289"/>
      <c r="AD1021" s="295"/>
    </row>
    <row r="1022" spans="18:30" ht="32.25" customHeight="1">
      <c r="R1022" s="289"/>
      <c r="S1022" s="289"/>
      <c r="T1022" s="289"/>
      <c r="U1022" s="289"/>
      <c r="V1022" s="289"/>
      <c r="W1022" s="289"/>
      <c r="X1022" s="289"/>
      <c r="Y1022" s="289"/>
      <c r="Z1022" s="289"/>
      <c r="AA1022" s="289"/>
      <c r="AB1022" s="289"/>
      <c r="AC1022" s="289"/>
      <c r="AD1022" s="295"/>
    </row>
    <row r="1023" spans="18:30" ht="32.25" customHeight="1">
      <c r="R1023" s="289"/>
      <c r="S1023" s="289"/>
      <c r="T1023" s="289"/>
      <c r="U1023" s="289"/>
      <c r="V1023" s="289"/>
      <c r="W1023" s="289"/>
      <c r="X1023" s="289"/>
      <c r="Y1023" s="289"/>
      <c r="Z1023" s="289"/>
      <c r="AA1023" s="289"/>
      <c r="AB1023" s="289"/>
      <c r="AC1023" s="289"/>
      <c r="AD1023" s="295"/>
    </row>
    <row r="1024" spans="18:30" ht="32.25" customHeight="1">
      <c r="R1024" s="289"/>
      <c r="S1024" s="289"/>
      <c r="T1024" s="289"/>
      <c r="U1024" s="289"/>
      <c r="V1024" s="289"/>
      <c r="W1024" s="289"/>
      <c r="X1024" s="289"/>
      <c r="Y1024" s="289"/>
      <c r="Z1024" s="289"/>
      <c r="AA1024" s="289"/>
      <c r="AB1024" s="289"/>
      <c r="AC1024" s="289"/>
      <c r="AD1024" s="295"/>
    </row>
    <row r="1025" spans="18:30" ht="32.25" customHeight="1">
      <c r="R1025" s="289"/>
      <c r="S1025" s="289"/>
      <c r="T1025" s="289"/>
      <c r="U1025" s="289"/>
      <c r="V1025" s="289"/>
      <c r="W1025" s="289"/>
      <c r="X1025" s="289"/>
      <c r="Y1025" s="289"/>
      <c r="Z1025" s="289"/>
      <c r="AA1025" s="289"/>
      <c r="AB1025" s="289"/>
      <c r="AC1025" s="289"/>
      <c r="AD1025" s="295"/>
    </row>
    <row r="1026" spans="18:30" ht="32.25" customHeight="1">
      <c r="R1026" s="289"/>
      <c r="S1026" s="289"/>
      <c r="T1026" s="289"/>
      <c r="U1026" s="289"/>
      <c r="V1026" s="289"/>
      <c r="W1026" s="289"/>
      <c r="X1026" s="289"/>
      <c r="Y1026" s="289"/>
      <c r="Z1026" s="289"/>
      <c r="AA1026" s="289"/>
      <c r="AB1026" s="289"/>
      <c r="AC1026" s="289"/>
      <c r="AD1026" s="295"/>
    </row>
    <row r="1027" spans="18:30" ht="32.25" customHeight="1">
      <c r="R1027" s="289"/>
      <c r="S1027" s="289"/>
      <c r="T1027" s="289"/>
      <c r="U1027" s="289"/>
      <c r="V1027" s="289"/>
      <c r="W1027" s="289"/>
      <c r="X1027" s="289"/>
      <c r="Y1027" s="289"/>
      <c r="Z1027" s="289"/>
      <c r="AA1027" s="289"/>
      <c r="AB1027" s="289"/>
      <c r="AC1027" s="289"/>
      <c r="AD1027" s="295"/>
    </row>
    <row r="1028" spans="18:30" ht="32.25" customHeight="1">
      <c r="R1028" s="289"/>
      <c r="S1028" s="289"/>
      <c r="T1028" s="289"/>
      <c r="U1028" s="289"/>
      <c r="V1028" s="289"/>
      <c r="W1028" s="289"/>
      <c r="X1028" s="289"/>
      <c r="Y1028" s="289"/>
      <c r="Z1028" s="289"/>
      <c r="AA1028" s="289"/>
      <c r="AB1028" s="289"/>
      <c r="AC1028" s="289"/>
      <c r="AD1028" s="295"/>
    </row>
    <row r="1029" spans="18:30" ht="32.25" customHeight="1">
      <c r="R1029" s="289"/>
      <c r="S1029" s="289"/>
      <c r="T1029" s="289"/>
      <c r="U1029" s="289"/>
      <c r="V1029" s="289"/>
      <c r="W1029" s="289"/>
      <c r="X1029" s="289"/>
      <c r="Y1029" s="289"/>
      <c r="Z1029" s="289"/>
      <c r="AA1029" s="289"/>
      <c r="AB1029" s="289"/>
      <c r="AC1029" s="289"/>
      <c r="AD1029" s="295"/>
    </row>
    <row r="1030" spans="18:30" ht="32.25" customHeight="1">
      <c r="R1030" s="289"/>
      <c r="S1030" s="289"/>
      <c r="T1030" s="289"/>
      <c r="U1030" s="289"/>
      <c r="V1030" s="289"/>
      <c r="W1030" s="289"/>
      <c r="X1030" s="289"/>
      <c r="Y1030" s="289"/>
      <c r="Z1030" s="289"/>
      <c r="AA1030" s="289"/>
      <c r="AB1030" s="289"/>
      <c r="AC1030" s="289"/>
      <c r="AD1030" s="295"/>
    </row>
    <row r="1031" spans="18:30" ht="32.25" customHeight="1">
      <c r="R1031" s="289"/>
      <c r="S1031" s="289"/>
      <c r="T1031" s="289"/>
      <c r="U1031" s="289"/>
      <c r="V1031" s="289"/>
      <c r="W1031" s="289"/>
      <c r="X1031" s="289"/>
      <c r="Y1031" s="289"/>
      <c r="Z1031" s="289"/>
      <c r="AA1031" s="289"/>
      <c r="AB1031" s="289"/>
      <c r="AC1031" s="289"/>
      <c r="AD1031" s="295"/>
    </row>
    <row r="1032" spans="18:30" ht="32.25" customHeight="1">
      <c r="R1032" s="289"/>
      <c r="S1032" s="289"/>
      <c r="T1032" s="289"/>
      <c r="U1032" s="289"/>
      <c r="V1032" s="289"/>
      <c r="W1032" s="289"/>
      <c r="X1032" s="289"/>
      <c r="Y1032" s="289"/>
      <c r="Z1032" s="289"/>
      <c r="AA1032" s="289"/>
      <c r="AB1032" s="289"/>
      <c r="AC1032" s="289"/>
      <c r="AD1032" s="295"/>
    </row>
    <row r="1033" spans="18:30" ht="32.25" customHeight="1">
      <c r="R1033" s="289"/>
      <c r="S1033" s="289"/>
      <c r="T1033" s="289"/>
      <c r="U1033" s="289"/>
      <c r="V1033" s="289"/>
      <c r="W1033" s="289"/>
      <c r="X1033" s="289"/>
      <c r="Y1033" s="289"/>
      <c r="Z1033" s="289"/>
      <c r="AA1033" s="289"/>
      <c r="AB1033" s="289"/>
      <c r="AC1033" s="289"/>
      <c r="AD1033" s="295"/>
    </row>
    <row r="1034" spans="18:30" ht="32.25" customHeight="1">
      <c r="R1034" s="289"/>
      <c r="S1034" s="289"/>
      <c r="T1034" s="289"/>
      <c r="U1034" s="289"/>
      <c r="V1034" s="289"/>
      <c r="W1034" s="289"/>
      <c r="X1034" s="289"/>
      <c r="Y1034" s="289"/>
      <c r="Z1034" s="289"/>
      <c r="AA1034" s="289"/>
      <c r="AB1034" s="289"/>
      <c r="AC1034" s="289"/>
      <c r="AD1034" s="295"/>
    </row>
    <row r="1035" spans="18:30" ht="32.25" customHeight="1">
      <c r="R1035" s="289"/>
      <c r="S1035" s="289"/>
      <c r="T1035" s="289"/>
      <c r="U1035" s="289"/>
      <c r="V1035" s="289"/>
      <c r="W1035" s="289"/>
      <c r="X1035" s="289"/>
      <c r="Y1035" s="289"/>
      <c r="Z1035" s="289"/>
      <c r="AA1035" s="289"/>
      <c r="AB1035" s="289"/>
      <c r="AC1035" s="289"/>
      <c r="AD1035" s="295"/>
    </row>
    <row r="1036" spans="18:30" ht="32.25" customHeight="1">
      <c r="R1036" s="289"/>
      <c r="S1036" s="289"/>
      <c r="T1036" s="289"/>
      <c r="U1036" s="289"/>
      <c r="V1036" s="289"/>
      <c r="W1036" s="289"/>
      <c r="X1036" s="289"/>
      <c r="Y1036" s="289"/>
      <c r="Z1036" s="289"/>
      <c r="AA1036" s="289"/>
      <c r="AB1036" s="289"/>
      <c r="AC1036" s="289"/>
      <c r="AD1036" s="295"/>
    </row>
    <row r="1037" spans="18:30" ht="32.25" customHeight="1">
      <c r="R1037" s="289"/>
      <c r="S1037" s="289"/>
      <c r="T1037" s="289"/>
      <c r="U1037" s="289"/>
      <c r="V1037" s="289"/>
      <c r="W1037" s="289"/>
      <c r="X1037" s="289"/>
      <c r="Y1037" s="289"/>
      <c r="Z1037" s="289"/>
      <c r="AA1037" s="289"/>
      <c r="AB1037" s="289"/>
      <c r="AC1037" s="289"/>
      <c r="AD1037" s="295"/>
    </row>
    <row r="1038" spans="18:30" ht="32.25" customHeight="1">
      <c r="R1038" s="289"/>
      <c r="S1038" s="289"/>
      <c r="T1038" s="289"/>
      <c r="U1038" s="289"/>
      <c r="V1038" s="289"/>
      <c r="W1038" s="289"/>
      <c r="X1038" s="289"/>
      <c r="Y1038" s="289"/>
      <c r="Z1038" s="289"/>
      <c r="AA1038" s="289"/>
      <c r="AB1038" s="289"/>
      <c r="AC1038" s="289"/>
      <c r="AD1038" s="295"/>
    </row>
    <row r="1039" spans="18:30" ht="32.25" customHeight="1">
      <c r="R1039" s="289"/>
      <c r="S1039" s="289"/>
      <c r="T1039" s="289"/>
      <c r="U1039" s="289"/>
      <c r="V1039" s="289"/>
      <c r="W1039" s="289"/>
      <c r="X1039" s="289"/>
      <c r="Y1039" s="289"/>
      <c r="Z1039" s="289"/>
      <c r="AA1039" s="289"/>
      <c r="AB1039" s="289"/>
      <c r="AC1039" s="289"/>
      <c r="AD1039" s="295"/>
    </row>
    <row r="1040" spans="18:30" ht="32.25" customHeight="1">
      <c r="R1040" s="289"/>
      <c r="S1040" s="289"/>
      <c r="T1040" s="289"/>
      <c r="U1040" s="289"/>
      <c r="V1040" s="289"/>
      <c r="W1040" s="289"/>
      <c r="X1040" s="289"/>
      <c r="Y1040" s="289"/>
      <c r="Z1040" s="289"/>
      <c r="AA1040" s="289"/>
      <c r="AB1040" s="289"/>
      <c r="AC1040" s="289"/>
      <c r="AD1040" s="295"/>
    </row>
    <row r="1041" spans="18:30" ht="32.25" customHeight="1">
      <c r="R1041" s="289"/>
      <c r="S1041" s="289"/>
      <c r="T1041" s="289"/>
      <c r="U1041" s="289"/>
      <c r="V1041" s="289"/>
      <c r="W1041" s="289"/>
      <c r="X1041" s="289"/>
      <c r="Y1041" s="289"/>
      <c r="Z1041" s="289"/>
      <c r="AA1041" s="289"/>
      <c r="AB1041" s="289"/>
      <c r="AC1041" s="289"/>
      <c r="AD1041" s="295"/>
    </row>
    <row r="1042" spans="18:30" ht="32.25" customHeight="1">
      <c r="R1042" s="289"/>
      <c r="S1042" s="289"/>
      <c r="T1042" s="289"/>
      <c r="U1042" s="289"/>
      <c r="V1042" s="289"/>
      <c r="W1042" s="289"/>
      <c r="X1042" s="289"/>
      <c r="Y1042" s="289"/>
      <c r="Z1042" s="289"/>
      <c r="AA1042" s="289"/>
      <c r="AB1042" s="289"/>
      <c r="AC1042" s="289"/>
      <c r="AD1042" s="295"/>
    </row>
    <row r="1043" spans="18:30" ht="32.25" customHeight="1">
      <c r="R1043" s="289"/>
      <c r="S1043" s="289"/>
      <c r="T1043" s="289"/>
      <c r="U1043" s="289"/>
      <c r="V1043" s="289"/>
      <c r="W1043" s="289"/>
      <c r="X1043" s="289"/>
      <c r="Y1043" s="289"/>
      <c r="Z1043" s="289"/>
      <c r="AA1043" s="289"/>
      <c r="AB1043" s="289"/>
      <c r="AC1043" s="289"/>
      <c r="AD1043" s="295"/>
    </row>
    <row r="1044" spans="18:30" ht="32.25" customHeight="1">
      <c r="R1044" s="289"/>
      <c r="S1044" s="289"/>
      <c r="T1044" s="289"/>
      <c r="U1044" s="289"/>
      <c r="V1044" s="289"/>
      <c r="W1044" s="289"/>
      <c r="X1044" s="289"/>
      <c r="Y1044" s="289"/>
      <c r="Z1044" s="289"/>
      <c r="AA1044" s="289"/>
      <c r="AB1044" s="289"/>
      <c r="AC1044" s="289"/>
      <c r="AD1044" s="295"/>
    </row>
    <row r="1045" spans="18:30" ht="32.25" customHeight="1">
      <c r="R1045" s="289"/>
      <c r="S1045" s="289"/>
      <c r="T1045" s="289"/>
      <c r="U1045" s="289"/>
      <c r="V1045" s="289"/>
      <c r="W1045" s="289"/>
      <c r="X1045" s="289"/>
      <c r="Y1045" s="289"/>
      <c r="Z1045" s="289"/>
      <c r="AA1045" s="289"/>
      <c r="AB1045" s="289"/>
      <c r="AC1045" s="289"/>
      <c r="AD1045" s="295"/>
    </row>
    <row r="1046" spans="18:30" ht="32.25" customHeight="1">
      <c r="R1046" s="289"/>
      <c r="S1046" s="289"/>
      <c r="T1046" s="289"/>
      <c r="U1046" s="289"/>
      <c r="V1046" s="289"/>
      <c r="W1046" s="289"/>
      <c r="X1046" s="289"/>
      <c r="Y1046" s="289"/>
      <c r="Z1046" s="289"/>
      <c r="AA1046" s="289"/>
      <c r="AB1046" s="289"/>
      <c r="AC1046" s="289"/>
      <c r="AD1046" s="295"/>
    </row>
    <row r="1047" spans="18:30" ht="32.25" customHeight="1">
      <c r="R1047" s="289"/>
      <c r="S1047" s="289"/>
      <c r="T1047" s="289"/>
      <c r="U1047" s="289"/>
      <c r="V1047" s="289"/>
      <c r="W1047" s="289"/>
      <c r="X1047" s="289"/>
      <c r="Y1047" s="289"/>
      <c r="Z1047" s="289"/>
      <c r="AA1047" s="289"/>
      <c r="AB1047" s="289"/>
      <c r="AC1047" s="289"/>
      <c r="AD1047" s="295"/>
    </row>
    <row r="1048" spans="18:30" ht="32.25" customHeight="1">
      <c r="R1048" s="289"/>
      <c r="S1048" s="289"/>
      <c r="T1048" s="289"/>
      <c r="U1048" s="289"/>
      <c r="V1048" s="289"/>
      <c r="W1048" s="289"/>
      <c r="X1048" s="289"/>
      <c r="Y1048" s="289"/>
      <c r="Z1048" s="289"/>
      <c r="AA1048" s="289"/>
      <c r="AB1048" s="289"/>
      <c r="AC1048" s="289"/>
      <c r="AD1048" s="295"/>
    </row>
    <row r="1049" spans="18:30" ht="32.25" customHeight="1">
      <c r="R1049" s="289"/>
      <c r="S1049" s="289"/>
      <c r="T1049" s="289"/>
      <c r="U1049" s="289"/>
      <c r="V1049" s="289"/>
      <c r="W1049" s="289"/>
      <c r="X1049" s="289"/>
      <c r="Y1049" s="289"/>
      <c r="Z1049" s="289"/>
      <c r="AA1049" s="289"/>
      <c r="AB1049" s="289"/>
      <c r="AC1049" s="289"/>
      <c r="AD1049" s="295"/>
    </row>
    <row r="1050" spans="18:30" ht="32.25" customHeight="1">
      <c r="R1050" s="289"/>
      <c r="S1050" s="289"/>
      <c r="T1050" s="289"/>
      <c r="U1050" s="289"/>
      <c r="V1050" s="289"/>
      <c r="W1050" s="289"/>
      <c r="X1050" s="289"/>
      <c r="Y1050" s="289"/>
      <c r="Z1050" s="289"/>
      <c r="AA1050" s="289"/>
      <c r="AB1050" s="289"/>
      <c r="AC1050" s="289"/>
      <c r="AD1050" s="295"/>
    </row>
    <row r="1051" spans="18:30" ht="32.25" customHeight="1">
      <c r="R1051" s="289"/>
      <c r="S1051" s="289"/>
      <c r="T1051" s="289"/>
      <c r="U1051" s="289"/>
      <c r="V1051" s="289"/>
      <c r="W1051" s="289"/>
      <c r="X1051" s="289"/>
      <c r="Y1051" s="289"/>
      <c r="Z1051" s="289"/>
      <c r="AA1051" s="289"/>
      <c r="AB1051" s="289"/>
      <c r="AC1051" s="289"/>
      <c r="AD1051" s="295"/>
    </row>
    <row r="1052" spans="18:30" ht="32.25" customHeight="1">
      <c r="R1052" s="289"/>
      <c r="S1052" s="289"/>
      <c r="T1052" s="289"/>
      <c r="U1052" s="289"/>
      <c r="V1052" s="289"/>
      <c r="W1052" s="289"/>
      <c r="X1052" s="289"/>
      <c r="Y1052" s="289"/>
      <c r="Z1052" s="289"/>
      <c r="AA1052" s="289"/>
      <c r="AB1052" s="289"/>
      <c r="AC1052" s="289"/>
      <c r="AD1052" s="295"/>
    </row>
    <row r="1053" spans="18:30" ht="32.25" customHeight="1">
      <c r="R1053" s="289"/>
      <c r="S1053" s="289"/>
      <c r="T1053" s="289"/>
      <c r="U1053" s="289"/>
      <c r="V1053" s="289"/>
      <c r="W1053" s="289"/>
      <c r="X1053" s="289"/>
      <c r="Y1053" s="289"/>
      <c r="Z1053" s="289"/>
      <c r="AA1053" s="289"/>
      <c r="AB1053" s="289"/>
      <c r="AC1053" s="289"/>
      <c r="AD1053" s="295"/>
    </row>
    <row r="1054" spans="18:30" ht="32.25" customHeight="1">
      <c r="R1054" s="289"/>
      <c r="S1054" s="289"/>
      <c r="T1054" s="289"/>
      <c r="U1054" s="289"/>
      <c r="V1054" s="289"/>
      <c r="W1054" s="289"/>
      <c r="X1054" s="289"/>
      <c r="Y1054" s="289"/>
      <c r="Z1054" s="289"/>
      <c r="AA1054" s="289"/>
      <c r="AB1054" s="289"/>
      <c r="AC1054" s="289"/>
      <c r="AD1054" s="295"/>
    </row>
    <row r="1055" spans="18:30" ht="32.25" customHeight="1">
      <c r="R1055" s="289"/>
      <c r="S1055" s="289"/>
      <c r="T1055" s="289"/>
      <c r="U1055" s="289"/>
      <c r="V1055" s="289"/>
      <c r="W1055" s="289"/>
      <c r="X1055" s="289"/>
      <c r="Y1055" s="289"/>
      <c r="Z1055" s="289"/>
      <c r="AA1055" s="289"/>
      <c r="AB1055" s="289"/>
      <c r="AC1055" s="289"/>
      <c r="AD1055" s="295"/>
    </row>
    <row r="1056" spans="18:30" ht="32.25" customHeight="1">
      <c r="R1056" s="289"/>
      <c r="S1056" s="289"/>
      <c r="T1056" s="289"/>
      <c r="U1056" s="289"/>
      <c r="V1056" s="289"/>
      <c r="W1056" s="289"/>
      <c r="X1056" s="289"/>
      <c r="Y1056" s="289"/>
      <c r="Z1056" s="289"/>
      <c r="AA1056" s="289"/>
      <c r="AB1056" s="289"/>
      <c r="AC1056" s="289"/>
      <c r="AD1056" s="295"/>
    </row>
    <row r="1057" spans="18:30" ht="32.25" customHeight="1">
      <c r="R1057" s="289"/>
      <c r="S1057" s="289"/>
      <c r="T1057" s="289"/>
      <c r="U1057" s="289"/>
      <c r="V1057" s="289"/>
      <c r="W1057" s="289"/>
      <c r="X1057" s="289"/>
      <c r="Y1057" s="289"/>
      <c r="Z1057" s="289"/>
      <c r="AA1057" s="289"/>
      <c r="AB1057" s="289"/>
      <c r="AC1057" s="289"/>
      <c r="AD1057" s="295"/>
    </row>
    <row r="1058" spans="18:30" ht="32.25" customHeight="1">
      <c r="R1058" s="289"/>
      <c r="S1058" s="289"/>
      <c r="T1058" s="289"/>
      <c r="U1058" s="289"/>
      <c r="V1058" s="289"/>
      <c r="W1058" s="289"/>
      <c r="X1058" s="289"/>
      <c r="Y1058" s="289"/>
      <c r="Z1058" s="289"/>
      <c r="AA1058" s="289"/>
      <c r="AB1058" s="289"/>
      <c r="AC1058" s="289"/>
      <c r="AD1058" s="295"/>
    </row>
    <row r="1059" spans="18:30" ht="32.25" customHeight="1">
      <c r="R1059" s="289"/>
      <c r="S1059" s="289"/>
      <c r="T1059" s="289"/>
      <c r="U1059" s="289"/>
      <c r="V1059" s="289"/>
      <c r="W1059" s="289"/>
      <c r="X1059" s="289"/>
      <c r="Y1059" s="289"/>
      <c r="Z1059" s="289"/>
      <c r="AA1059" s="289"/>
      <c r="AB1059" s="289"/>
      <c r="AC1059" s="289"/>
      <c r="AD1059" s="295"/>
    </row>
    <row r="1060" spans="18:30" ht="32.25" customHeight="1">
      <c r="R1060" s="289"/>
      <c r="S1060" s="289"/>
      <c r="T1060" s="289"/>
      <c r="U1060" s="289"/>
      <c r="V1060" s="289"/>
      <c r="W1060" s="289"/>
      <c r="X1060" s="289"/>
      <c r="Y1060" s="289"/>
      <c r="Z1060" s="289"/>
      <c r="AA1060" s="289"/>
      <c r="AB1060" s="289"/>
      <c r="AC1060" s="289"/>
      <c r="AD1060" s="295"/>
    </row>
    <row r="1061" spans="18:30" ht="32.25" customHeight="1">
      <c r="R1061" s="289"/>
      <c r="S1061" s="289"/>
      <c r="T1061" s="289"/>
      <c r="U1061" s="289"/>
      <c r="V1061" s="289"/>
      <c r="W1061" s="289"/>
      <c r="X1061" s="289"/>
      <c r="Y1061" s="289"/>
      <c r="Z1061" s="289"/>
      <c r="AA1061" s="289"/>
      <c r="AB1061" s="289"/>
      <c r="AC1061" s="289"/>
      <c r="AD1061" s="295"/>
    </row>
    <row r="1062" spans="18:30" ht="32.25" customHeight="1">
      <c r="R1062" s="289"/>
      <c r="S1062" s="289"/>
      <c r="T1062" s="289"/>
      <c r="U1062" s="289"/>
      <c r="V1062" s="289"/>
      <c r="W1062" s="289"/>
      <c r="X1062" s="289"/>
      <c r="Y1062" s="289"/>
      <c r="Z1062" s="289"/>
      <c r="AA1062" s="289"/>
      <c r="AB1062" s="289"/>
      <c r="AC1062" s="289"/>
      <c r="AD1062" s="295"/>
    </row>
    <row r="1063" spans="18:30" ht="32.25" customHeight="1">
      <c r="R1063" s="289"/>
      <c r="S1063" s="289"/>
      <c r="T1063" s="289"/>
      <c r="U1063" s="289"/>
      <c r="V1063" s="289"/>
      <c r="W1063" s="289"/>
      <c r="X1063" s="289"/>
      <c r="Y1063" s="289"/>
      <c r="Z1063" s="289"/>
      <c r="AA1063" s="289"/>
      <c r="AB1063" s="289"/>
      <c r="AC1063" s="289"/>
      <c r="AD1063" s="295"/>
    </row>
    <row r="1064" spans="18:30" ht="32.25" customHeight="1">
      <c r="R1064" s="289"/>
      <c r="S1064" s="289"/>
      <c r="T1064" s="289"/>
      <c r="U1064" s="289"/>
      <c r="V1064" s="289"/>
      <c r="W1064" s="289"/>
      <c r="X1064" s="289"/>
      <c r="Y1064" s="289"/>
      <c r="Z1064" s="289"/>
      <c r="AA1064" s="289"/>
      <c r="AB1064" s="289"/>
      <c r="AC1064" s="289"/>
      <c r="AD1064" s="295"/>
    </row>
    <row r="1065" spans="18:30" ht="32.25" customHeight="1">
      <c r="R1065" s="289"/>
      <c r="S1065" s="289"/>
      <c r="T1065" s="289"/>
      <c r="U1065" s="289"/>
      <c r="V1065" s="289"/>
      <c r="W1065" s="289"/>
      <c r="X1065" s="289"/>
      <c r="Y1065" s="289"/>
      <c r="Z1065" s="289"/>
      <c r="AA1065" s="289"/>
      <c r="AB1065" s="289"/>
      <c r="AC1065" s="289"/>
      <c r="AD1065" s="295"/>
    </row>
    <row r="1066" spans="18:30" ht="32.25" customHeight="1">
      <c r="R1066" s="289"/>
      <c r="S1066" s="289"/>
      <c r="T1066" s="289"/>
      <c r="U1066" s="289"/>
      <c r="V1066" s="289"/>
      <c r="W1066" s="289"/>
      <c r="X1066" s="289"/>
      <c r="Y1066" s="289"/>
      <c r="Z1066" s="289"/>
      <c r="AA1066" s="289"/>
      <c r="AB1066" s="289"/>
      <c r="AC1066" s="289"/>
      <c r="AD1066" s="295"/>
    </row>
    <row r="1067" spans="18:30" ht="32.25" customHeight="1">
      <c r="R1067" s="289"/>
      <c r="S1067" s="289"/>
      <c r="T1067" s="289"/>
      <c r="U1067" s="289"/>
      <c r="V1067" s="289"/>
      <c r="W1067" s="289"/>
      <c r="X1067" s="289"/>
      <c r="Y1067" s="289"/>
      <c r="Z1067" s="289"/>
      <c r="AA1067" s="289"/>
      <c r="AB1067" s="289"/>
      <c r="AC1067" s="289"/>
      <c r="AD1067" s="295"/>
    </row>
    <row r="1068" spans="18:30" ht="32.25" customHeight="1">
      <c r="R1068" s="289"/>
      <c r="S1068" s="289"/>
      <c r="T1068" s="289"/>
      <c r="U1068" s="289"/>
      <c r="V1068" s="289"/>
      <c r="W1068" s="289"/>
      <c r="X1068" s="289"/>
      <c r="Y1068" s="289"/>
      <c r="Z1068" s="289"/>
      <c r="AA1068" s="289"/>
      <c r="AB1068" s="289"/>
      <c r="AC1068" s="289"/>
      <c r="AD1068" s="295"/>
    </row>
    <row r="1069" spans="18:30" ht="32.25" customHeight="1">
      <c r="R1069" s="289"/>
      <c r="S1069" s="289"/>
      <c r="T1069" s="289"/>
      <c r="U1069" s="289"/>
      <c r="V1069" s="289"/>
      <c r="W1069" s="289"/>
      <c r="X1069" s="289"/>
      <c r="Y1069" s="289"/>
      <c r="Z1069" s="289"/>
      <c r="AA1069" s="289"/>
      <c r="AB1069" s="289"/>
      <c r="AC1069" s="289"/>
      <c r="AD1069" s="295"/>
    </row>
    <row r="1070" spans="18:30" ht="32.25" customHeight="1">
      <c r="R1070" s="289"/>
      <c r="S1070" s="289"/>
      <c r="T1070" s="289"/>
      <c r="U1070" s="289"/>
      <c r="V1070" s="289"/>
      <c r="W1070" s="289"/>
      <c r="X1070" s="289"/>
      <c r="Y1070" s="289"/>
      <c r="Z1070" s="289"/>
      <c r="AA1070" s="289"/>
      <c r="AB1070" s="289"/>
      <c r="AC1070" s="289"/>
      <c r="AD1070" s="295"/>
    </row>
    <row r="1071" spans="18:30" ht="32.25" customHeight="1">
      <c r="R1071" s="289"/>
      <c r="S1071" s="289"/>
      <c r="T1071" s="289"/>
      <c r="U1071" s="289"/>
      <c r="V1071" s="289"/>
      <c r="W1071" s="289"/>
      <c r="X1071" s="289"/>
      <c r="Y1071" s="289"/>
      <c r="Z1071" s="289"/>
      <c r="AA1071" s="289"/>
      <c r="AB1071" s="289"/>
      <c r="AC1071" s="289"/>
      <c r="AD1071" s="295"/>
    </row>
    <row r="1072" spans="18:30" ht="32.25" customHeight="1">
      <c r="R1072" s="289"/>
      <c r="S1072" s="289"/>
      <c r="T1072" s="289"/>
      <c r="U1072" s="289"/>
      <c r="V1072" s="289"/>
      <c r="W1072" s="289"/>
      <c r="X1072" s="289"/>
      <c r="Y1072" s="289"/>
      <c r="Z1072" s="289"/>
      <c r="AA1072" s="289"/>
      <c r="AB1072" s="289"/>
      <c r="AC1072" s="289"/>
      <c r="AD1072" s="295"/>
    </row>
    <row r="1073" spans="18:30" ht="32.25" customHeight="1">
      <c r="R1073" s="289"/>
      <c r="S1073" s="289"/>
      <c r="T1073" s="289"/>
      <c r="U1073" s="289"/>
      <c r="V1073" s="289"/>
      <c r="W1073" s="289"/>
      <c r="X1073" s="289"/>
      <c r="Y1073" s="289"/>
      <c r="Z1073" s="289"/>
      <c r="AA1073" s="289"/>
      <c r="AB1073" s="289"/>
      <c r="AC1073" s="289"/>
      <c r="AD1073" s="295"/>
    </row>
    <row r="1074" spans="18:30" ht="32.25" customHeight="1">
      <c r="R1074" s="289"/>
      <c r="S1074" s="289"/>
      <c r="T1074" s="289"/>
      <c r="U1074" s="289"/>
      <c r="V1074" s="289"/>
      <c r="W1074" s="289"/>
      <c r="X1074" s="289"/>
      <c r="Y1074" s="289"/>
      <c r="Z1074" s="289"/>
      <c r="AA1074" s="289"/>
      <c r="AB1074" s="289"/>
      <c r="AC1074" s="289"/>
      <c r="AD1074" s="295"/>
    </row>
    <row r="1075" spans="18:30" ht="32.25" customHeight="1">
      <c r="R1075" s="289"/>
      <c r="S1075" s="289"/>
      <c r="T1075" s="289"/>
      <c r="U1075" s="289"/>
      <c r="V1075" s="289"/>
      <c r="W1075" s="289"/>
      <c r="X1075" s="289"/>
      <c r="Y1075" s="289"/>
      <c r="Z1075" s="289"/>
      <c r="AA1075" s="289"/>
      <c r="AB1075" s="289"/>
      <c r="AC1075" s="289"/>
      <c r="AD1075" s="295"/>
    </row>
    <row r="1076" spans="18:30" ht="32.25" customHeight="1">
      <c r="R1076" s="289"/>
      <c r="S1076" s="289"/>
      <c r="T1076" s="289"/>
      <c r="U1076" s="289"/>
      <c r="V1076" s="289"/>
      <c r="W1076" s="289"/>
      <c r="X1076" s="289"/>
      <c r="Y1076" s="289"/>
      <c r="Z1076" s="289"/>
      <c r="AA1076" s="289"/>
      <c r="AB1076" s="289"/>
      <c r="AC1076" s="289"/>
      <c r="AD1076" s="295"/>
    </row>
    <row r="1077" spans="18:30" ht="32.25" customHeight="1">
      <c r="R1077" s="289"/>
      <c r="S1077" s="289"/>
      <c r="T1077" s="289"/>
      <c r="U1077" s="289"/>
      <c r="V1077" s="289"/>
      <c r="W1077" s="289"/>
      <c r="X1077" s="289"/>
      <c r="Y1077" s="289"/>
      <c r="Z1077" s="289"/>
      <c r="AA1077" s="289"/>
      <c r="AB1077" s="289"/>
      <c r="AC1077" s="289"/>
      <c r="AD1077" s="295"/>
    </row>
    <row r="1078" spans="18:30" ht="32.25" customHeight="1">
      <c r="R1078" s="289"/>
      <c r="S1078" s="289"/>
      <c r="T1078" s="289"/>
      <c r="U1078" s="289"/>
      <c r="V1078" s="289"/>
      <c r="W1078" s="289"/>
      <c r="X1078" s="289"/>
      <c r="Y1078" s="289"/>
      <c r="Z1078" s="289"/>
      <c r="AA1078" s="289"/>
      <c r="AB1078" s="289"/>
      <c r="AC1078" s="289"/>
      <c r="AD1078" s="295"/>
    </row>
    <row r="1079" spans="18:30" ht="32.25" customHeight="1">
      <c r="R1079" s="289"/>
      <c r="S1079" s="289"/>
      <c r="T1079" s="289"/>
      <c r="U1079" s="289"/>
      <c r="V1079" s="289"/>
      <c r="W1079" s="289"/>
      <c r="X1079" s="289"/>
      <c r="Y1079" s="289"/>
      <c r="Z1079" s="289"/>
      <c r="AA1079" s="289"/>
      <c r="AB1079" s="289"/>
      <c r="AC1079" s="289"/>
      <c r="AD1079" s="295"/>
    </row>
    <row r="1080" spans="18:30" ht="32.25" customHeight="1">
      <c r="R1080" s="289"/>
      <c r="S1080" s="289"/>
      <c r="T1080" s="289"/>
      <c r="U1080" s="289"/>
      <c r="V1080" s="289"/>
      <c r="W1080" s="289"/>
      <c r="X1080" s="289"/>
      <c r="Y1080" s="289"/>
      <c r="Z1080" s="289"/>
      <c r="AA1080" s="289"/>
      <c r="AB1080" s="289"/>
      <c r="AC1080" s="289"/>
      <c r="AD1080" s="295"/>
    </row>
    <row r="1081" spans="18:30" ht="32.25" customHeight="1">
      <c r="R1081" s="289"/>
      <c r="S1081" s="289"/>
      <c r="T1081" s="289"/>
      <c r="U1081" s="289"/>
      <c r="V1081" s="289"/>
      <c r="W1081" s="289"/>
      <c r="X1081" s="289"/>
      <c r="Y1081" s="289"/>
      <c r="Z1081" s="289"/>
      <c r="AA1081" s="289"/>
      <c r="AB1081" s="289"/>
      <c r="AC1081" s="289"/>
      <c r="AD1081" s="295"/>
    </row>
    <row r="1082" spans="18:30" ht="32.25" customHeight="1">
      <c r="R1082" s="289"/>
      <c r="S1082" s="289"/>
      <c r="T1082" s="289"/>
      <c r="U1082" s="289"/>
      <c r="V1082" s="289"/>
      <c r="W1082" s="289"/>
      <c r="X1082" s="289"/>
      <c r="Y1082" s="289"/>
      <c r="Z1082" s="289"/>
      <c r="AA1082" s="289"/>
      <c r="AB1082" s="289"/>
      <c r="AC1082" s="289"/>
      <c r="AD1082" s="295"/>
    </row>
    <row r="1083" spans="18:30" ht="32.25" customHeight="1">
      <c r="R1083" s="289"/>
      <c r="S1083" s="289"/>
      <c r="T1083" s="289"/>
      <c r="U1083" s="289"/>
      <c r="V1083" s="289"/>
      <c r="W1083" s="289"/>
      <c r="X1083" s="289"/>
      <c r="Y1083" s="289"/>
      <c r="Z1083" s="289"/>
      <c r="AA1083" s="289"/>
      <c r="AB1083" s="289"/>
      <c r="AC1083" s="289"/>
      <c r="AD1083" s="295"/>
    </row>
    <row r="1084" spans="18:30" ht="32.25" customHeight="1">
      <c r="R1084" s="289"/>
      <c r="S1084" s="289"/>
      <c r="T1084" s="289"/>
      <c r="U1084" s="289"/>
      <c r="V1084" s="289"/>
      <c r="W1084" s="289"/>
      <c r="X1084" s="289"/>
      <c r="Y1084" s="289"/>
      <c r="Z1084" s="289"/>
      <c r="AA1084" s="289"/>
      <c r="AB1084" s="289"/>
      <c r="AC1084" s="289"/>
      <c r="AD1084" s="295"/>
    </row>
    <row r="1085" spans="18:30" ht="32.25" customHeight="1">
      <c r="R1085" s="289"/>
      <c r="S1085" s="289"/>
      <c r="T1085" s="289"/>
      <c r="U1085" s="289"/>
      <c r="V1085" s="289"/>
      <c r="W1085" s="289"/>
      <c r="X1085" s="289"/>
      <c r="Y1085" s="289"/>
      <c r="Z1085" s="289"/>
      <c r="AA1085" s="289"/>
      <c r="AB1085" s="289"/>
      <c r="AC1085" s="289"/>
      <c r="AD1085" s="295"/>
    </row>
    <row r="1086" spans="18:30" ht="32.25" customHeight="1">
      <c r="R1086" s="289"/>
      <c r="S1086" s="289"/>
      <c r="T1086" s="289"/>
      <c r="U1086" s="289"/>
      <c r="V1086" s="289"/>
      <c r="W1086" s="289"/>
      <c r="X1086" s="289"/>
      <c r="Y1086" s="289"/>
      <c r="Z1086" s="289"/>
      <c r="AA1086" s="289"/>
      <c r="AB1086" s="289"/>
      <c r="AC1086" s="289"/>
      <c r="AD1086" s="295"/>
    </row>
    <row r="1087" spans="18:30" ht="32.25" customHeight="1">
      <c r="R1087" s="289"/>
      <c r="S1087" s="289"/>
      <c r="T1087" s="289"/>
      <c r="U1087" s="289"/>
      <c r="V1087" s="289"/>
      <c r="W1087" s="289"/>
      <c r="X1087" s="289"/>
      <c r="Y1087" s="289"/>
      <c r="Z1087" s="289"/>
      <c r="AA1087" s="289"/>
      <c r="AB1087" s="289"/>
      <c r="AC1087" s="289"/>
      <c r="AD1087" s="295"/>
    </row>
    <row r="1088" spans="18:30" ht="32.25" customHeight="1">
      <c r="R1088" s="289"/>
      <c r="S1088" s="289"/>
      <c r="T1088" s="289"/>
      <c r="U1088" s="289"/>
      <c r="V1088" s="289"/>
      <c r="W1088" s="289"/>
      <c r="X1088" s="289"/>
      <c r="Y1088" s="289"/>
      <c r="Z1088" s="289"/>
      <c r="AA1088" s="289"/>
      <c r="AB1088" s="289"/>
      <c r="AC1088" s="289"/>
      <c r="AD1088" s="295"/>
    </row>
    <row r="1089" spans="18:30" ht="32.25" customHeight="1">
      <c r="R1089" s="289"/>
      <c r="S1089" s="289"/>
      <c r="T1089" s="289"/>
      <c r="U1089" s="289"/>
      <c r="V1089" s="289"/>
      <c r="W1089" s="289"/>
      <c r="X1089" s="289"/>
      <c r="Y1089" s="289"/>
      <c r="Z1089" s="289"/>
      <c r="AA1089" s="289"/>
      <c r="AB1089" s="289"/>
      <c r="AC1089" s="289"/>
      <c r="AD1089" s="295"/>
    </row>
    <row r="1090" spans="18:30" ht="32.25" customHeight="1">
      <c r="R1090" s="289"/>
      <c r="S1090" s="289"/>
      <c r="T1090" s="289"/>
      <c r="U1090" s="289"/>
      <c r="V1090" s="289"/>
      <c r="W1090" s="289"/>
      <c r="X1090" s="289"/>
      <c r="Y1090" s="289"/>
      <c r="Z1090" s="289"/>
      <c r="AA1090" s="289"/>
      <c r="AB1090" s="289"/>
      <c r="AC1090" s="289"/>
      <c r="AD1090" s="295"/>
    </row>
    <row r="1091" spans="18:30" ht="32.25" customHeight="1">
      <c r="R1091" s="289"/>
      <c r="S1091" s="289"/>
      <c r="T1091" s="289"/>
      <c r="U1091" s="289"/>
      <c r="V1091" s="289"/>
      <c r="W1091" s="289"/>
      <c r="X1091" s="289"/>
      <c r="Y1091" s="289"/>
      <c r="Z1091" s="289"/>
      <c r="AA1091" s="289"/>
      <c r="AB1091" s="289"/>
      <c r="AC1091" s="289"/>
      <c r="AD1091" s="295"/>
    </row>
    <row r="1092" spans="18:30" ht="32.25" customHeight="1">
      <c r="R1092" s="289"/>
      <c r="S1092" s="289"/>
      <c r="T1092" s="289"/>
      <c r="U1092" s="289"/>
      <c r="V1092" s="289"/>
      <c r="W1092" s="289"/>
      <c r="X1092" s="289"/>
      <c r="Y1092" s="289"/>
      <c r="Z1092" s="289"/>
      <c r="AA1092" s="289"/>
      <c r="AB1092" s="289"/>
      <c r="AC1092" s="289"/>
      <c r="AD1092" s="295"/>
    </row>
    <row r="1093" spans="18:30" ht="32.25" customHeight="1">
      <c r="R1093" s="289"/>
      <c r="S1093" s="289"/>
      <c r="T1093" s="289"/>
      <c r="U1093" s="289"/>
      <c r="V1093" s="289"/>
      <c r="W1093" s="289"/>
      <c r="X1093" s="289"/>
      <c r="Y1093" s="289"/>
      <c r="Z1093" s="289"/>
      <c r="AA1093" s="289"/>
      <c r="AB1093" s="289"/>
      <c r="AC1093" s="289"/>
      <c r="AD1093" s="295"/>
    </row>
    <row r="1094" spans="18:30" ht="32.25" customHeight="1">
      <c r="R1094" s="289"/>
      <c r="S1094" s="289"/>
      <c r="T1094" s="289"/>
      <c r="U1094" s="289"/>
      <c r="V1094" s="289"/>
      <c r="W1094" s="289"/>
      <c r="X1094" s="289"/>
      <c r="Y1094" s="289"/>
      <c r="Z1094" s="289"/>
      <c r="AA1094" s="289"/>
      <c r="AB1094" s="289"/>
      <c r="AC1094" s="289"/>
      <c r="AD1094" s="295"/>
    </row>
    <row r="1095" spans="18:30" ht="32.25" customHeight="1">
      <c r="R1095" s="289"/>
      <c r="S1095" s="289"/>
      <c r="T1095" s="289"/>
      <c r="U1095" s="289"/>
      <c r="V1095" s="289"/>
      <c r="W1095" s="289"/>
      <c r="X1095" s="289"/>
      <c r="Y1095" s="289"/>
      <c r="Z1095" s="289"/>
      <c r="AA1095" s="289"/>
      <c r="AB1095" s="289"/>
      <c r="AC1095" s="289"/>
      <c r="AD1095" s="295"/>
    </row>
    <row r="1096" spans="18:30" ht="32.25" customHeight="1">
      <c r="R1096" s="289"/>
      <c r="S1096" s="289"/>
      <c r="T1096" s="289"/>
      <c r="U1096" s="289"/>
      <c r="V1096" s="289"/>
      <c r="W1096" s="289"/>
      <c r="X1096" s="289"/>
      <c r="Y1096" s="289"/>
      <c r="Z1096" s="289"/>
      <c r="AA1096" s="289"/>
      <c r="AB1096" s="289"/>
      <c r="AC1096" s="289"/>
      <c r="AD1096" s="295"/>
    </row>
    <row r="1097" spans="18:30" ht="32.25" customHeight="1">
      <c r="R1097" s="289"/>
      <c r="S1097" s="289"/>
      <c r="T1097" s="289"/>
      <c r="U1097" s="289"/>
      <c r="V1097" s="289"/>
      <c r="W1097" s="289"/>
      <c r="X1097" s="289"/>
      <c r="Y1097" s="289"/>
      <c r="Z1097" s="289"/>
      <c r="AA1097" s="289"/>
      <c r="AB1097" s="289"/>
      <c r="AC1097" s="289"/>
      <c r="AD1097" s="295"/>
    </row>
    <row r="1098" spans="18:30" ht="32.25" customHeight="1">
      <c r="R1098" s="289"/>
      <c r="S1098" s="289"/>
      <c r="T1098" s="289"/>
      <c r="U1098" s="289"/>
      <c r="V1098" s="289"/>
      <c r="W1098" s="289"/>
      <c r="X1098" s="289"/>
      <c r="Y1098" s="289"/>
      <c r="Z1098" s="289"/>
      <c r="AA1098" s="289"/>
      <c r="AB1098" s="289"/>
      <c r="AC1098" s="289"/>
      <c r="AD1098" s="295"/>
    </row>
    <row r="1099" spans="18:30" ht="32.25" customHeight="1">
      <c r="R1099" s="289"/>
      <c r="S1099" s="289"/>
      <c r="T1099" s="289"/>
      <c r="U1099" s="289"/>
      <c r="V1099" s="289"/>
      <c r="W1099" s="289"/>
      <c r="X1099" s="289"/>
      <c r="Y1099" s="289"/>
      <c r="Z1099" s="289"/>
      <c r="AA1099" s="289"/>
      <c r="AB1099" s="289"/>
      <c r="AC1099" s="289"/>
      <c r="AD1099" s="295"/>
    </row>
    <row r="1100" spans="18:30" ht="32.25" customHeight="1">
      <c r="R1100" s="289"/>
      <c r="S1100" s="289"/>
      <c r="T1100" s="289"/>
      <c r="U1100" s="289"/>
      <c r="V1100" s="289"/>
      <c r="W1100" s="289"/>
      <c r="X1100" s="289"/>
      <c r="Y1100" s="289"/>
      <c r="Z1100" s="289"/>
      <c r="AA1100" s="289"/>
      <c r="AB1100" s="289"/>
      <c r="AC1100" s="289"/>
      <c r="AD1100" s="295"/>
    </row>
    <row r="1101" spans="18:30" ht="32.25" customHeight="1">
      <c r="R1101" s="289"/>
      <c r="S1101" s="289"/>
      <c r="T1101" s="289"/>
      <c r="U1101" s="289"/>
      <c r="V1101" s="289"/>
      <c r="W1101" s="289"/>
      <c r="X1101" s="289"/>
      <c r="Y1101" s="289"/>
      <c r="Z1101" s="289"/>
      <c r="AA1101" s="289"/>
      <c r="AB1101" s="289"/>
      <c r="AC1101" s="289"/>
      <c r="AD1101" s="295"/>
    </row>
    <row r="1102" spans="18:30" ht="32.25" customHeight="1">
      <c r="R1102" s="289"/>
      <c r="S1102" s="289"/>
      <c r="T1102" s="289"/>
      <c r="U1102" s="289"/>
      <c r="V1102" s="289"/>
      <c r="W1102" s="289"/>
      <c r="X1102" s="289"/>
      <c r="Y1102" s="289"/>
      <c r="Z1102" s="289"/>
      <c r="AA1102" s="289"/>
      <c r="AB1102" s="289"/>
      <c r="AC1102" s="289"/>
      <c r="AD1102" s="295"/>
    </row>
    <row r="1103" spans="18:30" ht="32.25" customHeight="1">
      <c r="R1103" s="289"/>
      <c r="S1103" s="289"/>
      <c r="T1103" s="289"/>
      <c r="U1103" s="289"/>
      <c r="V1103" s="289"/>
      <c r="W1103" s="289"/>
      <c r="X1103" s="289"/>
      <c r="Y1103" s="289"/>
      <c r="Z1103" s="289"/>
      <c r="AA1103" s="289"/>
      <c r="AB1103" s="289"/>
      <c r="AC1103" s="289"/>
      <c r="AD1103" s="295"/>
    </row>
    <row r="1104" spans="18:30" ht="32.25" customHeight="1">
      <c r="R1104" s="289"/>
      <c r="S1104" s="289"/>
      <c r="T1104" s="289"/>
      <c r="U1104" s="289"/>
      <c r="V1104" s="289"/>
      <c r="W1104" s="289"/>
      <c r="X1104" s="289"/>
      <c r="Y1104" s="289"/>
      <c r="Z1104" s="289"/>
      <c r="AA1104" s="289"/>
      <c r="AB1104" s="289"/>
      <c r="AC1104" s="289"/>
      <c r="AD1104" s="295"/>
    </row>
    <row r="1105" spans="18:30" ht="32.25" customHeight="1">
      <c r="R1105" s="289"/>
      <c r="S1105" s="289"/>
      <c r="T1105" s="289"/>
      <c r="U1105" s="289"/>
      <c r="V1105" s="289"/>
      <c r="W1105" s="289"/>
      <c r="X1105" s="289"/>
      <c r="Y1105" s="289"/>
      <c r="Z1105" s="289"/>
      <c r="AA1105" s="289"/>
      <c r="AB1105" s="289"/>
      <c r="AC1105" s="289"/>
      <c r="AD1105" s="295"/>
    </row>
    <row r="1106" spans="18:30" ht="32.25" customHeight="1">
      <c r="R1106" s="289"/>
      <c r="S1106" s="289"/>
      <c r="T1106" s="289"/>
      <c r="U1106" s="289"/>
      <c r="V1106" s="289"/>
      <c r="W1106" s="289"/>
      <c r="X1106" s="289"/>
      <c r="Y1106" s="289"/>
      <c r="Z1106" s="289"/>
      <c r="AA1106" s="289"/>
      <c r="AB1106" s="289"/>
      <c r="AC1106" s="289"/>
      <c r="AD1106" s="295"/>
    </row>
    <row r="1107" spans="18:30" ht="32.25" customHeight="1">
      <c r="R1107" s="289"/>
      <c r="S1107" s="289"/>
      <c r="T1107" s="289"/>
      <c r="U1107" s="289"/>
      <c r="V1107" s="289"/>
      <c r="W1107" s="289"/>
      <c r="X1107" s="289"/>
      <c r="Y1107" s="289"/>
      <c r="Z1107" s="289"/>
      <c r="AA1107" s="289"/>
      <c r="AB1107" s="289"/>
      <c r="AC1107" s="289"/>
      <c r="AD1107" s="295"/>
    </row>
    <row r="1108" spans="18:30" ht="32.25" customHeight="1">
      <c r="R1108" s="289"/>
      <c r="S1108" s="289"/>
      <c r="T1108" s="289"/>
      <c r="U1108" s="289"/>
      <c r="V1108" s="289"/>
      <c r="W1108" s="289"/>
      <c r="X1108" s="289"/>
      <c r="Y1108" s="289"/>
      <c r="Z1108" s="289"/>
      <c r="AA1108" s="289"/>
      <c r="AB1108" s="289"/>
      <c r="AC1108" s="289"/>
      <c r="AD1108" s="295"/>
    </row>
    <row r="1109" spans="18:30" ht="32.25" customHeight="1">
      <c r="R1109" s="289"/>
      <c r="S1109" s="289"/>
      <c r="T1109" s="289"/>
      <c r="U1109" s="289"/>
      <c r="V1109" s="289"/>
      <c r="W1109" s="289"/>
      <c r="X1109" s="289"/>
      <c r="Y1109" s="289"/>
      <c r="Z1109" s="289"/>
      <c r="AA1109" s="289"/>
      <c r="AB1109" s="289"/>
      <c r="AC1109" s="289"/>
      <c r="AD1109" s="295"/>
    </row>
    <row r="1110" spans="18:30" ht="32.25" customHeight="1">
      <c r="R1110" s="289"/>
      <c r="S1110" s="289"/>
      <c r="T1110" s="289"/>
      <c r="U1110" s="289"/>
      <c r="V1110" s="289"/>
      <c r="W1110" s="289"/>
      <c r="X1110" s="289"/>
      <c r="Y1110" s="289"/>
      <c r="Z1110" s="289"/>
      <c r="AA1110" s="289"/>
      <c r="AB1110" s="289"/>
      <c r="AC1110" s="289"/>
      <c r="AD1110" s="295"/>
    </row>
    <row r="1111" spans="18:30" ht="32.25" customHeight="1">
      <c r="R1111" s="289"/>
      <c r="S1111" s="289"/>
      <c r="T1111" s="289"/>
      <c r="U1111" s="289"/>
      <c r="V1111" s="289"/>
      <c r="W1111" s="289"/>
      <c r="X1111" s="289"/>
      <c r="Y1111" s="289"/>
      <c r="Z1111" s="289"/>
      <c r="AA1111" s="289"/>
      <c r="AB1111" s="289"/>
      <c r="AC1111" s="289"/>
      <c r="AD1111" s="295"/>
    </row>
    <row r="1112" spans="18:30" ht="32.25" customHeight="1">
      <c r="R1112" s="289"/>
      <c r="S1112" s="289"/>
      <c r="T1112" s="289"/>
      <c r="U1112" s="289"/>
      <c r="V1112" s="289"/>
      <c r="W1112" s="289"/>
      <c r="X1112" s="289"/>
      <c r="Y1112" s="289"/>
      <c r="Z1112" s="289"/>
      <c r="AA1112" s="289"/>
      <c r="AB1112" s="289"/>
      <c r="AC1112" s="289"/>
      <c r="AD1112" s="295"/>
    </row>
    <row r="1113" spans="18:30" ht="32.25" customHeight="1">
      <c r="R1113" s="289"/>
      <c r="S1113" s="289"/>
      <c r="T1113" s="289"/>
      <c r="U1113" s="289"/>
      <c r="V1113" s="289"/>
      <c r="W1113" s="289"/>
      <c r="X1113" s="289"/>
      <c r="Y1113" s="289"/>
      <c r="Z1113" s="289"/>
      <c r="AA1113" s="289"/>
      <c r="AB1113" s="289"/>
      <c r="AC1113" s="289"/>
      <c r="AD1113" s="295"/>
    </row>
    <row r="1114" spans="18:30" ht="32.25" customHeight="1">
      <c r="R1114" s="289"/>
      <c r="S1114" s="289"/>
      <c r="T1114" s="289"/>
      <c r="U1114" s="289"/>
      <c r="V1114" s="289"/>
      <c r="W1114" s="289"/>
      <c r="X1114" s="289"/>
      <c r="Y1114" s="289"/>
      <c r="Z1114" s="289"/>
      <c r="AA1114" s="289"/>
      <c r="AB1114" s="289"/>
      <c r="AC1114" s="289"/>
      <c r="AD1114" s="295"/>
    </row>
    <row r="1115" spans="18:30" ht="32.25" customHeight="1">
      <c r="R1115" s="289"/>
      <c r="S1115" s="289"/>
      <c r="T1115" s="289"/>
      <c r="U1115" s="289"/>
      <c r="V1115" s="289"/>
      <c r="W1115" s="289"/>
      <c r="X1115" s="289"/>
      <c r="Y1115" s="289"/>
      <c r="Z1115" s="289"/>
      <c r="AA1115" s="289"/>
      <c r="AB1115" s="289"/>
      <c r="AC1115" s="289"/>
      <c r="AD1115" s="295"/>
    </row>
    <row r="1116" spans="18:30" ht="32.25" customHeight="1">
      <c r="R1116" s="289"/>
      <c r="S1116" s="289"/>
      <c r="T1116" s="289"/>
      <c r="U1116" s="289"/>
      <c r="V1116" s="289"/>
      <c r="W1116" s="289"/>
      <c r="X1116" s="289"/>
      <c r="Y1116" s="289"/>
      <c r="Z1116" s="289"/>
      <c r="AA1116" s="289"/>
      <c r="AB1116" s="289"/>
      <c r="AC1116" s="289"/>
      <c r="AD1116" s="295"/>
    </row>
    <row r="1117" spans="18:30" ht="32.25" customHeight="1">
      <c r="R1117" s="289"/>
      <c r="S1117" s="289"/>
      <c r="T1117" s="289"/>
      <c r="U1117" s="289"/>
      <c r="V1117" s="289"/>
      <c r="W1117" s="289"/>
      <c r="X1117" s="289"/>
      <c r="Y1117" s="289"/>
      <c r="Z1117" s="289"/>
      <c r="AA1117" s="289"/>
      <c r="AB1117" s="289"/>
      <c r="AC1117" s="289"/>
      <c r="AD1117" s="295"/>
    </row>
    <row r="1118" spans="18:30" ht="32.25" customHeight="1">
      <c r="R1118" s="289"/>
      <c r="S1118" s="289"/>
      <c r="T1118" s="289"/>
      <c r="U1118" s="289"/>
      <c r="V1118" s="289"/>
      <c r="W1118" s="289"/>
      <c r="X1118" s="289"/>
      <c r="Y1118" s="289"/>
      <c r="Z1118" s="289"/>
      <c r="AA1118" s="289"/>
      <c r="AB1118" s="289"/>
      <c r="AC1118" s="289"/>
      <c r="AD1118" s="295"/>
    </row>
    <row r="1119" spans="18:30" ht="32.25" customHeight="1">
      <c r="R1119" s="289"/>
      <c r="S1119" s="289"/>
      <c r="T1119" s="289"/>
      <c r="U1119" s="289"/>
      <c r="V1119" s="289"/>
      <c r="W1119" s="289"/>
      <c r="X1119" s="289"/>
      <c r="Y1119" s="289"/>
      <c r="Z1119" s="289"/>
      <c r="AA1119" s="289"/>
      <c r="AB1119" s="289"/>
      <c r="AC1119" s="289"/>
      <c r="AD1119" s="295"/>
    </row>
    <row r="1120" spans="18:30" ht="32.25" customHeight="1">
      <c r="R1120" s="289"/>
      <c r="S1120" s="289"/>
      <c r="T1120" s="289"/>
      <c r="U1120" s="289"/>
      <c r="V1120" s="289"/>
      <c r="W1120" s="289"/>
      <c r="X1120" s="289"/>
      <c r="Y1120" s="289"/>
      <c r="Z1120" s="289"/>
      <c r="AA1120" s="289"/>
      <c r="AB1120" s="289"/>
      <c r="AC1120" s="289"/>
      <c r="AD1120" s="295"/>
    </row>
    <row r="1121" spans="18:30" ht="32.25" customHeight="1">
      <c r="R1121" s="289"/>
      <c r="S1121" s="289"/>
      <c r="T1121" s="289"/>
      <c r="U1121" s="289"/>
      <c r="V1121" s="289"/>
      <c r="W1121" s="289"/>
      <c r="X1121" s="289"/>
      <c r="Y1121" s="289"/>
      <c r="Z1121" s="289"/>
      <c r="AA1121" s="289"/>
      <c r="AB1121" s="289"/>
      <c r="AC1121" s="289"/>
      <c r="AD1121" s="295"/>
    </row>
    <row r="1122" spans="18:30" ht="32.25" customHeight="1">
      <c r="R1122" s="289"/>
      <c r="S1122" s="289"/>
      <c r="T1122" s="289"/>
      <c r="U1122" s="289"/>
      <c r="V1122" s="289"/>
      <c r="W1122" s="289"/>
      <c r="X1122" s="289"/>
      <c r="Y1122" s="289"/>
      <c r="Z1122" s="289"/>
      <c r="AA1122" s="289"/>
      <c r="AB1122" s="289"/>
      <c r="AC1122" s="289"/>
      <c r="AD1122" s="295"/>
    </row>
    <row r="1123" spans="18:30" ht="32.25" customHeight="1">
      <c r="R1123" s="289"/>
      <c r="S1123" s="289"/>
      <c r="T1123" s="289"/>
      <c r="U1123" s="289"/>
      <c r="V1123" s="289"/>
      <c r="W1123" s="289"/>
      <c r="X1123" s="289"/>
      <c r="Y1123" s="289"/>
      <c r="Z1123" s="289"/>
      <c r="AA1123" s="289"/>
      <c r="AB1123" s="289"/>
      <c r="AC1123" s="289"/>
      <c r="AD1123" s="295"/>
    </row>
    <row r="1124" spans="18:30" ht="32.25" customHeight="1">
      <c r="R1124" s="289"/>
      <c r="S1124" s="289"/>
      <c r="T1124" s="289"/>
      <c r="U1124" s="289"/>
      <c r="V1124" s="289"/>
      <c r="W1124" s="289"/>
      <c r="X1124" s="289"/>
      <c r="Y1124" s="289"/>
      <c r="Z1124" s="289"/>
      <c r="AA1124" s="289"/>
      <c r="AB1124" s="289"/>
      <c r="AC1124" s="289"/>
      <c r="AD1124" s="295"/>
    </row>
    <row r="1125" spans="18:30" ht="32.25" customHeight="1">
      <c r="R1125" s="289"/>
      <c r="S1125" s="289"/>
      <c r="T1125" s="289"/>
      <c r="U1125" s="289"/>
      <c r="V1125" s="289"/>
      <c r="W1125" s="289"/>
      <c r="X1125" s="289"/>
      <c r="Y1125" s="289"/>
      <c r="Z1125" s="289"/>
      <c r="AA1125" s="289"/>
      <c r="AB1125" s="289"/>
      <c r="AC1125" s="289"/>
      <c r="AD1125" s="295"/>
    </row>
    <row r="1126" spans="18:30" ht="32.25" customHeight="1">
      <c r="R1126" s="289"/>
      <c r="S1126" s="289"/>
      <c r="T1126" s="289"/>
      <c r="U1126" s="289"/>
      <c r="V1126" s="289"/>
      <c r="W1126" s="289"/>
      <c r="X1126" s="289"/>
      <c r="Y1126" s="289"/>
      <c r="Z1126" s="289"/>
      <c r="AA1126" s="289"/>
      <c r="AB1126" s="289"/>
      <c r="AC1126" s="289"/>
      <c r="AD1126" s="295"/>
    </row>
    <row r="1127" spans="18:30" ht="32.25" customHeight="1">
      <c r="R1127" s="289"/>
      <c r="S1127" s="289"/>
      <c r="T1127" s="289"/>
      <c r="U1127" s="289"/>
      <c r="V1127" s="289"/>
      <c r="W1127" s="289"/>
      <c r="X1127" s="289"/>
      <c r="Y1127" s="289"/>
      <c r="Z1127" s="289"/>
      <c r="AA1127" s="289"/>
      <c r="AB1127" s="289"/>
      <c r="AC1127" s="289"/>
      <c r="AD1127" s="295"/>
    </row>
    <row r="1128" spans="18:30" ht="32.25" customHeight="1">
      <c r="R1128" s="289"/>
      <c r="S1128" s="289"/>
      <c r="T1128" s="289"/>
      <c r="U1128" s="289"/>
      <c r="V1128" s="289"/>
      <c r="W1128" s="289"/>
      <c r="X1128" s="289"/>
      <c r="Y1128" s="289"/>
      <c r="Z1128" s="289"/>
      <c r="AA1128" s="289"/>
      <c r="AB1128" s="289"/>
      <c r="AC1128" s="289"/>
      <c r="AD1128" s="295"/>
    </row>
    <row r="1129" spans="18:30" ht="32.25" customHeight="1">
      <c r="R1129" s="289"/>
      <c r="S1129" s="289"/>
      <c r="T1129" s="289"/>
      <c r="U1129" s="289"/>
      <c r="V1129" s="289"/>
      <c r="W1129" s="289"/>
      <c r="X1129" s="289"/>
      <c r="Y1129" s="289"/>
      <c r="Z1129" s="289"/>
      <c r="AA1129" s="289"/>
      <c r="AB1129" s="289"/>
      <c r="AC1129" s="289"/>
      <c r="AD1129" s="295"/>
    </row>
    <row r="1130" spans="18:30" ht="32.25" customHeight="1">
      <c r="R1130" s="289"/>
      <c r="S1130" s="289"/>
      <c r="T1130" s="289"/>
      <c r="U1130" s="289"/>
      <c r="V1130" s="289"/>
      <c r="W1130" s="289"/>
      <c r="X1130" s="289"/>
      <c r="Y1130" s="289"/>
      <c r="Z1130" s="289"/>
      <c r="AA1130" s="289"/>
      <c r="AB1130" s="289"/>
      <c r="AC1130" s="289"/>
      <c r="AD1130" s="295"/>
    </row>
    <row r="1131" spans="18:30" ht="32.25" customHeight="1">
      <c r="R1131" s="289"/>
      <c r="S1131" s="289"/>
      <c r="T1131" s="289"/>
      <c r="U1131" s="289"/>
      <c r="V1131" s="289"/>
      <c r="W1131" s="289"/>
      <c r="X1131" s="289"/>
      <c r="Y1131" s="289"/>
      <c r="Z1131" s="289"/>
      <c r="AA1131" s="289"/>
      <c r="AB1131" s="289"/>
      <c r="AC1131" s="289"/>
      <c r="AD1131" s="295"/>
    </row>
    <row r="1132" spans="18:30" ht="32.25" customHeight="1">
      <c r="R1132" s="289"/>
      <c r="S1132" s="289"/>
      <c r="T1132" s="289"/>
      <c r="U1132" s="289"/>
      <c r="V1132" s="289"/>
      <c r="W1132" s="289"/>
      <c r="X1132" s="289"/>
      <c r="Y1132" s="289"/>
      <c r="Z1132" s="289"/>
      <c r="AA1132" s="289"/>
      <c r="AB1132" s="289"/>
      <c r="AC1132" s="289"/>
      <c r="AD1132" s="295"/>
    </row>
    <row r="1133" spans="18:30" ht="32.25" customHeight="1">
      <c r="R1133" s="289"/>
      <c r="S1133" s="289"/>
      <c r="T1133" s="289"/>
      <c r="U1133" s="289"/>
      <c r="V1133" s="289"/>
      <c r="W1133" s="289"/>
      <c r="X1133" s="289"/>
      <c r="Y1133" s="289"/>
      <c r="Z1133" s="289"/>
      <c r="AA1133" s="289"/>
      <c r="AB1133" s="289"/>
      <c r="AC1133" s="289"/>
      <c r="AD1133" s="295"/>
    </row>
    <row r="1134" spans="18:30" ht="32.25" customHeight="1">
      <c r="R1134" s="289"/>
      <c r="S1134" s="289"/>
      <c r="T1134" s="289"/>
      <c r="U1134" s="289"/>
      <c r="V1134" s="289"/>
      <c r="W1134" s="289"/>
      <c r="X1134" s="289"/>
      <c r="Y1134" s="289"/>
      <c r="Z1134" s="289"/>
      <c r="AA1134" s="289"/>
      <c r="AB1134" s="289"/>
      <c r="AC1134" s="289"/>
      <c r="AD1134" s="295"/>
    </row>
    <row r="1135" spans="18:30" ht="32.25" customHeight="1">
      <c r="R1135" s="289"/>
      <c r="S1135" s="289"/>
      <c r="T1135" s="289"/>
      <c r="U1135" s="289"/>
      <c r="V1135" s="289"/>
      <c r="W1135" s="289"/>
      <c r="X1135" s="289"/>
      <c r="Y1135" s="289"/>
      <c r="Z1135" s="289"/>
      <c r="AA1135" s="289"/>
      <c r="AB1135" s="289"/>
      <c r="AC1135" s="289"/>
      <c r="AD1135" s="295"/>
    </row>
    <row r="1136" spans="18:30" ht="32.25" customHeight="1">
      <c r="R1136" s="289"/>
      <c r="S1136" s="289"/>
      <c r="T1136" s="289"/>
      <c r="U1136" s="289"/>
      <c r="V1136" s="289"/>
      <c r="W1136" s="289"/>
      <c r="X1136" s="289"/>
      <c r="Y1136" s="289"/>
      <c r="Z1136" s="289"/>
      <c r="AA1136" s="289"/>
      <c r="AB1136" s="289"/>
      <c r="AC1136" s="289"/>
      <c r="AD1136" s="295"/>
    </row>
    <row r="1137" spans="18:30" ht="32.25" customHeight="1">
      <c r="R1137" s="289"/>
      <c r="S1137" s="289"/>
      <c r="T1137" s="289"/>
      <c r="U1137" s="289"/>
      <c r="V1137" s="289"/>
      <c r="W1137" s="289"/>
      <c r="X1137" s="289"/>
      <c r="Y1137" s="289"/>
      <c r="Z1137" s="289"/>
      <c r="AA1137" s="289"/>
      <c r="AB1137" s="289"/>
      <c r="AC1137" s="289"/>
      <c r="AD1137" s="295"/>
    </row>
    <row r="1138" spans="18:30" ht="32.25" customHeight="1">
      <c r="R1138" s="289"/>
      <c r="S1138" s="289"/>
      <c r="T1138" s="289"/>
      <c r="U1138" s="289"/>
      <c r="V1138" s="289"/>
      <c r="W1138" s="289"/>
      <c r="X1138" s="289"/>
      <c r="Y1138" s="289"/>
      <c r="Z1138" s="289"/>
      <c r="AA1138" s="289"/>
      <c r="AB1138" s="289"/>
      <c r="AC1138" s="289"/>
      <c r="AD1138" s="295"/>
    </row>
    <row r="1139" spans="18:30" ht="32.25" customHeight="1">
      <c r="R1139" s="289"/>
      <c r="S1139" s="289"/>
      <c r="T1139" s="289"/>
      <c r="U1139" s="289"/>
      <c r="V1139" s="289"/>
      <c r="W1139" s="289"/>
      <c r="X1139" s="289"/>
      <c r="Y1139" s="289"/>
      <c r="Z1139" s="289"/>
      <c r="AA1139" s="289"/>
      <c r="AB1139" s="289"/>
      <c r="AC1139" s="289"/>
      <c r="AD1139" s="295"/>
    </row>
    <row r="1140" spans="18:30" ht="32.25" customHeight="1">
      <c r="R1140" s="289"/>
      <c r="S1140" s="289"/>
      <c r="T1140" s="289"/>
      <c r="U1140" s="289"/>
      <c r="V1140" s="289"/>
      <c r="W1140" s="289"/>
      <c r="X1140" s="289"/>
      <c r="Y1140" s="289"/>
      <c r="Z1140" s="289"/>
      <c r="AA1140" s="289"/>
      <c r="AB1140" s="289"/>
      <c r="AC1140" s="289"/>
      <c r="AD1140" s="295"/>
    </row>
    <row r="1141" spans="18:30" ht="32.25" customHeight="1">
      <c r="R1141" s="289"/>
      <c r="S1141" s="289"/>
      <c r="T1141" s="289"/>
      <c r="U1141" s="289"/>
      <c r="V1141" s="289"/>
      <c r="W1141" s="289"/>
      <c r="X1141" s="289"/>
      <c r="Y1141" s="289"/>
      <c r="Z1141" s="289"/>
      <c r="AA1141" s="289"/>
      <c r="AB1141" s="289"/>
      <c r="AC1141" s="289"/>
      <c r="AD1141" s="295"/>
    </row>
    <row r="1142" spans="18:30" ht="32.25" customHeight="1">
      <c r="R1142" s="289"/>
      <c r="S1142" s="289"/>
      <c r="T1142" s="289"/>
      <c r="U1142" s="289"/>
      <c r="V1142" s="289"/>
      <c r="W1142" s="289"/>
      <c r="X1142" s="289"/>
      <c r="Y1142" s="289"/>
      <c r="Z1142" s="289"/>
      <c r="AA1142" s="289"/>
      <c r="AB1142" s="289"/>
      <c r="AC1142" s="289"/>
      <c r="AD1142" s="295"/>
    </row>
    <row r="1143" spans="18:30" ht="32.25" customHeight="1">
      <c r="R1143" s="289"/>
      <c r="S1143" s="289"/>
      <c r="T1143" s="289"/>
      <c r="U1143" s="289"/>
      <c r="V1143" s="289"/>
      <c r="W1143" s="289"/>
      <c r="X1143" s="289"/>
      <c r="Y1143" s="289"/>
      <c r="Z1143" s="289"/>
      <c r="AA1143" s="289"/>
      <c r="AB1143" s="289"/>
      <c r="AC1143" s="289"/>
      <c r="AD1143" s="295"/>
    </row>
    <row r="1144" spans="18:30" ht="32.25" customHeight="1">
      <c r="R1144" s="289"/>
      <c r="S1144" s="289"/>
      <c r="T1144" s="289"/>
      <c r="U1144" s="289"/>
      <c r="V1144" s="289"/>
      <c r="W1144" s="289"/>
      <c r="X1144" s="289"/>
      <c r="Y1144" s="289"/>
      <c r="Z1144" s="289"/>
      <c r="AA1144" s="289"/>
      <c r="AB1144" s="289"/>
      <c r="AC1144" s="289"/>
      <c r="AD1144" s="295"/>
    </row>
    <row r="1145" spans="18:30" ht="32.25" customHeight="1">
      <c r="R1145" s="289"/>
      <c r="S1145" s="289"/>
      <c r="T1145" s="289"/>
      <c r="U1145" s="289"/>
      <c r="V1145" s="289"/>
      <c r="W1145" s="289"/>
      <c r="X1145" s="289"/>
      <c r="Y1145" s="289"/>
      <c r="Z1145" s="289"/>
      <c r="AA1145" s="289"/>
      <c r="AB1145" s="289"/>
      <c r="AC1145" s="289"/>
      <c r="AD1145" s="295"/>
    </row>
    <row r="1146" spans="18:30" ht="32.25" customHeight="1">
      <c r="R1146" s="289"/>
      <c r="S1146" s="289"/>
      <c r="T1146" s="289"/>
      <c r="U1146" s="289"/>
      <c r="V1146" s="289"/>
      <c r="W1146" s="289"/>
      <c r="X1146" s="289"/>
      <c r="Y1146" s="289"/>
      <c r="Z1146" s="289"/>
      <c r="AA1146" s="289"/>
      <c r="AB1146" s="289"/>
      <c r="AC1146" s="289"/>
      <c r="AD1146" s="295"/>
    </row>
    <row r="1147" spans="18:30" ht="32.25" customHeight="1">
      <c r="R1147" s="289"/>
      <c r="S1147" s="289"/>
      <c r="T1147" s="289"/>
      <c r="U1147" s="289"/>
      <c r="V1147" s="289"/>
      <c r="W1147" s="289"/>
      <c r="X1147" s="289"/>
      <c r="Y1147" s="289"/>
      <c r="Z1147" s="289"/>
      <c r="AA1147" s="289"/>
      <c r="AB1147" s="289"/>
      <c r="AC1147" s="289"/>
      <c r="AD1147" s="295"/>
    </row>
    <row r="1148" spans="18:30" ht="32.25" customHeight="1">
      <c r="R1148" s="289"/>
      <c r="S1148" s="289"/>
      <c r="T1148" s="289"/>
      <c r="U1148" s="289"/>
      <c r="V1148" s="289"/>
      <c r="W1148" s="289"/>
      <c r="X1148" s="289"/>
      <c r="Y1148" s="289"/>
      <c r="Z1148" s="289"/>
      <c r="AA1148" s="289"/>
      <c r="AB1148" s="289"/>
      <c r="AC1148" s="289"/>
      <c r="AD1148" s="295"/>
    </row>
    <row r="1149" spans="18:30" ht="32.25" customHeight="1">
      <c r="R1149" s="289"/>
      <c r="S1149" s="289"/>
      <c r="T1149" s="289"/>
      <c r="U1149" s="289"/>
      <c r="V1149" s="289"/>
      <c r="W1149" s="289"/>
      <c r="X1149" s="289"/>
      <c r="Y1149" s="289"/>
      <c r="Z1149" s="289"/>
      <c r="AA1149" s="289"/>
      <c r="AB1149" s="289"/>
      <c r="AC1149" s="289"/>
      <c r="AD1149" s="295"/>
    </row>
    <row r="1150" spans="18:30" ht="32.25" customHeight="1">
      <c r="R1150" s="289"/>
      <c r="S1150" s="289"/>
      <c r="T1150" s="289"/>
      <c r="U1150" s="289"/>
      <c r="V1150" s="289"/>
      <c r="W1150" s="289"/>
      <c r="X1150" s="289"/>
      <c r="Y1150" s="289"/>
      <c r="Z1150" s="289"/>
      <c r="AA1150" s="289"/>
      <c r="AB1150" s="289"/>
      <c r="AC1150" s="289"/>
      <c r="AD1150" s="295"/>
    </row>
    <row r="1151" spans="18:30" ht="32.25" customHeight="1">
      <c r="R1151" s="289"/>
      <c r="S1151" s="289"/>
      <c r="T1151" s="289"/>
      <c r="U1151" s="289"/>
      <c r="V1151" s="289"/>
      <c r="W1151" s="289"/>
      <c r="X1151" s="289"/>
      <c r="Y1151" s="289"/>
      <c r="Z1151" s="289"/>
      <c r="AA1151" s="289"/>
      <c r="AB1151" s="289"/>
      <c r="AC1151" s="289"/>
      <c r="AD1151" s="295"/>
    </row>
    <row r="1152" spans="18:30" ht="32.25" customHeight="1">
      <c r="R1152" s="289"/>
      <c r="S1152" s="289"/>
      <c r="T1152" s="289"/>
      <c r="U1152" s="289"/>
      <c r="V1152" s="289"/>
      <c r="W1152" s="289"/>
      <c r="X1152" s="289"/>
      <c r="Y1152" s="289"/>
      <c r="Z1152" s="289"/>
      <c r="AA1152" s="289"/>
      <c r="AB1152" s="289"/>
      <c r="AC1152" s="289"/>
      <c r="AD1152" s="295"/>
    </row>
    <row r="1153" spans="18:30" ht="32.25" customHeight="1">
      <c r="R1153" s="289"/>
      <c r="S1153" s="289"/>
      <c r="T1153" s="289"/>
      <c r="U1153" s="289"/>
      <c r="V1153" s="289"/>
      <c r="W1153" s="289"/>
      <c r="X1153" s="289"/>
      <c r="Y1153" s="289"/>
      <c r="Z1153" s="289"/>
      <c r="AA1153" s="289"/>
      <c r="AB1153" s="289"/>
      <c r="AC1153" s="289"/>
      <c r="AD1153" s="295"/>
    </row>
    <row r="1154" spans="18:30" ht="32.25" customHeight="1">
      <c r="R1154" s="289"/>
      <c r="S1154" s="289"/>
      <c r="T1154" s="289"/>
      <c r="U1154" s="289"/>
      <c r="V1154" s="289"/>
      <c r="W1154" s="289"/>
      <c r="X1154" s="289"/>
      <c r="Y1154" s="289"/>
      <c r="Z1154" s="289"/>
      <c r="AA1154" s="289"/>
      <c r="AB1154" s="289"/>
      <c r="AC1154" s="289"/>
      <c r="AD1154" s="295"/>
    </row>
    <row r="1155" spans="18:30" ht="32.25" customHeight="1">
      <c r="R1155" s="289"/>
      <c r="S1155" s="289"/>
      <c r="T1155" s="289"/>
      <c r="U1155" s="289"/>
      <c r="V1155" s="289"/>
      <c r="W1155" s="289"/>
      <c r="X1155" s="289"/>
      <c r="Y1155" s="289"/>
      <c r="Z1155" s="289"/>
      <c r="AA1155" s="289"/>
      <c r="AB1155" s="289"/>
      <c r="AC1155" s="289"/>
      <c r="AD1155" s="295"/>
    </row>
    <row r="1156" spans="18:30" ht="32.25" customHeight="1">
      <c r="R1156" s="289"/>
      <c r="S1156" s="289"/>
      <c r="T1156" s="289"/>
      <c r="U1156" s="289"/>
      <c r="V1156" s="289"/>
      <c r="W1156" s="289"/>
      <c r="X1156" s="289"/>
      <c r="Y1156" s="289"/>
      <c r="Z1156" s="289"/>
      <c r="AA1156" s="289"/>
      <c r="AB1156" s="289"/>
      <c r="AC1156" s="289"/>
      <c r="AD1156" s="295"/>
    </row>
    <row r="1157" spans="18:30" ht="32.25" customHeight="1">
      <c r="R1157" s="289"/>
      <c r="S1157" s="289"/>
      <c r="T1157" s="289"/>
      <c r="U1157" s="289"/>
      <c r="V1157" s="289"/>
      <c r="W1157" s="289"/>
      <c r="X1157" s="289"/>
      <c r="Y1157" s="289"/>
      <c r="Z1157" s="289"/>
      <c r="AA1157" s="289"/>
      <c r="AB1157" s="289"/>
      <c r="AC1157" s="289"/>
      <c r="AD1157" s="295"/>
    </row>
    <row r="1158" spans="18:30" ht="32.25" customHeight="1">
      <c r="R1158" s="289"/>
      <c r="S1158" s="289"/>
      <c r="T1158" s="289"/>
      <c r="U1158" s="289"/>
      <c r="V1158" s="289"/>
      <c r="W1158" s="289"/>
      <c r="X1158" s="289"/>
      <c r="Y1158" s="289"/>
      <c r="Z1158" s="289"/>
      <c r="AA1158" s="289"/>
      <c r="AB1158" s="289"/>
      <c r="AC1158" s="289"/>
      <c r="AD1158" s="295"/>
    </row>
    <row r="1159" spans="18:30" ht="32.25" customHeight="1">
      <c r="R1159" s="289"/>
      <c r="S1159" s="289"/>
      <c r="T1159" s="289"/>
      <c r="U1159" s="289"/>
      <c r="V1159" s="289"/>
      <c r="W1159" s="289"/>
      <c r="X1159" s="289"/>
      <c r="Y1159" s="289"/>
      <c r="Z1159" s="289"/>
      <c r="AA1159" s="289"/>
      <c r="AB1159" s="289"/>
      <c r="AC1159" s="289"/>
      <c r="AD1159" s="295"/>
    </row>
    <row r="1160" spans="18:30" ht="32.25" customHeight="1">
      <c r="R1160" s="289"/>
      <c r="S1160" s="289"/>
      <c r="T1160" s="289"/>
      <c r="U1160" s="289"/>
      <c r="V1160" s="289"/>
      <c r="W1160" s="289"/>
      <c r="X1160" s="289"/>
      <c r="Y1160" s="289"/>
      <c r="Z1160" s="289"/>
      <c r="AA1160" s="289"/>
      <c r="AB1160" s="289"/>
      <c r="AC1160" s="289"/>
      <c r="AD1160" s="295"/>
    </row>
    <row r="1161" spans="18:30" ht="32.25" customHeight="1">
      <c r="R1161" s="289"/>
      <c r="S1161" s="289"/>
      <c r="T1161" s="289"/>
      <c r="U1161" s="289"/>
      <c r="V1161" s="289"/>
      <c r="W1161" s="289"/>
      <c r="X1161" s="289"/>
      <c r="Y1161" s="289"/>
      <c r="Z1161" s="289"/>
      <c r="AA1161" s="289"/>
      <c r="AB1161" s="289"/>
      <c r="AC1161" s="289"/>
      <c r="AD1161" s="295"/>
    </row>
    <row r="1162" spans="18:30" ht="32.25" customHeight="1">
      <c r="R1162" s="289"/>
      <c r="S1162" s="289"/>
      <c r="T1162" s="289"/>
      <c r="U1162" s="289"/>
      <c r="V1162" s="289"/>
      <c r="W1162" s="289"/>
      <c r="X1162" s="289"/>
      <c r="Y1162" s="289"/>
      <c r="Z1162" s="289"/>
      <c r="AA1162" s="289"/>
      <c r="AB1162" s="289"/>
      <c r="AC1162" s="289"/>
      <c r="AD1162" s="295"/>
    </row>
    <row r="1163" spans="18:30" ht="32.25" customHeight="1">
      <c r="R1163" s="289"/>
      <c r="S1163" s="289"/>
      <c r="T1163" s="289"/>
      <c r="U1163" s="289"/>
      <c r="V1163" s="289"/>
      <c r="W1163" s="289"/>
      <c r="X1163" s="289"/>
      <c r="Y1163" s="289"/>
      <c r="Z1163" s="289"/>
      <c r="AA1163" s="289"/>
      <c r="AB1163" s="289"/>
      <c r="AC1163" s="289"/>
      <c r="AD1163" s="295"/>
    </row>
    <row r="1164" spans="18:30" ht="32.25" customHeight="1">
      <c r="R1164" s="289"/>
      <c r="S1164" s="289"/>
      <c r="T1164" s="289"/>
      <c r="U1164" s="289"/>
      <c r="V1164" s="289"/>
      <c r="W1164" s="289"/>
      <c r="X1164" s="289"/>
      <c r="Y1164" s="289"/>
      <c r="Z1164" s="289"/>
      <c r="AA1164" s="289"/>
      <c r="AB1164" s="289"/>
      <c r="AC1164" s="289"/>
      <c r="AD1164" s="295"/>
    </row>
    <row r="1165" spans="18:30" ht="32.25" customHeight="1">
      <c r="R1165" s="289"/>
      <c r="S1165" s="289"/>
      <c r="T1165" s="289"/>
      <c r="U1165" s="289"/>
      <c r="V1165" s="289"/>
      <c r="W1165" s="289"/>
      <c r="X1165" s="289"/>
      <c r="Y1165" s="289"/>
      <c r="Z1165" s="289"/>
      <c r="AA1165" s="289"/>
      <c r="AB1165" s="289"/>
      <c r="AC1165" s="289"/>
      <c r="AD1165" s="295"/>
    </row>
    <row r="1166" spans="18:30" ht="32.25" customHeight="1">
      <c r="R1166" s="289"/>
      <c r="S1166" s="289"/>
      <c r="T1166" s="289"/>
      <c r="U1166" s="289"/>
      <c r="V1166" s="289"/>
      <c r="W1166" s="289"/>
      <c r="X1166" s="289"/>
      <c r="Y1166" s="289"/>
      <c r="Z1166" s="289"/>
      <c r="AA1166" s="289"/>
      <c r="AB1166" s="289"/>
      <c r="AC1166" s="289"/>
      <c r="AD1166" s="295"/>
    </row>
    <row r="1167" spans="18:30" ht="32.25" customHeight="1">
      <c r="R1167" s="289"/>
      <c r="S1167" s="289"/>
      <c r="T1167" s="289"/>
      <c r="U1167" s="289"/>
      <c r="V1167" s="289"/>
      <c r="W1167" s="289"/>
      <c r="X1167" s="289"/>
      <c r="Y1167" s="289"/>
      <c r="Z1167" s="289"/>
      <c r="AA1167" s="289"/>
      <c r="AB1167" s="289"/>
      <c r="AC1167" s="289"/>
      <c r="AD1167" s="295"/>
    </row>
    <row r="1168" spans="18:30" ht="32.25" customHeight="1">
      <c r="R1168" s="289"/>
      <c r="S1168" s="289"/>
      <c r="T1168" s="289"/>
      <c r="U1168" s="289"/>
      <c r="V1168" s="289"/>
      <c r="W1168" s="289"/>
      <c r="X1168" s="289"/>
      <c r="Y1168" s="289"/>
      <c r="Z1168" s="289"/>
      <c r="AA1168" s="289"/>
      <c r="AB1168" s="289"/>
      <c r="AC1168" s="289"/>
      <c r="AD1168" s="295"/>
    </row>
    <row r="1169" spans="18:30" ht="32.25" customHeight="1">
      <c r="R1169" s="289"/>
      <c r="S1169" s="289"/>
      <c r="T1169" s="289"/>
      <c r="U1169" s="289"/>
      <c r="V1169" s="289"/>
      <c r="W1169" s="289"/>
      <c r="X1169" s="289"/>
      <c r="Y1169" s="289"/>
      <c r="Z1169" s="289"/>
      <c r="AA1169" s="289"/>
      <c r="AB1169" s="289"/>
      <c r="AC1169" s="289"/>
      <c r="AD1169" s="295"/>
    </row>
    <row r="1170" spans="18:30" ht="32.25" customHeight="1">
      <c r="R1170" s="289"/>
      <c r="S1170" s="289"/>
      <c r="T1170" s="289"/>
      <c r="U1170" s="289"/>
      <c r="V1170" s="289"/>
      <c r="W1170" s="289"/>
      <c r="X1170" s="289"/>
      <c r="Y1170" s="289"/>
      <c r="Z1170" s="289"/>
      <c r="AA1170" s="289"/>
      <c r="AB1170" s="289"/>
      <c r="AC1170" s="289"/>
      <c r="AD1170" s="295"/>
    </row>
    <row r="1171" spans="18:30" ht="32.25" customHeight="1">
      <c r="R1171" s="289"/>
      <c r="S1171" s="289"/>
      <c r="T1171" s="289"/>
      <c r="U1171" s="289"/>
      <c r="V1171" s="289"/>
      <c r="W1171" s="289"/>
      <c r="X1171" s="289"/>
      <c r="Y1171" s="289"/>
      <c r="Z1171" s="289"/>
      <c r="AA1171" s="289"/>
      <c r="AB1171" s="289"/>
      <c r="AC1171" s="289"/>
      <c r="AD1171" s="295"/>
    </row>
    <row r="1172" spans="18:30" ht="32.25" customHeight="1">
      <c r="R1172" s="289"/>
      <c r="S1172" s="289"/>
      <c r="T1172" s="289"/>
      <c r="U1172" s="289"/>
      <c r="V1172" s="289"/>
      <c r="W1172" s="289"/>
      <c r="X1172" s="289"/>
      <c r="Y1172" s="289"/>
      <c r="Z1172" s="289"/>
      <c r="AA1172" s="289"/>
      <c r="AB1172" s="289"/>
      <c r="AC1172" s="289"/>
      <c r="AD1172" s="295"/>
    </row>
    <row r="1173" spans="18:30" ht="32.25" customHeight="1">
      <c r="R1173" s="289"/>
      <c r="S1173" s="289"/>
      <c r="T1173" s="289"/>
      <c r="U1173" s="289"/>
      <c r="V1173" s="289"/>
      <c r="W1173" s="289"/>
      <c r="X1173" s="289"/>
      <c r="Y1173" s="289"/>
      <c r="Z1173" s="289"/>
      <c r="AA1173" s="289"/>
      <c r="AB1173" s="289"/>
      <c r="AC1173" s="289"/>
      <c r="AD1173" s="295"/>
    </row>
    <row r="1174" spans="18:30" ht="32.25" customHeight="1">
      <c r="R1174" s="289"/>
      <c r="S1174" s="289"/>
      <c r="T1174" s="289"/>
      <c r="U1174" s="289"/>
      <c r="V1174" s="289"/>
      <c r="W1174" s="289"/>
      <c r="X1174" s="289"/>
      <c r="Y1174" s="289"/>
      <c r="Z1174" s="289"/>
      <c r="AA1174" s="289"/>
      <c r="AB1174" s="289"/>
      <c r="AC1174" s="289"/>
      <c r="AD1174" s="295"/>
    </row>
    <row r="1175" spans="18:30" ht="32.25" customHeight="1">
      <c r="R1175" s="289"/>
      <c r="S1175" s="289"/>
      <c r="T1175" s="289"/>
      <c r="U1175" s="289"/>
      <c r="V1175" s="289"/>
      <c r="W1175" s="289"/>
      <c r="X1175" s="289"/>
      <c r="Y1175" s="289"/>
      <c r="Z1175" s="289"/>
      <c r="AA1175" s="289"/>
      <c r="AB1175" s="289"/>
      <c r="AC1175" s="289"/>
      <c r="AD1175" s="295"/>
    </row>
    <row r="1176" spans="18:30" ht="32.25" customHeight="1">
      <c r="R1176" s="289"/>
      <c r="S1176" s="289"/>
      <c r="T1176" s="289"/>
      <c r="U1176" s="289"/>
      <c r="V1176" s="289"/>
      <c r="W1176" s="289"/>
      <c r="X1176" s="289"/>
      <c r="Y1176" s="289"/>
      <c r="Z1176" s="289"/>
      <c r="AA1176" s="289"/>
      <c r="AB1176" s="289"/>
      <c r="AC1176" s="289"/>
      <c r="AD1176" s="295"/>
    </row>
    <row r="1177" spans="18:30" ht="32.25" customHeight="1">
      <c r="R1177" s="289"/>
      <c r="S1177" s="289"/>
      <c r="T1177" s="289"/>
      <c r="U1177" s="289"/>
      <c r="V1177" s="289"/>
      <c r="W1177" s="289"/>
      <c r="X1177" s="289"/>
      <c r="Y1177" s="289"/>
      <c r="Z1177" s="289"/>
      <c r="AA1177" s="289"/>
      <c r="AB1177" s="289"/>
      <c r="AC1177" s="289"/>
      <c r="AD1177" s="295"/>
    </row>
    <row r="1178" spans="18:30" ht="32.25" customHeight="1">
      <c r="R1178" s="289"/>
      <c r="S1178" s="289"/>
      <c r="T1178" s="289"/>
      <c r="U1178" s="289"/>
      <c r="V1178" s="289"/>
      <c r="W1178" s="289"/>
      <c r="X1178" s="289"/>
      <c r="Y1178" s="289"/>
      <c r="Z1178" s="289"/>
      <c r="AA1178" s="289"/>
      <c r="AB1178" s="289"/>
      <c r="AC1178" s="289"/>
      <c r="AD1178" s="295"/>
    </row>
    <row r="1179" spans="18:30" ht="32.25" customHeight="1">
      <c r="R1179" s="289"/>
      <c r="S1179" s="289"/>
      <c r="T1179" s="289"/>
      <c r="U1179" s="289"/>
      <c r="V1179" s="289"/>
      <c r="W1179" s="289"/>
      <c r="X1179" s="289"/>
      <c r="Y1179" s="289"/>
      <c r="Z1179" s="289"/>
      <c r="AA1179" s="289"/>
      <c r="AB1179" s="289"/>
      <c r="AC1179" s="289"/>
      <c r="AD1179" s="295"/>
    </row>
    <row r="1180" spans="18:30" ht="32.25" customHeight="1">
      <c r="R1180" s="289"/>
      <c r="S1180" s="289"/>
      <c r="T1180" s="289"/>
      <c r="U1180" s="289"/>
      <c r="V1180" s="289"/>
      <c r="W1180" s="289"/>
      <c r="X1180" s="289"/>
      <c r="Y1180" s="289"/>
      <c r="Z1180" s="289"/>
      <c r="AA1180" s="289"/>
      <c r="AB1180" s="289"/>
      <c r="AC1180" s="289"/>
      <c r="AD1180" s="295"/>
    </row>
    <row r="1181" spans="18:30" ht="32.25" customHeight="1">
      <c r="R1181" s="289"/>
      <c r="S1181" s="289"/>
      <c r="T1181" s="289"/>
      <c r="U1181" s="289"/>
      <c r="V1181" s="289"/>
      <c r="W1181" s="289"/>
      <c r="X1181" s="289"/>
      <c r="Y1181" s="289"/>
      <c r="Z1181" s="289"/>
      <c r="AA1181" s="289"/>
      <c r="AB1181" s="289"/>
      <c r="AC1181" s="289"/>
      <c r="AD1181" s="295"/>
    </row>
    <row r="1182" spans="18:30" ht="32.25" customHeight="1">
      <c r="R1182" s="289"/>
      <c r="S1182" s="289"/>
      <c r="T1182" s="289"/>
      <c r="U1182" s="289"/>
      <c r="V1182" s="289"/>
      <c r="W1182" s="289"/>
      <c r="X1182" s="289"/>
      <c r="Y1182" s="289"/>
      <c r="Z1182" s="289"/>
      <c r="AA1182" s="289"/>
      <c r="AB1182" s="289"/>
      <c r="AC1182" s="289"/>
      <c r="AD1182" s="295"/>
    </row>
    <row r="1183" spans="18:30" ht="32.25" customHeight="1">
      <c r="R1183" s="289"/>
      <c r="S1183" s="289"/>
      <c r="T1183" s="289"/>
      <c r="U1183" s="289"/>
      <c r="V1183" s="289"/>
      <c r="W1183" s="289"/>
      <c r="X1183" s="289"/>
      <c r="Y1183" s="289"/>
      <c r="Z1183" s="289"/>
      <c r="AA1183" s="289"/>
      <c r="AB1183" s="289"/>
      <c r="AC1183" s="289"/>
      <c r="AD1183" s="295"/>
    </row>
    <row r="1184" spans="18:30" ht="32.25" customHeight="1">
      <c r="R1184" s="289"/>
      <c r="S1184" s="289"/>
      <c r="T1184" s="289"/>
      <c r="U1184" s="289"/>
      <c r="V1184" s="289"/>
      <c r="W1184" s="289"/>
      <c r="X1184" s="289"/>
      <c r="Y1184" s="289"/>
      <c r="Z1184" s="289"/>
      <c r="AA1184" s="289"/>
      <c r="AB1184" s="289"/>
      <c r="AC1184" s="289"/>
      <c r="AD1184" s="295"/>
    </row>
    <row r="1185" spans="18:30" ht="32.25" customHeight="1">
      <c r="R1185" s="289"/>
      <c r="S1185" s="289"/>
      <c r="T1185" s="289"/>
      <c r="U1185" s="289"/>
      <c r="V1185" s="289"/>
      <c r="W1185" s="289"/>
      <c r="X1185" s="289"/>
      <c r="Y1185" s="289"/>
      <c r="Z1185" s="289"/>
      <c r="AA1185" s="289"/>
      <c r="AB1185" s="289"/>
      <c r="AC1185" s="289"/>
      <c r="AD1185" s="295"/>
    </row>
    <row r="1186" spans="18:30" ht="32.25" customHeight="1">
      <c r="R1186" s="289"/>
      <c r="S1186" s="289"/>
      <c r="T1186" s="289"/>
      <c r="U1186" s="289"/>
      <c r="V1186" s="289"/>
      <c r="W1186" s="289"/>
      <c r="X1186" s="289"/>
      <c r="Y1186" s="289"/>
      <c r="Z1186" s="289"/>
      <c r="AA1186" s="289"/>
      <c r="AB1186" s="289"/>
      <c r="AC1186" s="289"/>
      <c r="AD1186" s="295"/>
    </row>
    <row r="1187" spans="18:30" ht="32.25" customHeight="1">
      <c r="R1187" s="289"/>
      <c r="S1187" s="289"/>
      <c r="T1187" s="289"/>
      <c r="U1187" s="289"/>
      <c r="V1187" s="289"/>
      <c r="W1187" s="289"/>
      <c r="X1187" s="289"/>
      <c r="Y1187" s="289"/>
      <c r="Z1187" s="289"/>
      <c r="AA1187" s="289"/>
      <c r="AB1187" s="289"/>
      <c r="AC1187" s="289"/>
      <c r="AD1187" s="295"/>
    </row>
    <row r="1188" spans="18:30" ht="32.25" customHeight="1">
      <c r="R1188" s="289"/>
      <c r="S1188" s="289"/>
      <c r="T1188" s="289"/>
      <c r="U1188" s="289"/>
      <c r="V1188" s="289"/>
      <c r="W1188" s="289"/>
      <c r="X1188" s="289"/>
      <c r="Y1188" s="289"/>
      <c r="Z1188" s="289"/>
      <c r="AA1188" s="289"/>
      <c r="AB1188" s="289"/>
      <c r="AC1188" s="289"/>
      <c r="AD1188" s="295"/>
    </row>
    <row r="1189" spans="18:30" ht="32.25" customHeight="1">
      <c r="R1189" s="289"/>
      <c r="S1189" s="289"/>
      <c r="T1189" s="289"/>
      <c r="U1189" s="289"/>
      <c r="V1189" s="289"/>
      <c r="W1189" s="289"/>
      <c r="X1189" s="289"/>
      <c r="Y1189" s="289"/>
      <c r="Z1189" s="289"/>
      <c r="AA1189" s="289"/>
      <c r="AB1189" s="289"/>
      <c r="AC1189" s="289"/>
      <c r="AD1189" s="295"/>
    </row>
    <row r="1190" spans="18:30" ht="32.25" customHeight="1">
      <c r="R1190" s="289"/>
      <c r="S1190" s="289"/>
      <c r="T1190" s="289"/>
      <c r="U1190" s="289"/>
      <c r="V1190" s="289"/>
      <c r="W1190" s="289"/>
      <c r="X1190" s="289"/>
      <c r="Y1190" s="289"/>
      <c r="Z1190" s="289"/>
      <c r="AA1190" s="289"/>
      <c r="AB1190" s="289"/>
      <c r="AC1190" s="289"/>
      <c r="AD1190" s="295"/>
    </row>
    <row r="1191" spans="18:30" ht="32.25" customHeight="1">
      <c r="R1191" s="289"/>
      <c r="S1191" s="289"/>
      <c r="T1191" s="289"/>
      <c r="U1191" s="289"/>
      <c r="V1191" s="289"/>
      <c r="W1191" s="289"/>
      <c r="X1191" s="289"/>
      <c r="Y1191" s="289"/>
      <c r="Z1191" s="289"/>
      <c r="AA1191" s="289"/>
      <c r="AB1191" s="289"/>
      <c r="AC1191" s="289"/>
      <c r="AD1191" s="295"/>
    </row>
    <row r="1192" spans="18:30" ht="32.25" customHeight="1">
      <c r="R1192" s="289"/>
      <c r="S1192" s="289"/>
      <c r="T1192" s="289"/>
      <c r="U1192" s="289"/>
      <c r="V1192" s="289"/>
      <c r="W1192" s="289"/>
      <c r="X1192" s="289"/>
      <c r="Y1192" s="289"/>
      <c r="Z1192" s="289"/>
      <c r="AA1192" s="289"/>
      <c r="AB1192" s="289"/>
      <c r="AC1192" s="289"/>
      <c r="AD1192" s="295"/>
    </row>
    <row r="1193" spans="18:30" ht="32.25" customHeight="1">
      <c r="R1193" s="289"/>
      <c r="S1193" s="289"/>
      <c r="T1193" s="289"/>
      <c r="U1193" s="289"/>
      <c r="V1193" s="289"/>
      <c r="W1193" s="289"/>
      <c r="X1193" s="289"/>
      <c r="Y1193" s="289"/>
      <c r="Z1193" s="289"/>
      <c r="AA1193" s="289"/>
      <c r="AB1193" s="289"/>
      <c r="AC1193" s="289"/>
      <c r="AD1193" s="295"/>
    </row>
    <row r="1194" spans="18:30" ht="32.25" customHeight="1">
      <c r="R1194" s="289"/>
      <c r="S1194" s="289"/>
      <c r="T1194" s="289"/>
      <c r="U1194" s="289"/>
      <c r="V1194" s="289"/>
      <c r="W1194" s="289"/>
      <c r="X1194" s="289"/>
      <c r="Y1194" s="289"/>
      <c r="Z1194" s="289"/>
      <c r="AA1194" s="289"/>
      <c r="AB1194" s="289"/>
      <c r="AC1194" s="289"/>
      <c r="AD1194" s="295"/>
    </row>
    <row r="1195" spans="18:30" ht="32.25" customHeight="1">
      <c r="R1195" s="289"/>
      <c r="S1195" s="289"/>
      <c r="T1195" s="289"/>
      <c r="U1195" s="289"/>
      <c r="V1195" s="289"/>
      <c r="W1195" s="289"/>
      <c r="X1195" s="289"/>
      <c r="Y1195" s="289"/>
      <c r="Z1195" s="289"/>
      <c r="AA1195" s="289"/>
      <c r="AB1195" s="289"/>
      <c r="AC1195" s="289"/>
      <c r="AD1195" s="295"/>
    </row>
    <row r="1196" spans="18:30" ht="32.25" customHeight="1">
      <c r="R1196" s="289"/>
      <c r="S1196" s="289"/>
      <c r="T1196" s="289"/>
      <c r="U1196" s="289"/>
      <c r="V1196" s="289"/>
      <c r="W1196" s="289"/>
      <c r="X1196" s="289"/>
      <c r="Y1196" s="289"/>
      <c r="Z1196" s="289"/>
      <c r="AA1196" s="289"/>
      <c r="AB1196" s="289"/>
      <c r="AC1196" s="289"/>
      <c r="AD1196" s="295"/>
    </row>
    <row r="1197" spans="18:30" ht="32.25" customHeight="1">
      <c r="R1197" s="289"/>
      <c r="S1197" s="289"/>
      <c r="T1197" s="289"/>
      <c r="U1197" s="289"/>
      <c r="V1197" s="289"/>
      <c r="W1197" s="289"/>
      <c r="X1197" s="289"/>
      <c r="Y1197" s="289"/>
      <c r="Z1197" s="289"/>
      <c r="AA1197" s="289"/>
      <c r="AB1197" s="289"/>
      <c r="AC1197" s="289"/>
      <c r="AD1197" s="295"/>
    </row>
    <row r="1198" spans="18:30" ht="32.25" customHeight="1">
      <c r="R1198" s="289"/>
      <c r="S1198" s="289"/>
      <c r="T1198" s="289"/>
      <c r="U1198" s="289"/>
      <c r="V1198" s="289"/>
      <c r="W1198" s="289"/>
      <c r="X1198" s="289"/>
      <c r="Y1198" s="289"/>
      <c r="Z1198" s="289"/>
      <c r="AA1198" s="289"/>
      <c r="AB1198" s="289"/>
      <c r="AC1198" s="289"/>
      <c r="AD1198" s="295"/>
    </row>
    <row r="1199" spans="18:30" ht="32.25" customHeight="1">
      <c r="R1199" s="289"/>
      <c r="S1199" s="289"/>
      <c r="T1199" s="289"/>
      <c r="U1199" s="289"/>
      <c r="V1199" s="289"/>
      <c r="W1199" s="289"/>
      <c r="X1199" s="289"/>
      <c r="Y1199" s="289"/>
      <c r="Z1199" s="289"/>
      <c r="AA1199" s="289"/>
      <c r="AB1199" s="289"/>
      <c r="AC1199" s="289"/>
      <c r="AD1199" s="295"/>
    </row>
    <row r="1200" spans="18:30" ht="32.25" customHeight="1">
      <c r="R1200" s="289"/>
      <c r="S1200" s="289"/>
      <c r="T1200" s="289"/>
      <c r="U1200" s="289"/>
      <c r="V1200" s="289"/>
      <c r="W1200" s="289"/>
      <c r="X1200" s="289"/>
      <c r="Y1200" s="289"/>
      <c r="Z1200" s="289"/>
      <c r="AA1200" s="289"/>
      <c r="AB1200" s="289"/>
      <c r="AC1200" s="289"/>
      <c r="AD1200" s="295"/>
    </row>
    <row r="1201" spans="18:30" ht="32.25" customHeight="1">
      <c r="R1201" s="289"/>
      <c r="S1201" s="289"/>
      <c r="T1201" s="289"/>
      <c r="U1201" s="289"/>
      <c r="V1201" s="289"/>
      <c r="W1201" s="289"/>
      <c r="X1201" s="289"/>
      <c r="Y1201" s="289"/>
      <c r="Z1201" s="289"/>
      <c r="AA1201" s="289"/>
      <c r="AB1201" s="289"/>
      <c r="AC1201" s="289"/>
      <c r="AD1201" s="295"/>
    </row>
    <row r="1202" spans="18:30" ht="32.25" customHeight="1">
      <c r="R1202" s="289"/>
      <c r="S1202" s="289"/>
      <c r="T1202" s="289"/>
      <c r="U1202" s="289"/>
      <c r="V1202" s="289"/>
      <c r="W1202" s="289"/>
      <c r="X1202" s="289"/>
      <c r="Y1202" s="289"/>
      <c r="Z1202" s="289"/>
      <c r="AA1202" s="289"/>
      <c r="AB1202" s="289"/>
      <c r="AC1202" s="289"/>
      <c r="AD1202" s="295"/>
    </row>
    <row r="1203" spans="18:30" ht="32.25" customHeight="1">
      <c r="R1203" s="289"/>
      <c r="S1203" s="289"/>
      <c r="T1203" s="289"/>
      <c r="U1203" s="289"/>
      <c r="V1203" s="289"/>
      <c r="W1203" s="289"/>
      <c r="X1203" s="289"/>
      <c r="Y1203" s="289"/>
      <c r="Z1203" s="289"/>
      <c r="AA1203" s="289"/>
      <c r="AB1203" s="289"/>
      <c r="AC1203" s="289"/>
      <c r="AD1203" s="295"/>
    </row>
    <row r="1204" spans="18:30" ht="32.25" customHeight="1">
      <c r="R1204" s="289"/>
      <c r="S1204" s="289"/>
      <c r="T1204" s="289"/>
      <c r="U1204" s="289"/>
      <c r="V1204" s="289"/>
      <c r="W1204" s="289"/>
      <c r="X1204" s="289"/>
      <c r="Y1204" s="289"/>
      <c r="Z1204" s="289"/>
      <c r="AA1204" s="289"/>
      <c r="AB1204" s="289"/>
      <c r="AC1204" s="289"/>
      <c r="AD1204" s="295"/>
    </row>
    <row r="1205" spans="18:30" ht="32.25" customHeight="1">
      <c r="R1205" s="289"/>
      <c r="S1205" s="289"/>
      <c r="T1205" s="289"/>
      <c r="U1205" s="289"/>
      <c r="V1205" s="289"/>
      <c r="W1205" s="289"/>
      <c r="X1205" s="289"/>
      <c r="Y1205" s="289"/>
      <c r="Z1205" s="289"/>
      <c r="AA1205" s="289"/>
      <c r="AB1205" s="289"/>
      <c r="AC1205" s="289"/>
      <c r="AD1205" s="295"/>
    </row>
    <row r="1206" spans="18:30" ht="32.25" customHeight="1">
      <c r="R1206" s="289"/>
      <c r="S1206" s="289"/>
      <c r="T1206" s="289"/>
      <c r="U1206" s="289"/>
      <c r="V1206" s="289"/>
      <c r="W1206" s="289"/>
      <c r="X1206" s="289"/>
      <c r="Y1206" s="289"/>
      <c r="Z1206" s="289"/>
      <c r="AA1206" s="289"/>
      <c r="AB1206" s="289"/>
      <c r="AC1206" s="289"/>
      <c r="AD1206" s="295"/>
    </row>
    <row r="1207" spans="18:30" ht="32.25" customHeight="1">
      <c r="R1207" s="289"/>
      <c r="S1207" s="289"/>
      <c r="T1207" s="289"/>
      <c r="U1207" s="289"/>
      <c r="V1207" s="289"/>
      <c r="W1207" s="289"/>
      <c r="X1207" s="289"/>
      <c r="Y1207" s="289"/>
      <c r="Z1207" s="289"/>
      <c r="AA1207" s="289"/>
      <c r="AB1207" s="289"/>
      <c r="AC1207" s="289"/>
      <c r="AD1207" s="295"/>
    </row>
    <row r="1208" spans="18:30" ht="32.25" customHeight="1">
      <c r="R1208" s="289"/>
      <c r="S1208" s="289"/>
      <c r="T1208" s="289"/>
      <c r="U1208" s="289"/>
      <c r="V1208" s="289"/>
      <c r="W1208" s="289"/>
      <c r="X1208" s="289"/>
      <c r="Y1208" s="289"/>
      <c r="Z1208" s="289"/>
      <c r="AA1208" s="289"/>
      <c r="AB1208" s="289"/>
      <c r="AC1208" s="289"/>
      <c r="AD1208" s="295"/>
    </row>
    <row r="1209" spans="18:30" ht="32.25" customHeight="1">
      <c r="R1209" s="289"/>
      <c r="S1209" s="289"/>
      <c r="T1209" s="289"/>
      <c r="U1209" s="289"/>
      <c r="V1209" s="289"/>
      <c r="W1209" s="289"/>
      <c r="X1209" s="289"/>
      <c r="Y1209" s="289"/>
      <c r="Z1209" s="289"/>
      <c r="AA1209" s="289"/>
      <c r="AB1209" s="289"/>
      <c r="AC1209" s="289"/>
      <c r="AD1209" s="295"/>
    </row>
    <row r="1210" spans="18:30" ht="32.25" customHeight="1">
      <c r="R1210" s="289"/>
      <c r="S1210" s="289"/>
      <c r="T1210" s="289"/>
      <c r="U1210" s="289"/>
      <c r="V1210" s="289"/>
      <c r="W1210" s="289"/>
      <c r="X1210" s="289"/>
      <c r="Y1210" s="289"/>
      <c r="Z1210" s="289"/>
      <c r="AA1210" s="289"/>
      <c r="AB1210" s="289"/>
      <c r="AC1210" s="289"/>
      <c r="AD1210" s="295"/>
    </row>
    <row r="1211" spans="18:30" ht="32.25" customHeight="1">
      <c r="R1211" s="289"/>
      <c r="S1211" s="289"/>
      <c r="T1211" s="289"/>
      <c r="U1211" s="289"/>
      <c r="V1211" s="289"/>
      <c r="W1211" s="289"/>
      <c r="X1211" s="289"/>
      <c r="Y1211" s="289"/>
      <c r="Z1211" s="289"/>
      <c r="AA1211" s="289"/>
      <c r="AB1211" s="289"/>
      <c r="AC1211" s="289"/>
      <c r="AD1211" s="295"/>
    </row>
    <row r="1212" spans="18:30" ht="32.25" customHeight="1">
      <c r="R1212" s="289"/>
      <c r="S1212" s="289"/>
      <c r="T1212" s="289"/>
      <c r="U1212" s="289"/>
      <c r="V1212" s="289"/>
      <c r="W1212" s="289"/>
      <c r="X1212" s="289"/>
      <c r="Y1212" s="289"/>
      <c r="Z1212" s="289"/>
      <c r="AA1212" s="289"/>
      <c r="AB1212" s="289"/>
      <c r="AC1212" s="289"/>
      <c r="AD1212" s="295"/>
    </row>
    <row r="1213" spans="18:30" ht="32.25" customHeight="1">
      <c r="R1213" s="289"/>
      <c r="S1213" s="289"/>
      <c r="T1213" s="289"/>
      <c r="U1213" s="289"/>
      <c r="V1213" s="289"/>
      <c r="W1213" s="289"/>
      <c r="X1213" s="289"/>
      <c r="Y1213" s="289"/>
      <c r="Z1213" s="289"/>
      <c r="AA1213" s="289"/>
      <c r="AB1213" s="289"/>
      <c r="AC1213" s="289"/>
      <c r="AD1213" s="295"/>
    </row>
    <row r="1214" spans="18:30" ht="32.25" customHeight="1">
      <c r="R1214" s="289"/>
      <c r="S1214" s="289"/>
      <c r="T1214" s="289"/>
      <c r="U1214" s="289"/>
      <c r="V1214" s="289"/>
      <c r="W1214" s="289"/>
      <c r="X1214" s="289"/>
      <c r="Y1214" s="289"/>
      <c r="Z1214" s="289"/>
      <c r="AA1214" s="289"/>
      <c r="AB1214" s="289"/>
      <c r="AC1214" s="289"/>
      <c r="AD1214" s="295"/>
    </row>
    <row r="1215" spans="18:30" ht="32.25" customHeight="1">
      <c r="R1215" s="289"/>
      <c r="S1215" s="289"/>
      <c r="T1215" s="289"/>
      <c r="U1215" s="289"/>
      <c r="V1215" s="289"/>
      <c r="W1215" s="289"/>
      <c r="X1215" s="289"/>
      <c r="Y1215" s="289"/>
      <c r="Z1215" s="289"/>
      <c r="AA1215" s="289"/>
      <c r="AB1215" s="289"/>
      <c r="AC1215" s="289"/>
      <c r="AD1215" s="295"/>
    </row>
    <row r="1216" spans="18:30" ht="32.25" customHeight="1">
      <c r="R1216" s="289"/>
      <c r="S1216" s="289"/>
      <c r="T1216" s="289"/>
      <c r="U1216" s="289"/>
      <c r="V1216" s="289"/>
      <c r="W1216" s="289"/>
      <c r="X1216" s="289"/>
      <c r="Y1216" s="289"/>
      <c r="Z1216" s="289"/>
      <c r="AA1216" s="289"/>
      <c r="AB1216" s="289"/>
      <c r="AC1216" s="289"/>
      <c r="AD1216" s="295"/>
    </row>
    <row r="1217" spans="18:30" ht="32.25" customHeight="1">
      <c r="R1217" s="289"/>
      <c r="S1217" s="289"/>
      <c r="T1217" s="289"/>
      <c r="U1217" s="289"/>
      <c r="V1217" s="289"/>
      <c r="W1217" s="289"/>
      <c r="X1217" s="289"/>
      <c r="Y1217" s="289"/>
      <c r="Z1217" s="289"/>
      <c r="AA1217" s="289"/>
      <c r="AB1217" s="289"/>
      <c r="AC1217" s="289"/>
      <c r="AD1217" s="295"/>
    </row>
    <row r="1218" spans="18:30" ht="32.25" customHeight="1">
      <c r="R1218" s="289"/>
      <c r="S1218" s="289"/>
      <c r="T1218" s="289"/>
      <c r="U1218" s="289"/>
      <c r="V1218" s="289"/>
      <c r="W1218" s="289"/>
      <c r="X1218" s="289"/>
      <c r="Y1218" s="289"/>
      <c r="Z1218" s="289"/>
      <c r="AA1218" s="289"/>
      <c r="AB1218" s="289"/>
      <c r="AC1218" s="289"/>
      <c r="AD1218" s="295"/>
    </row>
    <row r="1219" spans="18:30" ht="32.25" customHeight="1">
      <c r="R1219" s="289"/>
      <c r="S1219" s="289"/>
      <c r="T1219" s="289"/>
      <c r="U1219" s="289"/>
      <c r="V1219" s="289"/>
      <c r="W1219" s="289"/>
      <c r="X1219" s="289"/>
      <c r="Y1219" s="289"/>
      <c r="Z1219" s="289"/>
      <c r="AA1219" s="289"/>
      <c r="AB1219" s="289"/>
      <c r="AC1219" s="289"/>
      <c r="AD1219" s="295"/>
    </row>
    <row r="1220" spans="18:30" ht="32.25" customHeight="1">
      <c r="R1220" s="289"/>
      <c r="S1220" s="289"/>
      <c r="T1220" s="289"/>
      <c r="U1220" s="289"/>
      <c r="V1220" s="289"/>
      <c r="W1220" s="289"/>
      <c r="X1220" s="289"/>
      <c r="Y1220" s="289"/>
      <c r="Z1220" s="289"/>
      <c r="AA1220" s="289"/>
      <c r="AB1220" s="289"/>
      <c r="AC1220" s="289"/>
      <c r="AD1220" s="295"/>
    </row>
    <row r="1221" spans="18:30" ht="32.25" customHeight="1">
      <c r="R1221" s="289"/>
      <c r="S1221" s="289"/>
      <c r="T1221" s="289"/>
      <c r="U1221" s="289"/>
      <c r="V1221" s="289"/>
      <c r="W1221" s="289"/>
      <c r="X1221" s="289"/>
      <c r="Y1221" s="289"/>
      <c r="Z1221" s="289"/>
      <c r="AA1221" s="289"/>
      <c r="AB1221" s="289"/>
      <c r="AC1221" s="289"/>
      <c r="AD1221" s="295"/>
    </row>
    <row r="1222" spans="18:30" ht="32.25" customHeight="1">
      <c r="R1222" s="289"/>
      <c r="S1222" s="289"/>
      <c r="T1222" s="289"/>
      <c r="U1222" s="289"/>
      <c r="V1222" s="289"/>
      <c r="W1222" s="289"/>
      <c r="X1222" s="289"/>
      <c r="Y1222" s="289"/>
      <c r="Z1222" s="289"/>
      <c r="AA1222" s="289"/>
      <c r="AB1222" s="289"/>
      <c r="AC1222" s="289"/>
      <c r="AD1222" s="295"/>
    </row>
    <row r="1223" spans="18:30" ht="32.25" customHeight="1">
      <c r="R1223" s="289"/>
      <c r="S1223" s="289"/>
      <c r="T1223" s="289"/>
      <c r="U1223" s="289"/>
      <c r="V1223" s="289"/>
      <c r="W1223" s="289"/>
      <c r="X1223" s="289"/>
      <c r="Y1223" s="289"/>
      <c r="Z1223" s="289"/>
      <c r="AA1223" s="289"/>
      <c r="AB1223" s="289"/>
      <c r="AC1223" s="289"/>
      <c r="AD1223" s="295"/>
    </row>
    <row r="1224" spans="18:30" ht="32.25" customHeight="1">
      <c r="R1224" s="289"/>
      <c r="S1224" s="289"/>
      <c r="T1224" s="289"/>
      <c r="U1224" s="289"/>
      <c r="V1224" s="289"/>
      <c r="W1224" s="289"/>
      <c r="X1224" s="289"/>
      <c r="Y1224" s="289"/>
      <c r="Z1224" s="289"/>
      <c r="AA1224" s="289"/>
      <c r="AB1224" s="289"/>
      <c r="AC1224" s="289"/>
      <c r="AD1224" s="295"/>
    </row>
    <row r="1225" spans="18:30" ht="32.25" customHeight="1">
      <c r="R1225" s="289"/>
      <c r="S1225" s="289"/>
      <c r="T1225" s="289"/>
      <c r="U1225" s="289"/>
      <c r="V1225" s="289"/>
      <c r="W1225" s="289"/>
      <c r="X1225" s="289"/>
      <c r="Y1225" s="289"/>
      <c r="Z1225" s="289"/>
      <c r="AA1225" s="289"/>
      <c r="AB1225" s="289"/>
      <c r="AC1225" s="289"/>
      <c r="AD1225" s="295"/>
    </row>
    <row r="1226" spans="18:30" ht="32.25" customHeight="1">
      <c r="R1226" s="289"/>
      <c r="S1226" s="289"/>
      <c r="T1226" s="289"/>
      <c r="U1226" s="289"/>
      <c r="V1226" s="289"/>
      <c r="W1226" s="289"/>
      <c r="X1226" s="289"/>
      <c r="Y1226" s="289"/>
      <c r="Z1226" s="289"/>
      <c r="AA1226" s="289"/>
      <c r="AB1226" s="289"/>
      <c r="AC1226" s="289"/>
      <c r="AD1226" s="295"/>
    </row>
    <row r="1227" spans="18:30" ht="32.25" customHeight="1">
      <c r="R1227" s="289"/>
      <c r="S1227" s="289"/>
      <c r="T1227" s="289"/>
      <c r="U1227" s="289"/>
      <c r="V1227" s="289"/>
      <c r="W1227" s="289"/>
      <c r="X1227" s="289"/>
      <c r="Y1227" s="289"/>
      <c r="Z1227" s="289"/>
      <c r="AA1227" s="289"/>
      <c r="AB1227" s="289"/>
      <c r="AC1227" s="289"/>
      <c r="AD1227" s="295"/>
    </row>
    <row r="1228" spans="18:30" ht="32.25" customHeight="1">
      <c r="R1228" s="289"/>
      <c r="S1228" s="289"/>
      <c r="T1228" s="289"/>
      <c r="U1228" s="289"/>
      <c r="V1228" s="289"/>
      <c r="W1228" s="289"/>
      <c r="X1228" s="289"/>
      <c r="Y1228" s="289"/>
      <c r="Z1228" s="289"/>
      <c r="AA1228" s="289"/>
      <c r="AB1228" s="289"/>
      <c r="AC1228" s="289"/>
      <c r="AD1228" s="295"/>
    </row>
    <row r="1229" spans="18:30" ht="32.25" customHeight="1">
      <c r="R1229" s="289"/>
      <c r="S1229" s="289"/>
      <c r="T1229" s="289"/>
      <c r="U1229" s="289"/>
      <c r="V1229" s="289"/>
      <c r="W1229" s="289"/>
      <c r="X1229" s="289"/>
      <c r="Y1229" s="289"/>
      <c r="Z1229" s="289"/>
      <c r="AA1229" s="289"/>
      <c r="AB1229" s="289"/>
      <c r="AC1229" s="289"/>
      <c r="AD1229" s="295"/>
    </row>
    <row r="1230" spans="18:30" ht="32.25" customHeight="1">
      <c r="R1230" s="289"/>
      <c r="S1230" s="289"/>
      <c r="T1230" s="289"/>
      <c r="U1230" s="289"/>
      <c r="V1230" s="289"/>
      <c r="W1230" s="289"/>
      <c r="X1230" s="289"/>
      <c r="Y1230" s="289"/>
      <c r="Z1230" s="289"/>
      <c r="AA1230" s="289"/>
      <c r="AB1230" s="289"/>
      <c r="AC1230" s="289"/>
      <c r="AD1230" s="295"/>
    </row>
    <row r="1231" spans="18:30" ht="32.25" customHeight="1">
      <c r="R1231" s="289"/>
      <c r="S1231" s="289"/>
      <c r="T1231" s="289"/>
      <c r="U1231" s="289"/>
      <c r="V1231" s="289"/>
      <c r="W1231" s="289"/>
      <c r="X1231" s="289"/>
      <c r="Y1231" s="289"/>
      <c r="Z1231" s="289"/>
      <c r="AA1231" s="289"/>
      <c r="AB1231" s="289"/>
      <c r="AC1231" s="289"/>
      <c r="AD1231" s="295"/>
    </row>
    <row r="1232" spans="18:30" ht="32.25" customHeight="1">
      <c r="R1232" s="289"/>
      <c r="S1232" s="289"/>
      <c r="T1232" s="289"/>
      <c r="U1232" s="289"/>
      <c r="V1232" s="289"/>
      <c r="W1232" s="289"/>
      <c r="X1232" s="289"/>
      <c r="Y1232" s="289"/>
      <c r="Z1232" s="289"/>
      <c r="AA1232" s="289"/>
      <c r="AB1232" s="289"/>
      <c r="AC1232" s="289"/>
      <c r="AD1232" s="295"/>
    </row>
    <row r="1233" spans="18:30" ht="32.25" customHeight="1">
      <c r="R1233" s="289"/>
      <c r="S1233" s="289"/>
      <c r="T1233" s="289"/>
      <c r="U1233" s="289"/>
      <c r="V1233" s="289"/>
      <c r="W1233" s="289"/>
      <c r="X1233" s="289"/>
      <c r="Y1233" s="289"/>
      <c r="Z1233" s="289"/>
      <c r="AA1233" s="289"/>
      <c r="AB1233" s="289"/>
      <c r="AC1233" s="289"/>
      <c r="AD1233" s="295"/>
    </row>
    <row r="1234" spans="18:30" ht="32.25" customHeight="1">
      <c r="R1234" s="289"/>
      <c r="S1234" s="289"/>
      <c r="T1234" s="289"/>
      <c r="U1234" s="289"/>
      <c r="V1234" s="289"/>
      <c r="W1234" s="289"/>
      <c r="X1234" s="289"/>
      <c r="Y1234" s="289"/>
      <c r="Z1234" s="289"/>
      <c r="AA1234" s="289"/>
      <c r="AB1234" s="289"/>
      <c r="AC1234" s="289"/>
      <c r="AD1234" s="295"/>
    </row>
    <row r="1235" spans="18:30" ht="32.25" customHeight="1">
      <c r="R1235" s="289"/>
      <c r="S1235" s="289"/>
      <c r="T1235" s="289"/>
      <c r="U1235" s="289"/>
      <c r="V1235" s="289"/>
      <c r="W1235" s="289"/>
      <c r="X1235" s="289"/>
      <c r="Y1235" s="289"/>
      <c r="Z1235" s="289"/>
      <c r="AA1235" s="289"/>
      <c r="AB1235" s="289"/>
      <c r="AC1235" s="289"/>
      <c r="AD1235" s="295"/>
    </row>
    <row r="1236" spans="18:30" ht="32.25" customHeight="1">
      <c r="R1236" s="289"/>
      <c r="S1236" s="289"/>
      <c r="T1236" s="289"/>
      <c r="U1236" s="289"/>
      <c r="V1236" s="289"/>
      <c r="W1236" s="289"/>
      <c r="X1236" s="289"/>
      <c r="Y1236" s="289"/>
      <c r="Z1236" s="289"/>
      <c r="AA1236" s="289"/>
      <c r="AB1236" s="289"/>
      <c r="AC1236" s="289"/>
      <c r="AD1236" s="295"/>
    </row>
    <row r="1237" spans="18:30" ht="32.25" customHeight="1">
      <c r="R1237" s="289"/>
      <c r="S1237" s="289"/>
      <c r="T1237" s="289"/>
      <c r="U1237" s="289"/>
      <c r="V1237" s="289"/>
      <c r="W1237" s="289"/>
      <c r="X1237" s="289"/>
      <c r="Y1237" s="289"/>
      <c r="Z1237" s="289"/>
      <c r="AA1237" s="289"/>
      <c r="AB1237" s="289"/>
      <c r="AC1237" s="289"/>
      <c r="AD1237" s="295"/>
    </row>
    <row r="1238" spans="18:30" ht="32.25" customHeight="1">
      <c r="R1238" s="289"/>
      <c r="S1238" s="289"/>
      <c r="T1238" s="289"/>
      <c r="U1238" s="289"/>
      <c r="V1238" s="289"/>
      <c r="W1238" s="289"/>
      <c r="X1238" s="289"/>
      <c r="Y1238" s="289"/>
      <c r="Z1238" s="289"/>
      <c r="AA1238" s="289"/>
      <c r="AB1238" s="289"/>
      <c r="AC1238" s="289"/>
      <c r="AD1238" s="295"/>
    </row>
    <row r="1239" spans="18:30" ht="32.25" customHeight="1">
      <c r="R1239" s="289"/>
      <c r="S1239" s="289"/>
      <c r="T1239" s="289"/>
      <c r="U1239" s="289"/>
      <c r="V1239" s="289"/>
      <c r="W1239" s="289"/>
      <c r="X1239" s="289"/>
      <c r="Y1239" s="289"/>
      <c r="Z1239" s="289"/>
      <c r="AA1239" s="289"/>
      <c r="AB1239" s="289"/>
      <c r="AC1239" s="289"/>
      <c r="AD1239" s="295"/>
    </row>
    <row r="1240" spans="18:30" ht="32.25" customHeight="1">
      <c r="R1240" s="289"/>
      <c r="S1240" s="289"/>
      <c r="T1240" s="289"/>
      <c r="U1240" s="289"/>
      <c r="V1240" s="289"/>
      <c r="W1240" s="289"/>
      <c r="X1240" s="289"/>
      <c r="Y1240" s="289"/>
      <c r="Z1240" s="289"/>
      <c r="AA1240" s="289"/>
      <c r="AB1240" s="289"/>
      <c r="AC1240" s="289"/>
      <c r="AD1240" s="295"/>
    </row>
    <row r="1241" spans="18:30" ht="32.25" customHeight="1">
      <c r="R1241" s="289"/>
      <c r="S1241" s="289"/>
      <c r="T1241" s="289"/>
      <c r="U1241" s="289"/>
      <c r="V1241" s="289"/>
      <c r="W1241" s="289"/>
      <c r="X1241" s="289"/>
      <c r="Y1241" s="289"/>
      <c r="Z1241" s="289"/>
      <c r="AA1241" s="289"/>
      <c r="AB1241" s="289"/>
      <c r="AC1241" s="289"/>
      <c r="AD1241" s="295"/>
    </row>
    <row r="1242" spans="18:30" ht="32.25" customHeight="1">
      <c r="R1242" s="289"/>
      <c r="S1242" s="289"/>
      <c r="T1242" s="289"/>
      <c r="U1242" s="289"/>
      <c r="V1242" s="289"/>
      <c r="W1242" s="289"/>
      <c r="X1242" s="289"/>
      <c r="Y1242" s="289"/>
      <c r="Z1242" s="289"/>
      <c r="AA1242" s="289"/>
      <c r="AB1242" s="289"/>
      <c r="AC1242" s="289"/>
      <c r="AD1242" s="295"/>
    </row>
    <row r="1243" spans="18:30" ht="32.25" customHeight="1">
      <c r="R1243" s="289"/>
      <c r="S1243" s="289"/>
      <c r="T1243" s="289"/>
      <c r="U1243" s="289"/>
      <c r="V1243" s="289"/>
      <c r="W1243" s="289"/>
      <c r="X1243" s="289"/>
      <c r="Y1243" s="289"/>
      <c r="Z1243" s="289"/>
      <c r="AA1243" s="289"/>
      <c r="AB1243" s="289"/>
      <c r="AC1243" s="289"/>
      <c r="AD1243" s="295"/>
    </row>
    <row r="1244" spans="18:30" ht="32.25" customHeight="1">
      <c r="R1244" s="289"/>
      <c r="S1244" s="289"/>
      <c r="T1244" s="289"/>
      <c r="U1244" s="289"/>
      <c r="V1244" s="289"/>
      <c r="W1244" s="289"/>
      <c r="X1244" s="289"/>
      <c r="Y1244" s="289"/>
      <c r="Z1244" s="289"/>
      <c r="AA1244" s="289"/>
      <c r="AB1244" s="289"/>
      <c r="AC1244" s="289"/>
      <c r="AD1244" s="295"/>
    </row>
    <row r="1245" spans="18:30" ht="32.25" customHeight="1">
      <c r="R1245" s="289"/>
      <c r="S1245" s="289"/>
      <c r="T1245" s="289"/>
      <c r="U1245" s="289"/>
      <c r="V1245" s="289"/>
      <c r="W1245" s="289"/>
      <c r="X1245" s="289"/>
      <c r="Y1245" s="289"/>
      <c r="Z1245" s="289"/>
      <c r="AA1245" s="289"/>
      <c r="AB1245" s="289"/>
      <c r="AC1245" s="289"/>
      <c r="AD1245" s="295"/>
    </row>
    <row r="1246" spans="18:30" ht="32.25" customHeight="1">
      <c r="R1246" s="289"/>
      <c r="S1246" s="289"/>
      <c r="T1246" s="289"/>
      <c r="U1246" s="289"/>
      <c r="V1246" s="289"/>
      <c r="W1246" s="289"/>
      <c r="X1246" s="289"/>
      <c r="Y1246" s="289"/>
      <c r="Z1246" s="289"/>
      <c r="AA1246" s="289"/>
      <c r="AB1246" s="289"/>
      <c r="AC1246" s="289"/>
      <c r="AD1246" s="295"/>
    </row>
    <row r="1247" spans="18:30" ht="32.25" customHeight="1">
      <c r="R1247" s="289"/>
      <c r="S1247" s="289"/>
      <c r="T1247" s="289"/>
      <c r="U1247" s="289"/>
      <c r="V1247" s="289"/>
      <c r="W1247" s="289"/>
      <c r="X1247" s="289"/>
      <c r="Y1247" s="289"/>
      <c r="Z1247" s="289"/>
      <c r="AA1247" s="289"/>
      <c r="AB1247" s="289"/>
      <c r="AC1247" s="289"/>
      <c r="AD1247" s="295"/>
    </row>
    <row r="1248" spans="18:30" ht="32.25" customHeight="1">
      <c r="R1248" s="289"/>
      <c r="S1248" s="289"/>
      <c r="T1248" s="289"/>
      <c r="U1248" s="289"/>
      <c r="V1248" s="289"/>
      <c r="W1248" s="289"/>
      <c r="X1248" s="289"/>
      <c r="Y1248" s="289"/>
      <c r="Z1248" s="289"/>
      <c r="AA1248" s="289"/>
      <c r="AB1248" s="289"/>
      <c r="AC1248" s="289"/>
      <c r="AD1248" s="295"/>
    </row>
    <row r="1249" spans="18:30" ht="32.25" customHeight="1">
      <c r="R1249" s="289"/>
      <c r="S1249" s="289"/>
      <c r="T1249" s="289"/>
      <c r="U1249" s="289"/>
      <c r="V1249" s="289"/>
      <c r="W1249" s="289"/>
      <c r="X1249" s="289"/>
      <c r="Y1249" s="289"/>
      <c r="Z1249" s="289"/>
      <c r="AA1249" s="289"/>
      <c r="AB1249" s="289"/>
      <c r="AC1249" s="289"/>
      <c r="AD1249" s="295"/>
    </row>
    <row r="1250" spans="18:30" ht="32.25" customHeight="1">
      <c r="R1250" s="289"/>
      <c r="S1250" s="289"/>
      <c r="T1250" s="289"/>
      <c r="U1250" s="289"/>
      <c r="V1250" s="289"/>
      <c r="W1250" s="289"/>
      <c r="X1250" s="289"/>
      <c r="Y1250" s="289"/>
      <c r="Z1250" s="289"/>
      <c r="AA1250" s="289"/>
      <c r="AB1250" s="289"/>
      <c r="AC1250" s="289"/>
      <c r="AD1250" s="295"/>
    </row>
    <row r="1251" spans="18:30" ht="32.25" customHeight="1">
      <c r="R1251" s="289"/>
      <c r="S1251" s="289"/>
      <c r="T1251" s="289"/>
      <c r="U1251" s="289"/>
      <c r="V1251" s="289"/>
      <c r="W1251" s="289"/>
      <c r="X1251" s="289"/>
      <c r="Y1251" s="289"/>
      <c r="Z1251" s="289"/>
      <c r="AA1251" s="289"/>
      <c r="AB1251" s="289"/>
      <c r="AC1251" s="289"/>
      <c r="AD1251" s="295"/>
    </row>
    <row r="1252" spans="18:30" ht="32.25" customHeight="1">
      <c r="R1252" s="289"/>
      <c r="S1252" s="289"/>
      <c r="T1252" s="289"/>
      <c r="U1252" s="289"/>
      <c r="V1252" s="289"/>
      <c r="W1252" s="289"/>
      <c r="X1252" s="289"/>
      <c r="Y1252" s="289"/>
      <c r="Z1252" s="289"/>
      <c r="AA1252" s="289"/>
      <c r="AB1252" s="289"/>
      <c r="AC1252" s="289"/>
      <c r="AD1252" s="295"/>
    </row>
    <row r="1253" spans="18:30" ht="32.25" customHeight="1">
      <c r="R1253" s="289"/>
      <c r="S1253" s="289"/>
      <c r="T1253" s="289"/>
      <c r="U1253" s="289"/>
      <c r="V1253" s="289"/>
      <c r="W1253" s="289"/>
      <c r="X1253" s="289"/>
      <c r="Y1253" s="289"/>
      <c r="Z1253" s="289"/>
      <c r="AA1253" s="289"/>
      <c r="AB1253" s="289"/>
      <c r="AC1253" s="289"/>
      <c r="AD1253" s="295"/>
    </row>
    <row r="1254" spans="18:30" ht="32.25" customHeight="1">
      <c r="R1254" s="289"/>
      <c r="S1254" s="289"/>
      <c r="T1254" s="289"/>
      <c r="U1254" s="289"/>
      <c r="V1254" s="289"/>
      <c r="W1254" s="289"/>
      <c r="X1254" s="289"/>
      <c r="Y1254" s="289"/>
      <c r="Z1254" s="289"/>
      <c r="AA1254" s="289"/>
      <c r="AB1254" s="289"/>
      <c r="AC1254" s="289"/>
      <c r="AD1254" s="295"/>
    </row>
    <row r="1255" spans="18:30" ht="32.25" customHeight="1">
      <c r="R1255" s="289"/>
      <c r="S1255" s="289"/>
      <c r="T1255" s="289"/>
      <c r="U1255" s="289"/>
      <c r="V1255" s="289"/>
      <c r="W1255" s="289"/>
      <c r="X1255" s="289"/>
      <c r="Y1255" s="289"/>
      <c r="Z1255" s="289"/>
      <c r="AA1255" s="289"/>
      <c r="AB1255" s="289"/>
      <c r="AC1255" s="289"/>
      <c r="AD1255" s="295"/>
    </row>
    <row r="1256" spans="18:30" ht="32.25" customHeight="1">
      <c r="R1256" s="289"/>
      <c r="S1256" s="289"/>
      <c r="T1256" s="289"/>
      <c r="U1256" s="289"/>
      <c r="V1256" s="289"/>
      <c r="W1256" s="289"/>
      <c r="X1256" s="289"/>
      <c r="Y1256" s="289"/>
      <c r="Z1256" s="289"/>
      <c r="AA1256" s="289"/>
      <c r="AB1256" s="289"/>
      <c r="AC1256" s="289"/>
      <c r="AD1256" s="295"/>
    </row>
    <row r="1257" spans="18:30" ht="32.25" customHeight="1">
      <c r="R1257" s="289"/>
      <c r="S1257" s="289"/>
      <c r="T1257" s="289"/>
      <c r="U1257" s="289"/>
      <c r="V1257" s="289"/>
      <c r="W1257" s="289"/>
      <c r="X1257" s="289"/>
      <c r="Y1257" s="289"/>
      <c r="Z1257" s="289"/>
      <c r="AA1257" s="289"/>
      <c r="AB1257" s="289"/>
      <c r="AC1257" s="289"/>
      <c r="AD1257" s="295"/>
    </row>
    <row r="1258" spans="18:30" ht="32.25" customHeight="1">
      <c r="R1258" s="289"/>
      <c r="S1258" s="289"/>
      <c r="T1258" s="289"/>
      <c r="U1258" s="289"/>
      <c r="V1258" s="289"/>
      <c r="W1258" s="289"/>
      <c r="X1258" s="289"/>
      <c r="Y1258" s="289"/>
      <c r="Z1258" s="289"/>
      <c r="AA1258" s="289"/>
      <c r="AB1258" s="289"/>
      <c r="AC1258" s="289"/>
      <c r="AD1258" s="295"/>
    </row>
    <row r="1259" spans="18:30" ht="32.25" customHeight="1">
      <c r="R1259" s="289"/>
      <c r="S1259" s="289"/>
      <c r="T1259" s="289"/>
      <c r="U1259" s="289"/>
      <c r="V1259" s="289"/>
      <c r="W1259" s="289"/>
      <c r="X1259" s="289"/>
      <c r="Y1259" s="289"/>
      <c r="Z1259" s="289"/>
      <c r="AA1259" s="289"/>
      <c r="AB1259" s="289"/>
      <c r="AC1259" s="289"/>
      <c r="AD1259" s="295"/>
    </row>
    <row r="1260" spans="18:30" ht="32.25" customHeight="1">
      <c r="R1260" s="289"/>
      <c r="S1260" s="289"/>
      <c r="T1260" s="289"/>
      <c r="U1260" s="289"/>
      <c r="V1260" s="289"/>
      <c r="W1260" s="289"/>
      <c r="X1260" s="289"/>
      <c r="Y1260" s="289"/>
      <c r="Z1260" s="289"/>
      <c r="AA1260" s="289"/>
      <c r="AB1260" s="289"/>
      <c r="AC1260" s="289"/>
      <c r="AD1260" s="295"/>
    </row>
    <row r="1261" spans="18:30" ht="32.25" customHeight="1">
      <c r="R1261" s="289"/>
      <c r="S1261" s="289"/>
      <c r="T1261" s="289"/>
      <c r="U1261" s="289"/>
      <c r="V1261" s="289"/>
      <c r="W1261" s="289"/>
      <c r="X1261" s="289"/>
      <c r="Y1261" s="289"/>
      <c r="Z1261" s="289"/>
      <c r="AA1261" s="289"/>
      <c r="AB1261" s="289"/>
      <c r="AC1261" s="289"/>
      <c r="AD1261" s="295"/>
    </row>
    <row r="1262" spans="18:30" ht="32.25" customHeight="1">
      <c r="R1262" s="289"/>
      <c r="S1262" s="289"/>
      <c r="T1262" s="289"/>
      <c r="U1262" s="289"/>
      <c r="V1262" s="289"/>
      <c r="W1262" s="289"/>
      <c r="X1262" s="289"/>
      <c r="Y1262" s="289"/>
      <c r="Z1262" s="289"/>
      <c r="AA1262" s="289"/>
      <c r="AB1262" s="289"/>
      <c r="AC1262" s="289"/>
      <c r="AD1262" s="295"/>
    </row>
    <row r="1263" spans="18:30" ht="32.25" customHeight="1">
      <c r="R1263" s="289"/>
      <c r="S1263" s="289"/>
      <c r="T1263" s="289"/>
      <c r="U1263" s="289"/>
      <c r="V1263" s="289"/>
      <c r="W1263" s="289"/>
      <c r="X1263" s="289"/>
      <c r="Y1263" s="289"/>
      <c r="Z1263" s="289"/>
      <c r="AA1263" s="289"/>
      <c r="AB1263" s="289"/>
      <c r="AC1263" s="289"/>
      <c r="AD1263" s="295"/>
    </row>
    <row r="1264" spans="18:30" ht="32.25" customHeight="1">
      <c r="R1264" s="289"/>
      <c r="S1264" s="289"/>
      <c r="T1264" s="289"/>
      <c r="U1264" s="289"/>
      <c r="V1264" s="289"/>
      <c r="W1264" s="289"/>
      <c r="X1264" s="289"/>
      <c r="Y1264" s="289"/>
      <c r="Z1264" s="289"/>
      <c r="AA1264" s="289"/>
      <c r="AB1264" s="289"/>
      <c r="AC1264" s="289"/>
      <c r="AD1264" s="295"/>
    </row>
    <row r="1265" spans="18:30" ht="32.25" customHeight="1">
      <c r="R1265" s="289"/>
      <c r="S1265" s="289"/>
      <c r="T1265" s="289"/>
      <c r="U1265" s="289"/>
      <c r="V1265" s="289"/>
      <c r="W1265" s="289"/>
      <c r="X1265" s="289"/>
      <c r="Y1265" s="289"/>
      <c r="Z1265" s="289"/>
      <c r="AA1265" s="289"/>
      <c r="AB1265" s="289"/>
      <c r="AC1265" s="289"/>
      <c r="AD1265" s="295"/>
    </row>
    <row r="1266" spans="18:30" ht="32.25" customHeight="1">
      <c r="R1266" s="289"/>
      <c r="S1266" s="289"/>
      <c r="T1266" s="289"/>
      <c r="U1266" s="289"/>
      <c r="V1266" s="289"/>
      <c r="W1266" s="289"/>
      <c r="X1266" s="289"/>
      <c r="Y1266" s="289"/>
      <c r="Z1266" s="289"/>
      <c r="AA1266" s="289"/>
      <c r="AB1266" s="289"/>
      <c r="AC1266" s="289"/>
      <c r="AD1266" s="295"/>
    </row>
    <row r="1267" spans="18:30" ht="32.25" customHeight="1">
      <c r="R1267" s="289"/>
      <c r="S1267" s="289"/>
      <c r="T1267" s="289"/>
      <c r="U1267" s="289"/>
      <c r="V1267" s="289"/>
      <c r="W1267" s="289"/>
      <c r="X1267" s="289"/>
      <c r="Y1267" s="289"/>
      <c r="Z1267" s="289"/>
      <c r="AA1267" s="289"/>
      <c r="AB1267" s="289"/>
      <c r="AC1267" s="289"/>
      <c r="AD1267" s="295"/>
    </row>
    <row r="1268" spans="18:30" ht="32.25" customHeight="1">
      <c r="R1268" s="289"/>
      <c r="S1268" s="289"/>
      <c r="T1268" s="289"/>
      <c r="U1268" s="289"/>
      <c r="V1268" s="289"/>
      <c r="W1268" s="289"/>
      <c r="X1268" s="289"/>
      <c r="Y1268" s="289"/>
      <c r="Z1268" s="289"/>
      <c r="AA1268" s="289"/>
      <c r="AB1268" s="289"/>
      <c r="AC1268" s="289"/>
      <c r="AD1268" s="295"/>
    </row>
    <row r="1269" spans="18:30" ht="32.25" customHeight="1">
      <c r="R1269" s="289"/>
      <c r="S1269" s="289"/>
      <c r="T1269" s="289"/>
      <c r="U1269" s="289"/>
      <c r="V1269" s="289"/>
      <c r="W1269" s="289"/>
      <c r="X1269" s="289"/>
      <c r="Y1269" s="289"/>
      <c r="Z1269" s="289"/>
      <c r="AA1269" s="289"/>
      <c r="AB1269" s="289"/>
      <c r="AC1269" s="289"/>
      <c r="AD1269" s="295"/>
    </row>
    <row r="1270" spans="18:30" ht="32.25" customHeight="1">
      <c r="R1270" s="289"/>
      <c r="S1270" s="289"/>
      <c r="T1270" s="289"/>
      <c r="U1270" s="289"/>
      <c r="V1270" s="289"/>
      <c r="W1270" s="289"/>
      <c r="X1270" s="289"/>
      <c r="Y1270" s="289"/>
      <c r="Z1270" s="289"/>
      <c r="AA1270" s="289"/>
      <c r="AB1270" s="289"/>
      <c r="AC1270" s="289"/>
      <c r="AD1270" s="295"/>
    </row>
    <row r="1271" spans="18:30" ht="32.25" customHeight="1">
      <c r="R1271" s="289"/>
      <c r="S1271" s="289"/>
      <c r="T1271" s="289"/>
      <c r="U1271" s="289"/>
      <c r="V1271" s="289"/>
      <c r="W1271" s="289"/>
      <c r="X1271" s="289"/>
      <c r="Y1271" s="289"/>
      <c r="Z1271" s="289"/>
      <c r="AA1271" s="289"/>
      <c r="AB1271" s="289"/>
      <c r="AC1271" s="289"/>
      <c r="AD1271" s="295"/>
    </row>
    <row r="1272" spans="18:30" ht="32.25" customHeight="1">
      <c r="R1272" s="289"/>
      <c r="S1272" s="289"/>
      <c r="T1272" s="289"/>
      <c r="U1272" s="289"/>
      <c r="V1272" s="289"/>
      <c r="W1272" s="289"/>
      <c r="X1272" s="289"/>
      <c r="Y1272" s="289"/>
      <c r="Z1272" s="289"/>
      <c r="AA1272" s="289"/>
      <c r="AB1272" s="289"/>
      <c r="AC1272" s="289"/>
      <c r="AD1272" s="295"/>
    </row>
    <row r="1273" spans="18:30" ht="32.25" customHeight="1">
      <c r="R1273" s="289"/>
      <c r="S1273" s="289"/>
      <c r="T1273" s="289"/>
      <c r="U1273" s="289"/>
      <c r="V1273" s="289"/>
      <c r="W1273" s="289"/>
      <c r="X1273" s="289"/>
      <c r="Y1273" s="289"/>
      <c r="Z1273" s="289"/>
      <c r="AA1273" s="289"/>
      <c r="AB1273" s="289"/>
      <c r="AC1273" s="289"/>
      <c r="AD1273" s="295"/>
    </row>
    <row r="1274" spans="18:30" ht="32.25" customHeight="1">
      <c r="R1274" s="289"/>
      <c r="S1274" s="289"/>
      <c r="T1274" s="289"/>
      <c r="U1274" s="289"/>
      <c r="V1274" s="289"/>
      <c r="W1274" s="289"/>
      <c r="X1274" s="289"/>
      <c r="Y1274" s="289"/>
      <c r="Z1274" s="289"/>
      <c r="AA1274" s="289"/>
      <c r="AB1274" s="289"/>
      <c r="AC1274" s="289"/>
      <c r="AD1274" s="295"/>
    </row>
    <row r="1275" spans="18:30" ht="32.25" customHeight="1">
      <c r="R1275" s="289"/>
      <c r="S1275" s="289"/>
      <c r="T1275" s="289"/>
      <c r="U1275" s="289"/>
      <c r="V1275" s="289"/>
      <c r="W1275" s="289"/>
      <c r="X1275" s="289"/>
      <c r="Y1275" s="289"/>
      <c r="Z1275" s="289"/>
      <c r="AA1275" s="289"/>
      <c r="AB1275" s="289"/>
      <c r="AC1275" s="289"/>
      <c r="AD1275" s="295"/>
    </row>
    <row r="1276" spans="18:30" ht="32.25" customHeight="1">
      <c r="R1276" s="289"/>
      <c r="S1276" s="289"/>
      <c r="T1276" s="289"/>
      <c r="U1276" s="289"/>
      <c r="V1276" s="289"/>
      <c r="W1276" s="289"/>
      <c r="X1276" s="289"/>
      <c r="Y1276" s="289"/>
      <c r="Z1276" s="289"/>
      <c r="AA1276" s="289"/>
      <c r="AB1276" s="289"/>
      <c r="AC1276" s="289"/>
      <c r="AD1276" s="295"/>
    </row>
    <row r="1277" spans="18:30" ht="32.25" customHeight="1">
      <c r="R1277" s="289"/>
      <c r="S1277" s="289"/>
      <c r="T1277" s="289"/>
      <c r="U1277" s="289"/>
      <c r="V1277" s="289"/>
      <c r="W1277" s="289"/>
      <c r="X1277" s="289"/>
      <c r="Y1277" s="289"/>
      <c r="Z1277" s="289"/>
      <c r="AA1277" s="289"/>
      <c r="AB1277" s="289"/>
      <c r="AC1277" s="289"/>
      <c r="AD1277" s="295"/>
    </row>
    <row r="1278" spans="18:30" ht="32.25" customHeight="1">
      <c r="R1278" s="289"/>
      <c r="S1278" s="289"/>
      <c r="T1278" s="289"/>
      <c r="U1278" s="289"/>
      <c r="V1278" s="289"/>
      <c r="W1278" s="289"/>
      <c r="X1278" s="289"/>
      <c r="Y1278" s="289"/>
      <c r="Z1278" s="289"/>
      <c r="AA1278" s="289"/>
      <c r="AB1278" s="289"/>
      <c r="AC1278" s="289"/>
      <c r="AD1278" s="295"/>
    </row>
    <row r="1279" spans="18:30" ht="32.25" customHeight="1">
      <c r="R1279" s="289"/>
      <c r="S1279" s="289"/>
      <c r="T1279" s="289"/>
      <c r="U1279" s="289"/>
      <c r="V1279" s="289"/>
      <c r="W1279" s="289"/>
      <c r="X1279" s="289"/>
      <c r="Y1279" s="289"/>
      <c r="Z1279" s="289"/>
      <c r="AA1279" s="289"/>
      <c r="AB1279" s="289"/>
      <c r="AC1279" s="289"/>
      <c r="AD1279" s="295"/>
    </row>
    <row r="1280" spans="18:30" ht="32.25" customHeight="1">
      <c r="R1280" s="289"/>
      <c r="S1280" s="289"/>
      <c r="T1280" s="289"/>
      <c r="U1280" s="289"/>
      <c r="V1280" s="289"/>
      <c r="W1280" s="289"/>
      <c r="X1280" s="289"/>
      <c r="Y1280" s="289"/>
      <c r="Z1280" s="289"/>
      <c r="AA1280" s="289"/>
      <c r="AB1280" s="289"/>
      <c r="AC1280" s="289"/>
      <c r="AD1280" s="295"/>
    </row>
    <row r="1281" spans="18:30" ht="32.25" customHeight="1">
      <c r="R1281" s="289"/>
      <c r="S1281" s="289"/>
      <c r="T1281" s="289"/>
      <c r="U1281" s="289"/>
      <c r="V1281" s="289"/>
      <c r="W1281" s="289"/>
      <c r="X1281" s="289"/>
      <c r="Y1281" s="289"/>
      <c r="Z1281" s="289"/>
      <c r="AA1281" s="289"/>
      <c r="AB1281" s="289"/>
      <c r="AC1281" s="289"/>
      <c r="AD1281" s="295"/>
    </row>
    <row r="1282" spans="18:30" ht="32.25" customHeight="1">
      <c r="R1282" s="289"/>
      <c r="S1282" s="289"/>
      <c r="T1282" s="289"/>
      <c r="U1282" s="289"/>
      <c r="V1282" s="289"/>
      <c r="W1282" s="289"/>
      <c r="X1282" s="289"/>
      <c r="Y1282" s="289"/>
      <c r="Z1282" s="289"/>
      <c r="AA1282" s="289"/>
      <c r="AB1282" s="289"/>
      <c r="AC1282" s="289"/>
      <c r="AD1282" s="295"/>
    </row>
    <row r="1283" spans="18:30" ht="32.25" customHeight="1">
      <c r="R1283" s="289"/>
      <c r="S1283" s="289"/>
      <c r="T1283" s="289"/>
      <c r="U1283" s="289"/>
      <c r="V1283" s="289"/>
      <c r="W1283" s="289"/>
      <c r="X1283" s="289"/>
      <c r="Y1283" s="289"/>
      <c r="Z1283" s="289"/>
      <c r="AA1283" s="289"/>
      <c r="AB1283" s="289"/>
      <c r="AC1283" s="289"/>
      <c r="AD1283" s="295"/>
    </row>
    <row r="1284" spans="18:30" ht="32.25" customHeight="1">
      <c r="R1284" s="289"/>
      <c r="S1284" s="289"/>
      <c r="T1284" s="289"/>
      <c r="U1284" s="289"/>
      <c r="V1284" s="289"/>
      <c r="W1284" s="289"/>
      <c r="X1284" s="289"/>
      <c r="Y1284" s="289"/>
      <c r="Z1284" s="289"/>
      <c r="AA1284" s="289"/>
      <c r="AB1284" s="289"/>
      <c r="AC1284" s="289"/>
      <c r="AD1284" s="295"/>
    </row>
    <row r="1285" spans="18:30" ht="32.25" customHeight="1">
      <c r="R1285" s="289"/>
      <c r="S1285" s="289"/>
      <c r="T1285" s="289"/>
      <c r="U1285" s="289"/>
      <c r="V1285" s="289"/>
      <c r="W1285" s="289"/>
      <c r="X1285" s="289"/>
      <c r="Y1285" s="289"/>
      <c r="Z1285" s="289"/>
      <c r="AA1285" s="289"/>
      <c r="AB1285" s="289"/>
      <c r="AC1285" s="289"/>
      <c r="AD1285" s="295"/>
    </row>
    <row r="1286" spans="18:30" ht="32.25" customHeight="1">
      <c r="R1286" s="289"/>
      <c r="S1286" s="289"/>
      <c r="T1286" s="289"/>
      <c r="U1286" s="289"/>
      <c r="V1286" s="289"/>
      <c r="W1286" s="289"/>
      <c r="X1286" s="289"/>
      <c r="Y1286" s="289"/>
      <c r="Z1286" s="289"/>
      <c r="AA1286" s="289"/>
      <c r="AB1286" s="289"/>
      <c r="AC1286" s="289"/>
      <c r="AD1286" s="295"/>
    </row>
    <row r="1287" spans="18:30" ht="32.25" customHeight="1">
      <c r="R1287" s="289"/>
      <c r="S1287" s="289"/>
      <c r="T1287" s="289"/>
      <c r="U1287" s="289"/>
      <c r="V1287" s="289"/>
      <c r="W1287" s="289"/>
      <c r="X1287" s="289"/>
      <c r="Y1287" s="289"/>
      <c r="Z1287" s="289"/>
      <c r="AA1287" s="289"/>
      <c r="AB1287" s="289"/>
      <c r="AC1287" s="289"/>
      <c r="AD1287" s="295"/>
    </row>
    <row r="1288" spans="18:30" ht="32.25" customHeight="1">
      <c r="R1288" s="289"/>
      <c r="S1288" s="289"/>
      <c r="T1288" s="289"/>
      <c r="U1288" s="289"/>
      <c r="V1288" s="289"/>
      <c r="W1288" s="289"/>
      <c r="X1288" s="289"/>
      <c r="Y1288" s="289"/>
      <c r="Z1288" s="289"/>
      <c r="AA1288" s="289"/>
      <c r="AB1288" s="289"/>
      <c r="AC1288" s="289"/>
      <c r="AD1288" s="295"/>
    </row>
    <row r="1289" spans="18:30" ht="32.25" customHeight="1">
      <c r="R1289" s="289"/>
      <c r="S1289" s="289"/>
      <c r="T1289" s="289"/>
      <c r="U1289" s="289"/>
      <c r="V1289" s="289"/>
      <c r="W1289" s="289"/>
      <c r="X1289" s="289"/>
      <c r="Y1289" s="289"/>
      <c r="Z1289" s="289"/>
      <c r="AA1289" s="289"/>
      <c r="AB1289" s="289"/>
      <c r="AC1289" s="289"/>
      <c r="AD1289" s="295"/>
    </row>
    <row r="1290" spans="18:30" ht="32.25" customHeight="1">
      <c r="R1290" s="289"/>
      <c r="S1290" s="289"/>
      <c r="T1290" s="289"/>
      <c r="U1290" s="289"/>
      <c r="V1290" s="289"/>
      <c r="W1290" s="289"/>
      <c r="X1290" s="289"/>
      <c r="Y1290" s="289"/>
      <c r="Z1290" s="289"/>
      <c r="AA1290" s="289"/>
      <c r="AB1290" s="289"/>
      <c r="AC1290" s="289"/>
      <c r="AD1290" s="295"/>
    </row>
    <row r="1291" spans="18:30" ht="32.25" customHeight="1">
      <c r="R1291" s="289"/>
      <c r="S1291" s="289"/>
      <c r="T1291" s="289"/>
      <c r="U1291" s="289"/>
      <c r="V1291" s="289"/>
      <c r="W1291" s="289"/>
      <c r="X1291" s="289"/>
      <c r="Y1291" s="289"/>
      <c r="Z1291" s="289"/>
      <c r="AA1291" s="289"/>
      <c r="AB1291" s="289"/>
      <c r="AC1291" s="289"/>
      <c r="AD1291" s="295"/>
    </row>
    <row r="1292" spans="18:30" ht="32.25" customHeight="1">
      <c r="R1292" s="289"/>
      <c r="S1292" s="289"/>
      <c r="T1292" s="289"/>
      <c r="U1292" s="289"/>
      <c r="V1292" s="289"/>
      <c r="W1292" s="289"/>
      <c r="X1292" s="289"/>
      <c r="Y1292" s="289"/>
      <c r="Z1292" s="289"/>
      <c r="AA1292" s="289"/>
      <c r="AB1292" s="289"/>
      <c r="AC1292" s="289"/>
      <c r="AD1292" s="295"/>
    </row>
    <row r="1293" spans="18:30" ht="32.25" customHeight="1">
      <c r="R1293" s="289"/>
      <c r="S1293" s="289"/>
      <c r="T1293" s="289"/>
      <c r="U1293" s="289"/>
      <c r="V1293" s="289"/>
      <c r="W1293" s="289"/>
      <c r="X1293" s="289"/>
      <c r="Y1293" s="289"/>
      <c r="Z1293" s="289"/>
      <c r="AA1293" s="289"/>
      <c r="AB1293" s="289"/>
      <c r="AC1293" s="289"/>
      <c r="AD1293" s="295"/>
    </row>
    <row r="1294" spans="18:30" ht="32.25" customHeight="1">
      <c r="R1294" s="289"/>
      <c r="S1294" s="289"/>
      <c r="T1294" s="289"/>
      <c r="U1294" s="289"/>
      <c r="V1294" s="289"/>
      <c r="W1294" s="289"/>
      <c r="X1294" s="289"/>
      <c r="Y1294" s="289"/>
      <c r="Z1294" s="289"/>
      <c r="AA1294" s="289"/>
      <c r="AB1294" s="289"/>
      <c r="AC1294" s="289"/>
      <c r="AD1294" s="295"/>
    </row>
    <row r="1295" spans="18:30" ht="32.25" customHeight="1">
      <c r="R1295" s="289"/>
      <c r="S1295" s="289"/>
      <c r="T1295" s="289"/>
      <c r="U1295" s="289"/>
      <c r="V1295" s="289"/>
      <c r="W1295" s="289"/>
      <c r="X1295" s="289"/>
      <c r="Y1295" s="289"/>
      <c r="Z1295" s="289"/>
      <c r="AA1295" s="289"/>
      <c r="AB1295" s="289"/>
      <c r="AC1295" s="289"/>
      <c r="AD1295" s="295"/>
    </row>
    <row r="1296" spans="18:30" ht="32.25" customHeight="1">
      <c r="R1296" s="289"/>
      <c r="S1296" s="289"/>
      <c r="T1296" s="289"/>
      <c r="U1296" s="289"/>
      <c r="V1296" s="289"/>
      <c r="W1296" s="289"/>
      <c r="X1296" s="289"/>
      <c r="Y1296" s="289"/>
      <c r="Z1296" s="289"/>
      <c r="AA1296" s="289"/>
      <c r="AB1296" s="289"/>
      <c r="AC1296" s="289"/>
      <c r="AD1296" s="295"/>
    </row>
    <row r="1297" spans="18:30" ht="32.25" customHeight="1">
      <c r="R1297" s="289"/>
      <c r="S1297" s="289"/>
      <c r="T1297" s="289"/>
      <c r="U1297" s="289"/>
      <c r="V1297" s="289"/>
      <c r="W1297" s="289"/>
      <c r="X1297" s="289"/>
      <c r="Y1297" s="289"/>
      <c r="Z1297" s="289"/>
      <c r="AA1297" s="289"/>
      <c r="AB1297" s="289"/>
      <c r="AC1297" s="289"/>
      <c r="AD1297" s="295"/>
    </row>
    <row r="1298" spans="18:30" ht="32.25" customHeight="1">
      <c r="R1298" s="289"/>
      <c r="S1298" s="289"/>
      <c r="T1298" s="289"/>
      <c r="U1298" s="289"/>
      <c r="V1298" s="289"/>
      <c r="W1298" s="289"/>
      <c r="X1298" s="289"/>
      <c r="Y1298" s="289"/>
      <c r="Z1298" s="289"/>
      <c r="AA1298" s="289"/>
      <c r="AB1298" s="289"/>
      <c r="AC1298" s="289"/>
      <c r="AD1298" s="295"/>
    </row>
    <row r="1299" spans="18:30" ht="32.25" customHeight="1">
      <c r="R1299" s="289"/>
      <c r="S1299" s="289"/>
      <c r="T1299" s="289"/>
      <c r="U1299" s="289"/>
      <c r="V1299" s="289"/>
      <c r="W1299" s="289"/>
      <c r="X1299" s="289"/>
      <c r="Y1299" s="289"/>
      <c r="Z1299" s="289"/>
      <c r="AA1299" s="289"/>
      <c r="AB1299" s="289"/>
      <c r="AC1299" s="289"/>
      <c r="AD1299" s="295"/>
    </row>
    <row r="1300" spans="18:30" ht="32.25" customHeight="1">
      <c r="R1300" s="289"/>
      <c r="S1300" s="289"/>
      <c r="T1300" s="289"/>
      <c r="U1300" s="289"/>
      <c r="V1300" s="289"/>
      <c r="W1300" s="289"/>
      <c r="X1300" s="289"/>
      <c r="Y1300" s="289"/>
      <c r="Z1300" s="289"/>
      <c r="AA1300" s="289"/>
      <c r="AB1300" s="289"/>
      <c r="AC1300" s="289"/>
      <c r="AD1300" s="295"/>
    </row>
    <row r="1301" spans="18:30" ht="32.25" customHeight="1">
      <c r="R1301" s="289"/>
      <c r="S1301" s="289"/>
      <c r="T1301" s="289"/>
      <c r="U1301" s="289"/>
      <c r="V1301" s="289"/>
      <c r="W1301" s="289"/>
      <c r="X1301" s="289"/>
      <c r="Y1301" s="289"/>
      <c r="Z1301" s="289"/>
      <c r="AA1301" s="289"/>
      <c r="AB1301" s="289"/>
      <c r="AC1301" s="289"/>
      <c r="AD1301" s="295"/>
    </row>
    <row r="1302" spans="18:30" ht="32.25" customHeight="1">
      <c r="R1302" s="289"/>
      <c r="S1302" s="289"/>
      <c r="T1302" s="289"/>
      <c r="U1302" s="289"/>
      <c r="V1302" s="289"/>
      <c r="W1302" s="289"/>
      <c r="X1302" s="289"/>
      <c r="Y1302" s="289"/>
      <c r="Z1302" s="289"/>
      <c r="AA1302" s="289"/>
      <c r="AB1302" s="289"/>
      <c r="AC1302" s="289"/>
      <c r="AD1302" s="295"/>
    </row>
    <row r="1303" spans="18:30" ht="32.25" customHeight="1">
      <c r="R1303" s="289"/>
      <c r="S1303" s="289"/>
      <c r="T1303" s="289"/>
      <c r="U1303" s="289"/>
      <c r="V1303" s="289"/>
      <c r="W1303" s="289"/>
      <c r="X1303" s="289"/>
      <c r="Y1303" s="289"/>
      <c r="Z1303" s="289"/>
      <c r="AA1303" s="289"/>
      <c r="AB1303" s="289"/>
      <c r="AC1303" s="289"/>
      <c r="AD1303" s="295"/>
    </row>
    <row r="1304" spans="18:30" ht="32.25" customHeight="1">
      <c r="R1304" s="289"/>
      <c r="S1304" s="289"/>
      <c r="T1304" s="289"/>
      <c r="U1304" s="289"/>
      <c r="V1304" s="289"/>
      <c r="W1304" s="289"/>
      <c r="X1304" s="289"/>
      <c r="Y1304" s="289"/>
      <c r="Z1304" s="289"/>
      <c r="AA1304" s="289"/>
      <c r="AB1304" s="289"/>
      <c r="AC1304" s="289"/>
      <c r="AD1304" s="295"/>
    </row>
    <row r="1305" spans="18:30" ht="32.25" customHeight="1">
      <c r="R1305" s="289"/>
      <c r="S1305" s="289"/>
      <c r="T1305" s="289"/>
      <c r="U1305" s="289"/>
      <c r="V1305" s="289"/>
      <c r="W1305" s="289"/>
      <c r="X1305" s="289"/>
      <c r="Y1305" s="289"/>
      <c r="Z1305" s="289"/>
      <c r="AA1305" s="289"/>
      <c r="AB1305" s="289"/>
      <c r="AC1305" s="289"/>
      <c r="AD1305" s="295"/>
    </row>
    <row r="1306" spans="18:30" ht="32.25" customHeight="1">
      <c r="R1306" s="289"/>
      <c r="S1306" s="289"/>
      <c r="T1306" s="289"/>
      <c r="U1306" s="289"/>
      <c r="V1306" s="289"/>
      <c r="W1306" s="289"/>
      <c r="X1306" s="289"/>
      <c r="Y1306" s="289"/>
      <c r="Z1306" s="289"/>
      <c r="AA1306" s="289"/>
      <c r="AB1306" s="289"/>
      <c r="AC1306" s="289"/>
      <c r="AD1306" s="295"/>
    </row>
    <row r="1307" spans="18:30" ht="32.25" customHeight="1">
      <c r="R1307" s="289"/>
      <c r="S1307" s="289"/>
      <c r="T1307" s="289"/>
      <c r="U1307" s="289"/>
      <c r="V1307" s="289"/>
      <c r="W1307" s="289"/>
      <c r="X1307" s="289"/>
      <c r="Y1307" s="289"/>
      <c r="Z1307" s="289"/>
      <c r="AA1307" s="289"/>
      <c r="AB1307" s="289"/>
      <c r="AC1307" s="289"/>
      <c r="AD1307" s="295"/>
    </row>
    <row r="1308" spans="18:30" ht="32.25" customHeight="1">
      <c r="R1308" s="289"/>
      <c r="S1308" s="289"/>
      <c r="T1308" s="289"/>
      <c r="U1308" s="289"/>
      <c r="V1308" s="289"/>
      <c r="W1308" s="289"/>
      <c r="X1308" s="289"/>
      <c r="Y1308" s="289"/>
      <c r="Z1308" s="289"/>
      <c r="AA1308" s="289"/>
      <c r="AB1308" s="289"/>
      <c r="AC1308" s="289"/>
      <c r="AD1308" s="295"/>
    </row>
    <row r="1309" spans="18:30" ht="32.25" customHeight="1">
      <c r="R1309" s="289"/>
      <c r="S1309" s="289"/>
      <c r="T1309" s="289"/>
      <c r="U1309" s="289"/>
      <c r="V1309" s="289"/>
      <c r="W1309" s="289"/>
      <c r="X1309" s="289"/>
      <c r="Y1309" s="289"/>
      <c r="Z1309" s="289"/>
      <c r="AA1309" s="289"/>
      <c r="AB1309" s="289"/>
      <c r="AC1309" s="289"/>
      <c r="AD1309" s="295"/>
    </row>
    <row r="1310" spans="18:30" ht="32.25" customHeight="1">
      <c r="R1310" s="289"/>
      <c r="S1310" s="289"/>
      <c r="T1310" s="289"/>
      <c r="U1310" s="289"/>
      <c r="V1310" s="289"/>
      <c r="W1310" s="289"/>
      <c r="X1310" s="289"/>
      <c r="Y1310" s="289"/>
      <c r="Z1310" s="289"/>
      <c r="AA1310" s="289"/>
      <c r="AB1310" s="289"/>
      <c r="AC1310" s="289"/>
      <c r="AD1310" s="295"/>
    </row>
    <row r="1311" spans="18:30" ht="32.25" customHeight="1">
      <c r="R1311" s="289"/>
      <c r="S1311" s="289"/>
      <c r="T1311" s="289"/>
      <c r="U1311" s="289"/>
      <c r="V1311" s="289"/>
      <c r="W1311" s="289"/>
      <c r="X1311" s="289"/>
      <c r="Y1311" s="289"/>
      <c r="Z1311" s="289"/>
      <c r="AA1311" s="289"/>
      <c r="AB1311" s="289"/>
      <c r="AC1311" s="289"/>
      <c r="AD1311" s="295"/>
    </row>
    <row r="1312" spans="18:30" ht="32.25" customHeight="1">
      <c r="R1312" s="289"/>
      <c r="S1312" s="289"/>
      <c r="T1312" s="289"/>
      <c r="U1312" s="289"/>
      <c r="V1312" s="289"/>
      <c r="W1312" s="289"/>
      <c r="X1312" s="289"/>
      <c r="Y1312" s="289"/>
      <c r="Z1312" s="289"/>
      <c r="AA1312" s="289"/>
      <c r="AB1312" s="289"/>
      <c r="AC1312" s="289"/>
      <c r="AD1312" s="295"/>
    </row>
    <row r="1313" spans="18:30" ht="32.25" customHeight="1">
      <c r="R1313" s="289"/>
      <c r="S1313" s="289"/>
      <c r="T1313" s="289"/>
      <c r="U1313" s="289"/>
      <c r="V1313" s="289"/>
      <c r="W1313" s="289"/>
      <c r="X1313" s="289"/>
      <c r="Y1313" s="289"/>
      <c r="Z1313" s="289"/>
      <c r="AA1313" s="289"/>
      <c r="AB1313" s="289"/>
      <c r="AC1313" s="289"/>
      <c r="AD1313" s="295"/>
    </row>
    <row r="1314" spans="18:30" ht="32.25" customHeight="1">
      <c r="R1314" s="289"/>
      <c r="S1314" s="289"/>
      <c r="T1314" s="289"/>
      <c r="U1314" s="289"/>
      <c r="V1314" s="289"/>
      <c r="W1314" s="289"/>
      <c r="X1314" s="289"/>
      <c r="Y1314" s="289"/>
      <c r="Z1314" s="289"/>
      <c r="AA1314" s="289"/>
      <c r="AB1314" s="289"/>
      <c r="AC1314" s="289"/>
      <c r="AD1314" s="295"/>
    </row>
    <row r="1315" spans="18:30" ht="32.25" customHeight="1">
      <c r="R1315" s="289"/>
      <c r="S1315" s="289"/>
      <c r="T1315" s="289"/>
      <c r="U1315" s="289"/>
      <c r="V1315" s="289"/>
      <c r="W1315" s="289"/>
      <c r="X1315" s="289"/>
      <c r="Y1315" s="289"/>
      <c r="Z1315" s="289"/>
      <c r="AA1315" s="289"/>
      <c r="AB1315" s="289"/>
      <c r="AC1315" s="289"/>
      <c r="AD1315" s="295"/>
    </row>
    <row r="1316" spans="18:30" ht="32.25" customHeight="1">
      <c r="R1316" s="289"/>
      <c r="S1316" s="289"/>
      <c r="T1316" s="289"/>
      <c r="U1316" s="289"/>
      <c r="V1316" s="289"/>
      <c r="W1316" s="289"/>
      <c r="X1316" s="289"/>
      <c r="Y1316" s="289"/>
      <c r="Z1316" s="289"/>
      <c r="AA1316" s="289"/>
      <c r="AB1316" s="289"/>
      <c r="AC1316" s="289"/>
      <c r="AD1316" s="295"/>
    </row>
    <row r="1317" spans="18:30" ht="32.25" customHeight="1">
      <c r="R1317" s="289"/>
      <c r="S1317" s="289"/>
      <c r="T1317" s="289"/>
      <c r="U1317" s="289"/>
      <c r="V1317" s="289"/>
      <c r="W1317" s="289"/>
      <c r="X1317" s="289"/>
      <c r="Y1317" s="289"/>
      <c r="Z1317" s="289"/>
      <c r="AA1317" s="289"/>
      <c r="AB1317" s="289"/>
      <c r="AC1317" s="289"/>
      <c r="AD1317" s="295"/>
    </row>
    <row r="1318" spans="18:30" ht="32.25" customHeight="1">
      <c r="R1318" s="289"/>
      <c r="S1318" s="289"/>
      <c r="T1318" s="289"/>
      <c r="U1318" s="289"/>
      <c r="V1318" s="289"/>
      <c r="W1318" s="289"/>
      <c r="X1318" s="289"/>
      <c r="Y1318" s="289"/>
      <c r="Z1318" s="289"/>
      <c r="AA1318" s="289"/>
      <c r="AB1318" s="289"/>
      <c r="AC1318" s="289"/>
      <c r="AD1318" s="295"/>
    </row>
    <row r="1319" spans="18:30" ht="32.25" customHeight="1">
      <c r="R1319" s="289"/>
      <c r="S1319" s="289"/>
      <c r="T1319" s="289"/>
      <c r="U1319" s="289"/>
      <c r="V1319" s="289"/>
      <c r="W1319" s="289"/>
      <c r="X1319" s="289"/>
      <c r="Y1319" s="289"/>
      <c r="Z1319" s="289"/>
      <c r="AA1319" s="289"/>
      <c r="AB1319" s="289"/>
      <c r="AC1319" s="289"/>
      <c r="AD1319" s="295"/>
    </row>
    <row r="1320" spans="18:30" ht="32.25" customHeight="1">
      <c r="R1320" s="289"/>
      <c r="S1320" s="289"/>
      <c r="T1320" s="289"/>
      <c r="U1320" s="289"/>
      <c r="V1320" s="289"/>
      <c r="W1320" s="289"/>
      <c r="X1320" s="289"/>
      <c r="Y1320" s="289"/>
      <c r="Z1320" s="289"/>
      <c r="AA1320" s="289"/>
      <c r="AB1320" s="289"/>
      <c r="AC1320" s="289"/>
      <c r="AD1320" s="295"/>
    </row>
    <row r="1321" spans="18:30" ht="32.25" customHeight="1">
      <c r="R1321" s="289"/>
      <c r="S1321" s="289"/>
      <c r="T1321" s="289"/>
      <c r="U1321" s="289"/>
      <c r="V1321" s="289"/>
      <c r="W1321" s="289"/>
      <c r="X1321" s="289"/>
      <c r="Y1321" s="289"/>
      <c r="Z1321" s="289"/>
      <c r="AA1321" s="289"/>
      <c r="AB1321" s="289"/>
      <c r="AC1321" s="289"/>
      <c r="AD1321" s="295"/>
    </row>
    <row r="1322" spans="18:30" ht="32.25" customHeight="1">
      <c r="R1322" s="289"/>
      <c r="S1322" s="289"/>
      <c r="T1322" s="289"/>
      <c r="U1322" s="289"/>
      <c r="V1322" s="289"/>
      <c r="W1322" s="289"/>
      <c r="X1322" s="289"/>
      <c r="Y1322" s="289"/>
      <c r="Z1322" s="289"/>
      <c r="AA1322" s="289"/>
      <c r="AB1322" s="289"/>
      <c r="AC1322" s="289"/>
      <c r="AD1322" s="295"/>
    </row>
    <row r="1323" spans="18:30" ht="32.25" customHeight="1">
      <c r="R1323" s="289"/>
      <c r="S1323" s="289"/>
      <c r="T1323" s="289"/>
      <c r="U1323" s="289"/>
      <c r="V1323" s="289"/>
      <c r="W1323" s="289"/>
      <c r="X1323" s="289"/>
      <c r="Y1323" s="289"/>
      <c r="Z1323" s="289"/>
      <c r="AA1323" s="289"/>
      <c r="AB1323" s="289"/>
      <c r="AC1323" s="289"/>
      <c r="AD1323" s="295"/>
    </row>
    <row r="1324" spans="18:30" ht="32.25" customHeight="1">
      <c r="R1324" s="289"/>
      <c r="S1324" s="289"/>
      <c r="T1324" s="289"/>
      <c r="U1324" s="289"/>
      <c r="V1324" s="289"/>
      <c r="W1324" s="289"/>
      <c r="X1324" s="289"/>
      <c r="Y1324" s="289"/>
      <c r="Z1324" s="289"/>
      <c r="AA1324" s="289"/>
      <c r="AB1324" s="289"/>
      <c r="AC1324" s="289"/>
      <c r="AD1324" s="295"/>
    </row>
    <row r="1325" spans="18:30" ht="32.25" customHeight="1">
      <c r="R1325" s="289"/>
      <c r="S1325" s="289"/>
      <c r="T1325" s="289"/>
      <c r="U1325" s="289"/>
      <c r="V1325" s="289"/>
      <c r="W1325" s="289"/>
      <c r="X1325" s="289"/>
      <c r="Y1325" s="289"/>
      <c r="Z1325" s="289"/>
      <c r="AA1325" s="289"/>
      <c r="AB1325" s="289"/>
      <c r="AC1325" s="289"/>
      <c r="AD1325" s="295"/>
    </row>
    <row r="1326" spans="18:30" ht="32.25" customHeight="1">
      <c r="R1326" s="289"/>
      <c r="S1326" s="289"/>
      <c r="T1326" s="289"/>
      <c r="U1326" s="289"/>
      <c r="V1326" s="289"/>
      <c r="W1326" s="289"/>
      <c r="X1326" s="289"/>
      <c r="Y1326" s="289"/>
      <c r="Z1326" s="289"/>
      <c r="AA1326" s="289"/>
      <c r="AB1326" s="289"/>
      <c r="AC1326" s="289"/>
      <c r="AD1326" s="295"/>
    </row>
    <row r="1327" spans="18:30" ht="32.25" customHeight="1">
      <c r="R1327" s="289"/>
      <c r="S1327" s="289"/>
      <c r="T1327" s="289"/>
      <c r="U1327" s="289"/>
      <c r="V1327" s="289"/>
      <c r="W1327" s="289"/>
      <c r="X1327" s="289"/>
      <c r="Y1327" s="289"/>
      <c r="Z1327" s="289"/>
      <c r="AA1327" s="289"/>
      <c r="AB1327" s="289"/>
      <c r="AC1327" s="289"/>
      <c r="AD1327" s="295"/>
    </row>
    <row r="1328" spans="18:30" ht="32.25" customHeight="1">
      <c r="R1328" s="289"/>
      <c r="S1328" s="289"/>
      <c r="T1328" s="289"/>
      <c r="U1328" s="289"/>
      <c r="V1328" s="289"/>
      <c r="W1328" s="289"/>
      <c r="X1328" s="289"/>
      <c r="Y1328" s="289"/>
      <c r="Z1328" s="289"/>
      <c r="AA1328" s="289"/>
      <c r="AB1328" s="289"/>
      <c r="AC1328" s="289"/>
      <c r="AD1328" s="295"/>
    </row>
    <row r="1329" spans="18:30" ht="32.25" customHeight="1">
      <c r="R1329" s="289"/>
      <c r="S1329" s="289"/>
      <c r="T1329" s="289"/>
      <c r="U1329" s="289"/>
      <c r="V1329" s="289"/>
      <c r="W1329" s="289"/>
      <c r="X1329" s="289"/>
      <c r="Y1329" s="289"/>
      <c r="Z1329" s="289"/>
      <c r="AA1329" s="289"/>
      <c r="AB1329" s="289"/>
      <c r="AC1329" s="289"/>
      <c r="AD1329" s="295"/>
    </row>
    <row r="1330" spans="18:30" ht="32.25" customHeight="1">
      <c r="R1330" s="289"/>
      <c r="S1330" s="289"/>
      <c r="T1330" s="289"/>
      <c r="U1330" s="289"/>
      <c r="V1330" s="289"/>
      <c r="W1330" s="289"/>
      <c r="X1330" s="289"/>
      <c r="Y1330" s="289"/>
      <c r="Z1330" s="289"/>
      <c r="AA1330" s="289"/>
      <c r="AB1330" s="289"/>
      <c r="AC1330" s="289"/>
      <c r="AD1330" s="295"/>
    </row>
    <row r="1331" spans="18:30" ht="32.25" customHeight="1">
      <c r="R1331" s="289"/>
      <c r="S1331" s="289"/>
      <c r="T1331" s="289"/>
      <c r="U1331" s="289"/>
      <c r="V1331" s="289"/>
      <c r="W1331" s="289"/>
      <c r="X1331" s="289"/>
      <c r="Y1331" s="289"/>
      <c r="Z1331" s="289"/>
      <c r="AA1331" s="289"/>
      <c r="AB1331" s="289"/>
      <c r="AC1331" s="289"/>
      <c r="AD1331" s="295"/>
    </row>
    <row r="1332" spans="18:30" ht="32.25" customHeight="1">
      <c r="R1332" s="289"/>
      <c r="S1332" s="289"/>
      <c r="T1332" s="289"/>
      <c r="U1332" s="289"/>
      <c r="V1332" s="289"/>
      <c r="W1332" s="289"/>
      <c r="X1332" s="289"/>
      <c r="Y1332" s="289"/>
      <c r="Z1332" s="289"/>
      <c r="AA1332" s="289"/>
      <c r="AB1332" s="289"/>
      <c r="AC1332" s="289"/>
      <c r="AD1332" s="295"/>
    </row>
    <row r="1333" spans="18:30" ht="32.25" customHeight="1">
      <c r="R1333" s="289"/>
      <c r="S1333" s="289"/>
      <c r="T1333" s="289"/>
      <c r="U1333" s="289"/>
      <c r="V1333" s="289"/>
      <c r="W1333" s="289"/>
      <c r="X1333" s="289"/>
      <c r="Y1333" s="289"/>
      <c r="Z1333" s="289"/>
      <c r="AA1333" s="289"/>
      <c r="AB1333" s="289"/>
      <c r="AC1333" s="289"/>
      <c r="AD1333" s="295"/>
    </row>
    <row r="1334" spans="18:30" ht="32.25" customHeight="1">
      <c r="R1334" s="289"/>
      <c r="S1334" s="289"/>
      <c r="T1334" s="289"/>
      <c r="U1334" s="289"/>
      <c r="V1334" s="289"/>
      <c r="W1334" s="289"/>
      <c r="X1334" s="289"/>
      <c r="Y1334" s="289"/>
      <c r="Z1334" s="289"/>
      <c r="AA1334" s="289"/>
      <c r="AB1334" s="289"/>
      <c r="AC1334" s="289"/>
      <c r="AD1334" s="295"/>
    </row>
    <row r="1335" spans="18:30" ht="32.25" customHeight="1">
      <c r="R1335" s="289"/>
      <c r="S1335" s="289"/>
      <c r="T1335" s="289"/>
      <c r="U1335" s="289"/>
      <c r="V1335" s="289"/>
      <c r="W1335" s="289"/>
      <c r="X1335" s="289"/>
      <c r="Y1335" s="289"/>
      <c r="Z1335" s="289"/>
      <c r="AA1335" s="289"/>
      <c r="AB1335" s="289"/>
      <c r="AC1335" s="289"/>
      <c r="AD1335" s="295"/>
    </row>
    <row r="1336" spans="18:30" ht="32.25" customHeight="1">
      <c r="R1336" s="289"/>
      <c r="S1336" s="289"/>
      <c r="T1336" s="289"/>
      <c r="U1336" s="289"/>
      <c r="V1336" s="289"/>
      <c r="W1336" s="289"/>
      <c r="X1336" s="289"/>
      <c r="Y1336" s="289"/>
      <c r="Z1336" s="289"/>
      <c r="AA1336" s="289"/>
      <c r="AB1336" s="289"/>
      <c r="AC1336" s="289"/>
      <c r="AD1336" s="295"/>
    </row>
    <row r="1337" spans="18:30" ht="32.25" customHeight="1">
      <c r="R1337" s="289"/>
      <c r="S1337" s="289"/>
      <c r="T1337" s="289"/>
      <c r="U1337" s="289"/>
      <c r="V1337" s="289"/>
      <c r="W1337" s="289"/>
      <c r="X1337" s="289"/>
      <c r="Y1337" s="289"/>
      <c r="Z1337" s="289"/>
      <c r="AA1337" s="289"/>
      <c r="AB1337" s="289"/>
      <c r="AC1337" s="289"/>
      <c r="AD1337" s="295"/>
    </row>
    <row r="1338" spans="18:30" ht="32.25" customHeight="1">
      <c r="R1338" s="289"/>
      <c r="S1338" s="289"/>
      <c r="T1338" s="289"/>
      <c r="U1338" s="289"/>
      <c r="V1338" s="289"/>
      <c r="W1338" s="289"/>
      <c r="X1338" s="289"/>
      <c r="Y1338" s="289"/>
      <c r="Z1338" s="289"/>
      <c r="AA1338" s="289"/>
      <c r="AB1338" s="289"/>
      <c r="AC1338" s="289"/>
      <c r="AD1338" s="295"/>
    </row>
    <row r="1339" spans="18:30" ht="32.25" customHeight="1">
      <c r="R1339" s="289"/>
      <c r="S1339" s="289"/>
      <c r="T1339" s="289"/>
      <c r="U1339" s="289"/>
      <c r="V1339" s="289"/>
      <c r="W1339" s="289"/>
      <c r="X1339" s="289"/>
      <c r="Y1339" s="289"/>
      <c r="Z1339" s="289"/>
      <c r="AA1339" s="289"/>
      <c r="AB1339" s="289"/>
      <c r="AC1339" s="289"/>
      <c r="AD1339" s="295"/>
    </row>
    <row r="1340" spans="18:30" ht="32.25" customHeight="1">
      <c r="R1340" s="289"/>
      <c r="S1340" s="289"/>
      <c r="T1340" s="289"/>
      <c r="U1340" s="289"/>
      <c r="V1340" s="289"/>
      <c r="W1340" s="289"/>
      <c r="X1340" s="289"/>
      <c r="Y1340" s="289"/>
      <c r="Z1340" s="289"/>
      <c r="AA1340" s="289"/>
      <c r="AB1340" s="289"/>
      <c r="AC1340" s="289"/>
      <c r="AD1340" s="295"/>
    </row>
    <row r="1341" spans="18:30" ht="32.25" customHeight="1">
      <c r="R1341" s="289"/>
      <c r="S1341" s="289"/>
      <c r="T1341" s="289"/>
      <c r="U1341" s="289"/>
      <c r="V1341" s="289"/>
      <c r="W1341" s="289"/>
      <c r="X1341" s="289"/>
      <c r="Y1341" s="289"/>
      <c r="Z1341" s="289"/>
      <c r="AA1341" s="289"/>
      <c r="AB1341" s="289"/>
      <c r="AC1341" s="289"/>
      <c r="AD1341" s="295"/>
    </row>
    <row r="1342" spans="18:30" ht="32.25" customHeight="1">
      <c r="R1342" s="289"/>
      <c r="S1342" s="289"/>
      <c r="T1342" s="289"/>
      <c r="U1342" s="289"/>
      <c r="V1342" s="289"/>
      <c r="W1342" s="289"/>
      <c r="X1342" s="289"/>
      <c r="Y1342" s="289"/>
      <c r="Z1342" s="289"/>
      <c r="AA1342" s="289"/>
      <c r="AB1342" s="289"/>
      <c r="AC1342" s="289"/>
      <c r="AD1342" s="295"/>
    </row>
    <row r="1343" spans="18:30" ht="32.25" customHeight="1">
      <c r="R1343" s="289"/>
      <c r="S1343" s="289"/>
      <c r="T1343" s="289"/>
      <c r="U1343" s="289"/>
      <c r="V1343" s="289"/>
      <c r="W1343" s="289"/>
      <c r="X1343" s="289"/>
      <c r="Y1343" s="289"/>
      <c r="Z1343" s="289"/>
      <c r="AA1343" s="289"/>
      <c r="AB1343" s="289"/>
      <c r="AC1343" s="289"/>
      <c r="AD1343" s="295"/>
    </row>
    <row r="1344" spans="18:30" ht="32.25" customHeight="1">
      <c r="R1344" s="289"/>
      <c r="S1344" s="289"/>
      <c r="T1344" s="289"/>
      <c r="U1344" s="289"/>
      <c r="V1344" s="289"/>
      <c r="W1344" s="289"/>
      <c r="X1344" s="289"/>
      <c r="Y1344" s="289"/>
      <c r="Z1344" s="289"/>
      <c r="AA1344" s="289"/>
      <c r="AB1344" s="289"/>
      <c r="AC1344" s="289"/>
      <c r="AD1344" s="295"/>
    </row>
    <row r="1345" spans="18:30" ht="32.25" customHeight="1">
      <c r="R1345" s="289"/>
      <c r="S1345" s="289"/>
      <c r="T1345" s="289"/>
      <c r="U1345" s="289"/>
      <c r="V1345" s="289"/>
      <c r="W1345" s="289"/>
      <c r="X1345" s="289"/>
      <c r="Y1345" s="289"/>
      <c r="Z1345" s="289"/>
      <c r="AA1345" s="289"/>
      <c r="AB1345" s="289"/>
      <c r="AC1345" s="289"/>
      <c r="AD1345" s="295"/>
    </row>
    <row r="1346" spans="18:30" ht="32.25" customHeight="1">
      <c r="R1346" s="289"/>
      <c r="S1346" s="289"/>
      <c r="T1346" s="289"/>
      <c r="U1346" s="289"/>
      <c r="V1346" s="289"/>
      <c r="W1346" s="289"/>
      <c r="X1346" s="289"/>
      <c r="Y1346" s="289"/>
      <c r="Z1346" s="289"/>
      <c r="AA1346" s="289"/>
      <c r="AB1346" s="289"/>
      <c r="AC1346" s="289"/>
      <c r="AD1346" s="295"/>
    </row>
    <row r="1347" spans="18:30" ht="32.25" customHeight="1">
      <c r="R1347" s="289"/>
      <c r="S1347" s="289"/>
      <c r="T1347" s="289"/>
      <c r="U1347" s="289"/>
      <c r="V1347" s="289"/>
      <c r="W1347" s="289"/>
      <c r="X1347" s="289"/>
      <c r="Y1347" s="289"/>
      <c r="Z1347" s="289"/>
      <c r="AA1347" s="289"/>
      <c r="AB1347" s="289"/>
      <c r="AC1347" s="289"/>
      <c r="AD1347" s="295"/>
    </row>
    <row r="1348" spans="18:30" ht="32.25" customHeight="1">
      <c r="R1348" s="289"/>
      <c r="S1348" s="289"/>
      <c r="T1348" s="289"/>
      <c r="U1348" s="289"/>
      <c r="V1348" s="289"/>
      <c r="W1348" s="289"/>
      <c r="X1348" s="289"/>
      <c r="Y1348" s="289"/>
      <c r="Z1348" s="289"/>
      <c r="AA1348" s="289"/>
      <c r="AB1348" s="289"/>
      <c r="AC1348" s="289"/>
      <c r="AD1348" s="295"/>
    </row>
    <row r="1349" spans="18:30" ht="32.25" customHeight="1">
      <c r="R1349" s="289"/>
      <c r="S1349" s="289"/>
      <c r="T1349" s="289"/>
      <c r="U1349" s="289"/>
      <c r="V1349" s="289"/>
      <c r="W1349" s="289"/>
      <c r="X1349" s="289"/>
      <c r="Y1349" s="289"/>
      <c r="Z1349" s="289"/>
      <c r="AA1349" s="289"/>
      <c r="AB1349" s="289"/>
      <c r="AC1349" s="289"/>
      <c r="AD1349" s="295"/>
    </row>
    <row r="1350" spans="18:30" ht="32.25" customHeight="1">
      <c r="R1350" s="289"/>
      <c r="S1350" s="289"/>
      <c r="T1350" s="289"/>
      <c r="U1350" s="289"/>
      <c r="V1350" s="289"/>
      <c r="W1350" s="289"/>
      <c r="X1350" s="289"/>
      <c r="Y1350" s="289"/>
      <c r="Z1350" s="289"/>
      <c r="AA1350" s="289"/>
      <c r="AB1350" s="289"/>
      <c r="AC1350" s="289"/>
      <c r="AD1350" s="295"/>
    </row>
    <row r="1351" spans="18:30" ht="32.25" customHeight="1">
      <c r="R1351" s="289"/>
      <c r="S1351" s="289"/>
      <c r="T1351" s="289"/>
      <c r="U1351" s="289"/>
      <c r="V1351" s="289"/>
      <c r="W1351" s="289"/>
      <c r="X1351" s="289"/>
      <c r="Y1351" s="289"/>
      <c r="Z1351" s="289"/>
      <c r="AA1351" s="289"/>
      <c r="AB1351" s="289"/>
      <c r="AC1351" s="289"/>
      <c r="AD1351" s="295"/>
    </row>
    <row r="1352" spans="18:30" ht="32.25" customHeight="1">
      <c r="R1352" s="289"/>
      <c r="S1352" s="289"/>
      <c r="T1352" s="289"/>
      <c r="U1352" s="289"/>
      <c r="V1352" s="289"/>
      <c r="W1352" s="289"/>
      <c r="X1352" s="289"/>
      <c r="Y1352" s="289"/>
      <c r="Z1352" s="289"/>
      <c r="AA1352" s="289"/>
      <c r="AB1352" s="289"/>
      <c r="AC1352" s="289"/>
      <c r="AD1352" s="295"/>
    </row>
    <row r="1353" spans="18:30" ht="32.25" customHeight="1">
      <c r="R1353" s="289"/>
      <c r="S1353" s="289"/>
      <c r="T1353" s="289"/>
      <c r="U1353" s="289"/>
      <c r="V1353" s="289"/>
      <c r="W1353" s="289"/>
      <c r="X1353" s="289"/>
      <c r="Y1353" s="289"/>
      <c r="Z1353" s="289"/>
      <c r="AA1353" s="289"/>
      <c r="AB1353" s="289"/>
      <c r="AC1353" s="289"/>
      <c r="AD1353" s="295"/>
    </row>
    <row r="1354" spans="18:30" ht="32.25" customHeight="1">
      <c r="R1354" s="289"/>
      <c r="S1354" s="289"/>
      <c r="T1354" s="289"/>
      <c r="U1354" s="289"/>
      <c r="V1354" s="289"/>
      <c r="W1354" s="289"/>
      <c r="X1354" s="289"/>
      <c r="Y1354" s="289"/>
      <c r="Z1354" s="289"/>
      <c r="AA1354" s="289"/>
      <c r="AB1354" s="289"/>
      <c r="AC1354" s="289"/>
      <c r="AD1354" s="295"/>
    </row>
    <row r="1355" spans="18:30" ht="32.25" customHeight="1">
      <c r="R1355" s="289"/>
      <c r="S1355" s="289"/>
      <c r="T1355" s="289"/>
      <c r="U1355" s="289"/>
      <c r="V1355" s="289"/>
      <c r="W1355" s="289"/>
      <c r="X1355" s="289"/>
      <c r="Y1355" s="289"/>
      <c r="Z1355" s="289"/>
      <c r="AA1355" s="289"/>
      <c r="AB1355" s="289"/>
      <c r="AC1355" s="289"/>
      <c r="AD1355" s="295"/>
    </row>
    <row r="1356" spans="18:30" ht="32.25" customHeight="1">
      <c r="R1356" s="289"/>
      <c r="S1356" s="289"/>
      <c r="T1356" s="289"/>
      <c r="U1356" s="289"/>
      <c r="V1356" s="289"/>
      <c r="W1356" s="289"/>
      <c r="X1356" s="289"/>
      <c r="Y1356" s="289"/>
      <c r="Z1356" s="289"/>
      <c r="AA1356" s="289"/>
      <c r="AB1356" s="289"/>
      <c r="AC1356" s="289"/>
      <c r="AD1356" s="295"/>
    </row>
    <row r="1357" spans="18:30" ht="32.25" customHeight="1">
      <c r="R1357" s="289"/>
      <c r="S1357" s="289"/>
      <c r="T1357" s="289"/>
      <c r="U1357" s="289"/>
      <c r="V1357" s="289"/>
      <c r="W1357" s="289"/>
      <c r="X1357" s="289"/>
      <c r="Y1357" s="289"/>
      <c r="Z1357" s="289"/>
      <c r="AA1357" s="289"/>
      <c r="AB1357" s="289"/>
      <c r="AC1357" s="289"/>
      <c r="AD1357" s="295"/>
    </row>
    <row r="1358" spans="18:30" ht="32.25" customHeight="1">
      <c r="R1358" s="289"/>
      <c r="S1358" s="289"/>
      <c r="T1358" s="289"/>
      <c r="U1358" s="289"/>
      <c r="V1358" s="289"/>
      <c r="W1358" s="289"/>
      <c r="X1358" s="289"/>
      <c r="Y1358" s="289"/>
      <c r="Z1358" s="289"/>
      <c r="AA1358" s="289"/>
      <c r="AB1358" s="289"/>
      <c r="AC1358" s="289"/>
      <c r="AD1358" s="295"/>
    </row>
    <row r="1359" spans="18:30" ht="32.25" customHeight="1">
      <c r="R1359" s="289"/>
      <c r="S1359" s="289"/>
      <c r="T1359" s="289"/>
      <c r="U1359" s="289"/>
      <c r="V1359" s="289"/>
      <c r="W1359" s="289"/>
      <c r="X1359" s="289"/>
      <c r="Y1359" s="289"/>
      <c r="Z1359" s="289"/>
      <c r="AA1359" s="289"/>
      <c r="AB1359" s="289"/>
      <c r="AC1359" s="289"/>
      <c r="AD1359" s="295"/>
    </row>
    <row r="1360" spans="18:30" ht="32.25" customHeight="1">
      <c r="R1360" s="289"/>
      <c r="S1360" s="289"/>
      <c r="T1360" s="289"/>
      <c r="U1360" s="289"/>
      <c r="V1360" s="289"/>
      <c r="W1360" s="289"/>
      <c r="X1360" s="289"/>
      <c r="Y1360" s="289"/>
      <c r="Z1360" s="289"/>
      <c r="AA1360" s="289"/>
      <c r="AB1360" s="289"/>
      <c r="AC1360" s="289"/>
      <c r="AD1360" s="295"/>
    </row>
    <row r="1361" spans="18:30" ht="32.25" customHeight="1">
      <c r="R1361" s="289"/>
      <c r="S1361" s="289"/>
      <c r="T1361" s="289"/>
      <c r="U1361" s="289"/>
      <c r="V1361" s="289"/>
      <c r="W1361" s="289"/>
      <c r="X1361" s="289"/>
      <c r="Y1361" s="289"/>
      <c r="Z1361" s="289"/>
      <c r="AA1361" s="289"/>
      <c r="AB1361" s="289"/>
      <c r="AC1361" s="289"/>
      <c r="AD1361" s="295"/>
    </row>
    <row r="1362" spans="18:30" ht="32.25" customHeight="1">
      <c r="R1362" s="289"/>
      <c r="S1362" s="289"/>
      <c r="T1362" s="289"/>
      <c r="U1362" s="289"/>
      <c r="V1362" s="289"/>
      <c r="W1362" s="289"/>
      <c r="X1362" s="289"/>
      <c r="Y1362" s="289"/>
      <c r="Z1362" s="289"/>
      <c r="AA1362" s="289"/>
      <c r="AB1362" s="289"/>
      <c r="AC1362" s="289"/>
      <c r="AD1362" s="295"/>
    </row>
    <row r="1363" spans="18:30" ht="32.25" customHeight="1">
      <c r="R1363" s="289"/>
      <c r="S1363" s="289"/>
      <c r="T1363" s="289"/>
      <c r="U1363" s="289"/>
      <c r="V1363" s="289"/>
      <c r="W1363" s="289"/>
      <c r="X1363" s="289"/>
      <c r="Y1363" s="289"/>
      <c r="Z1363" s="289"/>
      <c r="AA1363" s="289"/>
      <c r="AB1363" s="289"/>
      <c r="AC1363" s="289"/>
      <c r="AD1363" s="295"/>
    </row>
    <row r="1364" spans="18:30" ht="32.25" customHeight="1">
      <c r="R1364" s="289"/>
      <c r="S1364" s="289"/>
      <c r="T1364" s="289"/>
      <c r="U1364" s="289"/>
      <c r="V1364" s="289"/>
      <c r="W1364" s="289"/>
      <c r="X1364" s="289"/>
      <c r="Y1364" s="289"/>
      <c r="Z1364" s="289"/>
      <c r="AA1364" s="289"/>
      <c r="AB1364" s="289"/>
      <c r="AC1364" s="289"/>
      <c r="AD1364" s="295"/>
    </row>
    <row r="1365" spans="18:30" ht="32.25" customHeight="1">
      <c r="R1365" s="289"/>
      <c r="S1365" s="289"/>
      <c r="T1365" s="289"/>
      <c r="U1365" s="289"/>
      <c r="V1365" s="289"/>
      <c r="W1365" s="289"/>
      <c r="X1365" s="289"/>
      <c r="Y1365" s="289"/>
      <c r="Z1365" s="289"/>
      <c r="AA1365" s="289"/>
      <c r="AB1365" s="289"/>
      <c r="AC1365" s="289"/>
      <c r="AD1365" s="295"/>
    </row>
    <row r="1366" spans="18:30" ht="32.25" customHeight="1">
      <c r="R1366" s="289"/>
      <c r="S1366" s="289"/>
      <c r="T1366" s="289"/>
      <c r="U1366" s="289"/>
      <c r="V1366" s="289"/>
      <c r="W1366" s="289"/>
      <c r="X1366" s="289"/>
      <c r="Y1366" s="289"/>
      <c r="Z1366" s="289"/>
      <c r="AA1366" s="289"/>
      <c r="AB1366" s="289"/>
      <c r="AC1366" s="289"/>
      <c r="AD1366" s="295"/>
    </row>
    <row r="1367" spans="18:30" ht="32.25" customHeight="1">
      <c r="R1367" s="289"/>
      <c r="S1367" s="289"/>
      <c r="T1367" s="289"/>
      <c r="U1367" s="289"/>
      <c r="V1367" s="289"/>
      <c r="W1367" s="289"/>
      <c r="X1367" s="289"/>
      <c r="Y1367" s="289"/>
      <c r="Z1367" s="289"/>
      <c r="AA1367" s="289"/>
      <c r="AB1367" s="289"/>
      <c r="AC1367" s="289"/>
      <c r="AD1367" s="295"/>
    </row>
    <row r="1368" spans="18:30" ht="32.25" customHeight="1">
      <c r="R1368" s="289"/>
      <c r="S1368" s="289"/>
      <c r="T1368" s="289"/>
      <c r="U1368" s="289"/>
      <c r="V1368" s="289"/>
      <c r="W1368" s="289"/>
      <c r="X1368" s="289"/>
      <c r="Y1368" s="289"/>
      <c r="Z1368" s="289"/>
      <c r="AA1368" s="289"/>
      <c r="AB1368" s="289"/>
      <c r="AC1368" s="289"/>
      <c r="AD1368" s="295"/>
    </row>
    <row r="1369" spans="18:30" ht="32.25" customHeight="1">
      <c r="R1369" s="289"/>
      <c r="S1369" s="289"/>
      <c r="T1369" s="289"/>
      <c r="U1369" s="289"/>
      <c r="V1369" s="289"/>
      <c r="W1369" s="289"/>
      <c r="X1369" s="289"/>
      <c r="Y1369" s="289"/>
      <c r="Z1369" s="289"/>
      <c r="AA1369" s="289"/>
      <c r="AB1369" s="289"/>
      <c r="AC1369" s="289"/>
      <c r="AD1369" s="295"/>
    </row>
    <row r="1370" spans="18:30" ht="32.25" customHeight="1">
      <c r="R1370" s="289"/>
      <c r="S1370" s="289"/>
      <c r="T1370" s="289"/>
      <c r="U1370" s="289"/>
      <c r="V1370" s="289"/>
      <c r="W1370" s="289"/>
      <c r="X1370" s="289"/>
      <c r="Y1370" s="289"/>
      <c r="Z1370" s="289"/>
      <c r="AA1370" s="289"/>
      <c r="AB1370" s="289"/>
      <c r="AC1370" s="289"/>
      <c r="AD1370" s="295"/>
    </row>
    <row r="1371" spans="18:30" ht="32.25" customHeight="1">
      <c r="R1371" s="289"/>
      <c r="S1371" s="289"/>
      <c r="T1371" s="289"/>
      <c r="U1371" s="289"/>
      <c r="V1371" s="289"/>
      <c r="W1371" s="289"/>
      <c r="X1371" s="289"/>
      <c r="Y1371" s="289"/>
      <c r="Z1371" s="289"/>
      <c r="AA1371" s="289"/>
      <c r="AB1371" s="289"/>
      <c r="AC1371" s="289"/>
      <c r="AD1371" s="295"/>
    </row>
    <row r="1372" spans="18:30" ht="32.25" customHeight="1">
      <c r="R1372" s="289"/>
      <c r="S1372" s="289"/>
      <c r="T1372" s="289"/>
      <c r="U1372" s="289"/>
      <c r="V1372" s="289"/>
      <c r="W1372" s="289"/>
      <c r="X1372" s="289"/>
      <c r="Y1372" s="289"/>
      <c r="Z1372" s="289"/>
      <c r="AA1372" s="289"/>
      <c r="AB1372" s="289"/>
      <c r="AC1372" s="289"/>
      <c r="AD1372" s="295"/>
    </row>
    <row r="1373" spans="18:30" ht="32.25" customHeight="1">
      <c r="R1373" s="289"/>
      <c r="S1373" s="289"/>
      <c r="T1373" s="289"/>
      <c r="U1373" s="289"/>
      <c r="V1373" s="289"/>
      <c r="W1373" s="289"/>
      <c r="X1373" s="289"/>
      <c r="Y1373" s="289"/>
      <c r="Z1373" s="289"/>
      <c r="AA1373" s="289"/>
      <c r="AB1373" s="289"/>
      <c r="AC1373" s="289"/>
      <c r="AD1373" s="295"/>
    </row>
    <row r="1374" spans="18:30" ht="32.25" customHeight="1">
      <c r="R1374" s="289"/>
      <c r="S1374" s="289"/>
      <c r="T1374" s="289"/>
      <c r="U1374" s="289"/>
      <c r="V1374" s="289"/>
      <c r="W1374" s="289"/>
      <c r="X1374" s="289"/>
      <c r="Y1374" s="289"/>
      <c r="Z1374" s="289"/>
      <c r="AA1374" s="289"/>
      <c r="AB1374" s="289"/>
      <c r="AC1374" s="289"/>
      <c r="AD1374" s="295"/>
    </row>
    <row r="1375" spans="18:30" ht="32.25" customHeight="1">
      <c r="R1375" s="289"/>
      <c r="S1375" s="289"/>
      <c r="T1375" s="289"/>
      <c r="U1375" s="289"/>
      <c r="V1375" s="289"/>
      <c r="W1375" s="289"/>
      <c r="X1375" s="289"/>
      <c r="Y1375" s="289"/>
      <c r="Z1375" s="289"/>
      <c r="AA1375" s="289"/>
      <c r="AB1375" s="289"/>
      <c r="AC1375" s="289"/>
      <c r="AD1375" s="295"/>
    </row>
    <row r="1376" spans="18:30" ht="32.25" customHeight="1">
      <c r="R1376" s="289"/>
      <c r="S1376" s="289"/>
      <c r="T1376" s="289"/>
      <c r="U1376" s="289"/>
      <c r="V1376" s="289"/>
      <c r="W1376" s="289"/>
      <c r="X1376" s="289"/>
      <c r="Y1376" s="289"/>
      <c r="Z1376" s="289"/>
      <c r="AA1376" s="289"/>
      <c r="AB1376" s="289"/>
      <c r="AC1376" s="289"/>
      <c r="AD1376" s="295"/>
    </row>
    <row r="1377" spans="18:30" ht="32.25" customHeight="1">
      <c r="R1377" s="289"/>
      <c r="S1377" s="289"/>
      <c r="T1377" s="289"/>
      <c r="U1377" s="289"/>
      <c r="V1377" s="289"/>
      <c r="W1377" s="289"/>
      <c r="X1377" s="289"/>
      <c r="Y1377" s="289"/>
      <c r="Z1377" s="289"/>
      <c r="AA1377" s="289"/>
      <c r="AB1377" s="289"/>
      <c r="AC1377" s="289"/>
      <c r="AD1377" s="295"/>
    </row>
    <row r="1378" spans="18:30" ht="32.25" customHeight="1">
      <c r="R1378" s="289"/>
      <c r="S1378" s="289"/>
      <c r="T1378" s="289"/>
      <c r="U1378" s="289"/>
      <c r="V1378" s="289"/>
      <c r="W1378" s="289"/>
      <c r="X1378" s="289"/>
      <c r="Y1378" s="289"/>
      <c r="Z1378" s="289"/>
      <c r="AA1378" s="289"/>
      <c r="AB1378" s="289"/>
      <c r="AC1378" s="289"/>
      <c r="AD1378" s="295"/>
    </row>
    <row r="1379" spans="18:30" ht="32.25" customHeight="1">
      <c r="R1379" s="289"/>
      <c r="S1379" s="289"/>
      <c r="T1379" s="289"/>
      <c r="U1379" s="289"/>
      <c r="V1379" s="289"/>
      <c r="W1379" s="289"/>
      <c r="X1379" s="289"/>
      <c r="Y1379" s="289"/>
      <c r="Z1379" s="289"/>
      <c r="AA1379" s="289"/>
      <c r="AB1379" s="289"/>
      <c r="AC1379" s="289"/>
      <c r="AD1379" s="295"/>
    </row>
    <row r="1380" spans="18:30" ht="32.25" customHeight="1">
      <c r="R1380" s="289"/>
      <c r="S1380" s="289"/>
      <c r="T1380" s="289"/>
      <c r="U1380" s="289"/>
      <c r="V1380" s="289"/>
      <c r="W1380" s="289"/>
      <c r="X1380" s="289"/>
      <c r="Y1380" s="289"/>
      <c r="Z1380" s="289"/>
      <c r="AA1380" s="289"/>
      <c r="AB1380" s="289"/>
      <c r="AC1380" s="289"/>
      <c r="AD1380" s="295"/>
    </row>
    <row r="1381" spans="18:30" ht="32.25" customHeight="1">
      <c r="R1381" s="289"/>
      <c r="S1381" s="289"/>
      <c r="T1381" s="289"/>
      <c r="U1381" s="289"/>
      <c r="V1381" s="289"/>
      <c r="W1381" s="289"/>
      <c r="X1381" s="289"/>
      <c r="Y1381" s="289"/>
      <c r="Z1381" s="289"/>
      <c r="AA1381" s="289"/>
      <c r="AB1381" s="289"/>
      <c r="AC1381" s="289"/>
      <c r="AD1381" s="295"/>
    </row>
    <row r="1382" spans="18:30" ht="32.25" customHeight="1">
      <c r="R1382" s="289"/>
      <c r="S1382" s="289"/>
      <c r="T1382" s="289"/>
      <c r="U1382" s="289"/>
      <c r="V1382" s="289"/>
      <c r="W1382" s="289"/>
      <c r="X1382" s="289"/>
      <c r="Y1382" s="289"/>
      <c r="Z1382" s="289"/>
      <c r="AA1382" s="289"/>
      <c r="AB1382" s="289"/>
      <c r="AC1382" s="289"/>
      <c r="AD1382" s="295"/>
    </row>
    <row r="1383" spans="18:30" ht="32.25" customHeight="1">
      <c r="R1383" s="289"/>
      <c r="S1383" s="289"/>
      <c r="T1383" s="289"/>
      <c r="U1383" s="289"/>
      <c r="V1383" s="289"/>
      <c r="W1383" s="289"/>
      <c r="X1383" s="289"/>
      <c r="Y1383" s="289"/>
      <c r="Z1383" s="289"/>
      <c r="AA1383" s="289"/>
      <c r="AB1383" s="289"/>
      <c r="AC1383" s="289"/>
      <c r="AD1383" s="295"/>
    </row>
    <row r="1384" spans="18:30" ht="32.25" customHeight="1">
      <c r="R1384" s="289"/>
      <c r="S1384" s="289"/>
      <c r="T1384" s="289"/>
      <c r="U1384" s="289"/>
      <c r="V1384" s="289"/>
      <c r="W1384" s="289"/>
      <c r="X1384" s="289"/>
      <c r="Y1384" s="289"/>
      <c r="Z1384" s="289"/>
      <c r="AA1384" s="289"/>
      <c r="AB1384" s="289"/>
      <c r="AC1384" s="289"/>
      <c r="AD1384" s="295"/>
    </row>
    <row r="1385" spans="18:30" ht="32.25" customHeight="1">
      <c r="R1385" s="289"/>
      <c r="S1385" s="289"/>
      <c r="T1385" s="289"/>
      <c r="U1385" s="289"/>
      <c r="V1385" s="289"/>
      <c r="W1385" s="289"/>
      <c r="X1385" s="289"/>
      <c r="Y1385" s="289"/>
      <c r="Z1385" s="289"/>
      <c r="AA1385" s="289"/>
      <c r="AB1385" s="289"/>
      <c r="AC1385" s="289"/>
      <c r="AD1385" s="295"/>
    </row>
    <row r="1386" spans="18:30" ht="32.25" customHeight="1">
      <c r="R1386" s="289"/>
      <c r="S1386" s="289"/>
      <c r="T1386" s="289"/>
      <c r="U1386" s="289"/>
      <c r="V1386" s="289"/>
      <c r="W1386" s="289"/>
      <c r="X1386" s="289"/>
      <c r="Y1386" s="289"/>
      <c r="Z1386" s="289"/>
      <c r="AA1386" s="289"/>
      <c r="AB1386" s="289"/>
      <c r="AC1386" s="289"/>
      <c r="AD1386" s="295"/>
    </row>
    <row r="1387" spans="18:30" ht="32.25" customHeight="1">
      <c r="R1387" s="289"/>
      <c r="S1387" s="289"/>
      <c r="T1387" s="289"/>
      <c r="U1387" s="289"/>
      <c r="V1387" s="289"/>
      <c r="W1387" s="289"/>
      <c r="X1387" s="289"/>
      <c r="Y1387" s="289"/>
      <c r="Z1387" s="289"/>
      <c r="AA1387" s="289"/>
      <c r="AB1387" s="289"/>
      <c r="AC1387" s="289"/>
      <c r="AD1387" s="295"/>
    </row>
    <row r="1388" spans="18:30" ht="32.25" customHeight="1">
      <c r="R1388" s="289"/>
      <c r="S1388" s="289"/>
      <c r="T1388" s="289"/>
      <c r="U1388" s="289"/>
      <c r="V1388" s="289"/>
      <c r="W1388" s="289"/>
      <c r="X1388" s="289"/>
      <c r="Y1388" s="289"/>
      <c r="Z1388" s="289"/>
      <c r="AA1388" s="289"/>
      <c r="AB1388" s="289"/>
      <c r="AC1388" s="289"/>
      <c r="AD1388" s="295"/>
    </row>
    <row r="1389" spans="18:30" ht="32.25" customHeight="1">
      <c r="R1389" s="289"/>
      <c r="S1389" s="289"/>
      <c r="T1389" s="289"/>
      <c r="U1389" s="289"/>
      <c r="V1389" s="289"/>
      <c r="W1389" s="289"/>
      <c r="X1389" s="289"/>
      <c r="Y1389" s="289"/>
      <c r="Z1389" s="289"/>
      <c r="AA1389" s="289"/>
      <c r="AB1389" s="289"/>
      <c r="AC1389" s="289"/>
      <c r="AD1389" s="295"/>
    </row>
    <row r="1390" spans="18:30" ht="32.25" customHeight="1">
      <c r="R1390" s="289"/>
      <c r="S1390" s="289"/>
      <c r="T1390" s="289"/>
      <c r="U1390" s="289"/>
      <c r="V1390" s="289"/>
      <c r="W1390" s="289"/>
      <c r="X1390" s="289"/>
      <c r="Y1390" s="289"/>
      <c r="Z1390" s="289"/>
      <c r="AA1390" s="289"/>
      <c r="AB1390" s="289"/>
      <c r="AC1390" s="289"/>
      <c r="AD1390" s="295"/>
    </row>
    <row r="1391" spans="18:30" ht="32.25" customHeight="1">
      <c r="R1391" s="289"/>
      <c r="S1391" s="289"/>
      <c r="T1391" s="289"/>
      <c r="U1391" s="289"/>
      <c r="V1391" s="289"/>
      <c r="W1391" s="289"/>
      <c r="X1391" s="289"/>
      <c r="Y1391" s="289"/>
      <c r="Z1391" s="289"/>
      <c r="AA1391" s="289"/>
      <c r="AB1391" s="289"/>
      <c r="AC1391" s="289"/>
      <c r="AD1391" s="295"/>
    </row>
    <row r="1392" spans="18:30" ht="32.25" customHeight="1">
      <c r="R1392" s="289"/>
      <c r="S1392" s="289"/>
      <c r="T1392" s="289"/>
      <c r="U1392" s="289"/>
      <c r="V1392" s="289"/>
      <c r="W1392" s="289"/>
      <c r="X1392" s="289"/>
      <c r="Y1392" s="289"/>
      <c r="Z1392" s="289"/>
      <c r="AA1392" s="289"/>
      <c r="AB1392" s="289"/>
      <c r="AC1392" s="289"/>
      <c r="AD1392" s="295"/>
    </row>
    <row r="1393" spans="18:30" ht="32.25" customHeight="1">
      <c r="R1393" s="289"/>
      <c r="S1393" s="289"/>
      <c r="T1393" s="289"/>
      <c r="U1393" s="289"/>
      <c r="V1393" s="289"/>
      <c r="W1393" s="289"/>
      <c r="X1393" s="289"/>
      <c r="Y1393" s="289"/>
      <c r="Z1393" s="289"/>
      <c r="AA1393" s="289"/>
      <c r="AB1393" s="289"/>
      <c r="AC1393" s="289"/>
      <c r="AD1393" s="295"/>
    </row>
    <row r="1394" spans="18:30" ht="32.25" customHeight="1">
      <c r="R1394" s="289"/>
      <c r="S1394" s="289"/>
      <c r="T1394" s="289"/>
      <c r="U1394" s="289"/>
      <c r="V1394" s="289"/>
      <c r="W1394" s="289"/>
      <c r="X1394" s="289"/>
      <c r="Y1394" s="289"/>
      <c r="Z1394" s="289"/>
      <c r="AA1394" s="289"/>
      <c r="AB1394" s="289"/>
      <c r="AC1394" s="289"/>
      <c r="AD1394" s="295"/>
    </row>
    <row r="1395" spans="18:30" ht="32.25" customHeight="1">
      <c r="R1395" s="289"/>
      <c r="S1395" s="289"/>
      <c r="T1395" s="289"/>
      <c r="U1395" s="289"/>
      <c r="V1395" s="289"/>
      <c r="W1395" s="289"/>
      <c r="X1395" s="289"/>
      <c r="Y1395" s="289"/>
      <c r="Z1395" s="289"/>
      <c r="AA1395" s="289"/>
      <c r="AB1395" s="289"/>
      <c r="AC1395" s="289"/>
      <c r="AD1395" s="295"/>
    </row>
    <row r="1396" spans="18:30" ht="32.25" customHeight="1">
      <c r="R1396" s="289"/>
      <c r="S1396" s="289"/>
      <c r="T1396" s="289"/>
      <c r="U1396" s="289"/>
      <c r="V1396" s="289"/>
      <c r="W1396" s="289"/>
      <c r="X1396" s="289"/>
      <c r="Y1396" s="289"/>
      <c r="Z1396" s="289"/>
      <c r="AA1396" s="289"/>
      <c r="AB1396" s="289"/>
      <c r="AC1396" s="289"/>
      <c r="AD1396" s="295"/>
    </row>
    <row r="1397" spans="18:30" ht="32.25" customHeight="1">
      <c r="R1397" s="289"/>
      <c r="S1397" s="289"/>
      <c r="T1397" s="289"/>
      <c r="U1397" s="289"/>
      <c r="V1397" s="289"/>
      <c r="W1397" s="289"/>
      <c r="X1397" s="289"/>
      <c r="Y1397" s="289"/>
      <c r="Z1397" s="289"/>
      <c r="AA1397" s="289"/>
      <c r="AB1397" s="289"/>
      <c r="AC1397" s="289"/>
      <c r="AD1397" s="295"/>
    </row>
    <row r="1398" spans="18:30" ht="32.25" customHeight="1">
      <c r="R1398" s="289"/>
      <c r="S1398" s="289"/>
      <c r="T1398" s="289"/>
      <c r="U1398" s="289"/>
      <c r="V1398" s="289"/>
      <c r="W1398" s="289"/>
      <c r="X1398" s="289"/>
      <c r="Y1398" s="289"/>
      <c r="Z1398" s="289"/>
      <c r="AA1398" s="289"/>
      <c r="AB1398" s="289"/>
      <c r="AC1398" s="289"/>
      <c r="AD1398" s="295"/>
    </row>
    <row r="1399" spans="18:30" ht="32.25" customHeight="1">
      <c r="R1399" s="289"/>
      <c r="S1399" s="289"/>
      <c r="T1399" s="289"/>
      <c r="U1399" s="289"/>
      <c r="V1399" s="289"/>
      <c r="W1399" s="289"/>
      <c r="X1399" s="289"/>
      <c r="Y1399" s="289"/>
      <c r="Z1399" s="289"/>
      <c r="AA1399" s="289"/>
      <c r="AB1399" s="289"/>
      <c r="AC1399" s="289"/>
      <c r="AD1399" s="295"/>
    </row>
    <row r="1400" spans="18:30" ht="32.25" customHeight="1">
      <c r="R1400" s="289"/>
      <c r="S1400" s="289"/>
      <c r="T1400" s="289"/>
      <c r="U1400" s="289"/>
      <c r="V1400" s="289"/>
      <c r="W1400" s="289"/>
      <c r="X1400" s="289"/>
      <c r="Y1400" s="289"/>
      <c r="Z1400" s="289"/>
      <c r="AA1400" s="289"/>
      <c r="AB1400" s="289"/>
      <c r="AC1400" s="289"/>
      <c r="AD1400" s="295"/>
    </row>
    <row r="1401" spans="18:30" ht="32.25" customHeight="1">
      <c r="R1401" s="289"/>
      <c r="S1401" s="289"/>
      <c r="T1401" s="289"/>
      <c r="U1401" s="289"/>
      <c r="V1401" s="289"/>
      <c r="W1401" s="289"/>
      <c r="X1401" s="289"/>
      <c r="Y1401" s="289"/>
      <c r="Z1401" s="289"/>
      <c r="AA1401" s="289"/>
      <c r="AB1401" s="289"/>
      <c r="AC1401" s="289"/>
      <c r="AD1401" s="295"/>
    </row>
    <row r="1402" spans="18:30" ht="32.25" customHeight="1">
      <c r="R1402" s="289"/>
      <c r="S1402" s="289"/>
      <c r="T1402" s="289"/>
      <c r="U1402" s="289"/>
      <c r="V1402" s="289"/>
      <c r="W1402" s="289"/>
      <c r="X1402" s="289"/>
      <c r="Y1402" s="289"/>
      <c r="Z1402" s="289"/>
      <c r="AA1402" s="289"/>
      <c r="AB1402" s="289"/>
      <c r="AC1402" s="289"/>
      <c r="AD1402" s="295"/>
    </row>
    <row r="1403" spans="18:30" ht="32.25" customHeight="1">
      <c r="R1403" s="289"/>
      <c r="S1403" s="289"/>
      <c r="T1403" s="289"/>
      <c r="U1403" s="289"/>
      <c r="V1403" s="289"/>
      <c r="W1403" s="289"/>
      <c r="X1403" s="289"/>
      <c r="Y1403" s="289"/>
      <c r="Z1403" s="289"/>
      <c r="AA1403" s="289"/>
      <c r="AB1403" s="289"/>
      <c r="AC1403" s="289"/>
      <c r="AD1403" s="295"/>
    </row>
    <row r="1404" spans="18:30" ht="32.25" customHeight="1">
      <c r="R1404" s="289"/>
      <c r="S1404" s="289"/>
      <c r="T1404" s="289"/>
      <c r="U1404" s="289"/>
      <c r="V1404" s="289"/>
      <c r="W1404" s="289"/>
      <c r="X1404" s="289"/>
      <c r="Y1404" s="289"/>
      <c r="Z1404" s="289"/>
      <c r="AA1404" s="289"/>
      <c r="AB1404" s="289"/>
      <c r="AC1404" s="289"/>
      <c r="AD1404" s="295"/>
    </row>
    <row r="1405" spans="18:30" ht="32.25" customHeight="1">
      <c r="R1405" s="289"/>
      <c r="S1405" s="289"/>
      <c r="T1405" s="289"/>
      <c r="U1405" s="289"/>
      <c r="V1405" s="289"/>
      <c r="W1405" s="289"/>
      <c r="X1405" s="289"/>
      <c r="Y1405" s="289"/>
      <c r="Z1405" s="289"/>
      <c r="AA1405" s="289"/>
      <c r="AB1405" s="289"/>
      <c r="AC1405" s="289"/>
      <c r="AD1405" s="295"/>
    </row>
    <row r="1406" spans="18:30" ht="32.25" customHeight="1">
      <c r="R1406" s="289"/>
      <c r="S1406" s="289"/>
      <c r="T1406" s="289"/>
      <c r="U1406" s="289"/>
      <c r="V1406" s="289"/>
      <c r="W1406" s="289"/>
      <c r="X1406" s="289"/>
      <c r="Y1406" s="289"/>
      <c r="Z1406" s="289"/>
      <c r="AA1406" s="289"/>
      <c r="AB1406" s="289"/>
      <c r="AC1406" s="289"/>
      <c r="AD1406" s="295"/>
    </row>
    <row r="1407" spans="18:30" ht="32.25" customHeight="1">
      <c r="R1407" s="289"/>
      <c r="S1407" s="289"/>
      <c r="T1407" s="289"/>
      <c r="U1407" s="289"/>
      <c r="V1407" s="289"/>
      <c r="W1407" s="289"/>
      <c r="X1407" s="289"/>
      <c r="Y1407" s="289"/>
      <c r="Z1407" s="289"/>
      <c r="AA1407" s="289"/>
      <c r="AB1407" s="289"/>
      <c r="AC1407" s="289"/>
      <c r="AD1407" s="295"/>
    </row>
    <row r="1408" spans="18:30" ht="32.25" customHeight="1">
      <c r="R1408" s="289"/>
      <c r="S1408" s="289"/>
      <c r="T1408" s="289"/>
      <c r="U1408" s="289"/>
      <c r="V1408" s="289"/>
      <c r="W1408" s="289"/>
      <c r="X1408" s="289"/>
      <c r="Y1408" s="289"/>
      <c r="Z1408" s="289"/>
      <c r="AA1408" s="289"/>
      <c r="AB1408" s="289"/>
      <c r="AC1408" s="289"/>
      <c r="AD1408" s="295"/>
    </row>
    <row r="1409" spans="18:30" ht="32.25" customHeight="1">
      <c r="R1409" s="289"/>
      <c r="S1409" s="289"/>
      <c r="T1409" s="289"/>
      <c r="U1409" s="289"/>
      <c r="V1409" s="289"/>
      <c r="W1409" s="289"/>
      <c r="X1409" s="289"/>
      <c r="Y1409" s="289"/>
      <c r="Z1409" s="289"/>
      <c r="AA1409" s="289"/>
      <c r="AB1409" s="289"/>
      <c r="AC1409" s="289"/>
      <c r="AD1409" s="295"/>
    </row>
    <row r="1410" spans="18:30" ht="32.25" customHeight="1">
      <c r="R1410" s="289"/>
      <c r="S1410" s="289"/>
      <c r="T1410" s="289"/>
      <c r="U1410" s="289"/>
      <c r="V1410" s="289"/>
      <c r="W1410" s="289"/>
      <c r="X1410" s="289"/>
      <c r="Y1410" s="289"/>
      <c r="Z1410" s="289"/>
      <c r="AA1410" s="289"/>
      <c r="AB1410" s="289"/>
      <c r="AC1410" s="289"/>
      <c r="AD1410" s="295"/>
    </row>
    <row r="1411" spans="18:30" ht="32.25" customHeight="1">
      <c r="R1411" s="289"/>
      <c r="S1411" s="289"/>
      <c r="T1411" s="289"/>
      <c r="U1411" s="289"/>
      <c r="V1411" s="289"/>
      <c r="W1411" s="289"/>
      <c r="X1411" s="289"/>
      <c r="Y1411" s="289"/>
      <c r="Z1411" s="289"/>
      <c r="AA1411" s="289"/>
      <c r="AB1411" s="289"/>
      <c r="AC1411" s="289"/>
      <c r="AD1411" s="295"/>
    </row>
    <row r="1412" spans="18:30" ht="32.25" customHeight="1">
      <c r="R1412" s="289"/>
      <c r="S1412" s="289"/>
      <c r="T1412" s="289"/>
      <c r="U1412" s="289"/>
      <c r="V1412" s="289"/>
      <c r="W1412" s="289"/>
      <c r="X1412" s="289"/>
      <c r="Y1412" s="289"/>
      <c r="Z1412" s="289"/>
      <c r="AA1412" s="289"/>
      <c r="AB1412" s="289"/>
      <c r="AC1412" s="289"/>
      <c r="AD1412" s="295"/>
    </row>
    <row r="1413" spans="18:30" ht="32.25" customHeight="1">
      <c r="R1413" s="289"/>
      <c r="S1413" s="289"/>
      <c r="T1413" s="289"/>
      <c r="U1413" s="289"/>
      <c r="V1413" s="289"/>
      <c r="W1413" s="289"/>
      <c r="X1413" s="289"/>
      <c r="Y1413" s="289"/>
      <c r="Z1413" s="289"/>
      <c r="AA1413" s="289"/>
      <c r="AB1413" s="289"/>
      <c r="AC1413" s="289"/>
      <c r="AD1413" s="295"/>
    </row>
    <row r="1414" spans="18:30" ht="32.25" customHeight="1">
      <c r="R1414" s="289"/>
      <c r="S1414" s="289"/>
      <c r="T1414" s="289"/>
      <c r="U1414" s="289"/>
      <c r="V1414" s="289"/>
      <c r="W1414" s="289"/>
      <c r="X1414" s="289"/>
      <c r="Y1414" s="289"/>
      <c r="Z1414" s="289"/>
      <c r="AA1414" s="289"/>
      <c r="AB1414" s="289"/>
      <c r="AC1414" s="289"/>
      <c r="AD1414" s="295"/>
    </row>
    <row r="1415" spans="18:30" ht="32.25" customHeight="1">
      <c r="R1415" s="289"/>
      <c r="S1415" s="289"/>
      <c r="T1415" s="289"/>
      <c r="U1415" s="289"/>
      <c r="V1415" s="289"/>
      <c r="W1415" s="289"/>
      <c r="X1415" s="289"/>
      <c r="Y1415" s="289"/>
      <c r="Z1415" s="289"/>
      <c r="AA1415" s="289"/>
      <c r="AB1415" s="289"/>
      <c r="AC1415" s="289"/>
      <c r="AD1415" s="295"/>
    </row>
    <row r="1416" spans="18:30" ht="32.25" customHeight="1">
      <c r="R1416" s="289"/>
      <c r="S1416" s="289"/>
      <c r="T1416" s="289"/>
      <c r="U1416" s="289"/>
      <c r="V1416" s="289"/>
      <c r="W1416" s="289"/>
      <c r="X1416" s="289"/>
      <c r="Y1416" s="289"/>
      <c r="Z1416" s="289"/>
      <c r="AA1416" s="289"/>
      <c r="AB1416" s="289"/>
      <c r="AC1416" s="289"/>
      <c r="AD1416" s="295"/>
    </row>
    <row r="1417" spans="18:30" ht="32.25" customHeight="1">
      <c r="R1417" s="289"/>
      <c r="S1417" s="289"/>
      <c r="T1417" s="289"/>
      <c r="U1417" s="289"/>
      <c r="V1417" s="289"/>
      <c r="W1417" s="289"/>
      <c r="X1417" s="289"/>
      <c r="Y1417" s="289"/>
      <c r="Z1417" s="289"/>
      <c r="AA1417" s="289"/>
      <c r="AB1417" s="289"/>
      <c r="AC1417" s="289"/>
      <c r="AD1417" s="295"/>
    </row>
    <row r="1418" spans="18:30" ht="32.25" customHeight="1">
      <c r="R1418" s="289"/>
      <c r="S1418" s="289"/>
      <c r="T1418" s="289"/>
      <c r="U1418" s="289"/>
      <c r="V1418" s="289"/>
      <c r="W1418" s="289"/>
      <c r="X1418" s="289"/>
      <c r="Y1418" s="289"/>
      <c r="Z1418" s="289"/>
      <c r="AA1418" s="289"/>
      <c r="AB1418" s="289"/>
      <c r="AC1418" s="289"/>
      <c r="AD1418" s="295"/>
    </row>
    <row r="1419" spans="18:30" ht="32.25" customHeight="1">
      <c r="R1419" s="289"/>
      <c r="S1419" s="289"/>
      <c r="T1419" s="289"/>
      <c r="U1419" s="289"/>
      <c r="V1419" s="289"/>
      <c r="W1419" s="289"/>
      <c r="X1419" s="289"/>
      <c r="Y1419" s="289"/>
      <c r="Z1419" s="289"/>
      <c r="AA1419" s="289"/>
      <c r="AB1419" s="289"/>
      <c r="AC1419" s="289"/>
      <c r="AD1419" s="295"/>
    </row>
    <row r="1420" spans="18:30" ht="32.25" customHeight="1">
      <c r="R1420" s="289"/>
      <c r="S1420" s="289"/>
      <c r="T1420" s="289"/>
      <c r="U1420" s="289"/>
      <c r="V1420" s="289"/>
      <c r="W1420" s="289"/>
      <c r="X1420" s="289"/>
      <c r="Y1420" s="289"/>
      <c r="Z1420" s="289"/>
      <c r="AA1420" s="289"/>
      <c r="AB1420" s="289"/>
      <c r="AC1420" s="289"/>
      <c r="AD1420" s="295"/>
    </row>
    <row r="1421" spans="18:30" ht="32.25" customHeight="1">
      <c r="R1421" s="289"/>
      <c r="S1421" s="289"/>
      <c r="T1421" s="289"/>
      <c r="U1421" s="289"/>
      <c r="V1421" s="289"/>
      <c r="W1421" s="289"/>
      <c r="X1421" s="289"/>
      <c r="Y1421" s="289"/>
      <c r="Z1421" s="289"/>
      <c r="AA1421" s="289"/>
      <c r="AB1421" s="289"/>
      <c r="AC1421" s="289"/>
      <c r="AD1421" s="295"/>
    </row>
    <row r="1422" spans="18:30" ht="32.25" customHeight="1">
      <c r="R1422" s="289"/>
      <c r="S1422" s="289"/>
      <c r="T1422" s="289"/>
      <c r="U1422" s="289"/>
      <c r="V1422" s="289"/>
      <c r="W1422" s="289"/>
      <c r="X1422" s="289"/>
      <c r="Y1422" s="289"/>
      <c r="Z1422" s="289"/>
      <c r="AA1422" s="289"/>
      <c r="AB1422" s="289"/>
      <c r="AC1422" s="289"/>
      <c r="AD1422" s="295"/>
    </row>
    <row r="1423" spans="18:30" ht="32.25" customHeight="1">
      <c r="R1423" s="289"/>
      <c r="S1423" s="289"/>
      <c r="T1423" s="289"/>
      <c r="U1423" s="289"/>
      <c r="V1423" s="289"/>
      <c r="W1423" s="289"/>
      <c r="X1423" s="289"/>
      <c r="Y1423" s="289"/>
      <c r="Z1423" s="289"/>
      <c r="AA1423" s="289"/>
      <c r="AB1423" s="289"/>
      <c r="AC1423" s="289"/>
      <c r="AD1423" s="295"/>
    </row>
    <row r="1424" spans="18:30" ht="32.25" customHeight="1">
      <c r="R1424" s="289"/>
      <c r="S1424" s="289"/>
      <c r="T1424" s="289"/>
      <c r="U1424" s="289"/>
      <c r="V1424" s="289"/>
      <c r="W1424" s="289"/>
      <c r="X1424" s="289"/>
      <c r="Y1424" s="289"/>
      <c r="Z1424" s="289"/>
      <c r="AA1424" s="289"/>
      <c r="AB1424" s="289"/>
      <c r="AC1424" s="289"/>
      <c r="AD1424" s="295"/>
    </row>
    <row r="1425" spans="18:30" ht="32.25" customHeight="1">
      <c r="R1425" s="289"/>
      <c r="S1425" s="289"/>
      <c r="T1425" s="289"/>
      <c r="U1425" s="289"/>
      <c r="V1425" s="289"/>
      <c r="W1425" s="289"/>
      <c r="X1425" s="289"/>
      <c r="Y1425" s="289"/>
      <c r="Z1425" s="289"/>
      <c r="AA1425" s="289"/>
      <c r="AB1425" s="289"/>
      <c r="AC1425" s="289"/>
      <c r="AD1425" s="295"/>
    </row>
    <row r="1426" spans="18:30" ht="32.25" customHeight="1">
      <c r="R1426" s="289"/>
      <c r="S1426" s="289"/>
      <c r="T1426" s="289"/>
      <c r="U1426" s="289"/>
      <c r="V1426" s="289"/>
      <c r="W1426" s="289"/>
      <c r="X1426" s="289"/>
      <c r="Y1426" s="289"/>
      <c r="Z1426" s="289"/>
      <c r="AA1426" s="289"/>
      <c r="AB1426" s="289"/>
      <c r="AC1426" s="289"/>
      <c r="AD1426" s="295"/>
    </row>
    <row r="1427" spans="18:30" ht="32.25" customHeight="1">
      <c r="R1427" s="289"/>
      <c r="S1427" s="289"/>
      <c r="T1427" s="289"/>
      <c r="U1427" s="289"/>
      <c r="V1427" s="289"/>
      <c r="W1427" s="289"/>
      <c r="X1427" s="289"/>
      <c r="Y1427" s="289"/>
      <c r="Z1427" s="289"/>
      <c r="AA1427" s="289"/>
      <c r="AB1427" s="289"/>
      <c r="AC1427" s="289"/>
      <c r="AD1427" s="295"/>
    </row>
    <row r="1428" spans="18:30" ht="32.25" customHeight="1">
      <c r="R1428" s="289"/>
      <c r="S1428" s="289"/>
      <c r="T1428" s="289"/>
      <c r="U1428" s="289"/>
      <c r="V1428" s="289"/>
      <c r="W1428" s="289"/>
      <c r="X1428" s="289"/>
      <c r="Y1428" s="289"/>
      <c r="Z1428" s="289"/>
      <c r="AA1428" s="289"/>
      <c r="AB1428" s="289"/>
      <c r="AC1428" s="289"/>
      <c r="AD1428" s="295"/>
    </row>
    <row r="1429" spans="18:30" ht="32.25" customHeight="1">
      <c r="R1429" s="289"/>
      <c r="S1429" s="289"/>
      <c r="T1429" s="289"/>
      <c r="U1429" s="289"/>
      <c r="V1429" s="289"/>
      <c r="W1429" s="289"/>
      <c r="X1429" s="289"/>
      <c r="Y1429" s="289"/>
      <c r="Z1429" s="289"/>
      <c r="AA1429" s="289"/>
      <c r="AB1429" s="289"/>
      <c r="AC1429" s="289"/>
      <c r="AD1429" s="295"/>
    </row>
    <row r="1430" spans="18:30" ht="32.25" customHeight="1">
      <c r="R1430" s="289"/>
      <c r="S1430" s="289"/>
      <c r="T1430" s="289"/>
      <c r="U1430" s="289"/>
      <c r="V1430" s="289"/>
      <c r="W1430" s="289"/>
      <c r="X1430" s="289"/>
      <c r="Y1430" s="289"/>
      <c r="Z1430" s="289"/>
      <c r="AA1430" s="289"/>
      <c r="AB1430" s="289"/>
      <c r="AC1430" s="289"/>
      <c r="AD1430" s="295"/>
    </row>
    <row r="1431" spans="18:30" ht="32.25" customHeight="1">
      <c r="R1431" s="289"/>
      <c r="S1431" s="289"/>
      <c r="T1431" s="289"/>
      <c r="U1431" s="289"/>
      <c r="V1431" s="289"/>
      <c r="W1431" s="289"/>
      <c r="X1431" s="289"/>
      <c r="Y1431" s="289"/>
      <c r="Z1431" s="289"/>
      <c r="AA1431" s="289"/>
      <c r="AB1431" s="289"/>
      <c r="AC1431" s="289"/>
      <c r="AD1431" s="295"/>
    </row>
    <row r="1432" spans="18:30" ht="32.25" customHeight="1">
      <c r="R1432" s="289"/>
      <c r="S1432" s="289"/>
      <c r="T1432" s="289"/>
      <c r="U1432" s="289"/>
      <c r="V1432" s="289"/>
      <c r="W1432" s="289"/>
      <c r="X1432" s="289"/>
      <c r="Y1432" s="289"/>
      <c r="Z1432" s="289"/>
      <c r="AA1432" s="289"/>
      <c r="AB1432" s="289"/>
      <c r="AC1432" s="289"/>
      <c r="AD1432" s="295"/>
    </row>
    <row r="1433" spans="18:30" ht="32.25" customHeight="1">
      <c r="R1433" s="289"/>
      <c r="S1433" s="289"/>
      <c r="T1433" s="289"/>
      <c r="U1433" s="289"/>
      <c r="V1433" s="289"/>
      <c r="W1433" s="289"/>
      <c r="X1433" s="289"/>
      <c r="Y1433" s="289"/>
      <c r="Z1433" s="289"/>
      <c r="AA1433" s="289"/>
      <c r="AB1433" s="289"/>
      <c r="AC1433" s="289"/>
      <c r="AD1433" s="295"/>
    </row>
    <row r="1434" spans="18:30" ht="32.25" customHeight="1">
      <c r="R1434" s="289"/>
      <c r="S1434" s="289"/>
      <c r="T1434" s="289"/>
      <c r="U1434" s="289"/>
      <c r="V1434" s="289"/>
      <c r="W1434" s="289"/>
      <c r="X1434" s="289"/>
      <c r="Y1434" s="289"/>
      <c r="Z1434" s="289"/>
      <c r="AA1434" s="289"/>
      <c r="AB1434" s="289"/>
      <c r="AC1434" s="289"/>
      <c r="AD1434" s="295"/>
    </row>
    <row r="1435" spans="18:30" ht="32.25" customHeight="1">
      <c r="R1435" s="289"/>
      <c r="S1435" s="289"/>
      <c r="T1435" s="289"/>
      <c r="U1435" s="289"/>
      <c r="V1435" s="289"/>
      <c r="W1435" s="289"/>
      <c r="X1435" s="289"/>
      <c r="Y1435" s="289"/>
      <c r="Z1435" s="289"/>
      <c r="AA1435" s="289"/>
      <c r="AB1435" s="289"/>
      <c r="AC1435" s="289"/>
      <c r="AD1435" s="295"/>
    </row>
    <row r="1436" spans="18:30" ht="32.25" customHeight="1">
      <c r="R1436" s="289"/>
      <c r="S1436" s="289"/>
      <c r="T1436" s="289"/>
      <c r="U1436" s="289"/>
      <c r="V1436" s="289"/>
      <c r="W1436" s="289"/>
      <c r="X1436" s="289"/>
      <c r="Y1436" s="289"/>
      <c r="Z1436" s="289"/>
      <c r="AA1436" s="289"/>
      <c r="AB1436" s="289"/>
      <c r="AC1436" s="289"/>
      <c r="AD1436" s="295"/>
    </row>
    <row r="1437" spans="18:30" ht="32.25" customHeight="1">
      <c r="R1437" s="289"/>
      <c r="S1437" s="289"/>
      <c r="T1437" s="289"/>
      <c r="U1437" s="289"/>
      <c r="V1437" s="289"/>
      <c r="W1437" s="289"/>
      <c r="X1437" s="289"/>
      <c r="Y1437" s="289"/>
      <c r="Z1437" s="289"/>
      <c r="AA1437" s="289"/>
      <c r="AB1437" s="289"/>
      <c r="AC1437" s="289"/>
      <c r="AD1437" s="295"/>
    </row>
    <row r="1438" spans="18:30" ht="32.25" customHeight="1">
      <c r="R1438" s="289"/>
      <c r="S1438" s="289"/>
      <c r="T1438" s="289"/>
      <c r="U1438" s="289"/>
      <c r="V1438" s="289"/>
      <c r="W1438" s="289"/>
      <c r="X1438" s="289"/>
      <c r="Y1438" s="289"/>
      <c r="Z1438" s="289"/>
      <c r="AA1438" s="289"/>
      <c r="AB1438" s="289"/>
      <c r="AC1438" s="289"/>
      <c r="AD1438" s="295"/>
    </row>
    <row r="1439" spans="18:30" ht="32.25" customHeight="1">
      <c r="R1439" s="289"/>
      <c r="S1439" s="289"/>
      <c r="T1439" s="289"/>
      <c r="U1439" s="289"/>
      <c r="V1439" s="289"/>
      <c r="W1439" s="289"/>
      <c r="X1439" s="289"/>
      <c r="Y1439" s="289"/>
      <c r="Z1439" s="289"/>
      <c r="AA1439" s="289"/>
      <c r="AB1439" s="289"/>
      <c r="AC1439" s="289"/>
      <c r="AD1439" s="295"/>
    </row>
    <row r="1440" spans="18:30" ht="32.25" customHeight="1">
      <c r="R1440" s="289"/>
      <c r="S1440" s="289"/>
      <c r="T1440" s="289"/>
      <c r="U1440" s="289"/>
      <c r="V1440" s="289"/>
      <c r="W1440" s="289"/>
      <c r="X1440" s="289"/>
      <c r="Y1440" s="289"/>
      <c r="Z1440" s="289"/>
      <c r="AA1440" s="289"/>
      <c r="AB1440" s="289"/>
      <c r="AC1440" s="289"/>
      <c r="AD1440" s="295"/>
    </row>
    <row r="1441" spans="18:30" ht="32.25" customHeight="1">
      <c r="R1441" s="289"/>
      <c r="S1441" s="289"/>
      <c r="T1441" s="289"/>
      <c r="U1441" s="289"/>
      <c r="V1441" s="289"/>
      <c r="W1441" s="289"/>
      <c r="X1441" s="289"/>
      <c r="Y1441" s="289"/>
      <c r="Z1441" s="289"/>
      <c r="AA1441" s="289"/>
      <c r="AB1441" s="289"/>
      <c r="AC1441" s="289"/>
      <c r="AD1441" s="295"/>
    </row>
    <row r="1442" spans="18:30" ht="32.25" customHeight="1">
      <c r="R1442" s="289"/>
      <c r="S1442" s="289"/>
      <c r="T1442" s="289"/>
      <c r="U1442" s="289"/>
      <c r="V1442" s="289"/>
      <c r="W1442" s="289"/>
      <c r="X1442" s="289"/>
      <c r="Y1442" s="289"/>
      <c r="Z1442" s="289"/>
      <c r="AA1442" s="289"/>
      <c r="AB1442" s="289"/>
      <c r="AC1442" s="289"/>
      <c r="AD1442" s="295"/>
    </row>
    <row r="1443" spans="18:30" ht="32.25" customHeight="1">
      <c r="R1443" s="289"/>
      <c r="S1443" s="289"/>
      <c r="T1443" s="289"/>
      <c r="U1443" s="289"/>
      <c r="V1443" s="289"/>
      <c r="W1443" s="289"/>
      <c r="X1443" s="289"/>
      <c r="Y1443" s="289"/>
      <c r="Z1443" s="289"/>
      <c r="AA1443" s="289"/>
      <c r="AB1443" s="289"/>
      <c r="AC1443" s="289"/>
      <c r="AD1443" s="295"/>
    </row>
    <row r="1444" spans="18:30" ht="32.25" customHeight="1">
      <c r="R1444" s="289"/>
      <c r="S1444" s="289"/>
      <c r="T1444" s="289"/>
      <c r="U1444" s="289"/>
      <c r="V1444" s="289"/>
      <c r="W1444" s="289"/>
      <c r="X1444" s="289"/>
      <c r="Y1444" s="289"/>
      <c r="Z1444" s="289"/>
      <c r="AA1444" s="289"/>
      <c r="AB1444" s="289"/>
      <c r="AC1444" s="289"/>
      <c r="AD1444" s="295"/>
    </row>
    <row r="1445" spans="18:30" ht="32.25" customHeight="1">
      <c r="R1445" s="289"/>
      <c r="S1445" s="289"/>
      <c r="T1445" s="289"/>
      <c r="U1445" s="289"/>
      <c r="V1445" s="289"/>
      <c r="W1445" s="289"/>
      <c r="X1445" s="289"/>
      <c r="Y1445" s="289"/>
      <c r="Z1445" s="289"/>
      <c r="AA1445" s="289"/>
      <c r="AB1445" s="289"/>
      <c r="AC1445" s="289"/>
      <c r="AD1445" s="295"/>
    </row>
    <row r="1446" spans="18:30" ht="32.25" customHeight="1">
      <c r="R1446" s="289"/>
      <c r="S1446" s="289"/>
      <c r="T1446" s="289"/>
      <c r="U1446" s="289"/>
      <c r="V1446" s="289"/>
      <c r="W1446" s="289"/>
      <c r="X1446" s="289"/>
      <c r="Y1446" s="289"/>
      <c r="Z1446" s="289"/>
      <c r="AA1446" s="289"/>
      <c r="AB1446" s="289"/>
      <c r="AC1446" s="289"/>
      <c r="AD1446" s="295"/>
    </row>
    <row r="1447" spans="18:30" ht="32.25" customHeight="1">
      <c r="R1447" s="289"/>
      <c r="S1447" s="289"/>
      <c r="T1447" s="289"/>
      <c r="U1447" s="289"/>
      <c r="V1447" s="289"/>
      <c r="W1447" s="289"/>
      <c r="X1447" s="289"/>
      <c r="Y1447" s="289"/>
      <c r="Z1447" s="289"/>
      <c r="AA1447" s="289"/>
      <c r="AB1447" s="289"/>
      <c r="AC1447" s="289"/>
      <c r="AD1447" s="295"/>
    </row>
    <row r="1448" spans="18:30" ht="32.25" customHeight="1">
      <c r="R1448" s="289"/>
      <c r="S1448" s="289"/>
      <c r="T1448" s="289"/>
      <c r="U1448" s="289"/>
      <c r="V1448" s="289"/>
      <c r="W1448" s="289"/>
      <c r="X1448" s="289"/>
      <c r="Y1448" s="289"/>
      <c r="Z1448" s="289"/>
      <c r="AA1448" s="289"/>
      <c r="AB1448" s="289"/>
      <c r="AC1448" s="289"/>
      <c r="AD1448" s="295"/>
    </row>
    <row r="1449" spans="18:30" ht="32.25" customHeight="1">
      <c r="R1449" s="289"/>
      <c r="S1449" s="289"/>
      <c r="T1449" s="289"/>
      <c r="U1449" s="289"/>
      <c r="V1449" s="289"/>
      <c r="W1449" s="289"/>
      <c r="X1449" s="289"/>
      <c r="Y1449" s="289"/>
      <c r="Z1449" s="289"/>
      <c r="AA1449" s="289"/>
      <c r="AB1449" s="289"/>
      <c r="AC1449" s="289"/>
      <c r="AD1449" s="295"/>
    </row>
    <row r="1450" spans="18:30" ht="32.25" customHeight="1">
      <c r="R1450" s="289"/>
      <c r="S1450" s="289"/>
      <c r="T1450" s="289"/>
      <c r="U1450" s="289"/>
      <c r="V1450" s="289"/>
      <c r="W1450" s="289"/>
      <c r="X1450" s="289"/>
      <c r="Y1450" s="289"/>
      <c r="Z1450" s="289"/>
      <c r="AA1450" s="289"/>
      <c r="AB1450" s="289"/>
      <c r="AC1450" s="289"/>
      <c r="AD1450" s="295"/>
    </row>
    <row r="1451" spans="18:30" ht="32.25" customHeight="1">
      <c r="R1451" s="289"/>
      <c r="S1451" s="289"/>
      <c r="T1451" s="289"/>
      <c r="U1451" s="289"/>
      <c r="V1451" s="289"/>
      <c r="W1451" s="289"/>
      <c r="X1451" s="289"/>
      <c r="Y1451" s="289"/>
      <c r="Z1451" s="289"/>
      <c r="AA1451" s="289"/>
      <c r="AB1451" s="289"/>
      <c r="AC1451" s="289"/>
      <c r="AD1451" s="295"/>
    </row>
    <row r="1452" spans="18:30" ht="32.25" customHeight="1">
      <c r="R1452" s="289"/>
      <c r="S1452" s="289"/>
      <c r="T1452" s="289"/>
      <c r="U1452" s="289"/>
      <c r="V1452" s="289"/>
      <c r="W1452" s="289"/>
      <c r="X1452" s="289"/>
      <c r="Y1452" s="289"/>
      <c r="Z1452" s="289"/>
      <c r="AA1452" s="289"/>
      <c r="AB1452" s="289"/>
      <c r="AC1452" s="289"/>
      <c r="AD1452" s="295"/>
    </row>
    <row r="1453" spans="18:30" ht="32.25" customHeight="1">
      <c r="R1453" s="289"/>
      <c r="S1453" s="289"/>
      <c r="T1453" s="289"/>
      <c r="U1453" s="289"/>
      <c r="V1453" s="289"/>
      <c r="W1453" s="289"/>
      <c r="X1453" s="289"/>
      <c r="Y1453" s="289"/>
      <c r="Z1453" s="289"/>
      <c r="AA1453" s="289"/>
      <c r="AB1453" s="289"/>
      <c r="AC1453" s="289"/>
      <c r="AD1453" s="295"/>
    </row>
    <row r="1454" spans="18:30" ht="32.25" customHeight="1">
      <c r="R1454" s="289"/>
      <c r="S1454" s="289"/>
      <c r="T1454" s="289"/>
      <c r="U1454" s="289"/>
      <c r="V1454" s="289"/>
      <c r="W1454" s="289"/>
      <c r="X1454" s="289"/>
      <c r="Y1454" s="289"/>
      <c r="Z1454" s="289"/>
      <c r="AA1454" s="289"/>
      <c r="AB1454" s="289"/>
      <c r="AC1454" s="289"/>
      <c r="AD1454" s="295"/>
    </row>
    <row r="1455" spans="18:30" ht="32.25" customHeight="1">
      <c r="R1455" s="289"/>
      <c r="S1455" s="289"/>
      <c r="T1455" s="289"/>
      <c r="U1455" s="289"/>
      <c r="V1455" s="289"/>
      <c r="W1455" s="289"/>
      <c r="X1455" s="289"/>
      <c r="Y1455" s="289"/>
      <c r="Z1455" s="289"/>
      <c r="AA1455" s="289"/>
      <c r="AB1455" s="289"/>
      <c r="AC1455" s="289"/>
      <c r="AD1455" s="295"/>
    </row>
    <row r="1456" spans="18:30" ht="32.25" customHeight="1">
      <c r="R1456" s="289"/>
      <c r="S1456" s="289"/>
      <c r="T1456" s="289"/>
      <c r="U1456" s="289"/>
      <c r="V1456" s="289"/>
      <c r="W1456" s="289"/>
      <c r="X1456" s="289"/>
      <c r="Y1456" s="289"/>
      <c r="Z1456" s="289"/>
      <c r="AA1456" s="289"/>
      <c r="AB1456" s="289"/>
      <c r="AC1456" s="289"/>
      <c r="AD1456" s="295"/>
    </row>
    <row r="1457" spans="18:30" ht="32.25" customHeight="1">
      <c r="R1457" s="289"/>
      <c r="S1457" s="289"/>
      <c r="T1457" s="289"/>
      <c r="U1457" s="289"/>
      <c r="V1457" s="289"/>
      <c r="W1457" s="289"/>
      <c r="X1457" s="289"/>
      <c r="Y1457" s="289"/>
      <c r="Z1457" s="289"/>
      <c r="AA1457" s="289"/>
      <c r="AB1457" s="289"/>
      <c r="AC1457" s="289"/>
      <c r="AD1457" s="295"/>
    </row>
    <row r="1458" spans="18:30" ht="32.25" customHeight="1">
      <c r="R1458" s="289"/>
      <c r="S1458" s="289"/>
      <c r="T1458" s="289"/>
      <c r="U1458" s="289"/>
      <c r="V1458" s="289"/>
      <c r="W1458" s="289"/>
      <c r="X1458" s="289"/>
      <c r="Y1458" s="289"/>
      <c r="Z1458" s="289"/>
      <c r="AA1458" s="289"/>
      <c r="AB1458" s="289"/>
      <c r="AC1458" s="289"/>
      <c r="AD1458" s="295"/>
    </row>
    <row r="1459" spans="18:30" ht="32.25" customHeight="1">
      <c r="R1459" s="289"/>
      <c r="S1459" s="289"/>
      <c r="T1459" s="289"/>
      <c r="U1459" s="289"/>
      <c r="V1459" s="289"/>
      <c r="W1459" s="289"/>
      <c r="X1459" s="289"/>
      <c r="Y1459" s="289"/>
      <c r="Z1459" s="289"/>
      <c r="AA1459" s="289"/>
      <c r="AB1459" s="289"/>
      <c r="AC1459" s="289"/>
      <c r="AD1459" s="295"/>
    </row>
    <row r="1460" spans="18:30" ht="32.25" customHeight="1">
      <c r="R1460" s="289"/>
      <c r="S1460" s="289"/>
      <c r="T1460" s="289"/>
      <c r="U1460" s="289"/>
      <c r="V1460" s="289"/>
      <c r="W1460" s="289"/>
      <c r="X1460" s="289"/>
      <c r="Y1460" s="289"/>
      <c r="Z1460" s="289"/>
      <c r="AA1460" s="289"/>
      <c r="AB1460" s="289"/>
      <c r="AC1460" s="289"/>
      <c r="AD1460" s="295"/>
    </row>
    <row r="1461" spans="18:30" ht="32.25" customHeight="1">
      <c r="R1461" s="289"/>
      <c r="S1461" s="289"/>
      <c r="T1461" s="289"/>
      <c r="U1461" s="289"/>
      <c r="V1461" s="289"/>
      <c r="W1461" s="289"/>
      <c r="X1461" s="289"/>
      <c r="Y1461" s="289"/>
      <c r="Z1461" s="289"/>
      <c r="AA1461" s="289"/>
      <c r="AB1461" s="289"/>
      <c r="AC1461" s="289"/>
      <c r="AD1461" s="295"/>
    </row>
    <row r="1462" spans="18:30" ht="32.25" customHeight="1">
      <c r="R1462" s="289"/>
      <c r="S1462" s="289"/>
      <c r="T1462" s="289"/>
      <c r="U1462" s="289"/>
      <c r="V1462" s="289"/>
      <c r="W1462" s="289"/>
      <c r="X1462" s="289"/>
      <c r="Y1462" s="289"/>
      <c r="Z1462" s="289"/>
      <c r="AA1462" s="289"/>
      <c r="AB1462" s="289"/>
      <c r="AC1462" s="289"/>
      <c r="AD1462" s="295"/>
    </row>
    <row r="1463" spans="18:30" ht="32.25" customHeight="1">
      <c r="R1463" s="289"/>
      <c r="S1463" s="289"/>
      <c r="T1463" s="289"/>
      <c r="U1463" s="289"/>
      <c r="V1463" s="289"/>
      <c r="W1463" s="289"/>
      <c r="X1463" s="289"/>
      <c r="Y1463" s="289"/>
      <c r="Z1463" s="289"/>
      <c r="AA1463" s="289"/>
      <c r="AB1463" s="289"/>
      <c r="AC1463" s="289"/>
      <c r="AD1463" s="295"/>
    </row>
    <row r="1464" spans="18:30" ht="32.25" customHeight="1">
      <c r="R1464" s="289"/>
      <c r="S1464" s="289"/>
      <c r="T1464" s="289"/>
      <c r="U1464" s="289"/>
      <c r="V1464" s="289"/>
      <c r="W1464" s="289"/>
      <c r="X1464" s="289"/>
      <c r="Y1464" s="289"/>
      <c r="Z1464" s="289"/>
      <c r="AA1464" s="289"/>
      <c r="AB1464" s="289"/>
      <c r="AC1464" s="289"/>
      <c r="AD1464" s="295"/>
    </row>
    <row r="1465" spans="18:30" ht="32.25" customHeight="1">
      <c r="R1465" s="289"/>
      <c r="S1465" s="289"/>
      <c r="T1465" s="289"/>
      <c r="U1465" s="289"/>
      <c r="V1465" s="289"/>
      <c r="W1465" s="289"/>
      <c r="X1465" s="289"/>
      <c r="Y1465" s="289"/>
      <c r="Z1465" s="289"/>
      <c r="AA1465" s="289"/>
      <c r="AB1465" s="289"/>
      <c r="AC1465" s="289"/>
      <c r="AD1465" s="295"/>
    </row>
    <row r="1466" spans="18:30" ht="32.25" customHeight="1">
      <c r="R1466" s="289"/>
      <c r="S1466" s="289"/>
      <c r="T1466" s="289"/>
      <c r="U1466" s="289"/>
      <c r="V1466" s="289"/>
      <c r="W1466" s="289"/>
      <c r="X1466" s="289"/>
      <c r="Y1466" s="289"/>
      <c r="Z1466" s="289"/>
      <c r="AA1466" s="289"/>
      <c r="AB1466" s="289"/>
      <c r="AC1466" s="289"/>
      <c r="AD1466" s="295"/>
    </row>
    <row r="1467" spans="18:30" ht="32.25" customHeight="1">
      <c r="R1467" s="289"/>
      <c r="S1467" s="289"/>
      <c r="T1467" s="289"/>
      <c r="U1467" s="289"/>
      <c r="V1467" s="289"/>
      <c r="W1467" s="289"/>
      <c r="X1467" s="289"/>
      <c r="Y1467" s="289"/>
      <c r="Z1467" s="289"/>
      <c r="AA1467" s="289"/>
      <c r="AB1467" s="289"/>
      <c r="AC1467" s="289"/>
      <c r="AD1467" s="295"/>
    </row>
    <row r="1468" spans="18:30" ht="32.25" customHeight="1">
      <c r="R1468" s="289"/>
      <c r="S1468" s="289"/>
      <c r="T1468" s="289"/>
      <c r="U1468" s="289"/>
      <c r="V1468" s="289"/>
      <c r="W1468" s="289"/>
      <c r="X1468" s="289"/>
      <c r="Y1468" s="289"/>
      <c r="Z1468" s="289"/>
      <c r="AA1468" s="289"/>
      <c r="AB1468" s="289"/>
      <c r="AC1468" s="289"/>
      <c r="AD1468" s="295"/>
    </row>
    <row r="1469" spans="18:30" ht="32.25" customHeight="1">
      <c r="R1469" s="289"/>
      <c r="S1469" s="289"/>
      <c r="T1469" s="289"/>
      <c r="U1469" s="289"/>
      <c r="V1469" s="289"/>
      <c r="W1469" s="289"/>
      <c r="X1469" s="289"/>
      <c r="Y1469" s="289"/>
      <c r="Z1469" s="289"/>
      <c r="AA1469" s="289"/>
      <c r="AB1469" s="289"/>
      <c r="AC1469" s="289"/>
      <c r="AD1469" s="295"/>
    </row>
    <row r="1470" spans="18:30" ht="32.25" customHeight="1">
      <c r="R1470" s="289"/>
      <c r="S1470" s="289"/>
      <c r="T1470" s="289"/>
      <c r="U1470" s="289"/>
      <c r="V1470" s="289"/>
      <c r="W1470" s="289"/>
      <c r="X1470" s="289"/>
      <c r="Y1470" s="289"/>
      <c r="Z1470" s="289"/>
      <c r="AA1470" s="289"/>
      <c r="AB1470" s="289"/>
      <c r="AC1470" s="289"/>
      <c r="AD1470" s="295"/>
    </row>
    <row r="1471" spans="18:30" ht="32.25" customHeight="1">
      <c r="R1471" s="289"/>
      <c r="S1471" s="289"/>
      <c r="T1471" s="289"/>
      <c r="U1471" s="289"/>
      <c r="V1471" s="289"/>
      <c r="W1471" s="289"/>
      <c r="X1471" s="289"/>
      <c r="Y1471" s="289"/>
      <c r="Z1471" s="289"/>
      <c r="AA1471" s="289"/>
      <c r="AB1471" s="289"/>
      <c r="AC1471" s="289"/>
      <c r="AD1471" s="295"/>
    </row>
    <row r="1472" spans="18:30" ht="32.25" customHeight="1">
      <c r="R1472" s="289"/>
      <c r="S1472" s="289"/>
      <c r="T1472" s="289"/>
      <c r="U1472" s="289"/>
      <c r="V1472" s="289"/>
      <c r="W1472" s="289"/>
      <c r="X1472" s="289"/>
      <c r="Y1472" s="289"/>
      <c r="Z1472" s="289"/>
      <c r="AA1472" s="289"/>
      <c r="AB1472" s="289"/>
      <c r="AC1472" s="289"/>
      <c r="AD1472" s="295"/>
    </row>
    <row r="1473" spans="18:30" ht="32.25" customHeight="1">
      <c r="R1473" s="289"/>
      <c r="S1473" s="289"/>
      <c r="T1473" s="289"/>
      <c r="U1473" s="289"/>
      <c r="V1473" s="289"/>
      <c r="W1473" s="289"/>
      <c r="X1473" s="289"/>
      <c r="Y1473" s="289"/>
      <c r="Z1473" s="289"/>
      <c r="AA1473" s="289"/>
      <c r="AB1473" s="289"/>
      <c r="AC1473" s="289"/>
      <c r="AD1473" s="295"/>
    </row>
    <row r="1474" spans="18:30" ht="32.25" customHeight="1">
      <c r="R1474" s="289"/>
      <c r="S1474" s="289"/>
      <c r="T1474" s="289"/>
      <c r="U1474" s="289"/>
      <c r="V1474" s="289"/>
      <c r="W1474" s="289"/>
      <c r="X1474" s="289"/>
      <c r="Y1474" s="289"/>
      <c r="Z1474" s="289"/>
      <c r="AA1474" s="289"/>
      <c r="AB1474" s="289"/>
      <c r="AC1474" s="289"/>
      <c r="AD1474" s="295"/>
    </row>
    <row r="1475" spans="18:30" ht="32.25" customHeight="1">
      <c r="R1475" s="289"/>
      <c r="S1475" s="289"/>
      <c r="T1475" s="289"/>
      <c r="U1475" s="289"/>
      <c r="V1475" s="289"/>
      <c r="W1475" s="289"/>
      <c r="X1475" s="289"/>
      <c r="Y1475" s="289"/>
      <c r="Z1475" s="289"/>
      <c r="AA1475" s="289"/>
      <c r="AB1475" s="289"/>
      <c r="AC1475" s="289"/>
      <c r="AD1475" s="295"/>
    </row>
    <row r="1476" spans="18:30" ht="32.25" customHeight="1">
      <c r="R1476" s="289"/>
      <c r="S1476" s="289"/>
      <c r="T1476" s="289"/>
      <c r="U1476" s="289"/>
      <c r="V1476" s="289"/>
      <c r="W1476" s="289"/>
      <c r="X1476" s="289"/>
      <c r="Y1476" s="289"/>
      <c r="Z1476" s="289"/>
      <c r="AA1476" s="289"/>
      <c r="AB1476" s="289"/>
      <c r="AC1476" s="289"/>
      <c r="AD1476" s="295"/>
    </row>
    <row r="1477" spans="18:30" ht="32.25" customHeight="1">
      <c r="R1477" s="289"/>
      <c r="S1477" s="289"/>
      <c r="T1477" s="289"/>
      <c r="U1477" s="289"/>
      <c r="V1477" s="289"/>
      <c r="W1477" s="289"/>
      <c r="X1477" s="289"/>
      <c r="Y1477" s="289"/>
      <c r="Z1477" s="289"/>
      <c r="AA1477" s="289"/>
      <c r="AB1477" s="289"/>
      <c r="AC1477" s="289"/>
      <c r="AD1477" s="295"/>
    </row>
    <row r="1478" spans="18:30" ht="32.25" customHeight="1">
      <c r="R1478" s="289"/>
      <c r="S1478" s="289"/>
      <c r="T1478" s="289"/>
      <c r="U1478" s="289"/>
      <c r="V1478" s="289"/>
      <c r="W1478" s="289"/>
      <c r="X1478" s="289"/>
      <c r="Y1478" s="289"/>
      <c r="Z1478" s="289"/>
      <c r="AA1478" s="289"/>
      <c r="AB1478" s="289"/>
      <c r="AC1478" s="289"/>
      <c r="AD1478" s="295"/>
    </row>
    <row r="1479" spans="18:30" ht="32.25" customHeight="1">
      <c r="R1479" s="289"/>
      <c r="S1479" s="289"/>
      <c r="T1479" s="289"/>
      <c r="U1479" s="289"/>
      <c r="V1479" s="289"/>
      <c r="W1479" s="289"/>
      <c r="X1479" s="289"/>
      <c r="Y1479" s="289"/>
      <c r="Z1479" s="289"/>
      <c r="AA1479" s="289"/>
      <c r="AB1479" s="289"/>
      <c r="AC1479" s="289"/>
      <c r="AD1479" s="295"/>
    </row>
    <row r="1480" spans="18:30" ht="32.25" customHeight="1">
      <c r="R1480" s="289"/>
      <c r="S1480" s="289"/>
      <c r="T1480" s="289"/>
      <c r="U1480" s="289"/>
      <c r="V1480" s="289"/>
      <c r="W1480" s="289"/>
      <c r="X1480" s="289"/>
      <c r="Y1480" s="289"/>
      <c r="Z1480" s="289"/>
      <c r="AA1480" s="289"/>
      <c r="AB1480" s="289"/>
      <c r="AC1480" s="289"/>
      <c r="AD1480" s="295"/>
    </row>
    <row r="1481" spans="18:30" ht="32.25" customHeight="1">
      <c r="R1481" s="289"/>
      <c r="S1481" s="289"/>
      <c r="T1481" s="289"/>
      <c r="U1481" s="289"/>
      <c r="V1481" s="289"/>
      <c r="W1481" s="289"/>
      <c r="X1481" s="289"/>
      <c r="Y1481" s="289"/>
      <c r="Z1481" s="289"/>
      <c r="AA1481" s="289"/>
      <c r="AB1481" s="289"/>
      <c r="AC1481" s="289"/>
      <c r="AD1481" s="295"/>
    </row>
    <row r="1482" spans="18:30" ht="32.25" customHeight="1">
      <c r="R1482" s="289"/>
      <c r="S1482" s="289"/>
      <c r="T1482" s="289"/>
      <c r="U1482" s="289"/>
      <c r="V1482" s="289"/>
      <c r="W1482" s="289"/>
      <c r="X1482" s="289"/>
      <c r="Y1482" s="289"/>
      <c r="Z1482" s="289"/>
      <c r="AA1482" s="289"/>
      <c r="AB1482" s="289"/>
      <c r="AC1482" s="289"/>
      <c r="AD1482" s="295"/>
    </row>
    <row r="1483" spans="18:30" ht="32.25" customHeight="1">
      <c r="R1483" s="289"/>
      <c r="S1483" s="289"/>
      <c r="T1483" s="289"/>
      <c r="U1483" s="289"/>
      <c r="V1483" s="289"/>
      <c r="W1483" s="289"/>
      <c r="X1483" s="289"/>
      <c r="Y1483" s="289"/>
      <c r="Z1483" s="289"/>
      <c r="AA1483" s="289"/>
      <c r="AB1483" s="289"/>
      <c r="AC1483" s="289"/>
      <c r="AD1483" s="295"/>
    </row>
    <row r="1484" spans="18:30" ht="32.25" customHeight="1">
      <c r="R1484" s="289"/>
      <c r="S1484" s="289"/>
      <c r="T1484" s="289"/>
      <c r="U1484" s="289"/>
      <c r="V1484" s="289"/>
      <c r="W1484" s="289"/>
      <c r="X1484" s="289"/>
      <c r="Y1484" s="289"/>
      <c r="Z1484" s="289"/>
      <c r="AA1484" s="289"/>
      <c r="AB1484" s="289"/>
      <c r="AC1484" s="289"/>
      <c r="AD1484" s="295"/>
    </row>
    <row r="1485" spans="18:30" ht="32.25" customHeight="1">
      <c r="R1485" s="289"/>
      <c r="S1485" s="289"/>
      <c r="T1485" s="289"/>
      <c r="U1485" s="289"/>
      <c r="V1485" s="289"/>
      <c r="W1485" s="289"/>
      <c r="X1485" s="289"/>
      <c r="Y1485" s="289"/>
      <c r="Z1485" s="289"/>
      <c r="AA1485" s="289"/>
      <c r="AB1485" s="289"/>
      <c r="AC1485" s="289"/>
      <c r="AD1485" s="295"/>
    </row>
    <row r="1486" spans="18:30" ht="32.25" customHeight="1">
      <c r="R1486" s="289"/>
      <c r="S1486" s="289"/>
      <c r="T1486" s="289"/>
      <c r="U1486" s="289"/>
      <c r="V1486" s="289"/>
      <c r="W1486" s="289"/>
      <c r="X1486" s="289"/>
      <c r="Y1486" s="289"/>
      <c r="Z1486" s="289"/>
      <c r="AA1486" s="289"/>
      <c r="AB1486" s="289"/>
      <c r="AC1486" s="289"/>
      <c r="AD1486" s="295"/>
    </row>
    <row r="1487" spans="18:30" ht="32.25" customHeight="1">
      <c r="R1487" s="289"/>
      <c r="S1487" s="289"/>
      <c r="T1487" s="289"/>
      <c r="U1487" s="289"/>
      <c r="V1487" s="289"/>
      <c r="W1487" s="289"/>
      <c r="X1487" s="289"/>
      <c r="Y1487" s="289"/>
      <c r="Z1487" s="289"/>
      <c r="AA1487" s="289"/>
      <c r="AB1487" s="289"/>
      <c r="AC1487" s="289"/>
      <c r="AD1487" s="295"/>
    </row>
    <row r="1488" spans="18:30" ht="32.25" customHeight="1">
      <c r="R1488" s="289"/>
      <c r="S1488" s="289"/>
      <c r="T1488" s="289"/>
      <c r="U1488" s="289"/>
      <c r="V1488" s="289"/>
      <c r="W1488" s="289"/>
      <c r="X1488" s="289"/>
      <c r="Y1488" s="289"/>
      <c r="Z1488" s="289"/>
      <c r="AA1488" s="289"/>
      <c r="AB1488" s="289"/>
      <c r="AC1488" s="289"/>
      <c r="AD1488" s="295"/>
    </row>
    <row r="1489" spans="18:30" ht="32.25" customHeight="1">
      <c r="R1489" s="289"/>
      <c r="S1489" s="289"/>
      <c r="T1489" s="289"/>
      <c r="U1489" s="289"/>
      <c r="V1489" s="289"/>
      <c r="W1489" s="289"/>
      <c r="X1489" s="289"/>
      <c r="Y1489" s="289"/>
      <c r="Z1489" s="289"/>
      <c r="AA1489" s="289"/>
      <c r="AB1489" s="289"/>
      <c r="AC1489" s="289"/>
      <c r="AD1489" s="295"/>
    </row>
    <row r="1490" spans="18:30" ht="32.25" customHeight="1">
      <c r="R1490" s="289"/>
      <c r="S1490" s="289"/>
      <c r="T1490" s="289"/>
      <c r="U1490" s="289"/>
      <c r="V1490" s="289"/>
      <c r="W1490" s="289"/>
      <c r="X1490" s="289"/>
      <c r="Y1490" s="289"/>
      <c r="Z1490" s="289"/>
      <c r="AA1490" s="289"/>
      <c r="AB1490" s="289"/>
      <c r="AC1490" s="289"/>
      <c r="AD1490" s="295"/>
    </row>
    <row r="1491" spans="18:30" ht="32.25" customHeight="1">
      <c r="R1491" s="289"/>
      <c r="S1491" s="289"/>
      <c r="T1491" s="289"/>
      <c r="U1491" s="289"/>
      <c r="V1491" s="289"/>
      <c r="W1491" s="289"/>
      <c r="X1491" s="289"/>
      <c r="Y1491" s="289"/>
      <c r="Z1491" s="289"/>
      <c r="AA1491" s="289"/>
      <c r="AB1491" s="289"/>
      <c r="AC1491" s="289"/>
      <c r="AD1491" s="295"/>
    </row>
    <row r="1492" spans="18:30" ht="32.25" customHeight="1">
      <c r="R1492" s="289"/>
      <c r="S1492" s="289"/>
      <c r="T1492" s="289"/>
      <c r="U1492" s="289"/>
      <c r="V1492" s="289"/>
      <c r="W1492" s="289"/>
      <c r="X1492" s="289"/>
      <c r="Y1492" s="289"/>
      <c r="Z1492" s="289"/>
      <c r="AA1492" s="289"/>
      <c r="AB1492" s="289"/>
      <c r="AC1492" s="289"/>
      <c r="AD1492" s="295"/>
    </row>
    <row r="1493" spans="18:30" ht="32.25" customHeight="1">
      <c r="R1493" s="289"/>
      <c r="S1493" s="289"/>
      <c r="T1493" s="289"/>
      <c r="U1493" s="289"/>
      <c r="V1493" s="289"/>
      <c r="W1493" s="289"/>
      <c r="X1493" s="289"/>
      <c r="Y1493" s="289"/>
      <c r="Z1493" s="289"/>
      <c r="AA1493" s="289"/>
      <c r="AB1493" s="289"/>
      <c r="AC1493" s="289"/>
      <c r="AD1493" s="295"/>
    </row>
    <row r="1494" spans="18:30" ht="32.25" customHeight="1">
      <c r="R1494" s="289"/>
      <c r="S1494" s="289"/>
      <c r="T1494" s="289"/>
      <c r="U1494" s="289"/>
      <c r="V1494" s="289"/>
      <c r="W1494" s="289"/>
      <c r="X1494" s="289"/>
      <c r="Y1494" s="289"/>
      <c r="Z1494" s="289"/>
      <c r="AA1494" s="289"/>
      <c r="AB1494" s="289"/>
      <c r="AC1494" s="289"/>
      <c r="AD1494" s="295"/>
    </row>
    <row r="1495" spans="18:30" ht="32.25" customHeight="1">
      <c r="R1495" s="289"/>
      <c r="S1495" s="289"/>
      <c r="T1495" s="289"/>
      <c r="U1495" s="289"/>
      <c r="V1495" s="289"/>
      <c r="W1495" s="289"/>
      <c r="X1495" s="289"/>
      <c r="Y1495" s="289"/>
      <c r="Z1495" s="289"/>
      <c r="AA1495" s="289"/>
      <c r="AB1495" s="289"/>
      <c r="AC1495" s="289"/>
      <c r="AD1495" s="295"/>
    </row>
    <row r="1496" spans="18:30" ht="32.25" customHeight="1">
      <c r="R1496" s="289"/>
      <c r="S1496" s="289"/>
      <c r="T1496" s="289"/>
      <c r="U1496" s="289"/>
      <c r="V1496" s="289"/>
      <c r="W1496" s="289"/>
      <c r="X1496" s="289"/>
      <c r="Y1496" s="289"/>
      <c r="Z1496" s="289"/>
      <c r="AA1496" s="289"/>
      <c r="AB1496" s="289"/>
      <c r="AC1496" s="289"/>
      <c r="AD1496" s="295"/>
    </row>
    <row r="1497" spans="18:30" ht="32.25" customHeight="1">
      <c r="R1497" s="289"/>
      <c r="S1497" s="289"/>
      <c r="T1497" s="289"/>
      <c r="U1497" s="289"/>
      <c r="V1497" s="289"/>
      <c r="W1497" s="289"/>
      <c r="X1497" s="289"/>
      <c r="Y1497" s="289"/>
      <c r="Z1497" s="289"/>
      <c r="AA1497" s="289"/>
      <c r="AB1497" s="289"/>
      <c r="AC1497" s="289"/>
      <c r="AD1497" s="295"/>
    </row>
    <row r="1498" spans="18:30" ht="32.25" customHeight="1">
      <c r="R1498" s="289"/>
      <c r="S1498" s="289"/>
      <c r="T1498" s="289"/>
      <c r="U1498" s="289"/>
      <c r="V1498" s="289"/>
      <c r="W1498" s="289"/>
      <c r="X1498" s="289"/>
      <c r="Y1498" s="289"/>
      <c r="Z1498" s="289"/>
      <c r="AA1498" s="289"/>
      <c r="AB1498" s="289"/>
      <c r="AC1498" s="289"/>
      <c r="AD1498" s="295"/>
    </row>
    <row r="1499" spans="18:30" ht="32.25" customHeight="1">
      <c r="R1499" s="289"/>
      <c r="S1499" s="289"/>
      <c r="T1499" s="289"/>
      <c r="U1499" s="289"/>
      <c r="V1499" s="289"/>
      <c r="W1499" s="289"/>
      <c r="X1499" s="289"/>
      <c r="Y1499" s="289"/>
      <c r="Z1499" s="289"/>
      <c r="AA1499" s="289"/>
      <c r="AB1499" s="289"/>
      <c r="AC1499" s="289"/>
      <c r="AD1499" s="295"/>
    </row>
    <row r="1500" spans="18:30" ht="32.25" customHeight="1">
      <c r="R1500" s="289"/>
      <c r="S1500" s="289"/>
      <c r="T1500" s="289"/>
      <c r="U1500" s="289"/>
      <c r="V1500" s="289"/>
      <c r="W1500" s="289"/>
      <c r="X1500" s="289"/>
      <c r="Y1500" s="289"/>
      <c r="Z1500" s="289"/>
      <c r="AA1500" s="289"/>
      <c r="AB1500" s="289"/>
      <c r="AC1500" s="289"/>
      <c r="AD1500" s="295"/>
    </row>
    <row r="1501" spans="18:30" ht="32.25" customHeight="1">
      <c r="R1501" s="289"/>
      <c r="S1501" s="289"/>
      <c r="T1501" s="289"/>
      <c r="U1501" s="289"/>
      <c r="V1501" s="289"/>
      <c r="W1501" s="289"/>
      <c r="X1501" s="289"/>
      <c r="Y1501" s="289"/>
      <c r="Z1501" s="289"/>
      <c r="AA1501" s="289"/>
      <c r="AB1501" s="289"/>
      <c r="AC1501" s="289"/>
      <c r="AD1501" s="295"/>
    </row>
    <row r="1502" spans="18:30" ht="32.25" customHeight="1">
      <c r="R1502" s="289"/>
      <c r="S1502" s="289"/>
      <c r="T1502" s="289"/>
      <c r="U1502" s="289"/>
      <c r="V1502" s="289"/>
      <c r="W1502" s="289"/>
      <c r="X1502" s="289"/>
      <c r="Y1502" s="289"/>
      <c r="Z1502" s="289"/>
      <c r="AA1502" s="289"/>
      <c r="AB1502" s="289"/>
      <c r="AC1502" s="289"/>
      <c r="AD1502" s="295"/>
    </row>
    <row r="1503" spans="18:30" ht="32.25" customHeight="1">
      <c r="R1503" s="289"/>
      <c r="S1503" s="289"/>
      <c r="T1503" s="289"/>
      <c r="U1503" s="289"/>
      <c r="V1503" s="289"/>
      <c r="W1503" s="289"/>
      <c r="X1503" s="289"/>
      <c r="Y1503" s="289"/>
      <c r="Z1503" s="289"/>
      <c r="AA1503" s="289"/>
      <c r="AB1503" s="289"/>
      <c r="AC1503" s="289"/>
      <c r="AD1503" s="295"/>
    </row>
    <row r="1504" spans="18:30" ht="32.25" customHeight="1">
      <c r="R1504" s="289"/>
      <c r="S1504" s="289"/>
      <c r="T1504" s="289"/>
      <c r="U1504" s="289"/>
      <c r="V1504" s="289"/>
      <c r="W1504" s="289"/>
      <c r="X1504" s="289"/>
      <c r="Y1504" s="289"/>
      <c r="Z1504" s="289"/>
      <c r="AA1504" s="289"/>
      <c r="AB1504" s="289"/>
      <c r="AC1504" s="289"/>
      <c r="AD1504" s="295"/>
    </row>
    <row r="1505" spans="18:30" ht="32.25" customHeight="1">
      <c r="R1505" s="289"/>
      <c r="S1505" s="289"/>
      <c r="T1505" s="289"/>
      <c r="U1505" s="289"/>
      <c r="V1505" s="289"/>
      <c r="W1505" s="289"/>
      <c r="X1505" s="289"/>
      <c r="Y1505" s="289"/>
      <c r="Z1505" s="289"/>
      <c r="AA1505" s="289"/>
      <c r="AB1505" s="289"/>
      <c r="AC1505" s="289"/>
      <c r="AD1505" s="295"/>
    </row>
    <row r="1506" spans="18:30" ht="32.25" customHeight="1">
      <c r="R1506" s="289"/>
      <c r="S1506" s="289"/>
      <c r="T1506" s="289"/>
      <c r="U1506" s="289"/>
      <c r="V1506" s="289"/>
      <c r="W1506" s="289"/>
      <c r="X1506" s="289"/>
      <c r="Y1506" s="289"/>
      <c r="Z1506" s="289"/>
      <c r="AA1506" s="289"/>
      <c r="AB1506" s="289"/>
      <c r="AC1506" s="289"/>
      <c r="AD1506" s="295"/>
    </row>
    <row r="1507" spans="18:30" ht="32.25" customHeight="1">
      <c r="R1507" s="289"/>
      <c r="S1507" s="289"/>
      <c r="T1507" s="289"/>
      <c r="U1507" s="289"/>
      <c r="V1507" s="289"/>
      <c r="W1507" s="289"/>
      <c r="X1507" s="289"/>
      <c r="Y1507" s="289"/>
      <c r="Z1507" s="289"/>
      <c r="AA1507" s="289"/>
      <c r="AB1507" s="289"/>
      <c r="AC1507" s="289"/>
      <c r="AD1507" s="295"/>
    </row>
    <row r="1508" spans="18:30" ht="32.25" customHeight="1">
      <c r="R1508" s="289"/>
      <c r="S1508" s="289"/>
      <c r="T1508" s="289"/>
      <c r="U1508" s="289"/>
      <c r="V1508" s="289"/>
      <c r="W1508" s="289"/>
      <c r="X1508" s="289"/>
      <c r="Y1508" s="289"/>
      <c r="Z1508" s="289"/>
      <c r="AA1508" s="289"/>
      <c r="AB1508" s="289"/>
      <c r="AC1508" s="289"/>
      <c r="AD1508" s="295"/>
    </row>
    <row r="1509" spans="18:30" ht="32.25" customHeight="1">
      <c r="R1509" s="289"/>
      <c r="S1509" s="289"/>
      <c r="T1509" s="289"/>
      <c r="U1509" s="289"/>
      <c r="V1509" s="289"/>
      <c r="W1509" s="289"/>
      <c r="X1509" s="289"/>
      <c r="Y1509" s="289"/>
      <c r="Z1509" s="289"/>
      <c r="AA1509" s="289"/>
      <c r="AB1509" s="289"/>
      <c r="AC1509" s="289"/>
      <c r="AD1509" s="295"/>
    </row>
    <row r="1510" spans="18:30" ht="32.25" customHeight="1">
      <c r="R1510" s="289"/>
      <c r="S1510" s="289"/>
      <c r="T1510" s="289"/>
      <c r="U1510" s="289"/>
      <c r="V1510" s="289"/>
      <c r="W1510" s="289"/>
      <c r="X1510" s="289"/>
      <c r="Y1510" s="289"/>
      <c r="Z1510" s="289"/>
      <c r="AA1510" s="289"/>
      <c r="AB1510" s="289"/>
      <c r="AC1510" s="289"/>
      <c r="AD1510" s="295"/>
    </row>
    <row r="1511" spans="18:30" ht="32.25" customHeight="1">
      <c r="R1511" s="289"/>
      <c r="S1511" s="289"/>
      <c r="T1511" s="289"/>
      <c r="U1511" s="289"/>
      <c r="V1511" s="289"/>
      <c r="W1511" s="289"/>
      <c r="X1511" s="289"/>
      <c r="Y1511" s="289"/>
      <c r="Z1511" s="289"/>
      <c r="AA1511" s="289"/>
      <c r="AB1511" s="289"/>
      <c r="AC1511" s="289"/>
      <c r="AD1511" s="295"/>
    </row>
    <row r="1512" spans="18:30" ht="32.25" customHeight="1">
      <c r="R1512" s="289"/>
      <c r="S1512" s="289"/>
      <c r="T1512" s="289"/>
      <c r="U1512" s="289"/>
      <c r="V1512" s="289"/>
      <c r="W1512" s="289"/>
      <c r="X1512" s="289"/>
      <c r="Y1512" s="289"/>
      <c r="Z1512" s="289"/>
      <c r="AA1512" s="289"/>
      <c r="AB1512" s="289"/>
      <c r="AC1512" s="289"/>
      <c r="AD1512" s="295"/>
    </row>
    <row r="1513" spans="18:30" ht="32.25" customHeight="1">
      <c r="R1513" s="289"/>
      <c r="S1513" s="289"/>
      <c r="T1513" s="289"/>
      <c r="U1513" s="289"/>
      <c r="V1513" s="289"/>
      <c r="W1513" s="289"/>
      <c r="X1513" s="289"/>
      <c r="Y1513" s="289"/>
      <c r="Z1513" s="289"/>
      <c r="AA1513" s="289"/>
      <c r="AB1513" s="289"/>
      <c r="AC1513" s="289"/>
      <c r="AD1513" s="295"/>
    </row>
    <row r="1514" spans="18:30" ht="32.25" customHeight="1">
      <c r="R1514" s="289"/>
      <c r="S1514" s="289"/>
      <c r="T1514" s="289"/>
      <c r="U1514" s="289"/>
      <c r="V1514" s="289"/>
      <c r="W1514" s="289"/>
      <c r="X1514" s="289"/>
      <c r="Y1514" s="289"/>
      <c r="Z1514" s="289"/>
      <c r="AA1514" s="289"/>
      <c r="AB1514" s="289"/>
      <c r="AC1514" s="289"/>
      <c r="AD1514" s="295"/>
    </row>
    <row r="1515" spans="18:30" ht="32.25" customHeight="1">
      <c r="R1515" s="289"/>
      <c r="S1515" s="289"/>
      <c r="T1515" s="289"/>
      <c r="U1515" s="289"/>
      <c r="V1515" s="289"/>
      <c r="W1515" s="289"/>
      <c r="X1515" s="289"/>
      <c r="Y1515" s="289"/>
      <c r="Z1515" s="289"/>
      <c r="AA1515" s="289"/>
      <c r="AB1515" s="289"/>
      <c r="AC1515" s="289"/>
      <c r="AD1515" s="295"/>
    </row>
    <row r="1516" spans="18:30" ht="32.25" customHeight="1">
      <c r="R1516" s="289"/>
      <c r="S1516" s="289"/>
      <c r="T1516" s="289"/>
      <c r="U1516" s="289"/>
      <c r="V1516" s="289"/>
      <c r="W1516" s="289"/>
      <c r="X1516" s="289"/>
      <c r="Y1516" s="289"/>
      <c r="Z1516" s="289"/>
      <c r="AA1516" s="289"/>
      <c r="AB1516" s="289"/>
      <c r="AC1516" s="289"/>
      <c r="AD1516" s="295"/>
    </row>
    <row r="1517" spans="18:30" ht="32.25" customHeight="1">
      <c r="R1517" s="289"/>
      <c r="S1517" s="289"/>
      <c r="T1517" s="289"/>
      <c r="U1517" s="289"/>
      <c r="V1517" s="289"/>
      <c r="W1517" s="289"/>
      <c r="X1517" s="289"/>
      <c r="Y1517" s="289"/>
      <c r="Z1517" s="289"/>
      <c r="AA1517" s="289"/>
      <c r="AB1517" s="289"/>
      <c r="AC1517" s="289"/>
      <c r="AD1517" s="295"/>
    </row>
    <row r="1518" spans="18:30" ht="32.25" customHeight="1">
      <c r="R1518" s="289"/>
      <c r="S1518" s="289"/>
      <c r="T1518" s="289"/>
      <c r="U1518" s="289"/>
      <c r="V1518" s="289"/>
      <c r="W1518" s="289"/>
      <c r="X1518" s="289"/>
      <c r="Y1518" s="289"/>
      <c r="Z1518" s="289"/>
      <c r="AA1518" s="289"/>
      <c r="AB1518" s="289"/>
      <c r="AC1518" s="289"/>
      <c r="AD1518" s="295"/>
    </row>
    <row r="1519" spans="18:30" ht="32.25" customHeight="1">
      <c r="R1519" s="289"/>
      <c r="S1519" s="289"/>
      <c r="T1519" s="289"/>
      <c r="U1519" s="289"/>
      <c r="V1519" s="289"/>
      <c r="W1519" s="289"/>
      <c r="X1519" s="289"/>
      <c r="Y1519" s="289"/>
      <c r="Z1519" s="289"/>
      <c r="AA1519" s="289"/>
      <c r="AB1519" s="289"/>
      <c r="AC1519" s="289"/>
      <c r="AD1519" s="295"/>
    </row>
    <row r="1520" spans="18:30" ht="32.25" customHeight="1">
      <c r="R1520" s="289"/>
      <c r="S1520" s="289"/>
      <c r="T1520" s="289"/>
      <c r="U1520" s="289"/>
      <c r="V1520" s="289"/>
      <c r="W1520" s="289"/>
      <c r="X1520" s="289"/>
      <c r="Y1520" s="289"/>
      <c r="Z1520" s="289"/>
      <c r="AA1520" s="289"/>
      <c r="AB1520" s="289"/>
      <c r="AC1520" s="289"/>
      <c r="AD1520" s="295"/>
    </row>
    <row r="1521" spans="18:30" ht="32.25" customHeight="1">
      <c r="R1521" s="289"/>
      <c r="S1521" s="289"/>
      <c r="T1521" s="289"/>
      <c r="U1521" s="289"/>
      <c r="V1521" s="289"/>
      <c r="W1521" s="289"/>
      <c r="X1521" s="289"/>
      <c r="Y1521" s="289"/>
      <c r="Z1521" s="289"/>
      <c r="AA1521" s="289"/>
      <c r="AB1521" s="289"/>
      <c r="AC1521" s="289"/>
      <c r="AD1521" s="295"/>
    </row>
    <row r="1522" spans="18:30" ht="32.25" customHeight="1">
      <c r="R1522" s="289"/>
      <c r="S1522" s="289"/>
      <c r="T1522" s="289"/>
      <c r="U1522" s="289"/>
      <c r="V1522" s="289"/>
      <c r="W1522" s="289"/>
      <c r="X1522" s="289"/>
      <c r="Y1522" s="289"/>
      <c r="Z1522" s="289"/>
      <c r="AA1522" s="289"/>
      <c r="AB1522" s="289"/>
      <c r="AC1522" s="289"/>
      <c r="AD1522" s="295"/>
    </row>
    <row r="1523" spans="18:30" ht="32.25" customHeight="1">
      <c r="R1523" s="289"/>
      <c r="S1523" s="289"/>
      <c r="T1523" s="289"/>
      <c r="U1523" s="289"/>
      <c r="V1523" s="289"/>
      <c r="W1523" s="289"/>
      <c r="X1523" s="289"/>
      <c r="Y1523" s="289"/>
      <c r="Z1523" s="289"/>
      <c r="AA1523" s="289"/>
      <c r="AB1523" s="289"/>
      <c r="AC1523" s="289"/>
      <c r="AD1523" s="295"/>
    </row>
    <row r="1524" spans="18:30" ht="32.25" customHeight="1">
      <c r="R1524" s="289"/>
      <c r="S1524" s="289"/>
      <c r="T1524" s="289"/>
      <c r="U1524" s="289"/>
      <c r="V1524" s="289"/>
      <c r="W1524" s="289"/>
      <c r="X1524" s="289"/>
      <c r="Y1524" s="289"/>
      <c r="Z1524" s="289"/>
      <c r="AA1524" s="289"/>
      <c r="AB1524" s="289"/>
      <c r="AC1524" s="289"/>
      <c r="AD1524" s="295"/>
    </row>
    <row r="1525" spans="18:30" ht="32.25" customHeight="1">
      <c r="R1525" s="289"/>
      <c r="S1525" s="289"/>
      <c r="T1525" s="289"/>
      <c r="U1525" s="289"/>
      <c r="V1525" s="289"/>
      <c r="W1525" s="289"/>
      <c r="X1525" s="289"/>
      <c r="Y1525" s="289"/>
      <c r="Z1525" s="289"/>
      <c r="AA1525" s="289"/>
      <c r="AB1525" s="289"/>
      <c r="AC1525" s="289"/>
      <c r="AD1525" s="295"/>
    </row>
    <row r="1526" spans="18:30" ht="32.25" customHeight="1">
      <c r="R1526" s="289"/>
      <c r="S1526" s="289"/>
      <c r="T1526" s="289"/>
      <c r="U1526" s="289"/>
      <c r="V1526" s="289"/>
      <c r="W1526" s="289"/>
      <c r="X1526" s="289"/>
      <c r="Y1526" s="289"/>
      <c r="Z1526" s="289"/>
      <c r="AA1526" s="289"/>
      <c r="AB1526" s="289"/>
      <c r="AC1526" s="289"/>
      <c r="AD1526" s="295"/>
    </row>
    <row r="1527" spans="18:30" ht="32.25" customHeight="1">
      <c r="R1527" s="289"/>
      <c r="S1527" s="289"/>
      <c r="T1527" s="289"/>
      <c r="U1527" s="289"/>
      <c r="V1527" s="289"/>
      <c r="W1527" s="289"/>
      <c r="X1527" s="289"/>
      <c r="Y1527" s="289"/>
      <c r="Z1527" s="289"/>
      <c r="AA1527" s="289"/>
      <c r="AB1527" s="289"/>
      <c r="AC1527" s="289"/>
      <c r="AD1527" s="295"/>
    </row>
    <row r="1528" spans="18:30" ht="32.25" customHeight="1">
      <c r="R1528" s="289"/>
      <c r="S1528" s="289"/>
      <c r="T1528" s="289"/>
      <c r="U1528" s="289"/>
      <c r="V1528" s="289"/>
      <c r="W1528" s="289"/>
      <c r="X1528" s="289"/>
      <c r="Y1528" s="289"/>
      <c r="Z1528" s="289"/>
      <c r="AA1528" s="289"/>
      <c r="AB1528" s="289"/>
      <c r="AC1528" s="289"/>
      <c r="AD1528" s="295"/>
    </row>
    <row r="1529" spans="18:30" ht="32.25" customHeight="1">
      <c r="R1529" s="289"/>
      <c r="S1529" s="289"/>
      <c r="T1529" s="289"/>
      <c r="U1529" s="289"/>
      <c r="V1529" s="289"/>
      <c r="W1529" s="289"/>
      <c r="X1529" s="289"/>
      <c r="Y1529" s="289"/>
      <c r="Z1529" s="289"/>
      <c r="AA1529" s="289"/>
      <c r="AB1529" s="289"/>
      <c r="AC1529" s="289"/>
      <c r="AD1529" s="295"/>
    </row>
    <row r="1530" spans="18:30" ht="32.25" customHeight="1">
      <c r="R1530" s="289"/>
      <c r="S1530" s="289"/>
      <c r="T1530" s="289"/>
      <c r="U1530" s="289"/>
      <c r="V1530" s="289"/>
      <c r="W1530" s="289"/>
      <c r="X1530" s="289"/>
      <c r="Y1530" s="289"/>
      <c r="Z1530" s="289"/>
      <c r="AA1530" s="289"/>
      <c r="AB1530" s="289"/>
      <c r="AC1530" s="289"/>
      <c r="AD1530" s="295"/>
    </row>
    <row r="1531" spans="18:30" ht="32.25" customHeight="1">
      <c r="R1531" s="289"/>
      <c r="S1531" s="289"/>
      <c r="T1531" s="289"/>
      <c r="U1531" s="289"/>
      <c r="V1531" s="289"/>
      <c r="W1531" s="289"/>
      <c r="X1531" s="289"/>
      <c r="Y1531" s="289"/>
      <c r="Z1531" s="289"/>
      <c r="AA1531" s="289"/>
      <c r="AB1531" s="289"/>
      <c r="AC1531" s="289"/>
      <c r="AD1531" s="295"/>
    </row>
    <row r="1532" spans="18:30" ht="32.25" customHeight="1">
      <c r="R1532" s="289"/>
      <c r="S1532" s="289"/>
      <c r="T1532" s="289"/>
      <c r="U1532" s="289"/>
      <c r="V1532" s="289"/>
      <c r="W1532" s="289"/>
      <c r="X1532" s="289"/>
      <c r="Y1532" s="289"/>
      <c r="Z1532" s="289"/>
      <c r="AA1532" s="289"/>
      <c r="AB1532" s="289"/>
      <c r="AC1532" s="289"/>
      <c r="AD1532" s="295"/>
    </row>
    <row r="1533" spans="18:30" ht="32.25" customHeight="1">
      <c r="R1533" s="289"/>
      <c r="S1533" s="289"/>
      <c r="T1533" s="289"/>
      <c r="U1533" s="289"/>
      <c r="V1533" s="289"/>
      <c r="W1533" s="289"/>
      <c r="X1533" s="289"/>
      <c r="Y1533" s="289"/>
      <c r="Z1533" s="289"/>
      <c r="AA1533" s="289"/>
      <c r="AB1533" s="289"/>
      <c r="AC1533" s="289"/>
      <c r="AD1533" s="295"/>
    </row>
    <row r="1534" spans="18:30" ht="32.25" customHeight="1">
      <c r="R1534" s="289"/>
      <c r="S1534" s="289"/>
      <c r="T1534" s="289"/>
      <c r="U1534" s="289"/>
      <c r="V1534" s="289"/>
      <c r="W1534" s="289"/>
      <c r="X1534" s="289"/>
      <c r="Y1534" s="289"/>
      <c r="Z1534" s="289"/>
      <c r="AA1534" s="289"/>
      <c r="AB1534" s="289"/>
      <c r="AC1534" s="289"/>
      <c r="AD1534" s="295"/>
    </row>
    <row r="1535" spans="18:30" ht="32.25" customHeight="1">
      <c r="R1535" s="289"/>
      <c r="S1535" s="289"/>
      <c r="T1535" s="289"/>
      <c r="U1535" s="289"/>
      <c r="V1535" s="289"/>
      <c r="W1535" s="289"/>
      <c r="X1535" s="289"/>
      <c r="Y1535" s="289"/>
      <c r="Z1535" s="289"/>
      <c r="AA1535" s="289"/>
      <c r="AB1535" s="289"/>
      <c r="AC1535" s="289"/>
      <c r="AD1535" s="295"/>
    </row>
    <row r="1536" spans="18:30" ht="32.25" customHeight="1">
      <c r="R1536" s="289"/>
      <c r="S1536" s="289"/>
      <c r="T1536" s="289"/>
      <c r="U1536" s="289"/>
      <c r="V1536" s="289"/>
      <c r="W1536" s="289"/>
      <c r="X1536" s="289"/>
      <c r="Y1536" s="289"/>
      <c r="Z1536" s="289"/>
      <c r="AA1536" s="289"/>
      <c r="AB1536" s="289"/>
      <c r="AC1536" s="289"/>
      <c r="AD1536" s="295"/>
    </row>
    <row r="1537" spans="18:30" ht="32.25" customHeight="1">
      <c r="R1537" s="289"/>
      <c r="S1537" s="289"/>
      <c r="T1537" s="289"/>
      <c r="U1537" s="289"/>
      <c r="V1537" s="289"/>
      <c r="W1537" s="289"/>
      <c r="X1537" s="289"/>
      <c r="Y1537" s="289"/>
      <c r="Z1537" s="289"/>
      <c r="AA1537" s="289"/>
      <c r="AB1537" s="289"/>
      <c r="AC1537" s="289"/>
      <c r="AD1537" s="295"/>
    </row>
    <row r="1538" spans="18:30" ht="32.25" customHeight="1">
      <c r="R1538" s="289"/>
      <c r="S1538" s="289"/>
      <c r="T1538" s="289"/>
      <c r="U1538" s="289"/>
      <c r="V1538" s="289"/>
      <c r="W1538" s="289"/>
      <c r="X1538" s="289"/>
      <c r="Y1538" s="289"/>
      <c r="Z1538" s="289"/>
      <c r="AA1538" s="289"/>
      <c r="AB1538" s="289"/>
      <c r="AC1538" s="289"/>
      <c r="AD1538" s="295"/>
    </row>
    <row r="1539" spans="18:30" ht="32.25" customHeight="1">
      <c r="R1539" s="289"/>
      <c r="S1539" s="289"/>
      <c r="T1539" s="289"/>
      <c r="U1539" s="289"/>
      <c r="V1539" s="289"/>
      <c r="W1539" s="289"/>
      <c r="X1539" s="289"/>
      <c r="Y1539" s="289"/>
      <c r="Z1539" s="289"/>
      <c r="AA1539" s="289"/>
      <c r="AB1539" s="289"/>
      <c r="AC1539" s="289"/>
      <c r="AD1539" s="295"/>
    </row>
    <row r="1540" spans="18:30" ht="32.25" customHeight="1">
      <c r="R1540" s="289"/>
      <c r="S1540" s="289"/>
      <c r="T1540" s="289"/>
      <c r="U1540" s="289"/>
      <c r="V1540" s="289"/>
      <c r="W1540" s="289"/>
      <c r="X1540" s="289"/>
      <c r="Y1540" s="289"/>
      <c r="Z1540" s="289"/>
      <c r="AA1540" s="289"/>
      <c r="AB1540" s="289"/>
      <c r="AC1540" s="289"/>
      <c r="AD1540" s="295"/>
    </row>
    <row r="1541" spans="18:30" ht="32.25" customHeight="1">
      <c r="R1541" s="289"/>
      <c r="S1541" s="289"/>
      <c r="T1541" s="289"/>
      <c r="U1541" s="289"/>
      <c r="V1541" s="289"/>
      <c r="W1541" s="289"/>
      <c r="X1541" s="289"/>
      <c r="Y1541" s="289"/>
      <c r="Z1541" s="289"/>
      <c r="AA1541" s="289"/>
      <c r="AB1541" s="289"/>
      <c r="AC1541" s="289"/>
      <c r="AD1541" s="295"/>
    </row>
    <row r="1542" spans="18:30" ht="32.25" customHeight="1">
      <c r="R1542" s="289"/>
      <c r="S1542" s="289"/>
      <c r="T1542" s="289"/>
      <c r="U1542" s="289"/>
      <c r="V1542" s="289"/>
      <c r="W1542" s="289"/>
      <c r="X1542" s="289"/>
      <c r="Y1542" s="289"/>
      <c r="Z1542" s="289"/>
      <c r="AA1542" s="289"/>
      <c r="AB1542" s="289"/>
      <c r="AC1542" s="289"/>
      <c r="AD1542" s="295"/>
    </row>
    <row r="1543" spans="18:30" ht="32.25" customHeight="1">
      <c r="R1543" s="289"/>
      <c r="S1543" s="289"/>
      <c r="T1543" s="289"/>
      <c r="U1543" s="289"/>
      <c r="V1543" s="289"/>
      <c r="W1543" s="289"/>
      <c r="X1543" s="289"/>
      <c r="Y1543" s="289"/>
      <c r="Z1543" s="289"/>
      <c r="AA1543" s="289"/>
      <c r="AB1543" s="289"/>
      <c r="AC1543" s="289"/>
      <c r="AD1543" s="295"/>
    </row>
    <row r="1544" spans="18:30" ht="32.25" customHeight="1">
      <c r="R1544" s="289"/>
      <c r="S1544" s="289"/>
      <c r="T1544" s="289"/>
      <c r="U1544" s="289"/>
      <c r="V1544" s="289"/>
      <c r="W1544" s="289"/>
      <c r="X1544" s="289"/>
      <c r="Y1544" s="289"/>
      <c r="Z1544" s="289"/>
      <c r="AA1544" s="289"/>
      <c r="AB1544" s="289"/>
      <c r="AC1544" s="289"/>
      <c r="AD1544" s="295"/>
    </row>
    <row r="1545" spans="18:30" ht="32.25" customHeight="1">
      <c r="R1545" s="289"/>
      <c r="S1545" s="289"/>
      <c r="T1545" s="289"/>
      <c r="U1545" s="289"/>
      <c r="V1545" s="289"/>
      <c r="W1545" s="289"/>
      <c r="X1545" s="289"/>
      <c r="Y1545" s="289"/>
      <c r="Z1545" s="289"/>
      <c r="AA1545" s="289"/>
      <c r="AB1545" s="289"/>
      <c r="AC1545" s="289"/>
      <c r="AD1545" s="295"/>
    </row>
    <row r="1546" spans="18:30" ht="32.25" customHeight="1">
      <c r="R1546" s="289"/>
      <c r="S1546" s="289"/>
      <c r="T1546" s="289"/>
      <c r="U1546" s="289"/>
      <c r="V1546" s="289"/>
      <c r="W1546" s="289"/>
      <c r="X1546" s="289"/>
      <c r="Y1546" s="289"/>
      <c r="Z1546" s="289"/>
      <c r="AA1546" s="289"/>
      <c r="AB1546" s="289"/>
      <c r="AC1546" s="289"/>
      <c r="AD1546" s="295"/>
    </row>
    <row r="1547" spans="18:30" ht="32.25" customHeight="1">
      <c r="R1547" s="289"/>
      <c r="S1547" s="289"/>
      <c r="T1547" s="289"/>
      <c r="U1547" s="289"/>
      <c r="V1547" s="289"/>
      <c r="W1547" s="289"/>
      <c r="X1547" s="289"/>
      <c r="Y1547" s="289"/>
      <c r="Z1547" s="289"/>
      <c r="AA1547" s="289"/>
      <c r="AB1547" s="289"/>
      <c r="AC1547" s="289"/>
      <c r="AD1547" s="295"/>
    </row>
    <row r="1548" spans="18:30" ht="32.25" customHeight="1">
      <c r="R1548" s="289"/>
      <c r="S1548" s="289"/>
      <c r="T1548" s="289"/>
      <c r="U1548" s="289"/>
      <c r="V1548" s="289"/>
      <c r="W1548" s="289"/>
      <c r="X1548" s="289"/>
      <c r="Y1548" s="289"/>
      <c r="Z1548" s="289"/>
      <c r="AA1548" s="289"/>
      <c r="AB1548" s="289"/>
      <c r="AC1548" s="289"/>
      <c r="AD1548" s="295"/>
    </row>
    <row r="1549" spans="18:30" ht="32.25" customHeight="1">
      <c r="R1549" s="289"/>
      <c r="S1549" s="289"/>
      <c r="T1549" s="289"/>
      <c r="U1549" s="289"/>
      <c r="V1549" s="289"/>
      <c r="W1549" s="289"/>
      <c r="X1549" s="289"/>
      <c r="Y1549" s="289"/>
      <c r="Z1549" s="289"/>
      <c r="AA1549" s="289"/>
      <c r="AB1549" s="289"/>
      <c r="AC1549" s="289"/>
      <c r="AD1549" s="295"/>
    </row>
    <row r="1550" spans="18:30" ht="32.25" customHeight="1">
      <c r="R1550" s="289"/>
      <c r="S1550" s="289"/>
      <c r="T1550" s="289"/>
      <c r="U1550" s="289"/>
      <c r="V1550" s="289"/>
      <c r="W1550" s="289"/>
      <c r="X1550" s="289"/>
      <c r="Y1550" s="289"/>
      <c r="Z1550" s="289"/>
      <c r="AA1550" s="289"/>
      <c r="AB1550" s="289"/>
      <c r="AC1550" s="289"/>
      <c r="AD1550" s="295"/>
    </row>
    <row r="1551" spans="18:30" ht="32.25" customHeight="1">
      <c r="R1551" s="289"/>
      <c r="S1551" s="289"/>
      <c r="T1551" s="289"/>
      <c r="U1551" s="289"/>
      <c r="V1551" s="289"/>
      <c r="W1551" s="289"/>
      <c r="X1551" s="289"/>
      <c r="Y1551" s="289"/>
      <c r="Z1551" s="289"/>
      <c r="AA1551" s="289"/>
      <c r="AB1551" s="289"/>
      <c r="AC1551" s="289"/>
      <c r="AD1551" s="295"/>
    </row>
    <row r="1552" spans="18:30" ht="32.25" customHeight="1">
      <c r="R1552" s="289"/>
      <c r="S1552" s="289"/>
      <c r="T1552" s="289"/>
      <c r="U1552" s="289"/>
      <c r="V1552" s="289"/>
      <c r="W1552" s="289"/>
      <c r="X1552" s="289"/>
      <c r="Y1552" s="289"/>
      <c r="Z1552" s="289"/>
      <c r="AA1552" s="289"/>
      <c r="AB1552" s="289"/>
      <c r="AC1552" s="289"/>
      <c r="AD1552" s="295"/>
    </row>
    <row r="1553" spans="18:30" ht="32.25" customHeight="1">
      <c r="R1553" s="289"/>
      <c r="S1553" s="289"/>
      <c r="T1553" s="289"/>
      <c r="U1553" s="289"/>
      <c r="V1553" s="289"/>
      <c r="W1553" s="289"/>
      <c r="X1553" s="289"/>
      <c r="Y1553" s="289"/>
      <c r="Z1553" s="289"/>
      <c r="AA1553" s="289"/>
      <c r="AB1553" s="289"/>
      <c r="AC1553" s="289"/>
      <c r="AD1553" s="295"/>
    </row>
    <row r="1554" spans="18:30" ht="32.25" customHeight="1">
      <c r="R1554" s="289"/>
      <c r="S1554" s="289"/>
      <c r="T1554" s="289"/>
      <c r="U1554" s="289"/>
      <c r="V1554" s="289"/>
      <c r="W1554" s="289"/>
      <c r="X1554" s="289"/>
      <c r="Y1554" s="289"/>
      <c r="Z1554" s="289"/>
      <c r="AA1554" s="289"/>
      <c r="AB1554" s="289"/>
      <c r="AC1554" s="289"/>
      <c r="AD1554" s="295"/>
    </row>
    <row r="1555" spans="18:30" ht="32.25" customHeight="1">
      <c r="R1555" s="289"/>
      <c r="S1555" s="289"/>
      <c r="T1555" s="289"/>
      <c r="U1555" s="289"/>
      <c r="V1555" s="289"/>
      <c r="W1555" s="289"/>
      <c r="X1555" s="289"/>
      <c r="Y1555" s="289"/>
      <c r="Z1555" s="289"/>
      <c r="AA1555" s="289"/>
      <c r="AB1555" s="289"/>
      <c r="AC1555" s="289"/>
      <c r="AD1555" s="295"/>
    </row>
    <row r="1556" spans="18:30" ht="32.25" customHeight="1">
      <c r="R1556" s="289"/>
      <c r="S1556" s="289"/>
      <c r="T1556" s="289"/>
      <c r="U1556" s="289"/>
      <c r="V1556" s="289"/>
      <c r="W1556" s="289"/>
      <c r="X1556" s="289"/>
      <c r="Y1556" s="289"/>
      <c r="Z1556" s="289"/>
      <c r="AA1556" s="289"/>
      <c r="AB1556" s="289"/>
      <c r="AC1556" s="289"/>
      <c r="AD1556" s="295"/>
    </row>
    <row r="1557" spans="18:30" ht="32.25" customHeight="1">
      <c r="R1557" s="289"/>
      <c r="S1557" s="289"/>
      <c r="T1557" s="289"/>
      <c r="U1557" s="289"/>
      <c r="V1557" s="289"/>
      <c r="W1557" s="289"/>
      <c r="X1557" s="289"/>
      <c r="Y1557" s="289"/>
      <c r="Z1557" s="289"/>
      <c r="AA1557" s="289"/>
      <c r="AB1557" s="289"/>
      <c r="AC1557" s="289"/>
      <c r="AD1557" s="295"/>
    </row>
    <row r="1558" spans="18:30" ht="32.25" customHeight="1">
      <c r="R1558" s="289"/>
      <c r="S1558" s="289"/>
      <c r="T1558" s="289"/>
      <c r="U1558" s="289"/>
      <c r="V1558" s="289"/>
      <c r="W1558" s="289"/>
      <c r="X1558" s="289"/>
      <c r="Y1558" s="289"/>
      <c r="Z1558" s="289"/>
      <c r="AA1558" s="289"/>
      <c r="AB1558" s="289"/>
      <c r="AC1558" s="289"/>
      <c r="AD1558" s="295"/>
    </row>
    <row r="1559" spans="18:30" ht="32.25" customHeight="1">
      <c r="R1559" s="289"/>
      <c r="S1559" s="289"/>
      <c r="T1559" s="289"/>
      <c r="U1559" s="289"/>
      <c r="V1559" s="289"/>
      <c r="W1559" s="289"/>
      <c r="X1559" s="289"/>
      <c r="Y1559" s="289"/>
      <c r="Z1559" s="289"/>
      <c r="AA1559" s="289"/>
      <c r="AB1559" s="289"/>
      <c r="AC1559" s="289"/>
      <c r="AD1559" s="295"/>
    </row>
    <row r="1560" spans="18:30" ht="32.25" customHeight="1">
      <c r="R1560" s="289"/>
      <c r="S1560" s="289"/>
      <c r="T1560" s="289"/>
      <c r="U1560" s="289"/>
      <c r="V1560" s="289"/>
      <c r="W1560" s="289"/>
      <c r="X1560" s="289"/>
      <c r="Y1560" s="289"/>
      <c r="Z1560" s="289"/>
      <c r="AA1560" s="289"/>
      <c r="AB1560" s="289"/>
      <c r="AC1560" s="289"/>
      <c r="AD1560" s="295"/>
    </row>
    <row r="1561" spans="18:30" ht="32.25" customHeight="1">
      <c r="R1561" s="289"/>
      <c r="S1561" s="289"/>
      <c r="T1561" s="289"/>
      <c r="U1561" s="289"/>
      <c r="V1561" s="289"/>
      <c r="W1561" s="289"/>
      <c r="X1561" s="289"/>
      <c r="Y1561" s="289"/>
      <c r="Z1561" s="289"/>
      <c r="AA1561" s="289"/>
      <c r="AB1561" s="289"/>
      <c r="AC1561" s="289"/>
      <c r="AD1561" s="295"/>
    </row>
    <row r="1562" spans="18:30" ht="32.25" customHeight="1">
      <c r="R1562" s="289"/>
      <c r="S1562" s="289"/>
      <c r="T1562" s="289"/>
      <c r="U1562" s="289"/>
      <c r="V1562" s="289"/>
      <c r="W1562" s="289"/>
      <c r="X1562" s="289"/>
      <c r="Y1562" s="289"/>
      <c r="Z1562" s="289"/>
      <c r="AA1562" s="289"/>
      <c r="AB1562" s="289"/>
      <c r="AC1562" s="289"/>
      <c r="AD1562" s="295"/>
    </row>
    <row r="1563" spans="18:30" ht="32.25" customHeight="1">
      <c r="R1563" s="289"/>
      <c r="S1563" s="289"/>
      <c r="T1563" s="289"/>
      <c r="U1563" s="289"/>
      <c r="V1563" s="289"/>
      <c r="W1563" s="289"/>
      <c r="X1563" s="289"/>
      <c r="Y1563" s="289"/>
      <c r="Z1563" s="289"/>
      <c r="AA1563" s="289"/>
      <c r="AB1563" s="289"/>
      <c r="AC1563" s="289"/>
      <c r="AD1563" s="295"/>
    </row>
    <row r="1564" spans="18:30" ht="32.25" customHeight="1">
      <c r="R1564" s="289"/>
      <c r="S1564" s="289"/>
      <c r="T1564" s="289"/>
      <c r="U1564" s="289"/>
      <c r="V1564" s="289"/>
      <c r="W1564" s="289"/>
      <c r="X1564" s="289"/>
      <c r="Y1564" s="289"/>
      <c r="Z1564" s="289"/>
      <c r="AA1564" s="289"/>
      <c r="AB1564" s="289"/>
      <c r="AC1564" s="289"/>
      <c r="AD1564" s="295"/>
    </row>
    <row r="1565" spans="18:30" ht="32.25" customHeight="1">
      <c r="R1565" s="289"/>
      <c r="S1565" s="289"/>
      <c r="T1565" s="289"/>
      <c r="U1565" s="289"/>
      <c r="V1565" s="289"/>
      <c r="W1565" s="289"/>
      <c r="X1565" s="289"/>
      <c r="Y1565" s="289"/>
      <c r="Z1565" s="289"/>
      <c r="AA1565" s="289"/>
      <c r="AB1565" s="289"/>
      <c r="AC1565" s="289"/>
      <c r="AD1565" s="295"/>
    </row>
    <row r="1566" spans="18:30" ht="32.25" customHeight="1">
      <c r="R1566" s="289"/>
      <c r="S1566" s="289"/>
      <c r="T1566" s="289"/>
      <c r="U1566" s="289"/>
      <c r="V1566" s="289"/>
      <c r="W1566" s="289"/>
      <c r="X1566" s="289"/>
      <c r="Y1566" s="289"/>
      <c r="Z1566" s="289"/>
      <c r="AA1566" s="289"/>
      <c r="AB1566" s="289"/>
      <c r="AC1566" s="289"/>
      <c r="AD1566" s="295"/>
    </row>
    <row r="1567" spans="18:30" ht="32.25" customHeight="1">
      <c r="R1567" s="289"/>
      <c r="S1567" s="289"/>
      <c r="T1567" s="289"/>
      <c r="U1567" s="289"/>
      <c r="V1567" s="289"/>
      <c r="W1567" s="289"/>
      <c r="X1567" s="289"/>
      <c r="Y1567" s="289"/>
      <c r="Z1567" s="289"/>
      <c r="AA1567" s="289"/>
      <c r="AB1567" s="289"/>
      <c r="AC1567" s="289"/>
      <c r="AD1567" s="295"/>
    </row>
    <row r="1568" spans="18:30" ht="32.25" customHeight="1">
      <c r="R1568" s="289"/>
      <c r="S1568" s="289"/>
      <c r="T1568" s="289"/>
      <c r="U1568" s="289"/>
      <c r="V1568" s="289"/>
      <c r="W1568" s="289"/>
      <c r="X1568" s="289"/>
      <c r="Y1568" s="289"/>
      <c r="Z1568" s="289"/>
      <c r="AA1568" s="289"/>
      <c r="AB1568" s="289"/>
      <c r="AC1568" s="289"/>
      <c r="AD1568" s="295"/>
    </row>
    <row r="1569" spans="18:30" ht="32.25" customHeight="1">
      <c r="R1569" s="289"/>
      <c r="S1569" s="289"/>
      <c r="T1569" s="289"/>
      <c r="U1569" s="289"/>
      <c r="V1569" s="289"/>
      <c r="W1569" s="289"/>
      <c r="X1569" s="289"/>
      <c r="Y1569" s="289"/>
      <c r="Z1569" s="289"/>
      <c r="AA1569" s="289"/>
      <c r="AB1569" s="289"/>
      <c r="AC1569" s="289"/>
      <c r="AD1569" s="295"/>
    </row>
    <row r="1570" spans="18:30" ht="32.25" customHeight="1">
      <c r="R1570" s="289"/>
      <c r="S1570" s="289"/>
      <c r="T1570" s="289"/>
      <c r="U1570" s="289"/>
      <c r="V1570" s="289"/>
      <c r="W1570" s="289"/>
      <c r="X1570" s="289"/>
      <c r="Y1570" s="289"/>
      <c r="Z1570" s="289"/>
      <c r="AA1570" s="289"/>
      <c r="AB1570" s="289"/>
      <c r="AC1570" s="289"/>
      <c r="AD1570" s="295"/>
    </row>
    <row r="1571" spans="18:30" ht="32.25" customHeight="1">
      <c r="R1571" s="289"/>
      <c r="S1571" s="289"/>
      <c r="T1571" s="289"/>
      <c r="U1571" s="289"/>
      <c r="V1571" s="289"/>
      <c r="W1571" s="289"/>
      <c r="X1571" s="289"/>
      <c r="Y1571" s="289"/>
      <c r="Z1571" s="289"/>
      <c r="AA1571" s="289"/>
      <c r="AB1571" s="289"/>
      <c r="AC1571" s="289"/>
      <c r="AD1571" s="295"/>
    </row>
    <row r="1572" spans="18:30" ht="32.25" customHeight="1">
      <c r="R1572" s="289"/>
      <c r="S1572" s="289"/>
      <c r="T1572" s="289"/>
      <c r="U1572" s="289"/>
      <c r="V1572" s="289"/>
      <c r="W1572" s="289"/>
      <c r="X1572" s="289"/>
      <c r="Y1572" s="289"/>
      <c r="Z1572" s="289"/>
      <c r="AA1572" s="289"/>
      <c r="AB1572" s="289"/>
      <c r="AC1572" s="289"/>
      <c r="AD1572" s="295"/>
    </row>
    <row r="1573" spans="18:30" ht="32.25" customHeight="1">
      <c r="R1573" s="289"/>
      <c r="S1573" s="289"/>
      <c r="T1573" s="289"/>
      <c r="U1573" s="289"/>
      <c r="V1573" s="289"/>
      <c r="W1573" s="289"/>
      <c r="X1573" s="289"/>
      <c r="Y1573" s="289"/>
      <c r="Z1573" s="289"/>
      <c r="AA1573" s="289"/>
      <c r="AB1573" s="289"/>
      <c r="AC1573" s="289"/>
      <c r="AD1573" s="295"/>
    </row>
    <row r="1574" spans="18:30" ht="32.25" customHeight="1">
      <c r="R1574" s="289"/>
      <c r="S1574" s="289"/>
      <c r="T1574" s="289"/>
      <c r="U1574" s="289"/>
      <c r="V1574" s="289"/>
      <c r="W1574" s="289"/>
      <c r="X1574" s="289"/>
      <c r="Y1574" s="289"/>
      <c r="Z1574" s="289"/>
      <c r="AA1574" s="289"/>
      <c r="AB1574" s="289"/>
      <c r="AC1574" s="289"/>
      <c r="AD1574" s="295"/>
    </row>
    <row r="1575" spans="18:30" ht="32.25" customHeight="1">
      <c r="R1575" s="289"/>
      <c r="S1575" s="289"/>
      <c r="T1575" s="289"/>
      <c r="U1575" s="289"/>
      <c r="V1575" s="289"/>
      <c r="W1575" s="289"/>
      <c r="X1575" s="289"/>
      <c r="Y1575" s="289"/>
      <c r="Z1575" s="289"/>
      <c r="AA1575" s="289"/>
      <c r="AB1575" s="289"/>
      <c r="AC1575" s="289"/>
      <c r="AD1575" s="295"/>
    </row>
    <row r="1576" spans="18:30" ht="32.25" customHeight="1">
      <c r="R1576" s="289"/>
      <c r="S1576" s="289"/>
      <c r="T1576" s="289"/>
      <c r="U1576" s="289"/>
      <c r="V1576" s="289"/>
      <c r="W1576" s="289"/>
      <c r="X1576" s="289"/>
      <c r="Y1576" s="289"/>
      <c r="Z1576" s="289"/>
      <c r="AA1576" s="289"/>
      <c r="AB1576" s="289"/>
      <c r="AC1576" s="289"/>
      <c r="AD1576" s="295"/>
    </row>
    <row r="1577" spans="18:30" ht="32.25" customHeight="1">
      <c r="R1577" s="289"/>
      <c r="S1577" s="289"/>
      <c r="T1577" s="289"/>
      <c r="U1577" s="289"/>
      <c r="V1577" s="289"/>
      <c r="W1577" s="289"/>
      <c r="X1577" s="289"/>
      <c r="Y1577" s="289"/>
      <c r="Z1577" s="289"/>
      <c r="AA1577" s="289"/>
      <c r="AB1577" s="289"/>
      <c r="AC1577" s="289"/>
      <c r="AD1577" s="295"/>
    </row>
    <row r="1578" spans="18:30" ht="32.25" customHeight="1">
      <c r="R1578" s="289"/>
      <c r="S1578" s="289"/>
      <c r="T1578" s="289"/>
      <c r="U1578" s="289"/>
      <c r="V1578" s="289"/>
      <c r="W1578" s="289"/>
      <c r="X1578" s="289"/>
      <c r="Y1578" s="289"/>
      <c r="Z1578" s="289"/>
      <c r="AA1578" s="289"/>
      <c r="AB1578" s="289"/>
      <c r="AC1578" s="289"/>
      <c r="AD1578" s="295"/>
    </row>
    <row r="1579" spans="18:30" ht="32.25" customHeight="1">
      <c r="R1579" s="289"/>
      <c r="S1579" s="289"/>
      <c r="T1579" s="289"/>
      <c r="U1579" s="289"/>
      <c r="V1579" s="289"/>
      <c r="W1579" s="289"/>
      <c r="X1579" s="289"/>
      <c r="Y1579" s="289"/>
      <c r="Z1579" s="289"/>
      <c r="AA1579" s="289"/>
      <c r="AB1579" s="289"/>
      <c r="AC1579" s="289"/>
      <c r="AD1579" s="295"/>
    </row>
    <row r="1580" spans="18:30" ht="32.25" customHeight="1">
      <c r="R1580" s="289"/>
      <c r="S1580" s="289"/>
      <c r="T1580" s="289"/>
      <c r="U1580" s="289"/>
      <c r="V1580" s="289"/>
      <c r="W1580" s="289"/>
      <c r="X1580" s="289"/>
      <c r="Y1580" s="289"/>
      <c r="Z1580" s="289"/>
      <c r="AA1580" s="289"/>
      <c r="AB1580" s="289"/>
      <c r="AC1580" s="289"/>
      <c r="AD1580" s="295"/>
    </row>
    <row r="1581" spans="18:30" ht="32.25" customHeight="1">
      <c r="R1581" s="289"/>
      <c r="S1581" s="289"/>
      <c r="T1581" s="289"/>
      <c r="U1581" s="289"/>
      <c r="V1581" s="289"/>
      <c r="W1581" s="289"/>
      <c r="X1581" s="289"/>
      <c r="Y1581" s="289"/>
      <c r="Z1581" s="289"/>
      <c r="AA1581" s="289"/>
      <c r="AB1581" s="289"/>
      <c r="AC1581" s="289"/>
      <c r="AD1581" s="295"/>
    </row>
    <row r="1582" spans="18:30" ht="32.25" customHeight="1">
      <c r="R1582" s="289"/>
      <c r="S1582" s="289"/>
      <c r="T1582" s="289"/>
      <c r="U1582" s="289"/>
      <c r="V1582" s="289"/>
      <c r="W1582" s="289"/>
      <c r="X1582" s="289"/>
      <c r="Y1582" s="289"/>
      <c r="Z1582" s="289"/>
      <c r="AA1582" s="289"/>
      <c r="AB1582" s="289"/>
      <c r="AC1582" s="289"/>
      <c r="AD1582" s="295"/>
    </row>
    <row r="1583" spans="18:30" ht="32.25" customHeight="1">
      <c r="R1583" s="289"/>
      <c r="S1583" s="289"/>
      <c r="T1583" s="289"/>
      <c r="U1583" s="289"/>
      <c r="V1583" s="289"/>
      <c r="W1583" s="289"/>
      <c r="X1583" s="289"/>
      <c r="Y1583" s="289"/>
      <c r="Z1583" s="289"/>
      <c r="AA1583" s="289"/>
      <c r="AB1583" s="289"/>
      <c r="AC1583" s="289"/>
      <c r="AD1583" s="295"/>
    </row>
    <row r="1584" spans="18:30" ht="32.25" customHeight="1">
      <c r="R1584" s="289"/>
      <c r="S1584" s="289"/>
      <c r="T1584" s="289"/>
      <c r="U1584" s="289"/>
      <c r="V1584" s="289"/>
      <c r="W1584" s="289"/>
      <c r="X1584" s="289"/>
      <c r="Y1584" s="289"/>
      <c r="Z1584" s="289"/>
      <c r="AA1584" s="289"/>
      <c r="AB1584" s="289"/>
      <c r="AC1584" s="289"/>
      <c r="AD1584" s="295"/>
    </row>
    <row r="1585" spans="18:30" ht="32.25" customHeight="1">
      <c r="R1585" s="289"/>
      <c r="S1585" s="289"/>
      <c r="T1585" s="289"/>
      <c r="U1585" s="289"/>
      <c r="V1585" s="289"/>
      <c r="W1585" s="289"/>
      <c r="X1585" s="289"/>
      <c r="Y1585" s="289"/>
      <c r="Z1585" s="289"/>
      <c r="AA1585" s="289"/>
      <c r="AB1585" s="289"/>
      <c r="AC1585" s="289"/>
      <c r="AD1585" s="295"/>
    </row>
    <row r="1586" spans="18:30" ht="32.25" customHeight="1">
      <c r="R1586" s="289"/>
      <c r="S1586" s="289"/>
      <c r="T1586" s="289"/>
      <c r="U1586" s="289"/>
      <c r="V1586" s="289"/>
      <c r="W1586" s="289"/>
      <c r="X1586" s="289"/>
      <c r="Y1586" s="289"/>
      <c r="Z1586" s="289"/>
      <c r="AA1586" s="289"/>
      <c r="AB1586" s="289"/>
      <c r="AC1586" s="289"/>
      <c r="AD1586" s="295"/>
    </row>
    <row r="1587" spans="18:30" ht="32.25" customHeight="1">
      <c r="R1587" s="289"/>
      <c r="S1587" s="289"/>
      <c r="T1587" s="289"/>
      <c r="U1587" s="289"/>
      <c r="V1587" s="289"/>
      <c r="W1587" s="289"/>
      <c r="X1587" s="289"/>
      <c r="Y1587" s="289"/>
      <c r="Z1587" s="289"/>
      <c r="AA1587" s="289"/>
      <c r="AB1587" s="289"/>
      <c r="AC1587" s="289"/>
      <c r="AD1587" s="295"/>
    </row>
    <row r="1588" spans="18:30" ht="32.25" customHeight="1">
      <c r="R1588" s="289"/>
      <c r="S1588" s="289"/>
      <c r="T1588" s="289"/>
      <c r="U1588" s="289"/>
      <c r="V1588" s="289"/>
      <c r="W1588" s="289"/>
      <c r="X1588" s="289"/>
      <c r="Y1588" s="289"/>
      <c r="Z1588" s="289"/>
      <c r="AA1588" s="289"/>
      <c r="AB1588" s="289"/>
      <c r="AC1588" s="289"/>
      <c r="AD1588" s="295"/>
    </row>
    <row r="1589" spans="18:30" ht="32.25" customHeight="1">
      <c r="R1589" s="289"/>
      <c r="S1589" s="289"/>
      <c r="T1589" s="289"/>
      <c r="U1589" s="289"/>
      <c r="V1589" s="289"/>
      <c r="W1589" s="289"/>
      <c r="X1589" s="289"/>
      <c r="Y1589" s="289"/>
      <c r="Z1589" s="289"/>
      <c r="AA1589" s="289"/>
      <c r="AB1589" s="289"/>
      <c r="AC1589" s="289"/>
      <c r="AD1589" s="295"/>
    </row>
    <row r="1590" spans="18:30" ht="32.25" customHeight="1">
      <c r="R1590" s="289"/>
      <c r="S1590" s="289"/>
      <c r="T1590" s="289"/>
      <c r="U1590" s="289"/>
      <c r="V1590" s="289"/>
      <c r="W1590" s="289"/>
      <c r="X1590" s="289"/>
      <c r="Y1590" s="289"/>
      <c r="Z1590" s="289"/>
      <c r="AA1590" s="289"/>
      <c r="AB1590" s="289"/>
      <c r="AC1590" s="289"/>
      <c r="AD1590" s="295"/>
    </row>
    <row r="1591" spans="18:30" ht="32.25" customHeight="1">
      <c r="R1591" s="289"/>
      <c r="S1591" s="289"/>
      <c r="T1591" s="289"/>
      <c r="U1591" s="289"/>
      <c r="V1591" s="289"/>
      <c r="W1591" s="289"/>
      <c r="X1591" s="289"/>
      <c r="Y1591" s="289"/>
      <c r="Z1591" s="289"/>
      <c r="AA1591" s="289"/>
      <c r="AB1591" s="289"/>
      <c r="AC1591" s="289"/>
      <c r="AD1591" s="295"/>
    </row>
    <row r="1592" spans="18:30" ht="32.25" customHeight="1">
      <c r="R1592" s="289"/>
      <c r="S1592" s="289"/>
      <c r="T1592" s="289"/>
      <c r="U1592" s="289"/>
      <c r="V1592" s="289"/>
      <c r="W1592" s="289"/>
      <c r="X1592" s="289"/>
      <c r="Y1592" s="289"/>
      <c r="Z1592" s="289"/>
      <c r="AA1592" s="289"/>
      <c r="AB1592" s="289"/>
      <c r="AC1592" s="289"/>
      <c r="AD1592" s="295"/>
    </row>
    <row r="1593" spans="18:30" ht="32.25" customHeight="1">
      <c r="R1593" s="289"/>
      <c r="S1593" s="289"/>
      <c r="T1593" s="289"/>
      <c r="U1593" s="289"/>
      <c r="V1593" s="289"/>
      <c r="W1593" s="289"/>
      <c r="X1593" s="289"/>
      <c r="Y1593" s="289"/>
      <c r="Z1593" s="289"/>
      <c r="AA1593" s="289"/>
      <c r="AB1593" s="289"/>
      <c r="AC1593" s="289"/>
      <c r="AD1593" s="295"/>
    </row>
    <row r="1594" spans="18:30" ht="32.25" customHeight="1">
      <c r="R1594" s="289"/>
      <c r="S1594" s="289"/>
      <c r="T1594" s="289"/>
      <c r="U1594" s="289"/>
      <c r="V1594" s="289"/>
      <c r="W1594" s="289"/>
      <c r="X1594" s="289"/>
      <c r="Y1594" s="289"/>
      <c r="Z1594" s="289"/>
      <c r="AA1594" s="289"/>
      <c r="AB1594" s="289"/>
      <c r="AC1594" s="289"/>
      <c r="AD1594" s="295"/>
    </row>
    <row r="1595" spans="18:30" ht="32.25" customHeight="1">
      <c r="R1595" s="289"/>
      <c r="S1595" s="289"/>
      <c r="T1595" s="289"/>
      <c r="U1595" s="289"/>
      <c r="V1595" s="289"/>
      <c r="W1595" s="289"/>
      <c r="X1595" s="289"/>
      <c r="Y1595" s="289"/>
      <c r="Z1595" s="289"/>
      <c r="AA1595" s="289"/>
      <c r="AB1595" s="289"/>
      <c r="AC1595" s="289"/>
      <c r="AD1595" s="295"/>
    </row>
    <row r="1596" spans="18:30" ht="32.25" customHeight="1">
      <c r="R1596" s="289"/>
      <c r="S1596" s="289"/>
      <c r="T1596" s="289"/>
      <c r="U1596" s="289"/>
      <c r="V1596" s="289"/>
      <c r="W1596" s="289"/>
      <c r="X1596" s="289"/>
      <c r="Y1596" s="289"/>
      <c r="Z1596" s="289"/>
      <c r="AA1596" s="289"/>
      <c r="AB1596" s="289"/>
      <c r="AC1596" s="289"/>
      <c r="AD1596" s="295"/>
    </row>
    <row r="1597" spans="18:30" ht="32.25" customHeight="1">
      <c r="R1597" s="289"/>
      <c r="S1597" s="289"/>
      <c r="T1597" s="289"/>
      <c r="U1597" s="289"/>
      <c r="V1597" s="289"/>
      <c r="W1597" s="289"/>
      <c r="X1597" s="289"/>
      <c r="Y1597" s="289"/>
      <c r="Z1597" s="289"/>
      <c r="AA1597" s="289"/>
      <c r="AB1597" s="289"/>
      <c r="AC1597" s="289"/>
      <c r="AD1597" s="295"/>
    </row>
    <row r="1598" spans="18:30" ht="32.25" customHeight="1">
      <c r="R1598" s="289"/>
      <c r="S1598" s="289"/>
      <c r="T1598" s="289"/>
      <c r="U1598" s="289"/>
      <c r="V1598" s="289"/>
      <c r="W1598" s="289"/>
      <c r="X1598" s="289"/>
      <c r="Y1598" s="289"/>
      <c r="Z1598" s="289"/>
      <c r="AA1598" s="289"/>
      <c r="AB1598" s="289"/>
      <c r="AC1598" s="289"/>
      <c r="AD1598" s="295"/>
    </row>
    <row r="1599" spans="18:30" ht="32.25" customHeight="1">
      <c r="R1599" s="289"/>
      <c r="S1599" s="289"/>
      <c r="T1599" s="289"/>
      <c r="U1599" s="289"/>
      <c r="V1599" s="289"/>
      <c r="W1599" s="289"/>
      <c r="X1599" s="289"/>
      <c r="Y1599" s="289"/>
      <c r="Z1599" s="289"/>
      <c r="AA1599" s="289"/>
      <c r="AB1599" s="289"/>
      <c r="AC1599" s="289"/>
      <c r="AD1599" s="295"/>
    </row>
    <row r="1600" spans="18:30" ht="32.25" customHeight="1">
      <c r="R1600" s="289"/>
      <c r="S1600" s="289"/>
      <c r="T1600" s="289"/>
      <c r="U1600" s="289"/>
      <c r="V1600" s="289"/>
      <c r="W1600" s="289"/>
      <c r="X1600" s="289"/>
      <c r="Y1600" s="289"/>
      <c r="Z1600" s="289"/>
      <c r="AA1600" s="289"/>
      <c r="AB1600" s="289"/>
      <c r="AC1600" s="289"/>
      <c r="AD1600" s="295"/>
    </row>
    <row r="1601" spans="18:30" ht="32.25" customHeight="1">
      <c r="R1601" s="289"/>
      <c r="S1601" s="289"/>
      <c r="T1601" s="289"/>
      <c r="U1601" s="289"/>
      <c r="V1601" s="289"/>
      <c r="W1601" s="289"/>
      <c r="X1601" s="289"/>
      <c r="Y1601" s="289"/>
      <c r="Z1601" s="289"/>
      <c r="AA1601" s="289"/>
      <c r="AB1601" s="289"/>
      <c r="AC1601" s="289"/>
      <c r="AD1601" s="295"/>
    </row>
    <row r="1602" spans="18:30" ht="32.25" customHeight="1">
      <c r="R1602" s="289"/>
      <c r="S1602" s="289"/>
      <c r="T1602" s="289"/>
      <c r="U1602" s="289"/>
      <c r="V1602" s="289"/>
      <c r="W1602" s="289"/>
      <c r="X1602" s="289"/>
      <c r="Y1602" s="289"/>
      <c r="Z1602" s="289"/>
      <c r="AA1602" s="289"/>
      <c r="AB1602" s="289"/>
      <c r="AC1602" s="289"/>
      <c r="AD1602" s="295"/>
    </row>
    <row r="1603" spans="18:30" ht="32.25" customHeight="1">
      <c r="R1603" s="289"/>
      <c r="S1603" s="289"/>
      <c r="T1603" s="289"/>
      <c r="U1603" s="289"/>
      <c r="V1603" s="289"/>
      <c r="W1603" s="289"/>
      <c r="X1603" s="289"/>
      <c r="Y1603" s="289"/>
      <c r="Z1603" s="289"/>
      <c r="AA1603" s="289"/>
      <c r="AB1603" s="289"/>
      <c r="AC1603" s="289"/>
      <c r="AD1603" s="295"/>
    </row>
    <row r="1604" spans="18:30" ht="32.25" customHeight="1">
      <c r="R1604" s="289"/>
      <c r="S1604" s="289"/>
      <c r="T1604" s="289"/>
      <c r="U1604" s="289"/>
      <c r="V1604" s="289"/>
      <c r="W1604" s="289"/>
      <c r="X1604" s="289"/>
      <c r="Y1604" s="289"/>
      <c r="Z1604" s="289"/>
      <c r="AA1604" s="289"/>
      <c r="AB1604" s="289"/>
      <c r="AC1604" s="289"/>
      <c r="AD1604" s="295"/>
    </row>
    <row r="1605" spans="18:30" ht="32.25" customHeight="1">
      <c r="R1605" s="289"/>
      <c r="S1605" s="289"/>
      <c r="T1605" s="289"/>
      <c r="U1605" s="289"/>
      <c r="V1605" s="289"/>
      <c r="W1605" s="289"/>
      <c r="X1605" s="289"/>
      <c r="Y1605" s="289"/>
      <c r="Z1605" s="289"/>
      <c r="AA1605" s="289"/>
      <c r="AB1605" s="289"/>
      <c r="AC1605" s="289"/>
      <c r="AD1605" s="295"/>
    </row>
    <row r="1606" spans="18:30" ht="32.25" customHeight="1">
      <c r="R1606" s="289"/>
      <c r="S1606" s="289"/>
      <c r="T1606" s="289"/>
      <c r="U1606" s="289"/>
      <c r="V1606" s="289"/>
      <c r="W1606" s="289"/>
      <c r="X1606" s="289"/>
      <c r="Y1606" s="289"/>
      <c r="Z1606" s="289"/>
      <c r="AA1606" s="289"/>
      <c r="AB1606" s="289"/>
      <c r="AC1606" s="289"/>
      <c r="AD1606" s="295"/>
    </row>
    <row r="1607" spans="18:30" ht="32.25" customHeight="1">
      <c r="R1607" s="289"/>
      <c r="S1607" s="289"/>
      <c r="T1607" s="289"/>
      <c r="U1607" s="289"/>
      <c r="V1607" s="289"/>
      <c r="W1607" s="289"/>
      <c r="X1607" s="289"/>
      <c r="Y1607" s="289"/>
      <c r="Z1607" s="289"/>
      <c r="AA1607" s="289"/>
      <c r="AB1607" s="289"/>
      <c r="AC1607" s="289"/>
      <c r="AD1607" s="295"/>
    </row>
    <row r="1608" spans="18:30" ht="32.25" customHeight="1">
      <c r="R1608" s="289"/>
      <c r="S1608" s="289"/>
      <c r="T1608" s="289"/>
      <c r="U1608" s="289"/>
      <c r="V1608" s="289"/>
      <c r="W1608" s="289"/>
      <c r="X1608" s="289"/>
      <c r="Y1608" s="289"/>
      <c r="Z1608" s="289"/>
      <c r="AA1608" s="289"/>
      <c r="AB1608" s="289"/>
      <c r="AC1608" s="289"/>
      <c r="AD1608" s="295"/>
    </row>
    <row r="1609" spans="18:30" ht="32.25" customHeight="1">
      <c r="R1609" s="289"/>
      <c r="S1609" s="289"/>
      <c r="T1609" s="289"/>
      <c r="U1609" s="289"/>
      <c r="V1609" s="289"/>
      <c r="W1609" s="289"/>
      <c r="X1609" s="289"/>
      <c r="Y1609" s="289"/>
      <c r="Z1609" s="289"/>
      <c r="AA1609" s="289"/>
      <c r="AB1609" s="289"/>
      <c r="AC1609" s="289"/>
      <c r="AD1609" s="295"/>
    </row>
    <row r="1610" spans="18:30" ht="32.25" customHeight="1">
      <c r="R1610" s="289"/>
      <c r="S1610" s="289"/>
      <c r="T1610" s="289"/>
      <c r="U1610" s="289"/>
      <c r="V1610" s="289"/>
      <c r="W1610" s="289"/>
      <c r="X1610" s="289"/>
      <c r="Y1610" s="289"/>
      <c r="Z1610" s="289"/>
      <c r="AA1610" s="289"/>
      <c r="AB1610" s="289"/>
      <c r="AC1610" s="289"/>
      <c r="AD1610" s="295"/>
    </row>
    <row r="1611" spans="18:30" ht="32.25" customHeight="1">
      <c r="R1611" s="289"/>
      <c r="S1611" s="289"/>
      <c r="T1611" s="289"/>
      <c r="U1611" s="289"/>
      <c r="V1611" s="289"/>
      <c r="W1611" s="289"/>
      <c r="X1611" s="289"/>
      <c r="Y1611" s="289"/>
      <c r="Z1611" s="289"/>
      <c r="AA1611" s="289"/>
      <c r="AB1611" s="289"/>
      <c r="AC1611" s="289"/>
      <c r="AD1611" s="295"/>
    </row>
    <row r="1612" spans="18:30" ht="32.25" customHeight="1">
      <c r="R1612" s="289"/>
      <c r="S1612" s="289"/>
      <c r="T1612" s="289"/>
      <c r="U1612" s="289"/>
      <c r="V1612" s="289"/>
      <c r="W1612" s="289"/>
      <c r="X1612" s="289"/>
      <c r="Y1612" s="289"/>
      <c r="Z1612" s="289"/>
      <c r="AA1612" s="289"/>
      <c r="AB1612" s="289"/>
      <c r="AC1612" s="289"/>
      <c r="AD1612" s="295"/>
    </row>
    <row r="1613" spans="18:30" ht="32.25" customHeight="1">
      <c r="R1613" s="289"/>
      <c r="S1613" s="289"/>
      <c r="T1613" s="289"/>
      <c r="U1613" s="289"/>
      <c r="V1613" s="289"/>
      <c r="W1613" s="289"/>
      <c r="X1613" s="289"/>
      <c r="Y1613" s="289"/>
      <c r="Z1613" s="289"/>
      <c r="AA1613" s="289"/>
      <c r="AB1613" s="289"/>
      <c r="AC1613" s="289"/>
      <c r="AD1613" s="295"/>
    </row>
    <row r="1614" spans="18:30" ht="32.25" customHeight="1">
      <c r="R1614" s="289"/>
      <c r="S1614" s="289"/>
      <c r="T1614" s="289"/>
      <c r="U1614" s="289"/>
      <c r="V1614" s="289"/>
      <c r="W1614" s="289"/>
      <c r="X1614" s="289"/>
      <c r="Y1614" s="289"/>
      <c r="Z1614" s="289"/>
      <c r="AA1614" s="289"/>
      <c r="AB1614" s="289"/>
      <c r="AC1614" s="289"/>
      <c r="AD1614" s="295"/>
    </row>
    <row r="1615" spans="18:30" ht="32.25" customHeight="1">
      <c r="R1615" s="289"/>
      <c r="S1615" s="289"/>
      <c r="T1615" s="289"/>
      <c r="U1615" s="289"/>
      <c r="V1615" s="289"/>
      <c r="W1615" s="289"/>
      <c r="X1615" s="289"/>
      <c r="Y1615" s="289"/>
      <c r="Z1615" s="289"/>
      <c r="AA1615" s="289"/>
      <c r="AB1615" s="289"/>
      <c r="AC1615" s="289"/>
      <c r="AD1615" s="295"/>
    </row>
    <row r="1616" spans="18:30" ht="32.25" customHeight="1">
      <c r="R1616" s="289"/>
      <c r="S1616" s="289"/>
      <c r="T1616" s="289"/>
      <c r="U1616" s="289"/>
      <c r="V1616" s="289"/>
      <c r="W1616" s="289"/>
      <c r="X1616" s="289"/>
      <c r="Y1616" s="289"/>
      <c r="Z1616" s="289"/>
      <c r="AA1616" s="289"/>
      <c r="AB1616" s="289"/>
      <c r="AC1616" s="289"/>
      <c r="AD1616" s="295"/>
    </row>
    <row r="1617" spans="18:30" ht="32.25" customHeight="1">
      <c r="R1617" s="289"/>
      <c r="S1617" s="289"/>
      <c r="T1617" s="289"/>
      <c r="U1617" s="289"/>
      <c r="V1617" s="289"/>
      <c r="W1617" s="289"/>
      <c r="X1617" s="289"/>
      <c r="Y1617" s="289"/>
      <c r="Z1617" s="289"/>
      <c r="AA1617" s="289"/>
      <c r="AB1617" s="289"/>
      <c r="AC1617" s="289"/>
      <c r="AD1617" s="295"/>
    </row>
    <row r="1618" spans="18:30" ht="32.25" customHeight="1">
      <c r="R1618" s="289"/>
      <c r="S1618" s="289"/>
      <c r="T1618" s="289"/>
      <c r="U1618" s="289"/>
      <c r="V1618" s="289"/>
      <c r="W1618" s="289"/>
      <c r="X1618" s="289"/>
      <c r="Y1618" s="289"/>
      <c r="Z1618" s="289"/>
      <c r="AA1618" s="289"/>
      <c r="AB1618" s="289"/>
      <c r="AC1618" s="289"/>
      <c r="AD1618" s="295"/>
    </row>
    <row r="1619" spans="18:30" ht="32.25" customHeight="1">
      <c r="R1619" s="289"/>
      <c r="S1619" s="289"/>
      <c r="T1619" s="289"/>
      <c r="U1619" s="289"/>
      <c r="V1619" s="289"/>
      <c r="W1619" s="289"/>
      <c r="X1619" s="289"/>
      <c r="Y1619" s="289"/>
      <c r="Z1619" s="289"/>
      <c r="AA1619" s="289"/>
      <c r="AB1619" s="289"/>
      <c r="AC1619" s="289"/>
      <c r="AD1619" s="295"/>
    </row>
    <row r="1620" spans="18:30" ht="32.25" customHeight="1">
      <c r="R1620" s="289"/>
      <c r="S1620" s="289"/>
      <c r="T1620" s="289"/>
      <c r="U1620" s="289"/>
      <c r="V1620" s="289"/>
      <c r="W1620" s="289"/>
      <c r="X1620" s="289"/>
      <c r="Y1620" s="289"/>
      <c r="Z1620" s="289"/>
      <c r="AA1620" s="289"/>
      <c r="AB1620" s="289"/>
      <c r="AC1620" s="289"/>
      <c r="AD1620" s="295"/>
    </row>
    <row r="1621" spans="18:30" ht="32.25" customHeight="1">
      <c r="R1621" s="289"/>
      <c r="S1621" s="289"/>
      <c r="T1621" s="289"/>
      <c r="U1621" s="289"/>
      <c r="V1621" s="289"/>
      <c r="W1621" s="289"/>
      <c r="X1621" s="289"/>
      <c r="Y1621" s="289"/>
      <c r="Z1621" s="289"/>
      <c r="AA1621" s="289"/>
      <c r="AB1621" s="289"/>
      <c r="AC1621" s="289"/>
      <c r="AD1621" s="295"/>
    </row>
    <row r="1622" spans="18:30" ht="32.25" customHeight="1">
      <c r="R1622" s="289"/>
      <c r="S1622" s="289"/>
      <c r="T1622" s="289"/>
      <c r="U1622" s="289"/>
      <c r="V1622" s="289"/>
      <c r="W1622" s="289"/>
      <c r="X1622" s="289"/>
      <c r="Y1622" s="289"/>
      <c r="Z1622" s="289"/>
      <c r="AA1622" s="289"/>
      <c r="AB1622" s="289"/>
      <c r="AC1622" s="289"/>
      <c r="AD1622" s="295"/>
    </row>
  </sheetData>
  <sheetProtection formatCells="0" formatColumns="0" formatRows="0" insertHyperlinks="0" sort="0" autoFilter="0" pivotTables="0"/>
  <mergeCells count="183">
    <mergeCell ref="A1:D3"/>
    <mergeCell ref="E1:AY1"/>
    <mergeCell ref="E2:AY2"/>
    <mergeCell ref="E3:AF3"/>
    <mergeCell ref="AG3:AY3"/>
    <mergeCell ref="A4:D4"/>
    <mergeCell ref="E4:AY4"/>
    <mergeCell ref="A5:D5"/>
    <mergeCell ref="E5:AY5"/>
    <mergeCell ref="A6:D6"/>
    <mergeCell ref="E6:AY6"/>
    <mergeCell ref="A7:AY7"/>
    <mergeCell ref="A8:F8"/>
    <mergeCell ref="G8:S8"/>
    <mergeCell ref="T8:AF8"/>
    <mergeCell ref="AG8:AK8"/>
    <mergeCell ref="AL8:AM8"/>
    <mergeCell ref="AO8:AX8"/>
    <mergeCell ref="AY8:AY9"/>
    <mergeCell ref="A10:A15"/>
    <mergeCell ref="B10:B15"/>
    <mergeCell ref="C10:C15"/>
    <mergeCell ref="AG10:AG15"/>
    <mergeCell ref="AH10:AH15"/>
    <mergeCell ref="AI10:AI15"/>
    <mergeCell ref="AJ10:AJ15"/>
    <mergeCell ref="AK10:AK15"/>
    <mergeCell ref="AX10:AX15"/>
    <mergeCell ref="AY10:AY15"/>
    <mergeCell ref="A16:A21"/>
    <mergeCell ref="B16:B21"/>
    <mergeCell ref="C16:C21"/>
    <mergeCell ref="AG16:AG21"/>
    <mergeCell ref="AH16:AH21"/>
    <mergeCell ref="AI16:AI21"/>
    <mergeCell ref="AJ16:AJ21"/>
    <mergeCell ref="AK16:AK21"/>
    <mergeCell ref="AR10:AR15"/>
    <mergeCell ref="AS10:AS15"/>
    <mergeCell ref="AT10:AT15"/>
    <mergeCell ref="AU10:AU15"/>
    <mergeCell ref="AV10:AV15"/>
    <mergeCell ref="AW10:AW15"/>
    <mergeCell ref="AL10:AL15"/>
    <mergeCell ref="AM10:AM15"/>
    <mergeCell ref="AN10:AN15"/>
    <mergeCell ref="AO10:AO15"/>
    <mergeCell ref="AP10:AP15"/>
    <mergeCell ref="AQ10:AQ15"/>
    <mergeCell ref="AX16:AX21"/>
    <mergeCell ref="AY16:AY21"/>
    <mergeCell ref="A22:A27"/>
    <mergeCell ref="B22:B27"/>
    <mergeCell ref="C22:C27"/>
    <mergeCell ref="AG22:AG27"/>
    <mergeCell ref="AH22:AH27"/>
    <mergeCell ref="AI22:AI27"/>
    <mergeCell ref="AJ22:AJ27"/>
    <mergeCell ref="AK22:AK27"/>
    <mergeCell ref="AR16:AR21"/>
    <mergeCell ref="AS16:AS21"/>
    <mergeCell ref="AT16:AT21"/>
    <mergeCell ref="AU16:AU21"/>
    <mergeCell ref="AV16:AV21"/>
    <mergeCell ref="AW16:AW21"/>
    <mergeCell ref="AL16:AL21"/>
    <mergeCell ref="AM16:AM21"/>
    <mergeCell ref="AN16:AN21"/>
    <mergeCell ref="AO16:AO21"/>
    <mergeCell ref="AP16:AP21"/>
    <mergeCell ref="AQ16:AQ21"/>
    <mergeCell ref="AX22:AX27"/>
    <mergeCell ref="AY22:AY27"/>
    <mergeCell ref="A28:A33"/>
    <mergeCell ref="B28:B33"/>
    <mergeCell ref="C28:C33"/>
    <mergeCell ref="AG28:AG33"/>
    <mergeCell ref="AH28:AH33"/>
    <mergeCell ref="AI28:AI33"/>
    <mergeCell ref="AJ28:AJ33"/>
    <mergeCell ref="AK28:AK33"/>
    <mergeCell ref="AR22:AR27"/>
    <mergeCell ref="AS22:AS27"/>
    <mergeCell ref="AT22:AT27"/>
    <mergeCell ref="AU22:AU27"/>
    <mergeCell ref="AV22:AV27"/>
    <mergeCell ref="AW22:AW27"/>
    <mergeCell ref="AL22:AL27"/>
    <mergeCell ref="AM22:AM27"/>
    <mergeCell ref="AN22:AN27"/>
    <mergeCell ref="AO22:AO27"/>
    <mergeCell ref="AP22:AP27"/>
    <mergeCell ref="AQ22:AQ27"/>
    <mergeCell ref="AX28:AX33"/>
    <mergeCell ref="AY28:AY33"/>
    <mergeCell ref="A34:A39"/>
    <mergeCell ref="B34:B39"/>
    <mergeCell ref="C34:C39"/>
    <mergeCell ref="AG34:AG39"/>
    <mergeCell ref="AH34:AH39"/>
    <mergeCell ref="AI34:AI39"/>
    <mergeCell ref="AJ34:AJ39"/>
    <mergeCell ref="AK34:AK39"/>
    <mergeCell ref="AR28:AR33"/>
    <mergeCell ref="AS28:AS33"/>
    <mergeCell ref="AT28:AT33"/>
    <mergeCell ref="AU28:AU33"/>
    <mergeCell ref="AV28:AV33"/>
    <mergeCell ref="AW28:AW33"/>
    <mergeCell ref="AL28:AL33"/>
    <mergeCell ref="AM28:AM33"/>
    <mergeCell ref="AN28:AN33"/>
    <mergeCell ref="AO28:AO33"/>
    <mergeCell ref="AP28:AP33"/>
    <mergeCell ref="AQ28:AQ33"/>
    <mergeCell ref="AX34:AX39"/>
    <mergeCell ref="AY34:AY39"/>
    <mergeCell ref="A40:A45"/>
    <mergeCell ref="B40:B45"/>
    <mergeCell ref="C40:C45"/>
    <mergeCell ref="AG40:AG45"/>
    <mergeCell ref="AH40:AH45"/>
    <mergeCell ref="AI40:AI45"/>
    <mergeCell ref="AJ40:AJ45"/>
    <mergeCell ref="AK40:AK45"/>
    <mergeCell ref="AR34:AR39"/>
    <mergeCell ref="AS34:AS39"/>
    <mergeCell ref="AT34:AT39"/>
    <mergeCell ref="AU34:AU39"/>
    <mergeCell ref="AV34:AV39"/>
    <mergeCell ref="AW34:AW39"/>
    <mergeCell ref="AL34:AL39"/>
    <mergeCell ref="AM34:AM39"/>
    <mergeCell ref="AN34:AN39"/>
    <mergeCell ref="AO34:AO39"/>
    <mergeCell ref="AP34:AP39"/>
    <mergeCell ref="AQ34:AQ39"/>
    <mergeCell ref="AX40:AX45"/>
    <mergeCell ref="AY40:AY45"/>
    <mergeCell ref="A46:A51"/>
    <mergeCell ref="B46:B51"/>
    <mergeCell ref="C46:C51"/>
    <mergeCell ref="AG46:AG51"/>
    <mergeCell ref="AH46:AH51"/>
    <mergeCell ref="AI46:AI51"/>
    <mergeCell ref="AJ46:AJ51"/>
    <mergeCell ref="AK46:AK51"/>
    <mergeCell ref="AR40:AR45"/>
    <mergeCell ref="AS40:AS45"/>
    <mergeCell ref="AT40:AT45"/>
    <mergeCell ref="AU40:AU45"/>
    <mergeCell ref="AV40:AV45"/>
    <mergeCell ref="AW40:AW45"/>
    <mergeCell ref="AL40:AL45"/>
    <mergeCell ref="AM40:AM45"/>
    <mergeCell ref="AN40:AN45"/>
    <mergeCell ref="AO40:AO45"/>
    <mergeCell ref="AP40:AP45"/>
    <mergeCell ref="AQ40:AQ45"/>
    <mergeCell ref="C57:I57"/>
    <mergeCell ref="J57:P57"/>
    <mergeCell ref="C58:I58"/>
    <mergeCell ref="J58:P58"/>
    <mergeCell ref="C59:I59"/>
    <mergeCell ref="J59:P59"/>
    <mergeCell ref="AX46:AX51"/>
    <mergeCell ref="AY46:AY51"/>
    <mergeCell ref="A52:C54"/>
    <mergeCell ref="S52:S54"/>
    <mergeCell ref="AF52:AF54"/>
    <mergeCell ref="AG52:AY54"/>
    <mergeCell ref="AR46:AR51"/>
    <mergeCell ref="AS46:AS51"/>
    <mergeCell ref="AT46:AT51"/>
    <mergeCell ref="AU46:AU51"/>
    <mergeCell ref="AV46:AV51"/>
    <mergeCell ref="AW46:AW51"/>
    <mergeCell ref="AL46:AL51"/>
    <mergeCell ref="AM46:AM51"/>
    <mergeCell ref="AN46:AN51"/>
    <mergeCell ref="AO46:AO51"/>
    <mergeCell ref="AP46:AP51"/>
    <mergeCell ref="AQ46:AQ51"/>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L1429"/>
  <sheetViews>
    <sheetView showGridLines="0" zoomScale="60" zoomScaleNormal="60" workbookViewId="0">
      <selection activeCell="F13" sqref="F13"/>
    </sheetView>
  </sheetViews>
  <sheetFormatPr baseColWidth="10" defaultColWidth="10.7109375" defaultRowHeight="24.75" customHeight="1"/>
  <cols>
    <col min="1" max="1" width="16.28515625" style="112" customWidth="1"/>
    <col min="2" max="2" width="49.85546875" style="112" customWidth="1"/>
    <col min="3" max="3" width="19.140625" style="112" customWidth="1"/>
    <col min="4" max="4" width="31.42578125" style="112" customWidth="1"/>
    <col min="5" max="5" width="23.28515625" style="112" customWidth="1"/>
    <col min="6" max="6" width="24.7109375" style="112" customWidth="1"/>
    <col min="7" max="7" width="23.85546875" style="112" customWidth="1"/>
    <col min="8" max="8" width="45.28515625" style="112" customWidth="1"/>
    <col min="9" max="9" width="14.28515625" style="311" customWidth="1"/>
    <col min="10" max="10" width="14.28515625" style="112" customWidth="1"/>
    <col min="11" max="11" width="14.140625" style="112" customWidth="1"/>
    <col min="12" max="12" width="34.28515625" style="112" customWidth="1"/>
    <col min="13" max="16384" width="10.7109375" style="112"/>
  </cols>
  <sheetData>
    <row r="1" spans="1:12" ht="24.75" customHeight="1">
      <c r="A1" s="771"/>
      <c r="B1" s="771"/>
      <c r="C1" s="772" t="s">
        <v>38</v>
      </c>
      <c r="D1" s="772"/>
      <c r="E1" s="772"/>
      <c r="F1" s="772"/>
      <c r="G1" s="772"/>
      <c r="H1" s="772"/>
      <c r="I1" s="772"/>
      <c r="J1" s="772"/>
      <c r="K1" s="772"/>
      <c r="L1" s="772"/>
    </row>
    <row r="2" spans="1:12" ht="24.75" customHeight="1">
      <c r="A2" s="771"/>
      <c r="B2" s="771"/>
      <c r="C2" s="773" t="s">
        <v>119</v>
      </c>
      <c r="D2" s="772"/>
      <c r="E2" s="772"/>
      <c r="F2" s="772"/>
      <c r="G2" s="772"/>
      <c r="H2" s="772"/>
      <c r="I2" s="772"/>
      <c r="J2" s="772"/>
      <c r="K2" s="772"/>
      <c r="L2" s="772"/>
    </row>
    <row r="3" spans="1:12" ht="24.75" customHeight="1">
      <c r="A3" s="771"/>
      <c r="B3" s="771"/>
      <c r="C3" s="774" t="s">
        <v>39</v>
      </c>
      <c r="D3" s="774"/>
      <c r="E3" s="774"/>
      <c r="F3" s="774"/>
      <c r="G3" s="774"/>
      <c r="H3" s="775" t="s">
        <v>246</v>
      </c>
      <c r="I3" s="775"/>
      <c r="J3" s="775"/>
      <c r="K3" s="775"/>
      <c r="L3" s="775"/>
    </row>
    <row r="4" spans="1:12" ht="24.75" customHeight="1">
      <c r="A4" s="768" t="s">
        <v>0</v>
      </c>
      <c r="B4" s="768"/>
      <c r="C4" s="769" t="s">
        <v>327</v>
      </c>
      <c r="D4" s="769"/>
      <c r="E4" s="769"/>
      <c r="F4" s="769"/>
      <c r="G4" s="769"/>
      <c r="H4" s="769"/>
      <c r="I4" s="769"/>
      <c r="J4" s="769"/>
      <c r="K4" s="769"/>
      <c r="L4" s="769"/>
    </row>
    <row r="5" spans="1:12" ht="24.75" customHeight="1">
      <c r="A5" s="768" t="s">
        <v>2</v>
      </c>
      <c r="B5" s="768"/>
      <c r="C5" s="769" t="s">
        <v>328</v>
      </c>
      <c r="D5" s="769"/>
      <c r="E5" s="769"/>
      <c r="F5" s="769"/>
      <c r="G5" s="769"/>
      <c r="H5" s="769"/>
      <c r="I5" s="769"/>
      <c r="J5" s="769"/>
      <c r="K5" s="769"/>
      <c r="L5" s="769"/>
    </row>
    <row r="7" spans="1:12" s="106" customFormat="1" ht="24.75" customHeight="1">
      <c r="A7" s="770" t="s">
        <v>120</v>
      </c>
      <c r="B7" s="770"/>
      <c r="C7" s="770"/>
      <c r="D7" s="770"/>
      <c r="E7" s="770"/>
      <c r="F7" s="770"/>
      <c r="G7" s="770"/>
      <c r="H7" s="770"/>
      <c r="I7" s="123"/>
    </row>
    <row r="8" spans="1:12" s="106" customFormat="1" ht="24.75" customHeight="1">
      <c r="A8" s="103" t="s">
        <v>48</v>
      </c>
      <c r="B8" s="103" t="s">
        <v>329</v>
      </c>
      <c r="C8" s="30" t="s">
        <v>121</v>
      </c>
      <c r="D8" s="104" t="s">
        <v>122</v>
      </c>
      <c r="E8" s="104" t="s">
        <v>123</v>
      </c>
      <c r="F8" s="104" t="s">
        <v>124</v>
      </c>
      <c r="G8" s="104" t="s">
        <v>125</v>
      </c>
      <c r="H8" s="104" t="s">
        <v>126</v>
      </c>
      <c r="I8" s="123"/>
    </row>
    <row r="9" spans="1:12" s="106" customFormat="1" ht="24.75" customHeight="1">
      <c r="A9" s="762" t="s">
        <v>128</v>
      </c>
      <c r="B9" s="252" t="s">
        <v>330</v>
      </c>
      <c r="C9" s="252" t="s">
        <v>187</v>
      </c>
      <c r="D9" s="105">
        <v>450000000</v>
      </c>
      <c r="E9" s="105">
        <v>450000000</v>
      </c>
      <c r="F9" s="105">
        <v>0</v>
      </c>
      <c r="G9" s="142">
        <v>0</v>
      </c>
      <c r="H9" s="142">
        <v>0</v>
      </c>
      <c r="I9" s="123"/>
    </row>
    <row r="10" spans="1:12" s="106" customFormat="1" ht="24.75" customHeight="1">
      <c r="A10" s="763"/>
      <c r="B10" s="762" t="s">
        <v>331</v>
      </c>
      <c r="C10" s="252" t="s">
        <v>187</v>
      </c>
      <c r="D10" s="105">
        <v>550985000</v>
      </c>
      <c r="E10" s="105">
        <v>550985000</v>
      </c>
      <c r="F10" s="105">
        <v>0</v>
      </c>
      <c r="G10" s="142">
        <v>0</v>
      </c>
      <c r="H10" s="142">
        <v>0</v>
      </c>
      <c r="I10" s="123"/>
    </row>
    <row r="11" spans="1:12" s="106" customFormat="1" ht="24.75" customHeight="1">
      <c r="A11" s="763"/>
      <c r="B11" s="764"/>
      <c r="C11" s="252" t="s">
        <v>332</v>
      </c>
      <c r="D11" s="105">
        <v>62855322</v>
      </c>
      <c r="E11" s="105">
        <v>62855322</v>
      </c>
      <c r="F11" s="105">
        <v>0</v>
      </c>
      <c r="G11" s="142">
        <v>0</v>
      </c>
      <c r="H11" s="142">
        <v>0</v>
      </c>
      <c r="I11" s="123"/>
    </row>
    <row r="12" spans="1:12" s="106" customFormat="1" ht="24.75" customHeight="1">
      <c r="A12" s="763"/>
      <c r="B12" s="252" t="s">
        <v>333</v>
      </c>
      <c r="C12" s="252" t="s">
        <v>334</v>
      </c>
      <c r="D12" s="105">
        <v>658814131</v>
      </c>
      <c r="E12" s="105">
        <v>658814131</v>
      </c>
      <c r="F12" s="105">
        <v>0</v>
      </c>
      <c r="G12" s="142">
        <v>0</v>
      </c>
      <c r="H12" s="142">
        <v>0</v>
      </c>
      <c r="I12" s="123"/>
    </row>
    <row r="13" spans="1:12" s="106" customFormat="1" ht="24.75" customHeight="1">
      <c r="A13" s="763"/>
      <c r="B13" s="762" t="s">
        <v>335</v>
      </c>
      <c r="C13" s="252" t="s">
        <v>187</v>
      </c>
      <c r="D13" s="105">
        <v>601054131</v>
      </c>
      <c r="E13" s="105">
        <v>601054131</v>
      </c>
      <c r="F13" s="105">
        <v>0</v>
      </c>
      <c r="G13" s="142">
        <v>0</v>
      </c>
      <c r="H13" s="142">
        <v>0</v>
      </c>
      <c r="I13" s="123"/>
    </row>
    <row r="14" spans="1:12" s="106" customFormat="1" ht="24.75" customHeight="1">
      <c r="A14" s="763"/>
      <c r="B14" s="764"/>
      <c r="C14" s="252" t="s">
        <v>336</v>
      </c>
      <c r="D14" s="105">
        <v>20000000</v>
      </c>
      <c r="E14" s="105">
        <v>20000000</v>
      </c>
      <c r="F14" s="105">
        <v>0</v>
      </c>
      <c r="G14" s="142">
        <v>0</v>
      </c>
      <c r="H14" s="142">
        <v>0</v>
      </c>
      <c r="I14" s="123"/>
    </row>
    <row r="15" spans="1:12" s="106" customFormat="1" ht="24.75" customHeight="1">
      <c r="A15" s="763"/>
      <c r="B15" s="762" t="s">
        <v>337</v>
      </c>
      <c r="C15" s="252" t="s">
        <v>187</v>
      </c>
      <c r="D15" s="105">
        <v>1093590131</v>
      </c>
      <c r="E15" s="105">
        <v>1093590131</v>
      </c>
      <c r="F15" s="105">
        <v>0</v>
      </c>
      <c r="G15" s="142">
        <v>0</v>
      </c>
      <c r="H15" s="142">
        <v>0</v>
      </c>
      <c r="I15" s="123"/>
    </row>
    <row r="16" spans="1:12" s="106" customFormat="1" ht="24.75" customHeight="1">
      <c r="A16" s="763"/>
      <c r="B16" s="764"/>
      <c r="C16" s="252" t="s">
        <v>334</v>
      </c>
      <c r="D16" s="105">
        <v>319199869</v>
      </c>
      <c r="E16" s="105">
        <v>319199869</v>
      </c>
      <c r="F16" s="105">
        <v>0</v>
      </c>
      <c r="G16" s="142">
        <v>0</v>
      </c>
      <c r="H16" s="142">
        <v>0</v>
      </c>
      <c r="I16" s="123"/>
    </row>
    <row r="17" spans="1:9" s="106" customFormat="1" ht="24.75" customHeight="1">
      <c r="A17" s="763"/>
      <c r="B17" s="254" t="s">
        <v>338</v>
      </c>
      <c r="C17" s="252" t="s">
        <v>187</v>
      </c>
      <c r="D17" s="105">
        <v>403410000</v>
      </c>
      <c r="E17" s="105">
        <v>403410000</v>
      </c>
      <c r="F17" s="105">
        <v>0</v>
      </c>
      <c r="G17" s="142">
        <v>0</v>
      </c>
      <c r="H17" s="142">
        <v>0</v>
      </c>
      <c r="I17" s="123"/>
    </row>
    <row r="18" spans="1:9" s="106" customFormat="1" ht="24.75" customHeight="1">
      <c r="A18" s="764"/>
      <c r="B18" s="252" t="s">
        <v>339</v>
      </c>
      <c r="C18" s="252" t="s">
        <v>187</v>
      </c>
      <c r="D18" s="105">
        <v>775545944</v>
      </c>
      <c r="E18" s="105">
        <v>775545944</v>
      </c>
      <c r="F18" s="105">
        <v>0</v>
      </c>
      <c r="G18" s="142">
        <v>0</v>
      </c>
      <c r="H18" s="142">
        <v>0</v>
      </c>
      <c r="I18" s="123"/>
    </row>
    <row r="19" spans="1:9" s="106" customFormat="1" ht="24.75" customHeight="1" collapsed="1">
      <c r="A19" s="748" t="s">
        <v>129</v>
      </c>
      <c r="B19" s="252" t="s">
        <v>330</v>
      </c>
      <c r="C19" s="252" t="s">
        <v>187</v>
      </c>
      <c r="D19" s="105">
        <v>450000000</v>
      </c>
      <c r="E19" s="105">
        <v>450000000</v>
      </c>
      <c r="F19" s="105">
        <v>0</v>
      </c>
      <c r="G19" s="142">
        <v>0</v>
      </c>
      <c r="H19" s="142">
        <v>0</v>
      </c>
      <c r="I19" s="123"/>
    </row>
    <row r="20" spans="1:9" s="106" customFormat="1" ht="24.75" customHeight="1">
      <c r="A20" s="749"/>
      <c r="B20" s="762" t="s">
        <v>331</v>
      </c>
      <c r="C20" s="252" t="s">
        <v>187</v>
      </c>
      <c r="D20" s="105">
        <v>550985000</v>
      </c>
      <c r="E20" s="105">
        <v>550985000</v>
      </c>
      <c r="F20" s="105">
        <v>0</v>
      </c>
      <c r="G20" s="142">
        <v>0</v>
      </c>
      <c r="H20" s="142">
        <v>0</v>
      </c>
      <c r="I20" s="123"/>
    </row>
    <row r="21" spans="1:9" s="106" customFormat="1" ht="24.75" customHeight="1">
      <c r="A21" s="749"/>
      <c r="B21" s="764"/>
      <c r="C21" s="252" t="s">
        <v>332</v>
      </c>
      <c r="D21" s="105">
        <v>62855322</v>
      </c>
      <c r="E21" s="105">
        <v>62855322</v>
      </c>
      <c r="F21" s="105">
        <v>0</v>
      </c>
      <c r="G21" s="142">
        <v>0</v>
      </c>
      <c r="H21" s="142">
        <v>0</v>
      </c>
      <c r="I21" s="123"/>
    </row>
    <row r="22" spans="1:9" s="106" customFormat="1" ht="24.75" customHeight="1">
      <c r="A22" s="749"/>
      <c r="B22" s="252" t="s">
        <v>333</v>
      </c>
      <c r="C22" s="252" t="s">
        <v>334</v>
      </c>
      <c r="D22" s="105">
        <v>658814131</v>
      </c>
      <c r="E22" s="105">
        <v>658814131</v>
      </c>
      <c r="F22" s="105">
        <v>0</v>
      </c>
      <c r="G22" s="142">
        <v>0</v>
      </c>
      <c r="H22" s="142">
        <v>0</v>
      </c>
      <c r="I22" s="123"/>
    </row>
    <row r="23" spans="1:9" s="106" customFormat="1" ht="24.75" customHeight="1">
      <c r="A23" s="749"/>
      <c r="B23" s="762" t="s">
        <v>335</v>
      </c>
      <c r="C23" s="252" t="s">
        <v>187</v>
      </c>
      <c r="D23" s="105">
        <v>601054131</v>
      </c>
      <c r="E23" s="105">
        <v>601054131</v>
      </c>
      <c r="F23" s="105">
        <v>0</v>
      </c>
      <c r="G23" s="142">
        <v>0</v>
      </c>
      <c r="H23" s="142">
        <v>0</v>
      </c>
      <c r="I23" s="123"/>
    </row>
    <row r="24" spans="1:9" s="106" customFormat="1" ht="24.75" customHeight="1">
      <c r="A24" s="749"/>
      <c r="B24" s="764"/>
      <c r="C24" s="252" t="s">
        <v>336</v>
      </c>
      <c r="D24" s="105">
        <v>20000000</v>
      </c>
      <c r="E24" s="105">
        <v>20000000</v>
      </c>
      <c r="F24" s="105">
        <v>0</v>
      </c>
      <c r="G24" s="142">
        <v>0</v>
      </c>
      <c r="H24" s="142">
        <v>0</v>
      </c>
      <c r="I24" s="123"/>
    </row>
    <row r="25" spans="1:9" s="106" customFormat="1" ht="24.75" customHeight="1">
      <c r="A25" s="749"/>
      <c r="B25" s="762" t="s">
        <v>337</v>
      </c>
      <c r="C25" s="252" t="s">
        <v>187</v>
      </c>
      <c r="D25" s="105">
        <v>1093590131</v>
      </c>
      <c r="E25" s="105">
        <v>1093590131</v>
      </c>
      <c r="F25" s="105">
        <v>49763000</v>
      </c>
      <c r="G25" s="142">
        <v>0</v>
      </c>
      <c r="H25" s="142">
        <v>0</v>
      </c>
      <c r="I25" s="123"/>
    </row>
    <row r="26" spans="1:9" s="106" customFormat="1" ht="24.75" customHeight="1">
      <c r="A26" s="749"/>
      <c r="B26" s="764"/>
      <c r="C26" s="252" t="s">
        <v>334</v>
      </c>
      <c r="D26" s="105">
        <v>319199869</v>
      </c>
      <c r="E26" s="105">
        <v>319199869</v>
      </c>
      <c r="F26" s="105">
        <v>30213000</v>
      </c>
      <c r="G26" s="142">
        <v>0</v>
      </c>
      <c r="H26" s="142">
        <v>0</v>
      </c>
      <c r="I26" s="123"/>
    </row>
    <row r="27" spans="1:9" s="106" customFormat="1" ht="24.75" customHeight="1">
      <c r="A27" s="749"/>
      <c r="B27" s="254" t="s">
        <v>338</v>
      </c>
      <c r="C27" s="252" t="s">
        <v>187</v>
      </c>
      <c r="D27" s="105">
        <v>403410000</v>
      </c>
      <c r="E27" s="105">
        <v>403410000</v>
      </c>
      <c r="F27" s="105">
        <v>10000000</v>
      </c>
      <c r="G27" s="142">
        <v>0</v>
      </c>
      <c r="H27" s="142">
        <v>0</v>
      </c>
      <c r="I27" s="123"/>
    </row>
    <row r="28" spans="1:9" s="106" customFormat="1" ht="24.75" customHeight="1">
      <c r="A28" s="750"/>
      <c r="B28" s="252" t="s">
        <v>339</v>
      </c>
      <c r="C28" s="252" t="s">
        <v>187</v>
      </c>
      <c r="D28" s="105">
        <v>775545944</v>
      </c>
      <c r="E28" s="105">
        <v>775545944</v>
      </c>
      <c r="F28" s="105">
        <v>56548312</v>
      </c>
      <c r="G28" s="142">
        <v>0</v>
      </c>
      <c r="H28" s="142">
        <v>0</v>
      </c>
      <c r="I28" s="123"/>
    </row>
    <row r="29" spans="1:9" s="106" customFormat="1" ht="24.75" customHeight="1" collapsed="1">
      <c r="A29" s="748" t="s">
        <v>130</v>
      </c>
      <c r="B29" s="252" t="s">
        <v>330</v>
      </c>
      <c r="C29" s="252" t="s">
        <v>187</v>
      </c>
      <c r="D29" s="105">
        <v>450000000</v>
      </c>
      <c r="E29" s="105">
        <v>450000000</v>
      </c>
      <c r="F29" s="105">
        <v>373112000</v>
      </c>
      <c r="G29" s="142">
        <v>0</v>
      </c>
      <c r="H29" s="142">
        <v>0</v>
      </c>
      <c r="I29" s="123"/>
    </row>
    <row r="30" spans="1:9" s="106" customFormat="1" ht="24.75" customHeight="1">
      <c r="A30" s="749"/>
      <c r="B30" s="762" t="s">
        <v>331</v>
      </c>
      <c r="C30" s="252" t="s">
        <v>187</v>
      </c>
      <c r="D30" s="105">
        <v>550985000</v>
      </c>
      <c r="E30" s="105">
        <v>550985000</v>
      </c>
      <c r="F30" s="105">
        <v>465500000</v>
      </c>
      <c r="G30" s="142">
        <v>0</v>
      </c>
      <c r="H30" s="142">
        <v>0</v>
      </c>
      <c r="I30" s="123"/>
    </row>
    <row r="31" spans="1:9" s="106" customFormat="1" ht="24.75" customHeight="1">
      <c r="A31" s="749"/>
      <c r="B31" s="764"/>
      <c r="C31" s="252" t="s">
        <v>332</v>
      </c>
      <c r="D31" s="105">
        <v>62855322</v>
      </c>
      <c r="E31" s="105">
        <v>62855322</v>
      </c>
      <c r="F31" s="105">
        <v>0</v>
      </c>
      <c r="G31" s="142">
        <v>0</v>
      </c>
      <c r="H31" s="142">
        <v>0</v>
      </c>
      <c r="I31" s="123"/>
    </row>
    <row r="32" spans="1:9" s="106" customFormat="1" ht="24.75" customHeight="1">
      <c r="A32" s="749"/>
      <c r="B32" s="252" t="s">
        <v>333</v>
      </c>
      <c r="C32" s="252" t="s">
        <v>334</v>
      </c>
      <c r="D32" s="105">
        <v>658814131</v>
      </c>
      <c r="E32" s="105">
        <v>658814131</v>
      </c>
      <c r="F32" s="105">
        <v>451588000</v>
      </c>
      <c r="G32" s="142">
        <v>0</v>
      </c>
      <c r="H32" s="142">
        <v>0</v>
      </c>
      <c r="I32" s="123"/>
    </row>
    <row r="33" spans="1:9" s="106" customFormat="1" ht="24.75" customHeight="1">
      <c r="A33" s="749"/>
      <c r="B33" s="762" t="s">
        <v>335</v>
      </c>
      <c r="C33" s="252" t="s">
        <v>187</v>
      </c>
      <c r="D33" s="105">
        <v>601054131</v>
      </c>
      <c r="E33" s="105">
        <v>601054131</v>
      </c>
      <c r="F33" s="105">
        <v>433428000</v>
      </c>
      <c r="G33" s="142">
        <v>0</v>
      </c>
      <c r="H33" s="142">
        <v>0</v>
      </c>
      <c r="I33" s="123"/>
    </row>
    <row r="34" spans="1:9" s="106" customFormat="1" ht="24.75" customHeight="1">
      <c r="A34" s="749"/>
      <c r="B34" s="764"/>
      <c r="C34" s="252" t="s">
        <v>336</v>
      </c>
      <c r="D34" s="105">
        <v>20000000</v>
      </c>
      <c r="E34" s="105">
        <v>20000000</v>
      </c>
      <c r="F34" s="105">
        <v>0</v>
      </c>
      <c r="G34" s="142">
        <v>0</v>
      </c>
      <c r="H34" s="142">
        <v>0</v>
      </c>
      <c r="I34" s="123"/>
    </row>
    <row r="35" spans="1:9" s="106" customFormat="1" ht="24.75" customHeight="1">
      <c r="A35" s="749"/>
      <c r="B35" s="762" t="s">
        <v>337</v>
      </c>
      <c r="C35" s="252" t="s">
        <v>187</v>
      </c>
      <c r="D35" s="105">
        <v>1093590131</v>
      </c>
      <c r="E35" s="105">
        <v>1093590131</v>
      </c>
      <c r="F35" s="105">
        <v>548275984</v>
      </c>
      <c r="G35" s="142">
        <v>0</v>
      </c>
      <c r="H35" s="142">
        <v>0</v>
      </c>
      <c r="I35" s="123"/>
    </row>
    <row r="36" spans="1:9" s="106" customFormat="1" ht="24.75" customHeight="1">
      <c r="A36" s="749"/>
      <c r="B36" s="764"/>
      <c r="C36" s="252" t="s">
        <v>334</v>
      </c>
      <c r="D36" s="105">
        <v>319199869</v>
      </c>
      <c r="E36" s="105">
        <v>319199869</v>
      </c>
      <c r="F36" s="105">
        <v>286832000</v>
      </c>
      <c r="G36" s="142">
        <v>0</v>
      </c>
      <c r="H36" s="142">
        <v>0</v>
      </c>
      <c r="I36" s="123"/>
    </row>
    <row r="37" spans="1:9" s="106" customFormat="1" ht="24.75" customHeight="1">
      <c r="A37" s="749"/>
      <c r="B37" s="254" t="s">
        <v>338</v>
      </c>
      <c r="C37" s="252" t="s">
        <v>187</v>
      </c>
      <c r="D37" s="105">
        <v>403410000</v>
      </c>
      <c r="E37" s="105">
        <v>403410000</v>
      </c>
      <c r="F37" s="105">
        <v>92564000</v>
      </c>
      <c r="G37" s="142">
        <v>0</v>
      </c>
      <c r="H37" s="142">
        <v>0</v>
      </c>
      <c r="I37" s="123"/>
    </row>
    <row r="38" spans="1:9" s="106" customFormat="1" ht="24.75" customHeight="1">
      <c r="A38" s="750"/>
      <c r="B38" s="252" t="s">
        <v>339</v>
      </c>
      <c r="C38" s="252" t="s">
        <v>187</v>
      </c>
      <c r="D38" s="105">
        <v>775545944</v>
      </c>
      <c r="E38" s="105">
        <v>775545944</v>
      </c>
      <c r="F38" s="105">
        <v>404965456</v>
      </c>
      <c r="G38" s="142">
        <v>11541544</v>
      </c>
      <c r="H38" s="142">
        <v>11541544</v>
      </c>
      <c r="I38" s="123"/>
    </row>
    <row r="39" spans="1:9" s="106" customFormat="1" ht="24.75" customHeight="1">
      <c r="A39" s="748" t="s">
        <v>131</v>
      </c>
      <c r="B39" s="252" t="s">
        <v>330</v>
      </c>
      <c r="C39" s="252" t="s">
        <v>187</v>
      </c>
      <c r="D39" s="105">
        <v>450000000</v>
      </c>
      <c r="E39" s="105">
        <v>450000000</v>
      </c>
      <c r="F39" s="105">
        <v>373112000</v>
      </c>
      <c r="G39" s="142">
        <v>26409699</v>
      </c>
      <c r="H39" s="142">
        <v>26409699</v>
      </c>
      <c r="I39" s="123"/>
    </row>
    <row r="40" spans="1:9" s="106" customFormat="1" ht="24.75" customHeight="1">
      <c r="A40" s="749"/>
      <c r="B40" s="762" t="s">
        <v>331</v>
      </c>
      <c r="C40" s="252" t="s">
        <v>187</v>
      </c>
      <c r="D40" s="105">
        <v>550985000</v>
      </c>
      <c r="E40" s="105">
        <v>550985000</v>
      </c>
      <c r="F40" s="105">
        <v>465500000</v>
      </c>
      <c r="G40" s="142">
        <v>35398499</v>
      </c>
      <c r="H40" s="142">
        <v>35398499</v>
      </c>
      <c r="I40" s="123"/>
    </row>
    <row r="41" spans="1:9" s="106" customFormat="1" ht="24.75" customHeight="1">
      <c r="A41" s="749"/>
      <c r="B41" s="764"/>
      <c r="C41" s="252" t="s">
        <v>332</v>
      </c>
      <c r="D41" s="105">
        <v>62855322</v>
      </c>
      <c r="E41" s="105">
        <v>62855322</v>
      </c>
      <c r="F41" s="105">
        <v>0</v>
      </c>
      <c r="G41" s="142">
        <v>0</v>
      </c>
      <c r="H41" s="142">
        <v>0</v>
      </c>
      <c r="I41" s="123"/>
    </row>
    <row r="42" spans="1:9" s="106" customFormat="1" ht="24.75" customHeight="1">
      <c r="A42" s="749"/>
      <c r="B42" s="252" t="s">
        <v>333</v>
      </c>
      <c r="C42" s="252" t="s">
        <v>334</v>
      </c>
      <c r="D42" s="105">
        <v>658814131</v>
      </c>
      <c r="E42" s="105">
        <v>658814131</v>
      </c>
      <c r="F42" s="105">
        <v>472900000</v>
      </c>
      <c r="G42" s="142">
        <v>38096468</v>
      </c>
      <c r="H42" s="142">
        <v>38096468</v>
      </c>
      <c r="I42" s="123"/>
    </row>
    <row r="43" spans="1:9" s="106" customFormat="1" ht="24.75" customHeight="1">
      <c r="A43" s="749"/>
      <c r="B43" s="762" t="s">
        <v>335</v>
      </c>
      <c r="C43" s="252" t="s">
        <v>187</v>
      </c>
      <c r="D43" s="105">
        <v>601054131</v>
      </c>
      <c r="E43" s="105">
        <v>601054131</v>
      </c>
      <c r="F43" s="105">
        <v>433428000</v>
      </c>
      <c r="G43" s="142">
        <v>45142900</v>
      </c>
      <c r="H43" s="142">
        <v>45142900</v>
      </c>
      <c r="I43" s="123"/>
    </row>
    <row r="44" spans="1:9" s="106" customFormat="1" ht="24.75" customHeight="1">
      <c r="A44" s="749"/>
      <c r="B44" s="764"/>
      <c r="C44" s="252" t="s">
        <v>336</v>
      </c>
      <c r="D44" s="105">
        <v>20000000</v>
      </c>
      <c r="E44" s="105">
        <v>20000000</v>
      </c>
      <c r="F44" s="105">
        <v>0</v>
      </c>
      <c r="G44" s="142">
        <v>0</v>
      </c>
      <c r="H44" s="142">
        <v>0</v>
      </c>
      <c r="I44" s="123"/>
    </row>
    <row r="45" spans="1:9" s="106" customFormat="1" ht="24.75" customHeight="1">
      <c r="A45" s="749"/>
      <c r="B45" s="762" t="s">
        <v>337</v>
      </c>
      <c r="C45" s="252" t="s">
        <v>187</v>
      </c>
      <c r="D45" s="105">
        <v>1093590131</v>
      </c>
      <c r="E45" s="105">
        <v>1093590131</v>
      </c>
      <c r="F45" s="105">
        <v>573298666</v>
      </c>
      <c r="G45" s="142">
        <v>51721448</v>
      </c>
      <c r="H45" s="142">
        <v>51721448</v>
      </c>
      <c r="I45" s="123"/>
    </row>
    <row r="46" spans="1:9" s="106" customFormat="1" ht="24.75" customHeight="1">
      <c r="A46" s="749"/>
      <c r="B46" s="764"/>
      <c r="C46" s="252" t="s">
        <v>334</v>
      </c>
      <c r="D46" s="105">
        <v>319199869</v>
      </c>
      <c r="E46" s="105">
        <v>319199869</v>
      </c>
      <c r="F46" s="105">
        <v>286832000</v>
      </c>
      <c r="G46" s="142">
        <v>26956333</v>
      </c>
      <c r="H46" s="142">
        <v>26956333</v>
      </c>
      <c r="I46" s="123"/>
    </row>
    <row r="47" spans="1:9" s="106" customFormat="1" ht="24.75" customHeight="1">
      <c r="A47" s="749"/>
      <c r="B47" s="254" t="s">
        <v>338</v>
      </c>
      <c r="C47" s="252" t="s">
        <v>187</v>
      </c>
      <c r="D47" s="105">
        <v>403410000</v>
      </c>
      <c r="E47" s="105">
        <v>403410000</v>
      </c>
      <c r="F47" s="105">
        <v>164519000</v>
      </c>
      <c r="G47" s="142">
        <v>2848433</v>
      </c>
      <c r="H47" s="142">
        <v>2848433</v>
      </c>
      <c r="I47" s="123"/>
    </row>
    <row r="48" spans="1:9" s="106" customFormat="1" ht="24.75" customHeight="1">
      <c r="A48" s="750"/>
      <c r="B48" s="252" t="s">
        <v>339</v>
      </c>
      <c r="C48" s="252" t="s">
        <v>187</v>
      </c>
      <c r="D48" s="105">
        <v>775545944</v>
      </c>
      <c r="E48" s="105">
        <v>775545944</v>
      </c>
      <c r="F48" s="105">
        <v>433527167</v>
      </c>
      <c r="G48" s="142">
        <v>36332725</v>
      </c>
      <c r="H48" s="142">
        <v>36332725</v>
      </c>
      <c r="I48" s="123"/>
    </row>
    <row r="49" spans="1:9" s="106" customFormat="1" ht="24.75" customHeight="1">
      <c r="A49" s="748" t="s">
        <v>132</v>
      </c>
      <c r="B49" s="252" t="s">
        <v>330</v>
      </c>
      <c r="C49" s="252" t="s">
        <v>187</v>
      </c>
      <c r="D49" s="142">
        <v>450000000</v>
      </c>
      <c r="E49" s="142">
        <v>450000000</v>
      </c>
      <c r="F49" s="142">
        <v>377292000</v>
      </c>
      <c r="G49" s="142">
        <v>210279165</v>
      </c>
      <c r="H49" s="142">
        <v>210279165</v>
      </c>
      <c r="I49" s="123"/>
    </row>
    <row r="50" spans="1:9" s="106" customFormat="1" ht="24.75" customHeight="1">
      <c r="A50" s="749"/>
      <c r="B50" s="762" t="s">
        <v>331</v>
      </c>
      <c r="C50" s="252" t="s">
        <v>187</v>
      </c>
      <c r="D50" s="142">
        <v>753985000</v>
      </c>
      <c r="E50" s="142">
        <v>763985000</v>
      </c>
      <c r="F50" s="142">
        <v>480083000</v>
      </c>
      <c r="G50" s="142">
        <v>254439132</v>
      </c>
      <c r="H50" s="142">
        <v>254439132</v>
      </c>
      <c r="I50" s="123"/>
    </row>
    <row r="51" spans="1:9" s="106" customFormat="1" ht="24.75" customHeight="1">
      <c r="A51" s="749"/>
      <c r="B51" s="764"/>
      <c r="C51" s="252" t="s">
        <v>332</v>
      </c>
      <c r="D51" s="142">
        <v>62855322</v>
      </c>
      <c r="E51" s="142">
        <v>62855322</v>
      </c>
      <c r="F51" s="142">
        <v>62855322</v>
      </c>
      <c r="G51" s="142">
        <v>62855322</v>
      </c>
      <c r="H51" s="142">
        <v>62855322</v>
      </c>
      <c r="I51" s="123"/>
    </row>
    <row r="52" spans="1:9" s="106" customFormat="1" ht="24.75" customHeight="1">
      <c r="A52" s="749"/>
      <c r="B52" s="252" t="s">
        <v>333</v>
      </c>
      <c r="C52" s="252" t="s">
        <v>334</v>
      </c>
      <c r="D52" s="142">
        <v>658814131</v>
      </c>
      <c r="E52" s="142">
        <v>658814131</v>
      </c>
      <c r="F52" s="142">
        <v>545531000</v>
      </c>
      <c r="G52" s="142">
        <v>232554035</v>
      </c>
      <c r="H52" s="142">
        <v>232554035</v>
      </c>
      <c r="I52" s="123"/>
    </row>
    <row r="53" spans="1:9" s="106" customFormat="1" ht="24.75" customHeight="1">
      <c r="A53" s="749"/>
      <c r="B53" s="762" t="s">
        <v>335</v>
      </c>
      <c r="C53" s="252" t="s">
        <v>187</v>
      </c>
      <c r="D53" s="142">
        <v>536054131</v>
      </c>
      <c r="E53" s="142">
        <v>536054131</v>
      </c>
      <c r="F53" s="142">
        <v>437787131</v>
      </c>
      <c r="G53" s="142">
        <v>269195535</v>
      </c>
      <c r="H53" s="142">
        <v>269195535</v>
      </c>
      <c r="I53" s="123"/>
    </row>
    <row r="54" spans="1:9" s="106" customFormat="1" ht="24.75" customHeight="1">
      <c r="A54" s="749"/>
      <c r="B54" s="764"/>
      <c r="C54" s="252" t="s">
        <v>336</v>
      </c>
      <c r="D54" s="142">
        <v>20000000</v>
      </c>
      <c r="E54" s="142">
        <v>20000000</v>
      </c>
      <c r="F54" s="142">
        <v>0</v>
      </c>
      <c r="G54" s="142">
        <v>0</v>
      </c>
      <c r="H54" s="142">
        <v>0</v>
      </c>
      <c r="I54" s="123"/>
    </row>
    <row r="55" spans="1:9" s="106" customFormat="1" ht="24.75" customHeight="1">
      <c r="A55" s="749"/>
      <c r="B55" s="762" t="s">
        <v>337</v>
      </c>
      <c r="C55" s="252" t="s">
        <v>187</v>
      </c>
      <c r="D55" s="142">
        <v>1080590131</v>
      </c>
      <c r="E55" s="142">
        <v>1080590131</v>
      </c>
      <c r="F55" s="142">
        <v>618799416</v>
      </c>
      <c r="G55" s="142">
        <v>252268566</v>
      </c>
      <c r="H55" s="142">
        <v>252268566</v>
      </c>
      <c r="I55" s="123"/>
    </row>
    <row r="56" spans="1:9" s="106" customFormat="1" ht="24.75" customHeight="1">
      <c r="A56" s="749"/>
      <c r="B56" s="764"/>
      <c r="C56" s="252" t="s">
        <v>334</v>
      </c>
      <c r="D56" s="142">
        <v>319199869</v>
      </c>
      <c r="E56" s="142">
        <v>319199869</v>
      </c>
      <c r="F56" s="142">
        <v>286832000</v>
      </c>
      <c r="G56" s="142">
        <v>157706433</v>
      </c>
      <c r="H56" s="142">
        <v>157706433</v>
      </c>
      <c r="I56" s="123"/>
    </row>
    <row r="57" spans="1:9" s="106" customFormat="1" ht="24.75" customHeight="1">
      <c r="A57" s="749"/>
      <c r="B57" s="254" t="s">
        <v>338</v>
      </c>
      <c r="C57" s="252" t="s">
        <v>187</v>
      </c>
      <c r="D57" s="142">
        <v>263410000</v>
      </c>
      <c r="E57" s="142">
        <v>263410000</v>
      </c>
      <c r="F57" s="142">
        <v>191691000</v>
      </c>
      <c r="G57" s="142">
        <v>78561375</v>
      </c>
      <c r="H57" s="142">
        <v>78561375</v>
      </c>
      <c r="I57" s="123"/>
    </row>
    <row r="58" spans="1:9" s="106" customFormat="1" ht="24.75" customHeight="1">
      <c r="A58" s="750"/>
      <c r="B58" s="252" t="s">
        <v>339</v>
      </c>
      <c r="C58" s="252" t="s">
        <v>187</v>
      </c>
      <c r="D58" s="142">
        <v>790545944</v>
      </c>
      <c r="E58" s="142">
        <v>780545944</v>
      </c>
      <c r="F58" s="142">
        <v>488375819</v>
      </c>
      <c r="G58" s="142">
        <v>278527169</v>
      </c>
      <c r="H58" s="142">
        <v>278527169</v>
      </c>
      <c r="I58" s="123"/>
    </row>
    <row r="59" spans="1:9" s="106" customFormat="1" ht="24.75" customHeight="1">
      <c r="A59" s="748" t="s">
        <v>133</v>
      </c>
      <c r="B59" s="252" t="s">
        <v>330</v>
      </c>
      <c r="C59" s="252" t="s">
        <v>187</v>
      </c>
      <c r="D59" s="142">
        <v>450000000</v>
      </c>
      <c r="E59" s="304">
        <v>450000000</v>
      </c>
      <c r="F59" s="142">
        <v>447516000</v>
      </c>
      <c r="G59" s="142">
        <v>316341865</v>
      </c>
      <c r="H59" s="142">
        <f>+G59</f>
        <v>316341865</v>
      </c>
      <c r="I59" s="123"/>
    </row>
    <row r="60" spans="1:9" s="106" customFormat="1" ht="24.75" customHeight="1">
      <c r="A60" s="749"/>
      <c r="B60" s="762" t="s">
        <v>331</v>
      </c>
      <c r="C60" s="252" t="s">
        <v>187</v>
      </c>
      <c r="D60" s="142">
        <v>753985000</v>
      </c>
      <c r="E60" s="304">
        <v>763985000</v>
      </c>
      <c r="F60" s="142">
        <v>607617783</v>
      </c>
      <c r="G60" s="142">
        <v>387105399</v>
      </c>
      <c r="H60" s="142">
        <f t="shared" ref="H60:H68" si="0">+G60</f>
        <v>387105399</v>
      </c>
      <c r="I60" s="123"/>
    </row>
    <row r="61" spans="1:9" s="106" customFormat="1" ht="24.75" customHeight="1">
      <c r="A61" s="749"/>
      <c r="B61" s="764"/>
      <c r="C61" s="252" t="s">
        <v>332</v>
      </c>
      <c r="D61" s="142">
        <v>62855322</v>
      </c>
      <c r="E61" s="304">
        <v>62855322</v>
      </c>
      <c r="F61" s="142">
        <v>62855322</v>
      </c>
      <c r="G61" s="142">
        <v>62855322</v>
      </c>
      <c r="H61" s="142">
        <f t="shared" si="0"/>
        <v>62855322</v>
      </c>
      <c r="I61" s="123"/>
    </row>
    <row r="62" spans="1:9" s="106" customFormat="1" ht="24.75" customHeight="1">
      <c r="A62" s="749"/>
      <c r="B62" s="252" t="s">
        <v>333</v>
      </c>
      <c r="C62" s="252" t="s">
        <v>334</v>
      </c>
      <c r="D62" s="142">
        <v>658814131</v>
      </c>
      <c r="E62" s="304">
        <v>658814131</v>
      </c>
      <c r="F62" s="142">
        <v>644978000</v>
      </c>
      <c r="G62" s="142">
        <v>368534169</v>
      </c>
      <c r="H62" s="142">
        <f t="shared" si="0"/>
        <v>368534169</v>
      </c>
      <c r="I62" s="123"/>
    </row>
    <row r="63" spans="1:9" s="106" customFormat="1" ht="24.75" customHeight="1">
      <c r="A63" s="749"/>
      <c r="B63" s="762" t="s">
        <v>335</v>
      </c>
      <c r="C63" s="252" t="s">
        <v>187</v>
      </c>
      <c r="D63" s="142">
        <v>536054131</v>
      </c>
      <c r="E63" s="304">
        <v>536054131</v>
      </c>
      <c r="F63" s="142">
        <v>535986131</v>
      </c>
      <c r="G63" s="142">
        <v>403638440.30888337</v>
      </c>
      <c r="H63" s="142">
        <f t="shared" si="0"/>
        <v>403638440.30888337</v>
      </c>
      <c r="I63" s="123"/>
    </row>
    <row r="64" spans="1:9" s="106" customFormat="1" ht="24.75" customHeight="1">
      <c r="A64" s="749"/>
      <c r="B64" s="764"/>
      <c r="C64" s="252" t="s">
        <v>336</v>
      </c>
      <c r="D64" s="142">
        <v>20000000</v>
      </c>
      <c r="E64" s="142">
        <v>20000000</v>
      </c>
      <c r="F64" s="142">
        <v>0</v>
      </c>
      <c r="G64" s="142">
        <v>0</v>
      </c>
      <c r="H64" s="142">
        <v>0</v>
      </c>
      <c r="I64" s="123"/>
    </row>
    <row r="65" spans="1:9" s="106" customFormat="1" ht="24.75" customHeight="1">
      <c r="A65" s="749"/>
      <c r="B65" s="762" t="s">
        <v>337</v>
      </c>
      <c r="C65" s="252" t="s">
        <v>187</v>
      </c>
      <c r="D65" s="142">
        <v>1080590131</v>
      </c>
      <c r="E65" s="142">
        <v>1080590131</v>
      </c>
      <c r="F65" s="304">
        <v>1012453063</v>
      </c>
      <c r="G65" s="142">
        <v>505007680.18480587</v>
      </c>
      <c r="H65" s="142">
        <f t="shared" si="0"/>
        <v>505007680.18480587</v>
      </c>
      <c r="I65" s="123"/>
    </row>
    <row r="66" spans="1:9" s="106" customFormat="1" ht="24.75" customHeight="1">
      <c r="A66" s="749"/>
      <c r="B66" s="764"/>
      <c r="C66" s="252" t="s">
        <v>334</v>
      </c>
      <c r="D66" s="142">
        <v>319199869</v>
      </c>
      <c r="E66" s="142">
        <v>319199869</v>
      </c>
      <c r="F66" s="142">
        <v>313688000</v>
      </c>
      <c r="G66" s="142">
        <v>227490433</v>
      </c>
      <c r="H66" s="142">
        <f t="shared" si="0"/>
        <v>227490433</v>
      </c>
      <c r="I66" s="123"/>
    </row>
    <row r="67" spans="1:9" s="106" customFormat="1" ht="24.75" customHeight="1">
      <c r="A67" s="749"/>
      <c r="B67" s="254" t="s">
        <v>338</v>
      </c>
      <c r="C67" s="252" t="s">
        <v>187</v>
      </c>
      <c r="D67" s="142">
        <v>263410000</v>
      </c>
      <c r="E67" s="142">
        <v>263410000</v>
      </c>
      <c r="F67" s="142">
        <v>232617000</v>
      </c>
      <c r="G67" s="142">
        <v>139980686.50631076</v>
      </c>
      <c r="H67" s="142">
        <f t="shared" si="0"/>
        <v>139980686.50631076</v>
      </c>
      <c r="I67" s="123"/>
    </row>
    <row r="68" spans="1:9" s="106" customFormat="1" ht="24.75" customHeight="1">
      <c r="A68" s="750"/>
      <c r="B68" s="252" t="s">
        <v>339</v>
      </c>
      <c r="C68" s="252" t="s">
        <v>187</v>
      </c>
      <c r="D68" s="142">
        <v>790545944</v>
      </c>
      <c r="E68" s="304">
        <v>780545944</v>
      </c>
      <c r="F68" s="142">
        <v>731213017</v>
      </c>
      <c r="G68" s="142">
        <v>381508875</v>
      </c>
      <c r="H68" s="142">
        <f t="shared" si="0"/>
        <v>381508875</v>
      </c>
      <c r="I68" s="123"/>
    </row>
    <row r="70" spans="1:9" ht="24.75" customHeight="1">
      <c r="A70" s="770" t="s">
        <v>134</v>
      </c>
      <c r="B70" s="770"/>
      <c r="C70" s="770"/>
      <c r="D70" s="770"/>
      <c r="E70" s="770"/>
      <c r="F70" s="770"/>
      <c r="G70" s="770"/>
      <c r="H70" s="770"/>
    </row>
    <row r="71" spans="1:9" ht="24.75" customHeight="1">
      <c r="A71" s="103" t="s">
        <v>49</v>
      </c>
      <c r="B71" s="103" t="s">
        <v>329</v>
      </c>
      <c r="C71" s="30" t="s">
        <v>121</v>
      </c>
      <c r="D71" s="104" t="s">
        <v>122</v>
      </c>
      <c r="E71" s="104" t="s">
        <v>123</v>
      </c>
      <c r="F71" s="104" t="s">
        <v>124</v>
      </c>
      <c r="G71" s="104" t="s">
        <v>125</v>
      </c>
      <c r="H71" s="104" t="s">
        <v>126</v>
      </c>
    </row>
    <row r="72" spans="1:9" ht="24.75" customHeight="1">
      <c r="A72" s="756" t="s">
        <v>135</v>
      </c>
      <c r="B72" s="252" t="s">
        <v>339</v>
      </c>
      <c r="C72" s="252" t="s">
        <v>187</v>
      </c>
      <c r="D72" s="142">
        <v>790545944</v>
      </c>
      <c r="E72" s="304">
        <v>780545944</v>
      </c>
      <c r="F72" s="312">
        <v>0</v>
      </c>
      <c r="G72" s="312">
        <v>0</v>
      </c>
      <c r="H72" s="312">
        <v>0</v>
      </c>
    </row>
    <row r="73" spans="1:9" ht="24.75" customHeight="1">
      <c r="A73" s="756"/>
      <c r="B73" s="751" t="s">
        <v>331</v>
      </c>
      <c r="C73" s="252" t="s">
        <v>187</v>
      </c>
      <c r="D73" s="142">
        <v>753985000</v>
      </c>
      <c r="E73" s="304">
        <v>763985000</v>
      </c>
      <c r="F73" s="312">
        <v>0</v>
      </c>
      <c r="G73" s="312">
        <v>0</v>
      </c>
      <c r="H73" s="312">
        <v>0</v>
      </c>
    </row>
    <row r="74" spans="1:9" ht="24.75" customHeight="1">
      <c r="A74" s="756"/>
      <c r="B74" s="751"/>
      <c r="C74" s="252" t="s">
        <v>332</v>
      </c>
      <c r="D74" s="142">
        <v>62855322</v>
      </c>
      <c r="E74" s="304">
        <v>62855322</v>
      </c>
      <c r="F74" s="312">
        <v>0</v>
      </c>
      <c r="G74" s="312">
        <v>0</v>
      </c>
      <c r="H74" s="312">
        <v>0</v>
      </c>
    </row>
    <row r="75" spans="1:9" ht="24.75" customHeight="1">
      <c r="A75" s="756"/>
      <c r="B75" s="751" t="s">
        <v>337</v>
      </c>
      <c r="C75" s="252" t="s">
        <v>187</v>
      </c>
      <c r="D75" s="142">
        <v>1080590131</v>
      </c>
      <c r="E75" s="142">
        <v>1080590131</v>
      </c>
      <c r="F75" s="312">
        <v>0</v>
      </c>
      <c r="G75" s="312">
        <v>0</v>
      </c>
      <c r="H75" s="312">
        <v>0</v>
      </c>
    </row>
    <row r="76" spans="1:9" ht="24.75" customHeight="1">
      <c r="A76" s="756"/>
      <c r="B76" s="751"/>
      <c r="C76" s="252" t="s">
        <v>334</v>
      </c>
      <c r="D76" s="142">
        <v>319199869</v>
      </c>
      <c r="E76" s="142">
        <v>319199869</v>
      </c>
      <c r="F76" s="312">
        <v>0</v>
      </c>
      <c r="G76" s="312">
        <v>0</v>
      </c>
      <c r="H76" s="312">
        <v>0</v>
      </c>
    </row>
    <row r="77" spans="1:9" ht="24.75" customHeight="1">
      <c r="A77" s="756"/>
      <c r="B77" s="751" t="s">
        <v>335</v>
      </c>
      <c r="C77" s="252" t="s">
        <v>187</v>
      </c>
      <c r="D77" s="142">
        <v>536054131</v>
      </c>
      <c r="E77" s="304">
        <v>536054131</v>
      </c>
      <c r="F77" s="312">
        <v>0</v>
      </c>
      <c r="G77" s="312">
        <v>0</v>
      </c>
      <c r="H77" s="312">
        <v>0</v>
      </c>
    </row>
    <row r="78" spans="1:9" ht="24.75" customHeight="1">
      <c r="A78" s="756"/>
      <c r="B78" s="751"/>
      <c r="C78" s="252" t="s">
        <v>336</v>
      </c>
      <c r="D78" s="142">
        <v>20000000</v>
      </c>
      <c r="E78" s="142">
        <v>20000000</v>
      </c>
      <c r="F78" s="312">
        <v>0</v>
      </c>
      <c r="G78" s="312">
        <v>0</v>
      </c>
      <c r="H78" s="312">
        <v>0</v>
      </c>
    </row>
    <row r="79" spans="1:9" ht="24.75" customHeight="1">
      <c r="A79" s="756"/>
      <c r="B79" s="252" t="s">
        <v>338</v>
      </c>
      <c r="C79" s="252" t="s">
        <v>187</v>
      </c>
      <c r="D79" s="142">
        <v>263410000</v>
      </c>
      <c r="E79" s="142">
        <v>263410000</v>
      </c>
      <c r="F79" s="312">
        <v>0</v>
      </c>
      <c r="G79" s="312">
        <v>0</v>
      </c>
      <c r="H79" s="312">
        <v>0</v>
      </c>
    </row>
    <row r="80" spans="1:9" ht="24.75" customHeight="1">
      <c r="A80" s="756"/>
      <c r="B80" s="252" t="s">
        <v>333</v>
      </c>
      <c r="C80" s="252" t="s">
        <v>334</v>
      </c>
      <c r="D80" s="142">
        <v>658814131</v>
      </c>
      <c r="E80" s="304">
        <v>658814131</v>
      </c>
      <c r="F80" s="312">
        <v>0</v>
      </c>
      <c r="G80" s="312">
        <v>0</v>
      </c>
      <c r="H80" s="312">
        <v>0</v>
      </c>
    </row>
    <row r="81" spans="1:8" ht="24.75" customHeight="1">
      <c r="A81" s="756"/>
      <c r="B81" s="252" t="s">
        <v>330</v>
      </c>
      <c r="C81" s="252" t="s">
        <v>187</v>
      </c>
      <c r="D81" s="142">
        <v>450000000</v>
      </c>
      <c r="E81" s="304">
        <v>450000000</v>
      </c>
      <c r="F81" s="312">
        <v>0</v>
      </c>
      <c r="G81" s="312">
        <v>0</v>
      </c>
      <c r="H81" s="312">
        <v>0</v>
      </c>
    </row>
    <row r="82" spans="1:8" ht="24.75" customHeight="1">
      <c r="A82" s="751" t="s">
        <v>136</v>
      </c>
      <c r="B82" s="252" t="s">
        <v>339</v>
      </c>
      <c r="C82" s="252" t="s">
        <v>340</v>
      </c>
      <c r="D82" s="142">
        <v>1564678000</v>
      </c>
      <c r="E82" s="304">
        <v>1564678000</v>
      </c>
      <c r="F82" s="304">
        <v>188232000</v>
      </c>
      <c r="G82" s="304">
        <v>188232000</v>
      </c>
      <c r="H82" s="304">
        <v>0</v>
      </c>
    </row>
    <row r="83" spans="1:8" ht="24.75" customHeight="1">
      <c r="A83" s="751"/>
      <c r="B83" s="252" t="s">
        <v>331</v>
      </c>
      <c r="C83" s="252" t="s">
        <v>340</v>
      </c>
      <c r="D83" s="304">
        <v>1374057000</v>
      </c>
      <c r="E83" s="304">
        <v>1374057000</v>
      </c>
      <c r="F83" s="304">
        <v>582050000</v>
      </c>
      <c r="G83" s="304">
        <v>582050000</v>
      </c>
      <c r="H83" s="304">
        <v>0</v>
      </c>
    </row>
    <row r="84" spans="1:8" ht="24.75" customHeight="1">
      <c r="A84" s="751"/>
      <c r="B84" s="751" t="s">
        <v>337</v>
      </c>
      <c r="C84" s="252" t="s">
        <v>340</v>
      </c>
      <c r="D84" s="142">
        <v>2007824000</v>
      </c>
      <c r="E84" s="142">
        <v>2007824000</v>
      </c>
      <c r="F84" s="142">
        <v>292843000</v>
      </c>
      <c r="G84" s="142">
        <v>292843000</v>
      </c>
      <c r="H84" s="304">
        <v>0</v>
      </c>
    </row>
    <row r="85" spans="1:8" ht="24.75" customHeight="1">
      <c r="A85" s="751"/>
      <c r="B85" s="751"/>
      <c r="C85" s="252" t="s">
        <v>341</v>
      </c>
      <c r="D85" s="142">
        <v>792348000</v>
      </c>
      <c r="E85" s="142">
        <v>792348000</v>
      </c>
      <c r="F85" s="142">
        <v>115947000</v>
      </c>
      <c r="G85" s="142">
        <v>115947000</v>
      </c>
      <c r="H85" s="304">
        <v>0</v>
      </c>
    </row>
    <row r="86" spans="1:8" ht="24.75" customHeight="1">
      <c r="A86" s="751"/>
      <c r="B86" s="751"/>
      <c r="C86" s="252" t="s">
        <v>342</v>
      </c>
      <c r="D86" s="142">
        <v>173604000</v>
      </c>
      <c r="E86" s="142">
        <v>173604000</v>
      </c>
      <c r="F86" s="142">
        <v>0</v>
      </c>
      <c r="G86" s="142">
        <v>0</v>
      </c>
      <c r="H86" s="304">
        <v>0</v>
      </c>
    </row>
    <row r="87" spans="1:8" ht="24.75" customHeight="1">
      <c r="A87" s="751"/>
      <c r="B87" s="751" t="s">
        <v>335</v>
      </c>
      <c r="C87" s="252" t="s">
        <v>340</v>
      </c>
      <c r="D87" s="142">
        <v>1180481000</v>
      </c>
      <c r="E87" s="142">
        <v>1180481000</v>
      </c>
      <c r="F87" s="142">
        <v>740287000</v>
      </c>
      <c r="G87" s="142">
        <v>740287000</v>
      </c>
      <c r="H87" s="304">
        <v>0</v>
      </c>
    </row>
    <row r="88" spans="1:8" ht="24.75" customHeight="1">
      <c r="A88" s="751"/>
      <c r="B88" s="751"/>
      <c r="C88" s="252" t="s">
        <v>342</v>
      </c>
      <c r="D88" s="142">
        <v>300000000</v>
      </c>
      <c r="E88" s="142">
        <v>300000000</v>
      </c>
      <c r="F88" s="142">
        <v>0</v>
      </c>
      <c r="G88" s="142">
        <v>0</v>
      </c>
      <c r="H88" s="304">
        <v>0</v>
      </c>
    </row>
    <row r="89" spans="1:8" ht="24.75" customHeight="1">
      <c r="A89" s="751"/>
      <c r="B89" s="252" t="s">
        <v>338</v>
      </c>
      <c r="C89" s="252" t="s">
        <v>340</v>
      </c>
      <c r="D89" s="142">
        <v>689070000</v>
      </c>
      <c r="E89" s="142">
        <v>689070000</v>
      </c>
      <c r="F89" s="142">
        <v>34584000</v>
      </c>
      <c r="G89" s="142">
        <v>34584000</v>
      </c>
      <c r="H89" s="304">
        <v>0</v>
      </c>
    </row>
    <row r="90" spans="1:8" ht="24.75" customHeight="1">
      <c r="A90" s="751"/>
      <c r="B90" s="751" t="s">
        <v>333</v>
      </c>
      <c r="C90" s="252" t="s">
        <v>341</v>
      </c>
      <c r="D90" s="142">
        <v>1277236000</v>
      </c>
      <c r="E90" s="304">
        <v>1277236000</v>
      </c>
      <c r="F90" s="304">
        <v>385283000</v>
      </c>
      <c r="G90" s="304">
        <v>385283000</v>
      </c>
      <c r="H90" s="304">
        <v>0</v>
      </c>
    </row>
    <row r="91" spans="1:8" ht="24.75" customHeight="1">
      <c r="A91" s="751"/>
      <c r="B91" s="751"/>
      <c r="C91" s="252" t="s">
        <v>342</v>
      </c>
      <c r="D91" s="142">
        <v>16912000</v>
      </c>
      <c r="E91" s="304">
        <v>16912000</v>
      </c>
      <c r="F91" s="304">
        <v>0</v>
      </c>
      <c r="G91" s="304">
        <v>0</v>
      </c>
      <c r="H91" s="304">
        <v>0</v>
      </c>
    </row>
    <row r="92" spans="1:8" ht="24.75" customHeight="1">
      <c r="A92" s="751"/>
      <c r="B92" s="252" t="s">
        <v>330</v>
      </c>
      <c r="C92" s="252" t="s">
        <v>340</v>
      </c>
      <c r="D92" s="142">
        <v>691670000</v>
      </c>
      <c r="E92" s="142">
        <v>691670000</v>
      </c>
      <c r="F92" s="304">
        <v>326043000</v>
      </c>
      <c r="G92" s="304">
        <v>326043000</v>
      </c>
      <c r="H92" s="304">
        <v>0</v>
      </c>
    </row>
    <row r="93" spans="1:8" ht="24.75" customHeight="1">
      <c r="A93" s="751" t="s">
        <v>137</v>
      </c>
      <c r="B93" s="252" t="s">
        <v>339</v>
      </c>
      <c r="C93" s="252" t="s">
        <v>340</v>
      </c>
      <c r="D93" s="142">
        <v>1564678000</v>
      </c>
      <c r="E93" s="304">
        <v>1564678000</v>
      </c>
      <c r="F93" s="304">
        <v>537224000</v>
      </c>
      <c r="G93" s="304">
        <v>537224000</v>
      </c>
      <c r="H93" s="304">
        <v>0</v>
      </c>
    </row>
    <row r="94" spans="1:8" ht="24.75" customHeight="1">
      <c r="A94" s="751"/>
      <c r="B94" s="252" t="s">
        <v>331</v>
      </c>
      <c r="C94" s="252" t="s">
        <v>340</v>
      </c>
      <c r="D94" s="304">
        <v>1374057000</v>
      </c>
      <c r="E94" s="304">
        <v>1374057000</v>
      </c>
      <c r="F94" s="304">
        <v>1121617000</v>
      </c>
      <c r="G94" s="304">
        <v>1121617000</v>
      </c>
      <c r="H94" s="304">
        <v>3498367</v>
      </c>
    </row>
    <row r="95" spans="1:8" ht="24.75" customHeight="1">
      <c r="A95" s="751"/>
      <c r="B95" s="751" t="s">
        <v>337</v>
      </c>
      <c r="C95" s="252" t="s">
        <v>340</v>
      </c>
      <c r="D95" s="142">
        <v>2007824000</v>
      </c>
      <c r="E95" s="142">
        <v>2007824000</v>
      </c>
      <c r="F95" s="142">
        <v>1198459150</v>
      </c>
      <c r="G95" s="142">
        <v>1198459150</v>
      </c>
      <c r="H95" s="142">
        <v>34478553</v>
      </c>
    </row>
    <row r="96" spans="1:8" ht="24.75" customHeight="1">
      <c r="A96" s="751"/>
      <c r="B96" s="751"/>
      <c r="C96" s="252" t="s">
        <v>341</v>
      </c>
      <c r="D96" s="142">
        <v>792348000</v>
      </c>
      <c r="E96" s="142">
        <v>792348000</v>
      </c>
      <c r="F96" s="142">
        <v>595485000</v>
      </c>
      <c r="G96" s="142">
        <v>595485000</v>
      </c>
      <c r="H96" s="142">
        <v>3931767</v>
      </c>
    </row>
    <row r="97" spans="1:8" ht="24.75" customHeight="1">
      <c r="A97" s="751"/>
      <c r="B97" s="751"/>
      <c r="C97" s="252" t="s">
        <v>342</v>
      </c>
      <c r="D97" s="142">
        <v>173604000</v>
      </c>
      <c r="E97" s="142">
        <v>173604000</v>
      </c>
      <c r="F97" s="142">
        <v>0</v>
      </c>
      <c r="G97" s="142">
        <v>0</v>
      </c>
      <c r="H97" s="142">
        <v>0</v>
      </c>
    </row>
    <row r="98" spans="1:8" ht="24.75" customHeight="1">
      <c r="A98" s="751"/>
      <c r="B98" s="751" t="s">
        <v>335</v>
      </c>
      <c r="C98" s="252" t="s">
        <v>340</v>
      </c>
      <c r="D98" s="142">
        <v>1180481000</v>
      </c>
      <c r="E98" s="142">
        <v>1180481000</v>
      </c>
      <c r="F98" s="142">
        <v>1001575000</v>
      </c>
      <c r="G98" s="142">
        <v>1001575000</v>
      </c>
      <c r="H98" s="142">
        <v>27208599</v>
      </c>
    </row>
    <row r="99" spans="1:8" ht="24.75" customHeight="1">
      <c r="A99" s="751"/>
      <c r="B99" s="751"/>
      <c r="C99" s="252" t="s">
        <v>342</v>
      </c>
      <c r="D99" s="142">
        <v>300000000</v>
      </c>
      <c r="E99" s="142">
        <v>300000000</v>
      </c>
      <c r="F99" s="142">
        <v>0</v>
      </c>
      <c r="G99" s="142">
        <v>0</v>
      </c>
      <c r="H99" s="142">
        <v>0</v>
      </c>
    </row>
    <row r="100" spans="1:8" ht="24.75" customHeight="1">
      <c r="A100" s="751"/>
      <c r="B100" s="252" t="s">
        <v>338</v>
      </c>
      <c r="C100" s="252" t="s">
        <v>340</v>
      </c>
      <c r="D100" s="142">
        <v>689070000</v>
      </c>
      <c r="E100" s="142">
        <v>689070000</v>
      </c>
      <c r="F100" s="142">
        <v>343006000</v>
      </c>
      <c r="G100" s="142">
        <v>343006000</v>
      </c>
      <c r="H100" s="142">
        <v>0</v>
      </c>
    </row>
    <row r="101" spans="1:8" ht="24.75" customHeight="1">
      <c r="A101" s="751"/>
      <c r="B101" s="751" t="s">
        <v>333</v>
      </c>
      <c r="C101" s="252" t="s">
        <v>341</v>
      </c>
      <c r="D101" s="142">
        <v>1277236000</v>
      </c>
      <c r="E101" s="304">
        <v>1277236000</v>
      </c>
      <c r="F101" s="304">
        <v>1137979000</v>
      </c>
      <c r="G101" s="304">
        <v>1137979000</v>
      </c>
      <c r="H101" s="304">
        <v>2672200</v>
      </c>
    </row>
    <row r="102" spans="1:8" ht="24.75" customHeight="1">
      <c r="A102" s="751"/>
      <c r="B102" s="751"/>
      <c r="C102" s="252" t="s">
        <v>342</v>
      </c>
      <c r="D102" s="142">
        <v>16912000</v>
      </c>
      <c r="E102" s="304">
        <v>16912000</v>
      </c>
      <c r="F102" s="304">
        <v>0</v>
      </c>
      <c r="G102" s="304">
        <v>0</v>
      </c>
      <c r="H102" s="304">
        <v>0</v>
      </c>
    </row>
    <row r="103" spans="1:8" ht="24.75" customHeight="1">
      <c r="A103" s="751"/>
      <c r="B103" s="252" t="s">
        <v>330</v>
      </c>
      <c r="C103" s="252" t="s">
        <v>340</v>
      </c>
      <c r="D103" s="142">
        <v>691670000</v>
      </c>
      <c r="E103" s="142">
        <v>691670000</v>
      </c>
      <c r="F103" s="304">
        <v>415638000</v>
      </c>
      <c r="G103" s="304">
        <v>415638000</v>
      </c>
      <c r="H103" s="304">
        <v>13025300</v>
      </c>
    </row>
    <row r="104" spans="1:8" ht="24.75" customHeight="1">
      <c r="A104" s="751" t="s">
        <v>138</v>
      </c>
      <c r="B104" s="252" t="s">
        <v>339</v>
      </c>
      <c r="C104" s="252" t="s">
        <v>340</v>
      </c>
      <c r="D104" s="142">
        <v>1564678000</v>
      </c>
      <c r="E104" s="304">
        <v>837335614</v>
      </c>
      <c r="F104" s="304">
        <v>664703857</v>
      </c>
      <c r="G104" s="304">
        <v>664703857</v>
      </c>
      <c r="H104" s="304">
        <v>41026232</v>
      </c>
    </row>
    <row r="105" spans="1:8" ht="24.75" customHeight="1">
      <c r="A105" s="751"/>
      <c r="B105" s="252" t="s">
        <v>331</v>
      </c>
      <c r="C105" s="252" t="s">
        <v>340</v>
      </c>
      <c r="D105" s="304">
        <v>1374057000</v>
      </c>
      <c r="E105" s="304">
        <v>1262994000</v>
      </c>
      <c r="F105" s="304">
        <v>1215729000</v>
      </c>
      <c r="G105" s="304">
        <v>1215729000</v>
      </c>
      <c r="H105" s="304">
        <v>92283634</v>
      </c>
    </row>
    <row r="106" spans="1:8" ht="24.75" customHeight="1">
      <c r="A106" s="751"/>
      <c r="B106" s="751" t="s">
        <v>337</v>
      </c>
      <c r="C106" s="252" t="s">
        <v>340</v>
      </c>
      <c r="D106" s="142">
        <v>2007824000</v>
      </c>
      <c r="E106" s="142">
        <v>1670091000</v>
      </c>
      <c r="F106" s="142">
        <v>1319795150</v>
      </c>
      <c r="G106" s="142">
        <v>1319795150</v>
      </c>
      <c r="H106" s="142">
        <v>76115753</v>
      </c>
    </row>
    <row r="107" spans="1:8" ht="24.75" customHeight="1">
      <c r="A107" s="751"/>
      <c r="B107" s="751"/>
      <c r="C107" s="252" t="s">
        <v>341</v>
      </c>
      <c r="D107" s="142">
        <v>792348000</v>
      </c>
      <c r="E107" s="142">
        <v>792348000</v>
      </c>
      <c r="F107" s="142">
        <v>622989000</v>
      </c>
      <c r="G107" s="142">
        <v>622989000</v>
      </c>
      <c r="H107" s="142">
        <v>45443400</v>
      </c>
    </row>
    <row r="108" spans="1:8" ht="24.75" customHeight="1">
      <c r="A108" s="751"/>
      <c r="B108" s="751"/>
      <c r="C108" s="252" t="s">
        <v>342</v>
      </c>
      <c r="D108" s="142">
        <v>173604000</v>
      </c>
      <c r="E108" s="142">
        <v>173604000</v>
      </c>
      <c r="F108" s="142">
        <v>0</v>
      </c>
      <c r="G108" s="142">
        <v>0</v>
      </c>
      <c r="H108" s="142">
        <v>0</v>
      </c>
    </row>
    <row r="109" spans="1:8" ht="24.75" customHeight="1">
      <c r="A109" s="751"/>
      <c r="B109" s="751" t="s">
        <v>335</v>
      </c>
      <c r="C109" s="252" t="s">
        <v>340</v>
      </c>
      <c r="D109" s="142">
        <v>1180481000</v>
      </c>
      <c r="E109" s="142">
        <v>1153575000</v>
      </c>
      <c r="F109" s="142">
        <v>1001575000</v>
      </c>
      <c r="G109" s="142">
        <v>1001575000</v>
      </c>
      <c r="H109" s="142">
        <v>129841932</v>
      </c>
    </row>
    <row r="110" spans="1:8" ht="24.75" customHeight="1">
      <c r="A110" s="751"/>
      <c r="B110" s="751"/>
      <c r="C110" s="252" t="s">
        <v>342</v>
      </c>
      <c r="D110" s="142">
        <v>300000000</v>
      </c>
      <c r="E110" s="142">
        <v>300000000</v>
      </c>
      <c r="F110" s="142">
        <v>0</v>
      </c>
      <c r="G110" s="142">
        <v>0</v>
      </c>
      <c r="H110" s="142">
        <v>0</v>
      </c>
    </row>
    <row r="111" spans="1:8" ht="24.75" customHeight="1">
      <c r="A111" s="751"/>
      <c r="B111" s="252" t="s">
        <v>338</v>
      </c>
      <c r="C111" s="252" t="s">
        <v>340</v>
      </c>
      <c r="D111" s="142">
        <v>689070000</v>
      </c>
      <c r="E111" s="142">
        <v>483246000</v>
      </c>
      <c r="F111" s="142">
        <v>344744634</v>
      </c>
      <c r="G111" s="142">
        <v>344744634</v>
      </c>
      <c r="H111" s="142">
        <v>29463567</v>
      </c>
    </row>
    <row r="112" spans="1:8" ht="24.75" customHeight="1">
      <c r="A112" s="751"/>
      <c r="B112" s="751" t="s">
        <v>333</v>
      </c>
      <c r="C112" s="252" t="s">
        <v>341</v>
      </c>
      <c r="D112" s="142">
        <v>1277236000</v>
      </c>
      <c r="E112" s="304">
        <v>1277236000</v>
      </c>
      <c r="F112" s="304">
        <v>1137979000</v>
      </c>
      <c r="G112" s="304">
        <v>1137979000</v>
      </c>
      <c r="H112" s="304">
        <v>52827934</v>
      </c>
    </row>
    <row r="113" spans="1:8" ht="24.75" customHeight="1">
      <c r="A113" s="751"/>
      <c r="B113" s="751"/>
      <c r="C113" s="252" t="s">
        <v>342</v>
      </c>
      <c r="D113" s="142">
        <v>16912000</v>
      </c>
      <c r="E113" s="304">
        <v>16912000</v>
      </c>
      <c r="F113" s="304">
        <v>0</v>
      </c>
      <c r="G113" s="304">
        <v>0</v>
      </c>
      <c r="H113" s="304">
        <v>0</v>
      </c>
    </row>
    <row r="114" spans="1:8" ht="24.75" customHeight="1">
      <c r="A114" s="751"/>
      <c r="B114" s="252" t="s">
        <v>330</v>
      </c>
      <c r="C114" s="252" t="s">
        <v>340</v>
      </c>
      <c r="D114" s="142">
        <v>691670000</v>
      </c>
      <c r="E114" s="142">
        <v>528678000</v>
      </c>
      <c r="F114" s="304">
        <v>516118000</v>
      </c>
      <c r="G114" s="304">
        <v>516118000</v>
      </c>
      <c r="H114" s="304">
        <v>54300600</v>
      </c>
    </row>
    <row r="115" spans="1:8" ht="24.75" customHeight="1">
      <c r="A115" s="748" t="s">
        <v>139</v>
      </c>
      <c r="B115" s="252" t="s">
        <v>339</v>
      </c>
      <c r="C115" s="252" t="s">
        <v>340</v>
      </c>
      <c r="D115" s="305">
        <v>1564678000</v>
      </c>
      <c r="E115" s="86">
        <v>871335614</v>
      </c>
      <c r="F115" s="86">
        <v>664703857</v>
      </c>
      <c r="G115" s="86">
        <v>664703857</v>
      </c>
      <c r="H115" s="86">
        <v>118345946</v>
      </c>
    </row>
    <row r="116" spans="1:8" ht="24.75" customHeight="1">
      <c r="A116" s="749"/>
      <c r="B116" s="252" t="s">
        <v>331</v>
      </c>
      <c r="C116" s="252" t="s">
        <v>340</v>
      </c>
      <c r="D116" s="86">
        <v>1374057000</v>
      </c>
      <c r="E116" s="86">
        <v>1262994000</v>
      </c>
      <c r="F116" s="86">
        <v>1215729000</v>
      </c>
      <c r="G116" s="86">
        <v>1215729000</v>
      </c>
      <c r="H116" s="86">
        <v>211528368</v>
      </c>
    </row>
    <row r="117" spans="1:8" ht="24.75" customHeight="1">
      <c r="A117" s="749"/>
      <c r="B117" s="751" t="s">
        <v>337</v>
      </c>
      <c r="C117" s="252" t="s">
        <v>340</v>
      </c>
      <c r="D117" s="305">
        <v>2007824000</v>
      </c>
      <c r="E117" s="305">
        <v>1636091000</v>
      </c>
      <c r="F117" s="305">
        <v>1319795150</v>
      </c>
      <c r="G117" s="305">
        <v>1319795150</v>
      </c>
      <c r="H117" s="305">
        <v>267779765</v>
      </c>
    </row>
    <row r="118" spans="1:8" ht="24.75" customHeight="1">
      <c r="A118" s="749"/>
      <c r="B118" s="751"/>
      <c r="C118" s="252" t="s">
        <v>341</v>
      </c>
      <c r="D118" s="305">
        <v>792348000</v>
      </c>
      <c r="E118" s="305">
        <v>792348000</v>
      </c>
      <c r="F118" s="305">
        <v>622989000</v>
      </c>
      <c r="G118" s="305">
        <v>622989000</v>
      </c>
      <c r="H118" s="305">
        <v>107635600</v>
      </c>
    </row>
    <row r="119" spans="1:8" ht="24.75" customHeight="1">
      <c r="A119" s="749"/>
      <c r="B119" s="751"/>
      <c r="C119" s="252" t="s">
        <v>342</v>
      </c>
      <c r="D119" s="305">
        <v>173604000</v>
      </c>
      <c r="E119" s="305">
        <v>173604000</v>
      </c>
      <c r="F119" s="305">
        <v>0</v>
      </c>
      <c r="G119" s="305">
        <v>0</v>
      </c>
      <c r="H119" s="305">
        <v>0</v>
      </c>
    </row>
    <row r="120" spans="1:8" ht="24.75" customHeight="1">
      <c r="A120" s="749"/>
      <c r="B120" s="751" t="s">
        <v>335</v>
      </c>
      <c r="C120" s="252" t="s">
        <v>340</v>
      </c>
      <c r="D120" s="305">
        <v>1180481000</v>
      </c>
      <c r="E120" s="305">
        <v>1153575000</v>
      </c>
      <c r="F120" s="305">
        <v>1001575000</v>
      </c>
      <c r="G120" s="305">
        <v>1001575000</v>
      </c>
      <c r="H120" s="305">
        <v>243619999</v>
      </c>
    </row>
    <row r="121" spans="1:8" ht="24.75" customHeight="1">
      <c r="A121" s="749"/>
      <c r="B121" s="751"/>
      <c r="C121" s="252" t="s">
        <v>342</v>
      </c>
      <c r="D121" s="305">
        <v>300000000</v>
      </c>
      <c r="E121" s="305">
        <v>300000000</v>
      </c>
      <c r="F121" s="305">
        <v>0</v>
      </c>
      <c r="G121" s="305">
        <v>0</v>
      </c>
      <c r="H121" s="305">
        <v>0</v>
      </c>
    </row>
    <row r="122" spans="1:8" ht="24.75" customHeight="1">
      <c r="A122" s="749"/>
      <c r="B122" s="252" t="s">
        <v>338</v>
      </c>
      <c r="C122" s="252" t="s">
        <v>340</v>
      </c>
      <c r="D122" s="305">
        <v>689070000</v>
      </c>
      <c r="E122" s="305">
        <v>483246000</v>
      </c>
      <c r="F122" s="305">
        <v>358986578</v>
      </c>
      <c r="G122" s="305">
        <v>358986578</v>
      </c>
      <c r="H122" s="305">
        <v>71775801</v>
      </c>
    </row>
    <row r="123" spans="1:8" ht="24.75" customHeight="1">
      <c r="A123" s="749"/>
      <c r="B123" s="751" t="s">
        <v>333</v>
      </c>
      <c r="C123" s="252" t="s">
        <v>341</v>
      </c>
      <c r="D123" s="305">
        <v>1277236000</v>
      </c>
      <c r="E123" s="86">
        <v>1277236000</v>
      </c>
      <c r="F123" s="86">
        <v>1162045000</v>
      </c>
      <c r="G123" s="86">
        <v>1162045000</v>
      </c>
      <c r="H123" s="86">
        <v>164897501</v>
      </c>
    </row>
    <row r="124" spans="1:8" ht="24.75" customHeight="1">
      <c r="A124" s="749"/>
      <c r="B124" s="751"/>
      <c r="C124" s="252" t="s">
        <v>342</v>
      </c>
      <c r="D124" s="305">
        <v>16912000</v>
      </c>
      <c r="E124" s="86">
        <v>16912000</v>
      </c>
      <c r="F124" s="86">
        <v>0</v>
      </c>
      <c r="G124" s="86">
        <v>0</v>
      </c>
      <c r="H124" s="86">
        <v>0</v>
      </c>
    </row>
    <row r="125" spans="1:8" ht="24.75" customHeight="1">
      <c r="A125" s="750"/>
      <c r="B125" s="252" t="s">
        <v>330</v>
      </c>
      <c r="C125" s="252" t="s">
        <v>340</v>
      </c>
      <c r="D125" s="305">
        <v>691670000</v>
      </c>
      <c r="E125" s="305">
        <v>528678000</v>
      </c>
      <c r="F125" s="86">
        <v>516118000</v>
      </c>
      <c r="G125" s="86">
        <v>516118000</v>
      </c>
      <c r="H125" s="86">
        <v>104126700</v>
      </c>
    </row>
    <row r="126" spans="1:8" ht="24.75" customHeight="1">
      <c r="A126" s="748" t="s">
        <v>140</v>
      </c>
      <c r="B126" s="252" t="s">
        <v>339</v>
      </c>
      <c r="C126" s="252" t="s">
        <v>340</v>
      </c>
      <c r="D126" s="305">
        <v>1564678000</v>
      </c>
      <c r="E126" s="86">
        <v>871335614</v>
      </c>
      <c r="F126" s="86">
        <v>871181753</v>
      </c>
      <c r="G126" s="86">
        <v>871181753</v>
      </c>
      <c r="H126" s="86">
        <v>208815171</v>
      </c>
    </row>
    <row r="127" spans="1:8" ht="24.75" customHeight="1">
      <c r="A127" s="749"/>
      <c r="B127" s="252" t="s">
        <v>331</v>
      </c>
      <c r="C127" s="252" t="s">
        <v>340</v>
      </c>
      <c r="D127" s="86">
        <v>1374057000</v>
      </c>
      <c r="E127" s="86">
        <v>1262994000</v>
      </c>
      <c r="F127" s="86">
        <v>1215729000</v>
      </c>
      <c r="G127" s="86">
        <v>1215729000</v>
      </c>
      <c r="H127" s="86">
        <v>386596068</v>
      </c>
    </row>
    <row r="128" spans="1:8" ht="24.75" customHeight="1">
      <c r="A128" s="749"/>
      <c r="B128" s="751" t="s">
        <v>337</v>
      </c>
      <c r="C128" s="252" t="s">
        <v>340</v>
      </c>
      <c r="D128" s="305">
        <v>2007824000</v>
      </c>
      <c r="E128" s="305">
        <v>1636091000</v>
      </c>
      <c r="F128" s="86">
        <v>1569526714</v>
      </c>
      <c r="G128" s="86">
        <v>1569526714</v>
      </c>
      <c r="H128" s="86">
        <v>483936563</v>
      </c>
    </row>
    <row r="129" spans="1:8" ht="24.75" customHeight="1">
      <c r="A129" s="749"/>
      <c r="B129" s="751"/>
      <c r="C129" s="252" t="s">
        <v>341</v>
      </c>
      <c r="D129" s="305">
        <v>792348000</v>
      </c>
      <c r="E129" s="305">
        <v>792348000</v>
      </c>
      <c r="F129" s="86">
        <v>622989000</v>
      </c>
      <c r="G129" s="86">
        <v>622989000</v>
      </c>
      <c r="H129" s="86">
        <v>189768200</v>
      </c>
    </row>
    <row r="130" spans="1:8" ht="24.75" customHeight="1">
      <c r="A130" s="749"/>
      <c r="B130" s="751"/>
      <c r="C130" s="252" t="s">
        <v>342</v>
      </c>
      <c r="D130" s="305">
        <v>173604000</v>
      </c>
      <c r="E130" s="305">
        <v>173604000</v>
      </c>
      <c r="F130" s="86">
        <v>0</v>
      </c>
      <c r="G130" s="86">
        <v>0</v>
      </c>
      <c r="H130" s="86">
        <v>0</v>
      </c>
    </row>
    <row r="131" spans="1:8" ht="24.75" customHeight="1">
      <c r="A131" s="749"/>
      <c r="B131" s="751" t="s">
        <v>335</v>
      </c>
      <c r="C131" s="252" t="s">
        <v>340</v>
      </c>
      <c r="D131" s="305">
        <v>1180481000</v>
      </c>
      <c r="E131" s="305">
        <v>1153575000</v>
      </c>
      <c r="F131" s="86">
        <v>1151575000</v>
      </c>
      <c r="G131" s="86">
        <v>1151575000</v>
      </c>
      <c r="H131" s="86">
        <v>358671999</v>
      </c>
    </row>
    <row r="132" spans="1:8" ht="24.75" customHeight="1">
      <c r="A132" s="749"/>
      <c r="B132" s="751"/>
      <c r="C132" s="252" t="s">
        <v>342</v>
      </c>
      <c r="D132" s="305">
        <v>300000000</v>
      </c>
      <c r="E132" s="305">
        <v>300000000</v>
      </c>
      <c r="F132" s="86">
        <v>0</v>
      </c>
      <c r="G132" s="86">
        <v>0</v>
      </c>
      <c r="H132" s="86">
        <v>0</v>
      </c>
    </row>
    <row r="133" spans="1:8" ht="24.75" customHeight="1">
      <c r="A133" s="749"/>
      <c r="B133" s="252" t="s">
        <v>338</v>
      </c>
      <c r="C133" s="252" t="s">
        <v>340</v>
      </c>
      <c r="D133" s="305">
        <v>689070000</v>
      </c>
      <c r="E133" s="305">
        <v>483246000</v>
      </c>
      <c r="F133" s="86">
        <v>455766292</v>
      </c>
      <c r="G133" s="86">
        <v>455766292</v>
      </c>
      <c r="H133" s="86">
        <v>122385759</v>
      </c>
    </row>
    <row r="134" spans="1:8" ht="24.75" customHeight="1">
      <c r="A134" s="749"/>
      <c r="B134" s="751" t="s">
        <v>333</v>
      </c>
      <c r="C134" s="252" t="s">
        <v>341</v>
      </c>
      <c r="D134" s="305">
        <v>1277236000</v>
      </c>
      <c r="E134" s="86">
        <v>1277236000</v>
      </c>
      <c r="F134" s="86">
        <v>1162045000</v>
      </c>
      <c r="G134" s="86">
        <v>1162045000</v>
      </c>
      <c r="H134" s="86">
        <v>318285901</v>
      </c>
    </row>
    <row r="135" spans="1:8" ht="24.75" customHeight="1">
      <c r="A135" s="749"/>
      <c r="B135" s="751"/>
      <c r="C135" s="252" t="s">
        <v>342</v>
      </c>
      <c r="D135" s="305">
        <v>16912000</v>
      </c>
      <c r="E135" s="86">
        <v>16912000</v>
      </c>
      <c r="F135" s="86">
        <v>0</v>
      </c>
      <c r="G135" s="86">
        <v>0</v>
      </c>
      <c r="H135" s="86">
        <v>0</v>
      </c>
    </row>
    <row r="136" spans="1:8" ht="24.75" customHeight="1">
      <c r="A136" s="750"/>
      <c r="B136" s="252" t="s">
        <v>330</v>
      </c>
      <c r="C136" s="252" t="s">
        <v>340</v>
      </c>
      <c r="D136" s="305">
        <v>691670000</v>
      </c>
      <c r="E136" s="305">
        <v>528678000</v>
      </c>
      <c r="F136" s="86">
        <v>516118000</v>
      </c>
      <c r="G136" s="86">
        <v>516118000</v>
      </c>
      <c r="H136" s="86">
        <v>163380167</v>
      </c>
    </row>
    <row r="137" spans="1:8" ht="24.75" customHeight="1">
      <c r="A137" s="748" t="s">
        <v>128</v>
      </c>
      <c r="B137" s="252" t="s">
        <v>339</v>
      </c>
      <c r="C137" s="252" t="s">
        <v>340</v>
      </c>
      <c r="D137" s="305">
        <v>1564678000</v>
      </c>
      <c r="E137" s="86">
        <v>871335614</v>
      </c>
      <c r="F137" s="86">
        <v>871181753</v>
      </c>
      <c r="G137" s="86">
        <v>871181753</v>
      </c>
      <c r="H137" s="86">
        <v>283862781</v>
      </c>
    </row>
    <row r="138" spans="1:8" ht="24.75" customHeight="1">
      <c r="A138" s="749"/>
      <c r="B138" s="252" t="s">
        <v>331</v>
      </c>
      <c r="C138" s="252" t="s">
        <v>340</v>
      </c>
      <c r="D138" s="86">
        <v>1374057000</v>
      </c>
      <c r="E138" s="86">
        <v>1262994000</v>
      </c>
      <c r="F138" s="86">
        <v>1215729000</v>
      </c>
      <c r="G138" s="86">
        <v>1240619000</v>
      </c>
      <c r="H138" s="86">
        <v>533879068</v>
      </c>
    </row>
    <row r="139" spans="1:8" ht="24.75" customHeight="1">
      <c r="A139" s="749"/>
      <c r="B139" s="751" t="s">
        <v>337</v>
      </c>
      <c r="C139" s="252" t="s">
        <v>340</v>
      </c>
      <c r="D139" s="305">
        <v>2007824000</v>
      </c>
      <c r="E139" s="305">
        <v>1636091000</v>
      </c>
      <c r="F139" s="86">
        <v>1569526714</v>
      </c>
      <c r="G139" s="86">
        <v>1569526714</v>
      </c>
      <c r="H139" s="86">
        <v>619554113</v>
      </c>
    </row>
    <row r="140" spans="1:8" ht="24.75" customHeight="1">
      <c r="A140" s="749"/>
      <c r="B140" s="751"/>
      <c r="C140" s="252" t="s">
        <v>341</v>
      </c>
      <c r="D140" s="305">
        <v>792348000</v>
      </c>
      <c r="E140" s="305">
        <v>792348000</v>
      </c>
      <c r="F140" s="86">
        <v>622989000</v>
      </c>
      <c r="G140" s="86">
        <v>622989000</v>
      </c>
      <c r="H140" s="86">
        <v>262045200</v>
      </c>
    </row>
    <row r="141" spans="1:8" ht="24.75" customHeight="1">
      <c r="A141" s="749"/>
      <c r="B141" s="751"/>
      <c r="C141" s="252" t="s">
        <v>342</v>
      </c>
      <c r="D141" s="305">
        <v>173604000</v>
      </c>
      <c r="E141" s="305">
        <v>173604000</v>
      </c>
      <c r="F141" s="86">
        <v>0</v>
      </c>
      <c r="G141" s="86">
        <v>0</v>
      </c>
      <c r="H141" s="86">
        <v>0</v>
      </c>
    </row>
    <row r="142" spans="1:8" ht="24.75" customHeight="1">
      <c r="A142" s="749"/>
      <c r="B142" s="751" t="s">
        <v>335</v>
      </c>
      <c r="C142" s="252" t="s">
        <v>340</v>
      </c>
      <c r="D142" s="305">
        <v>1180481000</v>
      </c>
      <c r="E142" s="305">
        <v>1153575000</v>
      </c>
      <c r="F142" s="86">
        <v>1151575000</v>
      </c>
      <c r="G142" s="86">
        <v>1151575000</v>
      </c>
      <c r="H142" s="86">
        <v>470285999</v>
      </c>
    </row>
    <row r="143" spans="1:8" ht="24.75" customHeight="1">
      <c r="A143" s="749"/>
      <c r="B143" s="751"/>
      <c r="C143" s="252" t="s">
        <v>342</v>
      </c>
      <c r="D143" s="305">
        <v>300000000</v>
      </c>
      <c r="E143" s="305">
        <v>300000000</v>
      </c>
      <c r="F143" s="86">
        <v>0</v>
      </c>
      <c r="G143" s="86">
        <v>0</v>
      </c>
      <c r="H143" s="86">
        <v>0</v>
      </c>
    </row>
    <row r="144" spans="1:8" ht="24.75" customHeight="1">
      <c r="A144" s="749"/>
      <c r="B144" s="252" t="s">
        <v>338</v>
      </c>
      <c r="C144" s="252" t="s">
        <v>340</v>
      </c>
      <c r="D144" s="305">
        <v>689070000</v>
      </c>
      <c r="E144" s="305">
        <v>483246000</v>
      </c>
      <c r="F144" s="86">
        <v>455766292</v>
      </c>
      <c r="G144" s="86">
        <v>455766292</v>
      </c>
      <c r="H144" s="86">
        <v>175150260</v>
      </c>
    </row>
    <row r="145" spans="1:8" ht="24.75" customHeight="1">
      <c r="A145" s="749"/>
      <c r="B145" s="751" t="s">
        <v>333</v>
      </c>
      <c r="C145" s="252" t="s">
        <v>341</v>
      </c>
      <c r="D145" s="305">
        <v>1277236000</v>
      </c>
      <c r="E145" s="86">
        <v>1277236000</v>
      </c>
      <c r="F145" s="86">
        <v>1162045000</v>
      </c>
      <c r="G145" s="86">
        <v>1162045000</v>
      </c>
      <c r="H145" s="86">
        <v>452002301</v>
      </c>
    </row>
    <row r="146" spans="1:8" ht="24.75" customHeight="1">
      <c r="A146" s="749"/>
      <c r="B146" s="751"/>
      <c r="C146" s="252" t="s">
        <v>342</v>
      </c>
      <c r="D146" s="305">
        <v>16912000</v>
      </c>
      <c r="E146" s="86">
        <v>16912000</v>
      </c>
      <c r="F146" s="86">
        <v>0</v>
      </c>
      <c r="G146" s="86">
        <v>0</v>
      </c>
      <c r="H146" s="86">
        <v>0</v>
      </c>
    </row>
    <row r="147" spans="1:8" ht="24.75" customHeight="1">
      <c r="A147" s="750"/>
      <c r="B147" s="252" t="s">
        <v>330</v>
      </c>
      <c r="C147" s="252" t="s">
        <v>340</v>
      </c>
      <c r="D147" s="305">
        <v>691670000</v>
      </c>
      <c r="E147" s="305">
        <v>528678000</v>
      </c>
      <c r="F147" s="86">
        <v>516118000</v>
      </c>
      <c r="G147" s="86">
        <v>516118000</v>
      </c>
      <c r="H147" s="86">
        <v>222122167</v>
      </c>
    </row>
    <row r="148" spans="1:8" ht="24.75" customHeight="1">
      <c r="A148" s="748" t="s">
        <v>129</v>
      </c>
      <c r="B148" s="252" t="s">
        <v>339</v>
      </c>
      <c r="C148" s="252" t="s">
        <v>340</v>
      </c>
      <c r="D148" s="305">
        <v>1564678000</v>
      </c>
      <c r="E148" s="86">
        <v>1598678000</v>
      </c>
      <c r="F148" s="86">
        <v>871181753</v>
      </c>
      <c r="G148" s="86">
        <v>871181753</v>
      </c>
      <c r="H148" s="86">
        <v>437562435</v>
      </c>
    </row>
    <row r="149" spans="1:8" ht="24.75" customHeight="1">
      <c r="A149" s="749"/>
      <c r="B149" s="252" t="s">
        <v>331</v>
      </c>
      <c r="C149" s="252" t="s">
        <v>340</v>
      </c>
      <c r="D149" s="86">
        <v>1374057000</v>
      </c>
      <c r="E149" s="86">
        <v>1374057000</v>
      </c>
      <c r="F149" s="86">
        <v>1240619000</v>
      </c>
      <c r="G149" s="86">
        <v>1240619000</v>
      </c>
      <c r="H149" s="86">
        <v>676839068</v>
      </c>
    </row>
    <row r="150" spans="1:8" ht="24.75" customHeight="1">
      <c r="A150" s="749"/>
      <c r="B150" s="751" t="s">
        <v>337</v>
      </c>
      <c r="C150" s="252" t="s">
        <v>340</v>
      </c>
      <c r="D150" s="305">
        <v>2007824000</v>
      </c>
      <c r="E150" s="305">
        <v>1948824000</v>
      </c>
      <c r="F150" s="86">
        <v>1569526714</v>
      </c>
      <c r="G150" s="86">
        <v>1569526714</v>
      </c>
      <c r="H150" s="86">
        <v>753836463</v>
      </c>
    </row>
    <row r="151" spans="1:8" ht="24.75" customHeight="1">
      <c r="A151" s="749"/>
      <c r="B151" s="751"/>
      <c r="C151" s="252" t="s">
        <v>341</v>
      </c>
      <c r="D151" s="305">
        <v>792348000</v>
      </c>
      <c r="E151" s="305">
        <v>792348000</v>
      </c>
      <c r="F151" s="86">
        <v>622989000</v>
      </c>
      <c r="G151" s="86">
        <v>622989000</v>
      </c>
      <c r="H151" s="86">
        <v>334322200</v>
      </c>
    </row>
    <row r="152" spans="1:8" ht="24.75" customHeight="1">
      <c r="A152" s="749"/>
      <c r="B152" s="751"/>
      <c r="C152" s="252" t="s">
        <v>342</v>
      </c>
      <c r="D152" s="305">
        <v>173604000</v>
      </c>
      <c r="E152" s="305">
        <v>173604000</v>
      </c>
      <c r="F152" s="86">
        <v>0</v>
      </c>
      <c r="G152" s="86">
        <v>0</v>
      </c>
      <c r="H152" s="86">
        <v>0</v>
      </c>
    </row>
    <row r="153" spans="1:8" ht="24.75" customHeight="1">
      <c r="A153" s="749"/>
      <c r="B153" s="751" t="s">
        <v>335</v>
      </c>
      <c r="C153" s="252" t="s">
        <v>340</v>
      </c>
      <c r="D153" s="305">
        <v>1180481000</v>
      </c>
      <c r="E153" s="305">
        <v>1180481000</v>
      </c>
      <c r="F153" s="86">
        <v>1151575000</v>
      </c>
      <c r="G153" s="86">
        <v>1151575000</v>
      </c>
      <c r="H153" s="86">
        <v>581899999</v>
      </c>
    </row>
    <row r="154" spans="1:8" ht="24.75" customHeight="1">
      <c r="A154" s="749"/>
      <c r="B154" s="751"/>
      <c r="C154" s="252" t="s">
        <v>342</v>
      </c>
      <c r="D154" s="305">
        <v>300000000</v>
      </c>
      <c r="E154" s="305">
        <v>300000000</v>
      </c>
      <c r="F154" s="86">
        <v>0</v>
      </c>
      <c r="G154" s="86">
        <v>0</v>
      </c>
      <c r="H154" s="86">
        <v>0</v>
      </c>
    </row>
    <row r="155" spans="1:8" ht="24.75" customHeight="1">
      <c r="A155" s="749"/>
      <c r="B155" s="252" t="s">
        <v>338</v>
      </c>
      <c r="C155" s="252" t="s">
        <v>340</v>
      </c>
      <c r="D155" s="305">
        <v>689070000</v>
      </c>
      <c r="E155" s="305">
        <v>714070000</v>
      </c>
      <c r="F155" s="86">
        <v>492530292</v>
      </c>
      <c r="G155" s="86">
        <v>492530292</v>
      </c>
      <c r="H155" s="86">
        <v>214552860</v>
      </c>
    </row>
    <row r="156" spans="1:8" ht="24.75" customHeight="1">
      <c r="A156" s="749"/>
      <c r="B156" s="751" t="s">
        <v>333</v>
      </c>
      <c r="C156" s="252" t="s">
        <v>341</v>
      </c>
      <c r="D156" s="305">
        <v>1277236000</v>
      </c>
      <c r="E156" s="86">
        <v>1277236000</v>
      </c>
      <c r="F156" s="86">
        <v>1162045000</v>
      </c>
      <c r="G156" s="86">
        <v>1162045000</v>
      </c>
      <c r="H156" s="86">
        <v>586299268</v>
      </c>
    </row>
    <row r="157" spans="1:8" ht="24.75" customHeight="1">
      <c r="A157" s="749"/>
      <c r="B157" s="751"/>
      <c r="C157" s="252" t="s">
        <v>342</v>
      </c>
      <c r="D157" s="305">
        <v>16912000</v>
      </c>
      <c r="E157" s="86">
        <v>16912000</v>
      </c>
      <c r="F157" s="86">
        <v>0</v>
      </c>
      <c r="G157" s="86">
        <v>0</v>
      </c>
      <c r="H157" s="86">
        <v>0</v>
      </c>
    </row>
    <row r="158" spans="1:8" ht="24.75" customHeight="1">
      <c r="A158" s="750"/>
      <c r="B158" s="252" t="s">
        <v>330</v>
      </c>
      <c r="C158" s="252" t="s">
        <v>340</v>
      </c>
      <c r="D158" s="305">
        <v>691670000</v>
      </c>
      <c r="E158" s="305">
        <v>691670000</v>
      </c>
      <c r="F158" s="86">
        <v>516118000</v>
      </c>
      <c r="G158" s="86">
        <v>516118000</v>
      </c>
      <c r="H158" s="86">
        <v>280864167</v>
      </c>
    </row>
    <row r="159" spans="1:8" ht="24.75" customHeight="1">
      <c r="A159" s="748" t="s">
        <v>130</v>
      </c>
      <c r="B159" s="252" t="s">
        <v>339</v>
      </c>
      <c r="C159" s="252" t="s">
        <v>340</v>
      </c>
      <c r="D159" s="305">
        <v>1564678000</v>
      </c>
      <c r="E159" s="86">
        <v>1534521300</v>
      </c>
      <c r="F159" s="86">
        <v>898822087</v>
      </c>
      <c r="G159" s="86">
        <v>898822087</v>
      </c>
      <c r="H159" s="86">
        <v>529153691</v>
      </c>
    </row>
    <row r="160" spans="1:8" ht="24.75" customHeight="1">
      <c r="A160" s="749"/>
      <c r="B160" s="252" t="s">
        <v>331</v>
      </c>
      <c r="C160" s="252" t="s">
        <v>340</v>
      </c>
      <c r="D160" s="86">
        <v>1374057000</v>
      </c>
      <c r="E160" s="86">
        <v>1389997314</v>
      </c>
      <c r="F160" s="86">
        <v>1256382667</v>
      </c>
      <c r="G160" s="86">
        <v>1256382667</v>
      </c>
      <c r="H160" s="86">
        <v>826270468</v>
      </c>
    </row>
    <row r="161" spans="1:8" ht="24.75" customHeight="1">
      <c r="A161" s="749"/>
      <c r="B161" s="751" t="s">
        <v>337</v>
      </c>
      <c r="C161" s="252" t="s">
        <v>340</v>
      </c>
      <c r="D161" s="305">
        <v>2007824000</v>
      </c>
      <c r="E161" s="305">
        <v>1964948316</v>
      </c>
      <c r="F161" s="86">
        <v>1574880714</v>
      </c>
      <c r="G161" s="86">
        <v>1574880714</v>
      </c>
      <c r="H161" s="86">
        <v>928120702</v>
      </c>
    </row>
    <row r="162" spans="1:8" ht="24.75" customHeight="1">
      <c r="A162" s="749"/>
      <c r="B162" s="751"/>
      <c r="C162" s="252" t="s">
        <v>341</v>
      </c>
      <c r="D162" s="305">
        <v>792348000</v>
      </c>
      <c r="E162" s="305">
        <v>792348000</v>
      </c>
      <c r="F162" s="86">
        <v>630861834</v>
      </c>
      <c r="G162" s="86">
        <v>630861834</v>
      </c>
      <c r="H162" s="86">
        <v>403161200</v>
      </c>
    </row>
    <row r="163" spans="1:8" ht="24.75" customHeight="1">
      <c r="A163" s="749"/>
      <c r="B163" s="751"/>
      <c r="C163" s="252" t="s">
        <v>342</v>
      </c>
      <c r="D163" s="305">
        <v>173604000</v>
      </c>
      <c r="E163" s="305">
        <v>173604000</v>
      </c>
      <c r="F163" s="86">
        <v>0</v>
      </c>
      <c r="G163" s="86">
        <v>0</v>
      </c>
      <c r="H163" s="86">
        <v>0</v>
      </c>
    </row>
    <row r="164" spans="1:8" ht="24.75" customHeight="1">
      <c r="A164" s="749"/>
      <c r="B164" s="751" t="s">
        <v>335</v>
      </c>
      <c r="C164" s="252" t="s">
        <v>340</v>
      </c>
      <c r="D164" s="305">
        <v>1180481000</v>
      </c>
      <c r="E164" s="305">
        <v>1287481000</v>
      </c>
      <c r="F164" s="86">
        <v>1151575000</v>
      </c>
      <c r="G164" s="86">
        <v>1151575000</v>
      </c>
      <c r="H164" s="86">
        <v>693513999</v>
      </c>
    </row>
    <row r="165" spans="1:8" ht="24.75" customHeight="1">
      <c r="A165" s="749"/>
      <c r="B165" s="751"/>
      <c r="C165" s="252" t="s">
        <v>342</v>
      </c>
      <c r="D165" s="305">
        <v>300000000</v>
      </c>
      <c r="E165" s="305">
        <v>300000000</v>
      </c>
      <c r="F165" s="86">
        <v>0</v>
      </c>
      <c r="G165" s="86">
        <v>0</v>
      </c>
      <c r="H165" s="86">
        <v>0</v>
      </c>
    </row>
    <row r="166" spans="1:8" ht="24.75" customHeight="1">
      <c r="A166" s="749"/>
      <c r="B166" s="252" t="s">
        <v>338</v>
      </c>
      <c r="C166" s="252" t="s">
        <v>340</v>
      </c>
      <c r="D166" s="305">
        <v>689070000</v>
      </c>
      <c r="E166" s="305">
        <v>749390000</v>
      </c>
      <c r="F166" s="86">
        <v>492530292</v>
      </c>
      <c r="G166" s="86">
        <v>492530292</v>
      </c>
      <c r="H166" s="86">
        <v>254011027</v>
      </c>
    </row>
    <row r="167" spans="1:8" ht="24.75" customHeight="1">
      <c r="A167" s="749"/>
      <c r="B167" s="751" t="s">
        <v>333</v>
      </c>
      <c r="C167" s="252" t="s">
        <v>341</v>
      </c>
      <c r="D167" s="305">
        <v>1277236000</v>
      </c>
      <c r="E167" s="86">
        <v>1277236000</v>
      </c>
      <c r="F167" s="86">
        <v>1169728500</v>
      </c>
      <c r="G167" s="86">
        <v>1169728500</v>
      </c>
      <c r="H167" s="86">
        <v>730050201</v>
      </c>
    </row>
    <row r="168" spans="1:8" ht="24.75" customHeight="1">
      <c r="A168" s="749"/>
      <c r="B168" s="751"/>
      <c r="C168" s="252" t="s">
        <v>342</v>
      </c>
      <c r="D168" s="305">
        <v>16912000</v>
      </c>
      <c r="E168" s="86">
        <v>16912000</v>
      </c>
      <c r="F168" s="86">
        <v>16912000</v>
      </c>
      <c r="G168" s="86">
        <v>16912000</v>
      </c>
      <c r="H168" s="86">
        <v>0</v>
      </c>
    </row>
    <row r="169" spans="1:8" ht="24.75" customHeight="1">
      <c r="A169" s="750"/>
      <c r="B169" s="252" t="s">
        <v>330</v>
      </c>
      <c r="C169" s="252" t="s">
        <v>340</v>
      </c>
      <c r="D169" s="305">
        <v>691670000</v>
      </c>
      <c r="E169" s="305">
        <v>557942070</v>
      </c>
      <c r="F169" s="86">
        <v>516118000</v>
      </c>
      <c r="G169" s="86">
        <v>516118000</v>
      </c>
      <c r="H169" s="86">
        <v>339606167</v>
      </c>
    </row>
    <row r="170" spans="1:8" ht="24.75" customHeight="1">
      <c r="A170" s="748" t="s">
        <v>131</v>
      </c>
      <c r="B170" s="762" t="s">
        <v>339</v>
      </c>
      <c r="C170" s="252" t="s">
        <v>340</v>
      </c>
      <c r="D170" s="305">
        <v>1564678000</v>
      </c>
      <c r="E170" s="86">
        <v>1515081614</v>
      </c>
      <c r="F170" s="86">
        <v>1065487169</v>
      </c>
      <c r="G170" s="86">
        <v>1065487169</v>
      </c>
      <c r="H170" s="86">
        <v>616494200</v>
      </c>
    </row>
    <row r="171" spans="1:8" ht="24.75" customHeight="1">
      <c r="A171" s="749"/>
      <c r="B171" s="764"/>
      <c r="C171" s="252" t="s">
        <v>491</v>
      </c>
      <c r="D171" s="305">
        <v>0</v>
      </c>
      <c r="E171" s="86">
        <v>19439686</v>
      </c>
      <c r="F171" s="86">
        <v>19439686</v>
      </c>
      <c r="G171" s="86">
        <v>19439686</v>
      </c>
      <c r="H171" s="86">
        <v>0</v>
      </c>
    </row>
    <row r="172" spans="1:8" ht="24.75" customHeight="1">
      <c r="A172" s="749"/>
      <c r="B172" s="129" t="s">
        <v>331</v>
      </c>
      <c r="C172" s="252" t="s">
        <v>340</v>
      </c>
      <c r="D172" s="305">
        <v>1374057000</v>
      </c>
      <c r="E172" s="86">
        <v>1389997314</v>
      </c>
      <c r="F172" s="86">
        <v>1299130533</v>
      </c>
      <c r="G172" s="86">
        <v>1299130533</v>
      </c>
      <c r="H172" s="86">
        <v>974208468</v>
      </c>
    </row>
    <row r="173" spans="1:8" ht="24.75" customHeight="1">
      <c r="A173" s="749"/>
      <c r="B173" s="762" t="s">
        <v>337</v>
      </c>
      <c r="C173" s="252" t="s">
        <v>340</v>
      </c>
      <c r="D173" s="305">
        <v>2007824000</v>
      </c>
      <c r="E173" s="86">
        <v>1964948316</v>
      </c>
      <c r="F173" s="86">
        <v>1606130852</v>
      </c>
      <c r="G173" s="86">
        <v>1606130852</v>
      </c>
      <c r="H173" s="86">
        <v>1098028595</v>
      </c>
    </row>
    <row r="174" spans="1:8" ht="24.75" customHeight="1">
      <c r="A174" s="749"/>
      <c r="B174" s="763"/>
      <c r="C174" s="252" t="s">
        <v>341</v>
      </c>
      <c r="D174" s="305">
        <v>792348000</v>
      </c>
      <c r="E174" s="86">
        <v>792348000</v>
      </c>
      <c r="F174" s="86">
        <v>637164834</v>
      </c>
      <c r="G174" s="86">
        <v>637164834</v>
      </c>
      <c r="H174" s="86">
        <v>478876200</v>
      </c>
    </row>
    <row r="175" spans="1:8" ht="24.75" customHeight="1">
      <c r="A175" s="749"/>
      <c r="B175" s="764"/>
      <c r="C175" s="252" t="s">
        <v>342</v>
      </c>
      <c r="D175" s="305">
        <v>173604000</v>
      </c>
      <c r="E175" s="86">
        <v>173604000</v>
      </c>
      <c r="F175" s="86">
        <v>0.01</v>
      </c>
      <c r="G175" s="86">
        <v>0</v>
      </c>
      <c r="H175" s="86">
        <v>0</v>
      </c>
    </row>
    <row r="176" spans="1:8" ht="24.75" customHeight="1">
      <c r="A176" s="749"/>
      <c r="B176" s="762" t="s">
        <v>335</v>
      </c>
      <c r="C176" s="252" t="s">
        <v>340</v>
      </c>
      <c r="D176" s="305">
        <v>1180481000</v>
      </c>
      <c r="E176" s="86">
        <v>1287481000</v>
      </c>
      <c r="F176" s="86">
        <v>1163968667</v>
      </c>
      <c r="G176" s="86">
        <v>1163968667</v>
      </c>
      <c r="H176" s="86">
        <v>805127999</v>
      </c>
    </row>
    <row r="177" spans="1:9" ht="24.75" customHeight="1">
      <c r="A177" s="749"/>
      <c r="B177" s="764"/>
      <c r="C177" s="252" t="s">
        <v>342</v>
      </c>
      <c r="D177" s="305">
        <v>300000000</v>
      </c>
      <c r="E177" s="86">
        <v>300000000</v>
      </c>
      <c r="F177" s="86">
        <v>0.01</v>
      </c>
      <c r="G177" s="86">
        <v>0</v>
      </c>
      <c r="H177" s="86">
        <v>0</v>
      </c>
    </row>
    <row r="178" spans="1:9" ht="24.75" customHeight="1">
      <c r="A178" s="749"/>
      <c r="B178" s="252" t="s">
        <v>338</v>
      </c>
      <c r="C178" s="252" t="s">
        <v>340</v>
      </c>
      <c r="D178" s="305">
        <v>689070000</v>
      </c>
      <c r="E178" s="86">
        <v>749390000</v>
      </c>
      <c r="F178" s="86">
        <v>504299959</v>
      </c>
      <c r="G178" s="86">
        <v>504299959</v>
      </c>
      <c r="H178" s="86">
        <v>295252027</v>
      </c>
    </row>
    <row r="179" spans="1:9" ht="24.75" customHeight="1">
      <c r="A179" s="749"/>
      <c r="B179" s="762" t="s">
        <v>333</v>
      </c>
      <c r="C179" s="252" t="s">
        <v>341</v>
      </c>
      <c r="D179" s="305">
        <v>1277236000</v>
      </c>
      <c r="E179" s="86">
        <v>1277236000</v>
      </c>
      <c r="F179" s="86">
        <v>1185694167</v>
      </c>
      <c r="G179" s="86">
        <v>1185694167</v>
      </c>
      <c r="H179" s="86">
        <v>869117701</v>
      </c>
    </row>
    <row r="180" spans="1:9" ht="24.75" customHeight="1">
      <c r="A180" s="749"/>
      <c r="B180" s="764"/>
      <c r="C180" s="252" t="s">
        <v>342</v>
      </c>
      <c r="D180" s="305">
        <v>16912000</v>
      </c>
      <c r="E180" s="86">
        <v>16912000</v>
      </c>
      <c r="F180" s="86">
        <v>16912000</v>
      </c>
      <c r="G180" s="86">
        <v>16912000</v>
      </c>
      <c r="H180" s="86">
        <v>0</v>
      </c>
    </row>
    <row r="181" spans="1:9" ht="24.75" customHeight="1">
      <c r="A181" s="750"/>
      <c r="B181" s="252" t="s">
        <v>330</v>
      </c>
      <c r="C181" s="252" t="s">
        <v>340</v>
      </c>
      <c r="D181" s="305">
        <v>691670000</v>
      </c>
      <c r="E181" s="86">
        <v>557942070</v>
      </c>
      <c r="F181" s="86">
        <v>543649699</v>
      </c>
      <c r="G181" s="86">
        <v>543649699</v>
      </c>
      <c r="H181" s="86">
        <v>398348167</v>
      </c>
    </row>
    <row r="182" spans="1:9" ht="24.75" customHeight="1">
      <c r="A182" s="748" t="s">
        <v>132</v>
      </c>
      <c r="B182" s="762" t="s">
        <v>339</v>
      </c>
      <c r="C182" s="252" t="s">
        <v>340</v>
      </c>
      <c r="D182" s="305">
        <v>1564678000</v>
      </c>
      <c r="E182" s="86">
        <v>1515081614</v>
      </c>
      <c r="F182" s="86">
        <v>1291169211</v>
      </c>
      <c r="G182" s="86">
        <v>1291169211</v>
      </c>
      <c r="H182" s="86">
        <v>772252276</v>
      </c>
      <c r="I182" s="306"/>
    </row>
    <row r="183" spans="1:9" ht="24.75" customHeight="1">
      <c r="A183" s="749"/>
      <c r="B183" s="764"/>
      <c r="C183" s="252" t="s">
        <v>491</v>
      </c>
      <c r="D183" s="305">
        <v>0</v>
      </c>
      <c r="E183" s="86">
        <v>19439686</v>
      </c>
      <c r="F183" s="86">
        <v>19439686</v>
      </c>
      <c r="G183" s="86">
        <v>19439686</v>
      </c>
      <c r="H183" s="86">
        <v>19439686</v>
      </c>
      <c r="I183" s="306"/>
    </row>
    <row r="184" spans="1:9" ht="24.75" customHeight="1">
      <c r="A184" s="749"/>
      <c r="B184" s="252" t="s">
        <v>331</v>
      </c>
      <c r="C184" s="252" t="s">
        <v>340</v>
      </c>
      <c r="D184" s="86">
        <v>1374057000</v>
      </c>
      <c r="E184" s="86">
        <v>1389997314</v>
      </c>
      <c r="F184" s="86">
        <v>1325918200</v>
      </c>
      <c r="G184" s="86">
        <v>1325918200</v>
      </c>
      <c r="H184" s="86">
        <v>1113730468</v>
      </c>
      <c r="I184" s="306"/>
    </row>
    <row r="185" spans="1:9" ht="24.75" customHeight="1">
      <c r="A185" s="749"/>
      <c r="B185" s="751" t="s">
        <v>337</v>
      </c>
      <c r="C185" s="252" t="s">
        <v>340</v>
      </c>
      <c r="D185" s="305">
        <v>2007824000</v>
      </c>
      <c r="E185" s="305">
        <v>1964948316</v>
      </c>
      <c r="F185" s="86">
        <v>1674596499</v>
      </c>
      <c r="G185" s="86">
        <v>1674596499</v>
      </c>
      <c r="H185" s="86">
        <v>1218624163</v>
      </c>
      <c r="I185" s="306"/>
    </row>
    <row r="186" spans="1:9" ht="24.75" customHeight="1">
      <c r="A186" s="749"/>
      <c r="B186" s="751"/>
      <c r="C186" s="252" t="s">
        <v>341</v>
      </c>
      <c r="D186" s="305">
        <v>792348000</v>
      </c>
      <c r="E186" s="305">
        <v>792348000</v>
      </c>
      <c r="F186" s="86">
        <v>650343834</v>
      </c>
      <c r="G186" s="86">
        <v>650343834</v>
      </c>
      <c r="H186" s="86">
        <v>551153200</v>
      </c>
      <c r="I186" s="306"/>
    </row>
    <row r="187" spans="1:9" ht="24.75" customHeight="1">
      <c r="A187" s="749"/>
      <c r="B187" s="751"/>
      <c r="C187" s="252" t="s">
        <v>342</v>
      </c>
      <c r="D187" s="305">
        <v>173604000</v>
      </c>
      <c r="E187" s="305">
        <v>173604000</v>
      </c>
      <c r="F187" s="86">
        <v>0.01</v>
      </c>
      <c r="G187" s="86">
        <v>0</v>
      </c>
      <c r="H187" s="86">
        <v>0</v>
      </c>
      <c r="I187" s="306"/>
    </row>
    <row r="188" spans="1:9" ht="24.75" customHeight="1">
      <c r="A188" s="749"/>
      <c r="B188" s="751" t="s">
        <v>335</v>
      </c>
      <c r="C188" s="252" t="s">
        <v>340</v>
      </c>
      <c r="D188" s="305">
        <v>1180481000</v>
      </c>
      <c r="E188" s="305">
        <v>1287481000</v>
      </c>
      <c r="F188" s="86">
        <v>1219287834</v>
      </c>
      <c r="G188" s="86">
        <v>1219287834</v>
      </c>
      <c r="H188" s="86">
        <v>939227611</v>
      </c>
      <c r="I188" s="306"/>
    </row>
    <row r="189" spans="1:9" ht="24.75" customHeight="1">
      <c r="A189" s="749"/>
      <c r="B189" s="751"/>
      <c r="C189" s="252" t="s">
        <v>342</v>
      </c>
      <c r="D189" s="305">
        <v>300000000</v>
      </c>
      <c r="E189" s="305">
        <v>300000000</v>
      </c>
      <c r="F189" s="86">
        <v>300000000</v>
      </c>
      <c r="G189" s="86">
        <v>300000000</v>
      </c>
      <c r="H189" s="86">
        <v>0</v>
      </c>
      <c r="I189" s="306"/>
    </row>
    <row r="190" spans="1:9" ht="24.75" customHeight="1">
      <c r="A190" s="749"/>
      <c r="B190" s="252" t="s">
        <v>338</v>
      </c>
      <c r="C190" s="252" t="s">
        <v>340</v>
      </c>
      <c r="D190" s="305">
        <v>689070000</v>
      </c>
      <c r="E190" s="305">
        <v>749390000</v>
      </c>
      <c r="F190" s="86">
        <v>523621459</v>
      </c>
      <c r="G190" s="86">
        <v>523621459</v>
      </c>
      <c r="H190" s="86">
        <v>340211694</v>
      </c>
      <c r="I190" s="306"/>
    </row>
    <row r="191" spans="1:9" ht="24.75" customHeight="1">
      <c r="A191" s="749"/>
      <c r="B191" s="751" t="s">
        <v>333</v>
      </c>
      <c r="C191" s="252" t="s">
        <v>341</v>
      </c>
      <c r="D191" s="305">
        <v>1277236000</v>
      </c>
      <c r="E191" s="86">
        <v>1277236000</v>
      </c>
      <c r="F191" s="86">
        <v>1247264766</v>
      </c>
      <c r="G191" s="86">
        <v>1247264766</v>
      </c>
      <c r="H191" s="86">
        <v>990097101</v>
      </c>
      <c r="I191" s="306"/>
    </row>
    <row r="192" spans="1:9" ht="24.75" customHeight="1">
      <c r="A192" s="749"/>
      <c r="B192" s="751"/>
      <c r="C192" s="252" t="s">
        <v>342</v>
      </c>
      <c r="D192" s="305">
        <v>16912000</v>
      </c>
      <c r="E192" s="86">
        <v>16912000</v>
      </c>
      <c r="F192" s="86">
        <v>16912000</v>
      </c>
      <c r="G192" s="86">
        <v>16912000</v>
      </c>
      <c r="H192" s="86">
        <v>0</v>
      </c>
      <c r="I192" s="306"/>
    </row>
    <row r="193" spans="1:9" ht="24.75" customHeight="1">
      <c r="A193" s="750"/>
      <c r="B193" s="252" t="s">
        <v>330</v>
      </c>
      <c r="C193" s="252" t="s">
        <v>340</v>
      </c>
      <c r="D193" s="305">
        <v>691670000</v>
      </c>
      <c r="E193" s="305">
        <v>557942070</v>
      </c>
      <c r="F193" s="86">
        <v>556933365</v>
      </c>
      <c r="G193" s="86">
        <v>556933365</v>
      </c>
      <c r="H193" s="86">
        <v>457090167</v>
      </c>
      <c r="I193" s="306"/>
    </row>
    <row r="194" spans="1:9" ht="24.75" customHeight="1">
      <c r="A194" s="762" t="s">
        <v>133</v>
      </c>
      <c r="B194" s="762" t="s">
        <v>339</v>
      </c>
      <c r="C194" s="252" t="s">
        <v>340</v>
      </c>
      <c r="D194" s="305">
        <v>1564678000</v>
      </c>
      <c r="E194" s="86">
        <v>1515081614</v>
      </c>
      <c r="F194" s="86">
        <v>1477148934</v>
      </c>
      <c r="G194" s="86">
        <v>1477148934</v>
      </c>
      <c r="H194" s="86">
        <v>898546008</v>
      </c>
      <c r="I194" s="307"/>
    </row>
    <row r="195" spans="1:9" ht="24.75" customHeight="1">
      <c r="A195" s="763"/>
      <c r="B195" s="764"/>
      <c r="C195" s="252" t="s">
        <v>491</v>
      </c>
      <c r="D195" s="305">
        <v>0</v>
      </c>
      <c r="E195" s="86">
        <v>19439686</v>
      </c>
      <c r="F195" s="86">
        <v>19439686</v>
      </c>
      <c r="G195" s="86">
        <v>19439686</v>
      </c>
      <c r="H195" s="86">
        <v>19439686</v>
      </c>
      <c r="I195" s="307"/>
    </row>
    <row r="196" spans="1:9" ht="24.75" customHeight="1">
      <c r="A196" s="763"/>
      <c r="B196" s="252" t="s">
        <v>331</v>
      </c>
      <c r="C196" s="252" t="s">
        <v>340</v>
      </c>
      <c r="D196" s="86">
        <v>1374057000</v>
      </c>
      <c r="E196" s="86">
        <v>1389997314</v>
      </c>
      <c r="F196" s="86">
        <v>1338348800</v>
      </c>
      <c r="G196" s="86">
        <v>1338348800</v>
      </c>
      <c r="H196" s="86">
        <v>1283485166</v>
      </c>
      <c r="I196" s="307"/>
    </row>
    <row r="197" spans="1:9" ht="24.75" customHeight="1">
      <c r="A197" s="763"/>
      <c r="B197" s="762" t="s">
        <v>337</v>
      </c>
      <c r="C197" s="252" t="s">
        <v>340</v>
      </c>
      <c r="D197" s="305">
        <v>2007824000</v>
      </c>
      <c r="E197" s="305">
        <v>1964948316</v>
      </c>
      <c r="F197" s="86">
        <v>1803825196</v>
      </c>
      <c r="G197" s="86">
        <v>1803825196</v>
      </c>
      <c r="H197" s="86">
        <v>1530966807</v>
      </c>
      <c r="I197" s="307"/>
    </row>
    <row r="198" spans="1:9" ht="24.75" customHeight="1">
      <c r="A198" s="763"/>
      <c r="B198" s="763"/>
      <c r="C198" s="252" t="s">
        <v>341</v>
      </c>
      <c r="D198" s="305">
        <v>792348000</v>
      </c>
      <c r="E198" s="305">
        <v>795441663</v>
      </c>
      <c r="F198" s="86">
        <v>777580734</v>
      </c>
      <c r="G198" s="86">
        <v>777580734</v>
      </c>
      <c r="H198" s="86">
        <v>637150534</v>
      </c>
      <c r="I198" s="307"/>
    </row>
    <row r="199" spans="1:9" ht="24.75" customHeight="1">
      <c r="A199" s="763"/>
      <c r="B199" s="764"/>
      <c r="C199" s="252" t="s">
        <v>342</v>
      </c>
      <c r="D199" s="305">
        <v>173604000</v>
      </c>
      <c r="E199" s="305">
        <v>173604000</v>
      </c>
      <c r="F199" s="86">
        <v>100703393</v>
      </c>
      <c r="G199" s="86">
        <v>100703393</v>
      </c>
      <c r="H199" s="86">
        <v>0</v>
      </c>
      <c r="I199" s="307"/>
    </row>
    <row r="200" spans="1:9" ht="24.75" customHeight="1">
      <c r="A200" s="763"/>
      <c r="B200" s="762" t="s">
        <v>335</v>
      </c>
      <c r="C200" s="252" t="s">
        <v>340</v>
      </c>
      <c r="D200" s="305">
        <v>1180481000</v>
      </c>
      <c r="E200" s="305">
        <v>1287481000</v>
      </c>
      <c r="F200" s="86">
        <v>1287021667</v>
      </c>
      <c r="G200" s="86">
        <v>1287021667</v>
      </c>
      <c r="H200" s="86">
        <v>1122728609</v>
      </c>
      <c r="I200" s="307"/>
    </row>
    <row r="201" spans="1:9" ht="24.75" customHeight="1">
      <c r="A201" s="763"/>
      <c r="B201" s="764"/>
      <c r="C201" s="252" t="s">
        <v>342</v>
      </c>
      <c r="D201" s="305">
        <v>300000000</v>
      </c>
      <c r="E201" s="305">
        <v>300000000</v>
      </c>
      <c r="F201" s="86">
        <v>300000000</v>
      </c>
      <c r="G201" s="86">
        <v>300000000</v>
      </c>
      <c r="H201" s="86">
        <v>0</v>
      </c>
      <c r="I201" s="307"/>
    </row>
    <row r="202" spans="1:9" ht="24.75" customHeight="1">
      <c r="A202" s="763"/>
      <c r="B202" s="252" t="s">
        <v>338</v>
      </c>
      <c r="C202" s="252" t="s">
        <v>340</v>
      </c>
      <c r="D202" s="305">
        <v>689070000</v>
      </c>
      <c r="E202" s="305">
        <v>749390000</v>
      </c>
      <c r="F202" s="86">
        <v>703847144</v>
      </c>
      <c r="G202" s="86">
        <v>703847144</v>
      </c>
      <c r="H202" s="86">
        <v>411544160</v>
      </c>
      <c r="I202" s="307"/>
    </row>
    <row r="203" spans="1:9" ht="24.75" customHeight="1">
      <c r="A203" s="763"/>
      <c r="B203" s="762" t="s">
        <v>333</v>
      </c>
      <c r="C203" s="252" t="s">
        <v>341</v>
      </c>
      <c r="D203" s="305">
        <v>1277236000</v>
      </c>
      <c r="E203" s="86">
        <v>1274142337</v>
      </c>
      <c r="F203" s="86">
        <v>1255404799</v>
      </c>
      <c r="G203" s="86">
        <v>1255404799</v>
      </c>
      <c r="H203" s="86">
        <v>1148321733</v>
      </c>
      <c r="I203" s="307"/>
    </row>
    <row r="204" spans="1:9" ht="24.75" customHeight="1">
      <c r="A204" s="763"/>
      <c r="B204" s="764"/>
      <c r="C204" s="252" t="s">
        <v>342</v>
      </c>
      <c r="D204" s="305">
        <v>16912000</v>
      </c>
      <c r="E204" s="86">
        <v>16912000</v>
      </c>
      <c r="F204" s="86">
        <v>16912000</v>
      </c>
      <c r="G204" s="86">
        <v>16912000</v>
      </c>
      <c r="H204" s="86">
        <v>10194524</v>
      </c>
      <c r="I204" s="307"/>
    </row>
    <row r="205" spans="1:9" ht="24.75" customHeight="1">
      <c r="A205" s="764"/>
      <c r="B205" s="252" t="s">
        <v>330</v>
      </c>
      <c r="C205" s="252" t="s">
        <v>340</v>
      </c>
      <c r="D205" s="305">
        <v>691670000</v>
      </c>
      <c r="E205" s="305">
        <v>557942070</v>
      </c>
      <c r="F205" s="86">
        <v>556933365</v>
      </c>
      <c r="G205" s="86">
        <v>556933365</v>
      </c>
      <c r="H205" s="86">
        <v>531130966</v>
      </c>
      <c r="I205" s="307"/>
    </row>
    <row r="207" spans="1:9" ht="24.75" customHeight="1">
      <c r="A207" s="770" t="s">
        <v>141</v>
      </c>
      <c r="B207" s="770"/>
      <c r="C207" s="770"/>
      <c r="D207" s="770"/>
      <c r="E207" s="770"/>
      <c r="F207" s="770"/>
      <c r="G207" s="770"/>
      <c r="H207" s="770"/>
    </row>
    <row r="208" spans="1:9" ht="24.75" customHeight="1">
      <c r="A208" s="103" t="s">
        <v>61</v>
      </c>
      <c r="B208" s="30" t="s">
        <v>121</v>
      </c>
      <c r="C208" s="30" t="s">
        <v>122</v>
      </c>
      <c r="D208" s="30" t="s">
        <v>123</v>
      </c>
      <c r="E208" s="30" t="s">
        <v>124</v>
      </c>
      <c r="F208" s="30" t="s">
        <v>125</v>
      </c>
      <c r="G208" s="30" t="s">
        <v>126</v>
      </c>
      <c r="H208" s="30" t="s">
        <v>127</v>
      </c>
    </row>
    <row r="209" spans="1:8" ht="24.75" customHeight="1">
      <c r="A209" s="748" t="s">
        <v>135</v>
      </c>
      <c r="B209" s="76" t="s">
        <v>330</v>
      </c>
      <c r="C209" s="76" t="s">
        <v>340</v>
      </c>
      <c r="D209" s="86">
        <v>588053000</v>
      </c>
      <c r="E209" s="86">
        <v>588053000</v>
      </c>
      <c r="F209" s="86">
        <v>585413000</v>
      </c>
      <c r="G209" s="86">
        <v>585413000</v>
      </c>
      <c r="H209" s="86">
        <v>0</v>
      </c>
    </row>
    <row r="210" spans="1:8" ht="24.75" customHeight="1">
      <c r="A210" s="749"/>
      <c r="B210" s="76" t="s">
        <v>331</v>
      </c>
      <c r="C210" s="76" t="s">
        <v>340</v>
      </c>
      <c r="D210" s="86">
        <v>6219259000</v>
      </c>
      <c r="E210" s="86">
        <v>6219259000</v>
      </c>
      <c r="F210" s="86">
        <v>1835843000</v>
      </c>
      <c r="G210" s="86">
        <v>1835843000</v>
      </c>
      <c r="H210" s="86">
        <v>0</v>
      </c>
    </row>
    <row r="211" spans="1:8" ht="24.75" customHeight="1">
      <c r="A211" s="749"/>
      <c r="B211" s="76" t="s">
        <v>335</v>
      </c>
      <c r="C211" s="76" t="s">
        <v>340</v>
      </c>
      <c r="D211" s="86">
        <v>1617058000</v>
      </c>
      <c r="E211" s="86">
        <v>1617058000</v>
      </c>
      <c r="F211" s="86">
        <v>1097940000</v>
      </c>
      <c r="G211" s="86">
        <v>1097940000</v>
      </c>
      <c r="H211" s="86">
        <v>0</v>
      </c>
    </row>
    <row r="212" spans="1:8" ht="24.75" customHeight="1">
      <c r="A212" s="749"/>
      <c r="B212" s="776" t="s">
        <v>522</v>
      </c>
      <c r="C212" s="76" t="s">
        <v>340</v>
      </c>
      <c r="D212" s="86">
        <v>154846000</v>
      </c>
      <c r="E212" s="86">
        <v>154846000</v>
      </c>
      <c r="F212" s="86">
        <v>154249000</v>
      </c>
      <c r="G212" s="86">
        <v>154249000</v>
      </c>
      <c r="H212" s="86">
        <v>0</v>
      </c>
    </row>
    <row r="213" spans="1:8" ht="24.75" customHeight="1">
      <c r="A213" s="749"/>
      <c r="B213" s="777"/>
      <c r="C213" s="76" t="s">
        <v>341</v>
      </c>
      <c r="D213" s="86">
        <v>117874000</v>
      </c>
      <c r="E213" s="86">
        <v>117874000</v>
      </c>
      <c r="F213" s="86">
        <v>0</v>
      </c>
      <c r="G213" s="86">
        <v>0</v>
      </c>
      <c r="H213" s="86">
        <v>0</v>
      </c>
    </row>
    <row r="214" spans="1:8" ht="24.75" customHeight="1">
      <c r="A214" s="749"/>
      <c r="B214" s="777"/>
      <c r="C214" s="76" t="s">
        <v>342</v>
      </c>
      <c r="D214" s="86">
        <v>1336995000</v>
      </c>
      <c r="E214" s="86">
        <v>1336995000</v>
      </c>
      <c r="F214" s="86">
        <v>1333569000</v>
      </c>
      <c r="G214" s="86">
        <v>1333569000</v>
      </c>
      <c r="H214" s="86">
        <v>0</v>
      </c>
    </row>
    <row r="215" spans="1:8" ht="24.75" customHeight="1">
      <c r="A215" s="749"/>
      <c r="B215" s="778"/>
      <c r="C215" s="76" t="s">
        <v>523</v>
      </c>
      <c r="D215" s="86">
        <v>7278000</v>
      </c>
      <c r="E215" s="86">
        <v>7278000</v>
      </c>
      <c r="F215" s="86">
        <v>0</v>
      </c>
      <c r="G215" s="86">
        <v>0</v>
      </c>
      <c r="H215" s="86">
        <v>0</v>
      </c>
    </row>
    <row r="216" spans="1:8" ht="24.75" customHeight="1">
      <c r="A216" s="749"/>
      <c r="B216" s="776" t="s">
        <v>337</v>
      </c>
      <c r="C216" s="76" t="s">
        <v>340</v>
      </c>
      <c r="D216" s="86">
        <v>679700000</v>
      </c>
      <c r="E216" s="86">
        <v>679700000</v>
      </c>
      <c r="F216" s="86">
        <v>652012000</v>
      </c>
      <c r="G216" s="86">
        <v>652012000</v>
      </c>
      <c r="H216" s="86">
        <v>0</v>
      </c>
    </row>
    <row r="217" spans="1:8" ht="24.75" customHeight="1">
      <c r="A217" s="749"/>
      <c r="B217" s="777"/>
      <c r="C217" s="76" t="s">
        <v>341</v>
      </c>
      <c r="D217" s="86">
        <v>871058000</v>
      </c>
      <c r="E217" s="86">
        <v>871058000</v>
      </c>
      <c r="F217" s="86">
        <v>446731908</v>
      </c>
      <c r="G217" s="86">
        <v>446731908</v>
      </c>
      <c r="H217" s="86">
        <v>0</v>
      </c>
    </row>
    <row r="218" spans="1:8" ht="24.75" customHeight="1">
      <c r="A218" s="749"/>
      <c r="B218" s="778"/>
      <c r="C218" s="76" t="s">
        <v>342</v>
      </c>
      <c r="D218" s="86">
        <v>1813479000</v>
      </c>
      <c r="E218" s="86">
        <v>1813479000</v>
      </c>
      <c r="F218" s="86">
        <v>1435895000</v>
      </c>
      <c r="G218" s="86">
        <v>1435895000</v>
      </c>
      <c r="H218" s="86">
        <v>0</v>
      </c>
    </row>
    <row r="219" spans="1:8" ht="24.75" customHeight="1">
      <c r="A219" s="749"/>
      <c r="B219" s="76" t="s">
        <v>338</v>
      </c>
      <c r="C219" s="76" t="s">
        <v>340</v>
      </c>
      <c r="D219" s="86">
        <v>843232000</v>
      </c>
      <c r="E219" s="86">
        <v>843232000</v>
      </c>
      <c r="F219" s="86">
        <v>455184000</v>
      </c>
      <c r="G219" s="86">
        <v>455184000</v>
      </c>
      <c r="H219" s="86">
        <v>0</v>
      </c>
    </row>
    <row r="220" spans="1:8" ht="24.75" customHeight="1">
      <c r="A220" s="749"/>
      <c r="B220" s="776" t="s">
        <v>339</v>
      </c>
      <c r="C220" s="76" t="s">
        <v>340</v>
      </c>
      <c r="D220" s="86">
        <v>2180745000</v>
      </c>
      <c r="E220" s="86">
        <v>2180745000</v>
      </c>
      <c r="F220" s="86">
        <v>665963000</v>
      </c>
      <c r="G220" s="86">
        <v>665963000</v>
      </c>
      <c r="H220" s="86">
        <v>0</v>
      </c>
    </row>
    <row r="221" spans="1:8" ht="24.75" customHeight="1">
      <c r="A221" s="750"/>
      <c r="B221" s="778"/>
      <c r="C221" s="76" t="s">
        <v>341</v>
      </c>
      <c r="D221" s="86">
        <v>38864000</v>
      </c>
      <c r="E221" s="86">
        <v>38864000</v>
      </c>
      <c r="F221" s="86">
        <v>0</v>
      </c>
      <c r="G221" s="86">
        <v>0</v>
      </c>
      <c r="H221" s="86">
        <v>0</v>
      </c>
    </row>
    <row r="222" spans="1:8" ht="24.75" customHeight="1">
      <c r="A222" s="748" t="s">
        <v>136</v>
      </c>
      <c r="B222" s="76" t="s">
        <v>330</v>
      </c>
      <c r="C222" s="76" t="s">
        <v>340</v>
      </c>
      <c r="D222" s="86">
        <v>588053000</v>
      </c>
      <c r="E222" s="86">
        <v>588053000</v>
      </c>
      <c r="F222" s="86">
        <v>585413000</v>
      </c>
      <c r="G222" s="86">
        <v>585413000</v>
      </c>
      <c r="H222" s="86">
        <v>0</v>
      </c>
    </row>
    <row r="223" spans="1:8" ht="24.75" customHeight="1">
      <c r="A223" s="749"/>
      <c r="B223" s="76" t="s">
        <v>331</v>
      </c>
      <c r="C223" s="76" t="s">
        <v>340</v>
      </c>
      <c r="D223" s="86">
        <v>6219259000</v>
      </c>
      <c r="E223" s="86">
        <v>6219259000</v>
      </c>
      <c r="F223" s="86">
        <v>1835843000</v>
      </c>
      <c r="G223" s="86">
        <v>1835843000</v>
      </c>
      <c r="H223" s="86">
        <v>0</v>
      </c>
    </row>
    <row r="224" spans="1:8" ht="24.75" customHeight="1">
      <c r="A224" s="749"/>
      <c r="B224" s="76" t="s">
        <v>335</v>
      </c>
      <c r="C224" s="76" t="s">
        <v>340</v>
      </c>
      <c r="D224" s="86">
        <v>1617058000</v>
      </c>
      <c r="E224" s="86">
        <v>1617058000</v>
      </c>
      <c r="F224" s="86">
        <v>1097940000</v>
      </c>
      <c r="G224" s="86">
        <v>1097940000</v>
      </c>
      <c r="H224" s="86">
        <v>0</v>
      </c>
    </row>
    <row r="225" spans="1:8" ht="24.75" customHeight="1">
      <c r="A225" s="749"/>
      <c r="B225" s="776" t="s">
        <v>522</v>
      </c>
      <c r="C225" s="76" t="s">
        <v>340</v>
      </c>
      <c r="D225" s="86">
        <v>154846000</v>
      </c>
      <c r="E225" s="86">
        <v>154846000</v>
      </c>
      <c r="F225" s="86">
        <v>154249000</v>
      </c>
      <c r="G225" s="86">
        <v>154249000</v>
      </c>
      <c r="H225" s="86">
        <v>0</v>
      </c>
    </row>
    <row r="226" spans="1:8" ht="24.75" customHeight="1">
      <c r="A226" s="749"/>
      <c r="B226" s="777"/>
      <c r="C226" s="76" t="s">
        <v>341</v>
      </c>
      <c r="D226" s="86">
        <v>117874000</v>
      </c>
      <c r="E226" s="86">
        <v>117874000</v>
      </c>
      <c r="F226" s="86">
        <v>0</v>
      </c>
      <c r="G226" s="86">
        <v>0</v>
      </c>
      <c r="H226" s="86">
        <v>0</v>
      </c>
    </row>
    <row r="227" spans="1:8" ht="24.75" customHeight="1">
      <c r="A227" s="749"/>
      <c r="B227" s="777"/>
      <c r="C227" s="76" t="s">
        <v>342</v>
      </c>
      <c r="D227" s="86">
        <v>1336995000</v>
      </c>
      <c r="E227" s="86">
        <v>1336995000</v>
      </c>
      <c r="F227" s="86">
        <v>1333569000</v>
      </c>
      <c r="G227" s="86">
        <v>1333569000</v>
      </c>
      <c r="H227" s="86">
        <v>0</v>
      </c>
    </row>
    <row r="228" spans="1:8" ht="24.75" customHeight="1">
      <c r="A228" s="749"/>
      <c r="B228" s="778"/>
      <c r="C228" s="76" t="s">
        <v>523</v>
      </c>
      <c r="D228" s="86">
        <v>7278000</v>
      </c>
      <c r="E228" s="86">
        <v>7278000</v>
      </c>
      <c r="F228" s="86">
        <v>0</v>
      </c>
      <c r="G228" s="86">
        <v>0</v>
      </c>
      <c r="H228" s="86">
        <v>0</v>
      </c>
    </row>
    <row r="229" spans="1:8" ht="24.75" customHeight="1">
      <c r="A229" s="749"/>
      <c r="B229" s="776" t="s">
        <v>337</v>
      </c>
      <c r="C229" s="76" t="s">
        <v>340</v>
      </c>
      <c r="D229" s="86">
        <v>679700000</v>
      </c>
      <c r="E229" s="86">
        <v>679700000</v>
      </c>
      <c r="F229" s="86">
        <v>652012000</v>
      </c>
      <c r="G229" s="86">
        <v>652012000</v>
      </c>
      <c r="H229" s="86">
        <v>0</v>
      </c>
    </row>
    <row r="230" spans="1:8" ht="24.75" customHeight="1">
      <c r="A230" s="749"/>
      <c r="B230" s="777"/>
      <c r="C230" s="76" t="s">
        <v>341</v>
      </c>
      <c r="D230" s="86">
        <v>871058000</v>
      </c>
      <c r="E230" s="86">
        <v>871058000</v>
      </c>
      <c r="F230" s="86">
        <v>446731908</v>
      </c>
      <c r="G230" s="86">
        <v>446731908</v>
      </c>
      <c r="H230" s="86">
        <v>0</v>
      </c>
    </row>
    <row r="231" spans="1:8" ht="24.75" customHeight="1">
      <c r="A231" s="749"/>
      <c r="B231" s="778"/>
      <c r="C231" s="76" t="s">
        <v>342</v>
      </c>
      <c r="D231" s="86">
        <v>1813479000</v>
      </c>
      <c r="E231" s="86">
        <v>1813479000</v>
      </c>
      <c r="F231" s="86">
        <v>1435895000</v>
      </c>
      <c r="G231" s="86">
        <v>1435895000</v>
      </c>
      <c r="H231" s="86">
        <v>0</v>
      </c>
    </row>
    <row r="232" spans="1:8" ht="24.75" customHeight="1">
      <c r="A232" s="749"/>
      <c r="B232" s="76" t="s">
        <v>338</v>
      </c>
      <c r="C232" s="76" t="s">
        <v>340</v>
      </c>
      <c r="D232" s="86">
        <v>843232000</v>
      </c>
      <c r="E232" s="86">
        <v>843232000</v>
      </c>
      <c r="F232" s="86">
        <v>455184000</v>
      </c>
      <c r="G232" s="86">
        <v>455184000</v>
      </c>
      <c r="H232" s="86">
        <v>0</v>
      </c>
    </row>
    <row r="233" spans="1:8" ht="24.75" customHeight="1">
      <c r="A233" s="749"/>
      <c r="B233" s="776" t="s">
        <v>339</v>
      </c>
      <c r="C233" s="76" t="s">
        <v>340</v>
      </c>
      <c r="D233" s="86">
        <v>2180745000</v>
      </c>
      <c r="E233" s="86">
        <v>2180745000</v>
      </c>
      <c r="F233" s="86">
        <v>665963000</v>
      </c>
      <c r="G233" s="86">
        <v>665963000</v>
      </c>
      <c r="H233" s="86">
        <v>0</v>
      </c>
    </row>
    <row r="234" spans="1:8" ht="24.75" customHeight="1">
      <c r="A234" s="750"/>
      <c r="B234" s="778"/>
      <c r="C234" s="76" t="s">
        <v>341</v>
      </c>
      <c r="D234" s="86">
        <v>38864000</v>
      </c>
      <c r="E234" s="86">
        <v>38864000</v>
      </c>
      <c r="F234" s="86">
        <v>0</v>
      </c>
      <c r="G234" s="86">
        <v>0</v>
      </c>
      <c r="H234" s="86">
        <v>0</v>
      </c>
    </row>
    <row r="235" spans="1:8" ht="24.75" customHeight="1">
      <c r="A235" s="748" t="s">
        <v>137</v>
      </c>
      <c r="B235" s="76" t="s">
        <v>330</v>
      </c>
      <c r="C235" s="76" t="s">
        <v>340</v>
      </c>
      <c r="D235" s="86">
        <v>588053000</v>
      </c>
      <c r="E235" s="86">
        <v>588053000</v>
      </c>
      <c r="F235" s="86">
        <v>585413000</v>
      </c>
      <c r="G235" s="86">
        <v>585413000</v>
      </c>
      <c r="H235" s="86">
        <v>57329600</v>
      </c>
    </row>
    <row r="236" spans="1:8" ht="24.75" customHeight="1">
      <c r="A236" s="749"/>
      <c r="B236" s="76" t="s">
        <v>331</v>
      </c>
      <c r="C236" s="76" t="s">
        <v>340</v>
      </c>
      <c r="D236" s="86">
        <v>6219259000</v>
      </c>
      <c r="E236" s="86">
        <v>6219259000</v>
      </c>
      <c r="F236" s="86">
        <v>1835843000</v>
      </c>
      <c r="G236" s="86">
        <v>1835843000</v>
      </c>
      <c r="H236" s="86">
        <v>172264769</v>
      </c>
    </row>
    <row r="237" spans="1:8" ht="24.75" customHeight="1">
      <c r="A237" s="749"/>
      <c r="B237" s="76" t="s">
        <v>335</v>
      </c>
      <c r="C237" s="76" t="s">
        <v>340</v>
      </c>
      <c r="D237" s="86">
        <v>1617058000</v>
      </c>
      <c r="E237" s="86">
        <v>1617058000</v>
      </c>
      <c r="F237" s="86">
        <v>1097940000</v>
      </c>
      <c r="G237" s="86">
        <v>1097940000</v>
      </c>
      <c r="H237" s="86">
        <v>140877801</v>
      </c>
    </row>
    <row r="238" spans="1:8" ht="24.75" customHeight="1">
      <c r="A238" s="749"/>
      <c r="B238" s="776" t="s">
        <v>522</v>
      </c>
      <c r="C238" s="76" t="s">
        <v>340</v>
      </c>
      <c r="D238" s="86">
        <v>154846000</v>
      </c>
      <c r="E238" s="86">
        <v>154846000</v>
      </c>
      <c r="F238" s="86">
        <v>154249000</v>
      </c>
      <c r="G238" s="86">
        <v>154249000</v>
      </c>
      <c r="H238" s="86">
        <v>10089534</v>
      </c>
    </row>
    <row r="239" spans="1:8" ht="24.75" customHeight="1">
      <c r="A239" s="749"/>
      <c r="B239" s="777"/>
      <c r="C239" s="76" t="s">
        <v>341</v>
      </c>
      <c r="D239" s="86">
        <v>117874000</v>
      </c>
      <c r="E239" s="86">
        <v>117874000</v>
      </c>
      <c r="F239" s="86">
        <v>0</v>
      </c>
      <c r="G239" s="86">
        <v>0</v>
      </c>
      <c r="H239" s="86">
        <v>0</v>
      </c>
    </row>
    <row r="240" spans="1:8" ht="24.75" customHeight="1">
      <c r="A240" s="749"/>
      <c r="B240" s="777"/>
      <c r="C240" s="76" t="s">
        <v>342</v>
      </c>
      <c r="D240" s="86">
        <v>1336995000</v>
      </c>
      <c r="E240" s="86">
        <v>1336995000</v>
      </c>
      <c r="F240" s="86">
        <v>1333569000</v>
      </c>
      <c r="G240" s="86">
        <v>1333569000</v>
      </c>
      <c r="H240" s="86">
        <v>124189766</v>
      </c>
    </row>
    <row r="241" spans="1:8" ht="24.75" customHeight="1">
      <c r="A241" s="749"/>
      <c r="B241" s="778"/>
      <c r="C241" s="76" t="s">
        <v>523</v>
      </c>
      <c r="D241" s="86">
        <v>7278000</v>
      </c>
      <c r="E241" s="86">
        <v>7278000</v>
      </c>
      <c r="F241" s="86">
        <v>0</v>
      </c>
      <c r="G241" s="86">
        <v>0</v>
      </c>
      <c r="H241" s="86">
        <v>0</v>
      </c>
    </row>
    <row r="242" spans="1:8" ht="24.75" customHeight="1">
      <c r="A242" s="749"/>
      <c r="B242" s="776" t="s">
        <v>337</v>
      </c>
      <c r="C242" s="76" t="s">
        <v>340</v>
      </c>
      <c r="D242" s="86">
        <v>679700000</v>
      </c>
      <c r="E242" s="86">
        <v>679700000</v>
      </c>
      <c r="F242" s="86">
        <v>672552000</v>
      </c>
      <c r="G242" s="86">
        <v>672552000</v>
      </c>
      <c r="H242" s="86">
        <v>74474333</v>
      </c>
    </row>
    <row r="243" spans="1:8" ht="24.75" customHeight="1">
      <c r="A243" s="749"/>
      <c r="B243" s="777"/>
      <c r="C243" s="76" t="s">
        <v>341</v>
      </c>
      <c r="D243" s="86">
        <v>871058000</v>
      </c>
      <c r="E243" s="86">
        <v>871058000</v>
      </c>
      <c r="F243" s="86">
        <v>446731908</v>
      </c>
      <c r="G243" s="86">
        <v>446731908</v>
      </c>
      <c r="H243" s="86">
        <v>0</v>
      </c>
    </row>
    <row r="244" spans="1:8" ht="24.75" customHeight="1">
      <c r="A244" s="749"/>
      <c r="B244" s="778"/>
      <c r="C244" s="76" t="s">
        <v>342</v>
      </c>
      <c r="D244" s="86">
        <v>1813479000</v>
      </c>
      <c r="E244" s="86">
        <v>1813479000</v>
      </c>
      <c r="F244" s="86">
        <v>1465355000</v>
      </c>
      <c r="G244" s="86">
        <v>1465355000</v>
      </c>
      <c r="H244" s="86">
        <v>146878736</v>
      </c>
    </row>
    <row r="245" spans="1:8" ht="24.75" customHeight="1">
      <c r="A245" s="749"/>
      <c r="B245" s="76" t="s">
        <v>338</v>
      </c>
      <c r="C245" s="76" t="s">
        <v>340</v>
      </c>
      <c r="D245" s="86">
        <v>843232000</v>
      </c>
      <c r="E245" s="86">
        <v>843232000</v>
      </c>
      <c r="F245" s="86">
        <v>455184000</v>
      </c>
      <c r="G245" s="86">
        <v>455184000</v>
      </c>
      <c r="H245" s="86">
        <v>52318753</v>
      </c>
    </row>
    <row r="246" spans="1:8" ht="24.75" customHeight="1">
      <c r="A246" s="749"/>
      <c r="B246" s="776" t="s">
        <v>339</v>
      </c>
      <c r="C246" s="76" t="s">
        <v>340</v>
      </c>
      <c r="D246" s="86">
        <v>2180745000</v>
      </c>
      <c r="E246" s="86">
        <v>2180745000</v>
      </c>
      <c r="F246" s="86">
        <v>665963000</v>
      </c>
      <c r="G246" s="86">
        <v>665963000</v>
      </c>
      <c r="H246" s="86">
        <v>83226899</v>
      </c>
    </row>
    <row r="247" spans="1:8" ht="24.75" customHeight="1">
      <c r="A247" s="749"/>
      <c r="B247" s="778"/>
      <c r="C247" s="76" t="s">
        <v>341</v>
      </c>
      <c r="D247" s="86">
        <v>38864000</v>
      </c>
      <c r="E247" s="86">
        <v>38864000</v>
      </c>
      <c r="F247" s="86">
        <v>0</v>
      </c>
      <c r="G247" s="86">
        <v>0</v>
      </c>
      <c r="H247" s="86">
        <v>0</v>
      </c>
    </row>
    <row r="248" spans="1:8" ht="24.75" customHeight="1">
      <c r="A248" s="748" t="s">
        <v>138</v>
      </c>
      <c r="B248" s="76" t="s">
        <v>330</v>
      </c>
      <c r="C248" s="76" t="s">
        <v>340</v>
      </c>
      <c r="D248" s="86">
        <v>588053000</v>
      </c>
      <c r="E248" s="86">
        <v>588053000</v>
      </c>
      <c r="F248" s="86">
        <v>585413000</v>
      </c>
      <c r="G248" s="86">
        <v>585413000</v>
      </c>
      <c r="H248" s="86">
        <v>132502600</v>
      </c>
    </row>
    <row r="249" spans="1:8" ht="24.75" customHeight="1">
      <c r="A249" s="749"/>
      <c r="B249" s="76" t="s">
        <v>331</v>
      </c>
      <c r="C249" s="76" t="s">
        <v>340</v>
      </c>
      <c r="D249" s="86">
        <v>6219259000</v>
      </c>
      <c r="E249" s="86">
        <v>6219259000</v>
      </c>
      <c r="F249" s="86">
        <v>1835843000</v>
      </c>
      <c r="G249" s="86">
        <v>1835843000</v>
      </c>
      <c r="H249" s="86">
        <v>403253902</v>
      </c>
    </row>
    <row r="250" spans="1:8" ht="24.75" customHeight="1">
      <c r="A250" s="749"/>
      <c r="B250" s="76" t="s">
        <v>335</v>
      </c>
      <c r="C250" s="76" t="s">
        <v>340</v>
      </c>
      <c r="D250" s="86">
        <v>1617058000</v>
      </c>
      <c r="E250" s="86">
        <v>1617058000</v>
      </c>
      <c r="F250" s="86">
        <v>1097940000</v>
      </c>
      <c r="G250" s="86">
        <v>1097940000</v>
      </c>
      <c r="H250" s="86">
        <v>261783801</v>
      </c>
    </row>
    <row r="251" spans="1:8" ht="24.75" customHeight="1">
      <c r="A251" s="749"/>
      <c r="B251" s="776" t="s">
        <v>522</v>
      </c>
      <c r="C251" s="76" t="s">
        <v>340</v>
      </c>
      <c r="D251" s="86">
        <v>154846000</v>
      </c>
      <c r="E251" s="86">
        <v>154846000</v>
      </c>
      <c r="F251" s="86">
        <v>154249000</v>
      </c>
      <c r="G251" s="86">
        <v>154249000</v>
      </c>
      <c r="H251" s="86">
        <v>25611201</v>
      </c>
    </row>
    <row r="252" spans="1:8" ht="24.75" customHeight="1">
      <c r="A252" s="749"/>
      <c r="B252" s="777"/>
      <c r="C252" s="76" t="s">
        <v>341</v>
      </c>
      <c r="D252" s="86">
        <v>117874000</v>
      </c>
      <c r="E252" s="86">
        <v>117874000</v>
      </c>
      <c r="F252" s="86">
        <v>0</v>
      </c>
      <c r="G252" s="86">
        <v>0</v>
      </c>
      <c r="H252" s="86">
        <v>0</v>
      </c>
    </row>
    <row r="253" spans="1:8" ht="24.75" customHeight="1">
      <c r="A253" s="749"/>
      <c r="B253" s="777"/>
      <c r="C253" s="76" t="s">
        <v>342</v>
      </c>
      <c r="D253" s="86">
        <v>1336995000</v>
      </c>
      <c r="E253" s="86">
        <v>1336995000</v>
      </c>
      <c r="F253" s="86">
        <v>1333569000</v>
      </c>
      <c r="G253" s="86">
        <v>1333569000</v>
      </c>
      <c r="H253" s="86">
        <v>247675799</v>
      </c>
    </row>
    <row r="254" spans="1:8" ht="24.75" customHeight="1">
      <c r="A254" s="749"/>
      <c r="B254" s="778"/>
      <c r="C254" s="76" t="s">
        <v>523</v>
      </c>
      <c r="D254" s="86">
        <v>7278000</v>
      </c>
      <c r="E254" s="86">
        <v>7278000</v>
      </c>
      <c r="F254" s="86">
        <v>0</v>
      </c>
      <c r="G254" s="86">
        <v>0</v>
      </c>
      <c r="H254" s="86">
        <v>0</v>
      </c>
    </row>
    <row r="255" spans="1:8" ht="24.75" customHeight="1">
      <c r="A255" s="749"/>
      <c r="B255" s="776" t="s">
        <v>337</v>
      </c>
      <c r="C255" s="76" t="s">
        <v>340</v>
      </c>
      <c r="D255" s="86">
        <v>679700000</v>
      </c>
      <c r="E255" s="86">
        <v>679700000</v>
      </c>
      <c r="F255" s="86">
        <v>672552000</v>
      </c>
      <c r="G255" s="86">
        <v>672552000</v>
      </c>
      <c r="H255" s="86">
        <v>158789933</v>
      </c>
    </row>
    <row r="256" spans="1:8" ht="24.75" customHeight="1">
      <c r="A256" s="749"/>
      <c r="B256" s="777"/>
      <c r="C256" s="76" t="s">
        <v>341</v>
      </c>
      <c r="D256" s="86">
        <v>871058000</v>
      </c>
      <c r="E256" s="86">
        <v>871058000</v>
      </c>
      <c r="F256" s="86">
        <v>446731908</v>
      </c>
      <c r="G256" s="86">
        <v>446731908</v>
      </c>
      <c r="H256" s="86">
        <v>123169561</v>
      </c>
    </row>
    <row r="257" spans="1:8" ht="24.75" customHeight="1">
      <c r="A257" s="749"/>
      <c r="B257" s="778"/>
      <c r="C257" s="76" t="s">
        <v>342</v>
      </c>
      <c r="D257" s="86">
        <v>1813479000</v>
      </c>
      <c r="E257" s="86">
        <v>1813479000</v>
      </c>
      <c r="F257" s="86">
        <v>1465355000</v>
      </c>
      <c r="G257" s="86">
        <v>1465355000</v>
      </c>
      <c r="H257" s="86">
        <v>312673403</v>
      </c>
    </row>
    <row r="258" spans="1:8" ht="24.75" customHeight="1">
      <c r="A258" s="749"/>
      <c r="B258" s="76" t="s">
        <v>338</v>
      </c>
      <c r="C258" s="76" t="s">
        <v>340</v>
      </c>
      <c r="D258" s="86">
        <v>843232000</v>
      </c>
      <c r="E258" s="86">
        <v>843232000</v>
      </c>
      <c r="F258" s="86">
        <v>455184000</v>
      </c>
      <c r="G258" s="86">
        <v>455184000</v>
      </c>
      <c r="H258" s="86">
        <v>103810390</v>
      </c>
    </row>
    <row r="259" spans="1:8" ht="24.75" customHeight="1">
      <c r="A259" s="749"/>
      <c r="B259" s="776" t="s">
        <v>339</v>
      </c>
      <c r="C259" s="76" t="s">
        <v>340</v>
      </c>
      <c r="D259" s="86">
        <v>2180745000</v>
      </c>
      <c r="E259" s="86">
        <v>2180745000</v>
      </c>
      <c r="F259" s="86">
        <v>665963000</v>
      </c>
      <c r="G259" s="86">
        <v>665963000</v>
      </c>
      <c r="H259" s="86">
        <v>162085899</v>
      </c>
    </row>
    <row r="260" spans="1:8" ht="24.75" customHeight="1">
      <c r="A260" s="750"/>
      <c r="B260" s="778"/>
      <c r="C260" s="76" t="s">
        <v>341</v>
      </c>
      <c r="D260" s="86">
        <v>38864000</v>
      </c>
      <c r="E260" s="86">
        <v>38864000</v>
      </c>
      <c r="F260" s="86">
        <v>0</v>
      </c>
      <c r="G260" s="86">
        <v>0</v>
      </c>
      <c r="H260" s="86">
        <v>0</v>
      </c>
    </row>
    <row r="261" spans="1:8" ht="24.75" customHeight="1">
      <c r="A261" s="748" t="s">
        <v>139</v>
      </c>
      <c r="B261" s="76" t="s">
        <v>330</v>
      </c>
      <c r="C261" s="76" t="s">
        <v>340</v>
      </c>
      <c r="D261" s="86">
        <v>725040000</v>
      </c>
      <c r="E261" s="86">
        <v>585413000</v>
      </c>
      <c r="F261" s="86">
        <v>585413000</v>
      </c>
      <c r="G261" s="86">
        <v>200085600</v>
      </c>
      <c r="H261" s="86">
        <v>0</v>
      </c>
    </row>
    <row r="262" spans="1:8" ht="24.75" customHeight="1">
      <c r="A262" s="749"/>
      <c r="B262" s="76" t="s">
        <v>331</v>
      </c>
      <c r="C262" s="76" t="s">
        <v>340</v>
      </c>
      <c r="D262" s="86">
        <v>6130432000</v>
      </c>
      <c r="E262" s="86">
        <v>1835843000</v>
      </c>
      <c r="F262" s="86">
        <v>1835843000</v>
      </c>
      <c r="G262" s="86">
        <v>603571835</v>
      </c>
      <c r="H262" s="86">
        <v>0</v>
      </c>
    </row>
    <row r="263" spans="1:8" ht="24.75" customHeight="1">
      <c r="A263" s="749"/>
      <c r="B263" s="76" t="s">
        <v>335</v>
      </c>
      <c r="C263" s="76" t="s">
        <v>340</v>
      </c>
      <c r="D263" s="86">
        <v>1617058000</v>
      </c>
      <c r="E263" s="86">
        <v>1097940000</v>
      </c>
      <c r="F263" s="86">
        <v>1097940000</v>
      </c>
      <c r="G263" s="86">
        <v>382689801</v>
      </c>
      <c r="H263" s="86">
        <v>0</v>
      </c>
    </row>
    <row r="264" spans="1:8" ht="24.75" customHeight="1">
      <c r="A264" s="749"/>
      <c r="B264" s="776" t="s">
        <v>522</v>
      </c>
      <c r="C264" s="76" t="s">
        <v>340</v>
      </c>
      <c r="D264" s="86">
        <v>106686000</v>
      </c>
      <c r="E264" s="86">
        <v>154249000</v>
      </c>
      <c r="F264" s="86">
        <v>154249000</v>
      </c>
      <c r="G264" s="86">
        <v>41032534</v>
      </c>
      <c r="H264" s="86">
        <v>0</v>
      </c>
    </row>
    <row r="265" spans="1:8" ht="24.75" customHeight="1">
      <c r="A265" s="749"/>
      <c r="B265" s="777"/>
      <c r="C265" s="76" t="s">
        <v>341</v>
      </c>
      <c r="D265" s="86">
        <v>117874000</v>
      </c>
      <c r="E265" s="86">
        <v>0</v>
      </c>
      <c r="F265" s="86">
        <v>0</v>
      </c>
      <c r="G265" s="86">
        <v>0</v>
      </c>
      <c r="H265" s="86">
        <v>0</v>
      </c>
    </row>
    <row r="266" spans="1:8" ht="24.75" customHeight="1">
      <c r="A266" s="749"/>
      <c r="B266" s="777"/>
      <c r="C266" s="76" t="s">
        <v>342</v>
      </c>
      <c r="D266" s="86">
        <v>1336995000</v>
      </c>
      <c r="E266" s="86">
        <v>1333569000</v>
      </c>
      <c r="F266" s="86">
        <v>1333569000</v>
      </c>
      <c r="G266" s="86">
        <v>395210799</v>
      </c>
      <c r="H266" s="86">
        <v>0</v>
      </c>
    </row>
    <row r="267" spans="1:8" ht="24.75" customHeight="1">
      <c r="A267" s="749"/>
      <c r="B267" s="778"/>
      <c r="C267" s="76" t="s">
        <v>523</v>
      </c>
      <c r="D267" s="86">
        <v>7278000</v>
      </c>
      <c r="E267" s="86">
        <v>0</v>
      </c>
      <c r="F267" s="86">
        <v>0</v>
      </c>
      <c r="G267" s="86">
        <v>0</v>
      </c>
      <c r="H267" s="86">
        <v>0</v>
      </c>
    </row>
    <row r="268" spans="1:8" ht="24.75" customHeight="1">
      <c r="A268" s="749"/>
      <c r="B268" s="776" t="s">
        <v>337</v>
      </c>
      <c r="C268" s="76" t="s">
        <v>340</v>
      </c>
      <c r="D268" s="86">
        <v>679700000</v>
      </c>
      <c r="E268" s="86">
        <v>672552000</v>
      </c>
      <c r="F268" s="86">
        <v>672552000</v>
      </c>
      <c r="G268" s="86">
        <v>236876433</v>
      </c>
      <c r="H268" s="86">
        <v>0</v>
      </c>
    </row>
    <row r="269" spans="1:8" ht="24.75" customHeight="1">
      <c r="A269" s="749"/>
      <c r="B269" s="777"/>
      <c r="C269" s="76" t="s">
        <v>341</v>
      </c>
      <c r="D269" s="86">
        <v>871058000</v>
      </c>
      <c r="E269" s="86">
        <v>609327908</v>
      </c>
      <c r="F269" s="86">
        <v>609327908</v>
      </c>
      <c r="G269" s="86">
        <v>187142289</v>
      </c>
      <c r="H269" s="86">
        <v>0</v>
      </c>
    </row>
    <row r="270" spans="1:8" ht="24.75" customHeight="1">
      <c r="A270" s="749"/>
      <c r="B270" s="778"/>
      <c r="C270" s="76" t="s">
        <v>342</v>
      </c>
      <c r="D270" s="86">
        <v>1813479000</v>
      </c>
      <c r="E270" s="86">
        <v>1465355000</v>
      </c>
      <c r="F270" s="86">
        <v>1465355000</v>
      </c>
      <c r="G270" s="86">
        <v>469167736</v>
      </c>
      <c r="H270" s="86">
        <v>0</v>
      </c>
    </row>
    <row r="271" spans="1:8" ht="24.75" customHeight="1">
      <c r="A271" s="749"/>
      <c r="B271" s="76" t="s">
        <v>338</v>
      </c>
      <c r="C271" s="76" t="s">
        <v>340</v>
      </c>
      <c r="D271" s="86">
        <v>843232000</v>
      </c>
      <c r="E271" s="86">
        <v>455184000</v>
      </c>
      <c r="F271" s="86">
        <v>455184000</v>
      </c>
      <c r="G271" s="86">
        <v>154210209</v>
      </c>
      <c r="H271" s="86">
        <v>0</v>
      </c>
    </row>
    <row r="272" spans="1:8" ht="24.75" customHeight="1">
      <c r="A272" s="749"/>
      <c r="B272" s="776" t="s">
        <v>339</v>
      </c>
      <c r="C272" s="76" t="s">
        <v>340</v>
      </c>
      <c r="D272" s="86">
        <v>2180745000</v>
      </c>
      <c r="E272" s="86">
        <v>777963000</v>
      </c>
      <c r="F272" s="86">
        <v>777963000</v>
      </c>
      <c r="G272" s="86">
        <v>237031899</v>
      </c>
      <c r="H272" s="86">
        <v>0</v>
      </c>
    </row>
    <row r="273" spans="1:11" ht="24.75" customHeight="1">
      <c r="A273" s="749"/>
      <c r="B273" s="778"/>
      <c r="C273" s="76" t="s">
        <v>341</v>
      </c>
      <c r="D273" s="86">
        <v>38864000</v>
      </c>
      <c r="E273" s="86">
        <v>0</v>
      </c>
      <c r="F273" s="86">
        <v>0</v>
      </c>
      <c r="G273" s="86">
        <v>0</v>
      </c>
      <c r="H273" s="86">
        <v>0</v>
      </c>
    </row>
    <row r="274" spans="1:11" ht="24.75" customHeight="1">
      <c r="A274" s="748" t="s">
        <v>140</v>
      </c>
      <c r="B274" s="76" t="s">
        <v>330</v>
      </c>
      <c r="C274" s="86">
        <v>725040000</v>
      </c>
      <c r="D274" s="86">
        <v>588053000</v>
      </c>
      <c r="E274" s="86">
        <v>585413000</v>
      </c>
      <c r="F274" s="86">
        <v>585413000</v>
      </c>
      <c r="G274" s="86">
        <v>267668600</v>
      </c>
      <c r="H274" s="86">
        <v>0</v>
      </c>
    </row>
    <row r="275" spans="1:11" ht="24.75" customHeight="1">
      <c r="A275" s="749"/>
      <c r="B275" s="76" t="s">
        <v>331</v>
      </c>
      <c r="C275" s="86">
        <v>6130432000</v>
      </c>
      <c r="D275" s="86">
        <v>6219259000</v>
      </c>
      <c r="E275" s="86">
        <v>1925843000</v>
      </c>
      <c r="F275" s="86">
        <v>1925843000</v>
      </c>
      <c r="G275" s="86">
        <v>824517835</v>
      </c>
      <c r="H275" s="86">
        <v>0</v>
      </c>
    </row>
    <row r="276" spans="1:11" ht="24.75" customHeight="1">
      <c r="A276" s="749"/>
      <c r="B276" s="76" t="s">
        <v>335</v>
      </c>
      <c r="C276" s="86">
        <v>1617058000</v>
      </c>
      <c r="D276" s="86">
        <v>1617058000</v>
      </c>
      <c r="E276" s="86">
        <v>1097940000</v>
      </c>
      <c r="F276" s="86">
        <v>1097940000</v>
      </c>
      <c r="G276" s="86">
        <v>511732868</v>
      </c>
      <c r="H276" s="86">
        <v>0</v>
      </c>
    </row>
    <row r="277" spans="1:11" ht="24.75" customHeight="1">
      <c r="A277" s="749"/>
      <c r="B277" s="776" t="s">
        <v>522</v>
      </c>
      <c r="C277" s="86">
        <f>154846000-48160000</f>
        <v>106686000</v>
      </c>
      <c r="D277" s="86">
        <v>161894000</v>
      </c>
      <c r="E277" s="86">
        <v>160269000</v>
      </c>
      <c r="F277" s="86">
        <v>160269000</v>
      </c>
      <c r="G277" s="86">
        <v>61771534</v>
      </c>
      <c r="H277" s="86">
        <v>0</v>
      </c>
    </row>
    <row r="278" spans="1:11" ht="24.75" customHeight="1">
      <c r="A278" s="749"/>
      <c r="B278" s="777"/>
      <c r="C278" s="86">
        <v>117874000</v>
      </c>
      <c r="D278" s="86">
        <v>117874000</v>
      </c>
      <c r="E278" s="86">
        <v>0</v>
      </c>
      <c r="F278" s="86">
        <v>0</v>
      </c>
      <c r="G278" s="86">
        <v>0</v>
      </c>
      <c r="H278" s="86">
        <v>0</v>
      </c>
    </row>
    <row r="279" spans="1:11" ht="24.75" customHeight="1">
      <c r="A279" s="749"/>
      <c r="B279" s="777"/>
      <c r="C279" s="86">
        <v>1336995000</v>
      </c>
      <c r="D279" s="86">
        <v>1336995000</v>
      </c>
      <c r="E279" s="86">
        <v>1333569000</v>
      </c>
      <c r="F279" s="86">
        <v>1333569000</v>
      </c>
      <c r="G279" s="86">
        <v>533977699</v>
      </c>
      <c r="H279" s="86">
        <v>0</v>
      </c>
    </row>
    <row r="280" spans="1:11" ht="24.75" customHeight="1">
      <c r="A280" s="749"/>
      <c r="B280" s="778"/>
      <c r="C280" s="86">
        <v>7278000</v>
      </c>
      <c r="D280" s="86">
        <v>7278000</v>
      </c>
      <c r="E280" s="86">
        <v>0</v>
      </c>
      <c r="F280" s="86">
        <v>0</v>
      </c>
      <c r="G280" s="86">
        <v>0</v>
      </c>
      <c r="H280" s="86">
        <v>0</v>
      </c>
    </row>
    <row r="281" spans="1:11" ht="24.75" customHeight="1">
      <c r="A281" s="749"/>
      <c r="B281" s="776" t="s">
        <v>337</v>
      </c>
      <c r="C281" s="86">
        <v>679700000</v>
      </c>
      <c r="D281" s="86">
        <v>679700000</v>
      </c>
      <c r="E281" s="86">
        <v>672552000</v>
      </c>
      <c r="F281" s="86">
        <v>672552000</v>
      </c>
      <c r="G281" s="86">
        <v>311290133</v>
      </c>
      <c r="H281" s="86">
        <v>0</v>
      </c>
    </row>
    <row r="282" spans="1:11" ht="24.75" customHeight="1">
      <c r="A282" s="749"/>
      <c r="B282" s="777"/>
      <c r="C282" s="86">
        <v>871058000</v>
      </c>
      <c r="D282" s="86">
        <v>871058000</v>
      </c>
      <c r="E282" s="86">
        <v>609327908</v>
      </c>
      <c r="F282" s="86">
        <v>609327908</v>
      </c>
      <c r="G282" s="86">
        <v>225508462</v>
      </c>
      <c r="H282" s="86">
        <v>0</v>
      </c>
    </row>
    <row r="283" spans="1:11" ht="24.75" customHeight="1">
      <c r="A283" s="749"/>
      <c r="B283" s="778"/>
      <c r="C283" s="86">
        <v>1813479000</v>
      </c>
      <c r="D283" s="86">
        <v>1813479000</v>
      </c>
      <c r="E283" s="86">
        <v>1465355000</v>
      </c>
      <c r="F283" s="86">
        <v>1465355000</v>
      </c>
      <c r="G283" s="86">
        <v>625427069</v>
      </c>
      <c r="H283" s="86">
        <v>0</v>
      </c>
    </row>
    <row r="284" spans="1:11" ht="24.75" customHeight="1">
      <c r="A284" s="749"/>
      <c r="B284" s="76" t="s">
        <v>338</v>
      </c>
      <c r="C284" s="86">
        <v>843232000</v>
      </c>
      <c r="D284" s="86">
        <v>836184000</v>
      </c>
      <c r="E284" s="86">
        <v>455184000</v>
      </c>
      <c r="F284" s="86">
        <v>455184000</v>
      </c>
      <c r="G284" s="86">
        <v>204357028</v>
      </c>
      <c r="H284" s="86">
        <v>0</v>
      </c>
    </row>
    <row r="285" spans="1:11" ht="24.75" customHeight="1">
      <c r="A285" s="749"/>
      <c r="B285" s="776" t="s">
        <v>339</v>
      </c>
      <c r="C285" s="86">
        <v>2180745000</v>
      </c>
      <c r="D285" s="86">
        <v>2180745000</v>
      </c>
      <c r="E285" s="86">
        <v>815963000</v>
      </c>
      <c r="F285" s="86">
        <v>815963000</v>
      </c>
      <c r="G285" s="86">
        <v>311977899</v>
      </c>
      <c r="H285" s="86">
        <v>0</v>
      </c>
    </row>
    <row r="286" spans="1:11" ht="24.75" customHeight="1">
      <c r="A286" s="749"/>
      <c r="B286" s="778"/>
      <c r="C286" s="86">
        <v>38864000</v>
      </c>
      <c r="D286" s="86">
        <v>38864000</v>
      </c>
      <c r="E286" s="86">
        <v>0</v>
      </c>
      <c r="F286" s="86">
        <v>0</v>
      </c>
      <c r="G286" s="86">
        <v>0</v>
      </c>
      <c r="H286" s="86">
        <v>0</v>
      </c>
      <c r="I286" s="313"/>
      <c r="J286" s="314"/>
      <c r="K286" s="314"/>
    </row>
    <row r="287" spans="1:11" ht="24.75" customHeight="1">
      <c r="A287" s="748" t="s">
        <v>128</v>
      </c>
      <c r="B287" s="776" t="s">
        <v>339</v>
      </c>
      <c r="C287" s="76" t="s">
        <v>340</v>
      </c>
      <c r="D287" s="86">
        <v>2180745000</v>
      </c>
      <c r="E287" s="86">
        <v>2180745000</v>
      </c>
      <c r="F287" s="86">
        <v>815963000</v>
      </c>
      <c r="G287" s="86">
        <v>815963000</v>
      </c>
      <c r="H287" s="86">
        <v>311977899</v>
      </c>
      <c r="I287" s="308">
        <f>H287/F287</f>
        <v>0.38234319325753741</v>
      </c>
      <c r="J287" s="314"/>
      <c r="K287" s="314"/>
    </row>
    <row r="288" spans="1:11" ht="24.75" customHeight="1">
      <c r="A288" s="749"/>
      <c r="B288" s="778"/>
      <c r="C288" s="76" t="s">
        <v>341</v>
      </c>
      <c r="D288" s="86">
        <v>38864000</v>
      </c>
      <c r="E288" s="86">
        <v>38864000</v>
      </c>
      <c r="F288" s="86">
        <v>0</v>
      </c>
      <c r="G288" s="86">
        <v>0</v>
      </c>
      <c r="H288" s="86">
        <v>0</v>
      </c>
      <c r="I288" s="308" t="e">
        <f>H288/F288</f>
        <v>#DIV/0!</v>
      </c>
      <c r="J288" s="314"/>
      <c r="K288" s="314"/>
    </row>
    <row r="289" spans="1:11" ht="24.75" customHeight="1">
      <c r="A289" s="749"/>
      <c r="B289" s="76" t="s">
        <v>330</v>
      </c>
      <c r="C289" s="76" t="s">
        <v>340</v>
      </c>
      <c r="D289" s="86">
        <v>725040000</v>
      </c>
      <c r="E289" s="86">
        <v>588053000</v>
      </c>
      <c r="F289" s="86">
        <v>585413000</v>
      </c>
      <c r="G289" s="86">
        <v>585413000</v>
      </c>
      <c r="H289" s="86">
        <v>335251600</v>
      </c>
      <c r="I289" s="308">
        <f t="shared" ref="I289:I299" si="1">H289/F289</f>
        <v>0.57267535910545209</v>
      </c>
      <c r="J289" s="314"/>
      <c r="K289" s="314"/>
    </row>
    <row r="290" spans="1:11" ht="24.75" customHeight="1">
      <c r="A290" s="749"/>
      <c r="B290" s="76" t="s">
        <v>331</v>
      </c>
      <c r="C290" s="76" t="s">
        <v>340</v>
      </c>
      <c r="D290" s="86">
        <v>6130432000</v>
      </c>
      <c r="E290" s="86">
        <v>6219259000</v>
      </c>
      <c r="F290" s="86">
        <v>1879977000</v>
      </c>
      <c r="G290" s="86">
        <v>1879977000</v>
      </c>
      <c r="H290" s="86">
        <v>1020807835</v>
      </c>
      <c r="I290" s="308">
        <f t="shared" si="1"/>
        <v>0.54298953391451066</v>
      </c>
      <c r="J290" s="314"/>
      <c r="K290" s="314"/>
    </row>
    <row r="291" spans="1:11" ht="24.75" customHeight="1">
      <c r="A291" s="749"/>
      <c r="B291" s="76" t="s">
        <v>335</v>
      </c>
      <c r="C291" s="76" t="s">
        <v>340</v>
      </c>
      <c r="D291" s="86">
        <v>1617058000</v>
      </c>
      <c r="E291" s="86">
        <v>1617058000</v>
      </c>
      <c r="F291" s="86">
        <v>1097940000</v>
      </c>
      <c r="G291" s="86">
        <v>1097940000</v>
      </c>
      <c r="H291" s="86">
        <v>632638868</v>
      </c>
      <c r="I291" s="308">
        <f t="shared" si="1"/>
        <v>0.57620531905204286</v>
      </c>
      <c r="J291" s="314"/>
      <c r="K291" s="314"/>
    </row>
    <row r="292" spans="1:11" ht="24.75" customHeight="1">
      <c r="A292" s="749"/>
      <c r="B292" s="776" t="s">
        <v>522</v>
      </c>
      <c r="C292" s="76" t="s">
        <v>340</v>
      </c>
      <c r="D292" s="86">
        <f>154846000-48160000</f>
        <v>106686000</v>
      </c>
      <c r="E292" s="86">
        <v>161894000</v>
      </c>
      <c r="F292" s="86">
        <v>160269000</v>
      </c>
      <c r="G292" s="86">
        <v>160269000</v>
      </c>
      <c r="H292" s="86">
        <v>71373534</v>
      </c>
      <c r="I292" s="308">
        <f t="shared" si="1"/>
        <v>0.44533586657432195</v>
      </c>
      <c r="J292" s="314"/>
      <c r="K292" s="314"/>
    </row>
    <row r="293" spans="1:11" ht="24.75" customHeight="1">
      <c r="A293" s="749"/>
      <c r="B293" s="777"/>
      <c r="C293" s="76" t="s">
        <v>341</v>
      </c>
      <c r="D293" s="86">
        <v>117874000</v>
      </c>
      <c r="E293" s="86">
        <v>117874000</v>
      </c>
      <c r="F293" s="86">
        <v>0</v>
      </c>
      <c r="G293" s="86">
        <v>0</v>
      </c>
      <c r="H293" s="86">
        <v>0</v>
      </c>
      <c r="I293" s="308" t="e">
        <f t="shared" si="1"/>
        <v>#DIV/0!</v>
      </c>
      <c r="J293" s="314"/>
      <c r="K293" s="314"/>
    </row>
    <row r="294" spans="1:11" ht="24.75" customHeight="1">
      <c r="A294" s="749"/>
      <c r="B294" s="777"/>
      <c r="C294" s="76" t="s">
        <v>342</v>
      </c>
      <c r="D294" s="86">
        <v>1336995000</v>
      </c>
      <c r="E294" s="86">
        <v>1336995000</v>
      </c>
      <c r="F294" s="86">
        <v>1333569000</v>
      </c>
      <c r="G294" s="86">
        <v>1333569000</v>
      </c>
      <c r="H294" s="86">
        <v>673619699</v>
      </c>
      <c r="I294" s="308">
        <f t="shared" si="1"/>
        <v>0.50512549331905587</v>
      </c>
      <c r="J294" s="314"/>
      <c r="K294" s="314"/>
    </row>
    <row r="295" spans="1:11" ht="24.75" customHeight="1">
      <c r="A295" s="749"/>
      <c r="B295" s="778"/>
      <c r="C295" s="76" t="s">
        <v>523</v>
      </c>
      <c r="D295" s="86">
        <v>7278000</v>
      </c>
      <c r="E295" s="86">
        <v>7278000</v>
      </c>
      <c r="F295" s="86">
        <v>0</v>
      </c>
      <c r="G295" s="86">
        <v>0</v>
      </c>
      <c r="H295" s="86">
        <v>0</v>
      </c>
      <c r="I295" s="308" t="e">
        <f t="shared" si="1"/>
        <v>#DIV/0!</v>
      </c>
      <c r="J295" s="314"/>
      <c r="K295" s="314"/>
    </row>
    <row r="296" spans="1:11" ht="24.75" customHeight="1">
      <c r="A296" s="749"/>
      <c r="B296" s="776" t="s">
        <v>337</v>
      </c>
      <c r="C296" s="76" t="s">
        <v>340</v>
      </c>
      <c r="D296" s="86">
        <v>679700000</v>
      </c>
      <c r="E296" s="86">
        <v>679700000</v>
      </c>
      <c r="F296" s="86">
        <v>672552000</v>
      </c>
      <c r="G296" s="86">
        <v>672552000</v>
      </c>
      <c r="H296" s="86">
        <v>384191933</v>
      </c>
      <c r="I296" s="308">
        <f t="shared" si="1"/>
        <v>0.57124494908943846</v>
      </c>
      <c r="J296" s="314"/>
      <c r="K296" s="314"/>
    </row>
    <row r="297" spans="1:11" ht="24.75" customHeight="1">
      <c r="A297" s="749"/>
      <c r="B297" s="777"/>
      <c r="C297" s="76" t="s">
        <v>341</v>
      </c>
      <c r="D297" s="86">
        <v>871058000</v>
      </c>
      <c r="E297" s="86">
        <v>871058000</v>
      </c>
      <c r="F297" s="86">
        <v>609327908</v>
      </c>
      <c r="G297" s="86">
        <v>609327908</v>
      </c>
      <c r="H297" s="86">
        <v>225508462</v>
      </c>
      <c r="I297" s="308">
        <f t="shared" si="1"/>
        <v>0.3700937689530544</v>
      </c>
      <c r="J297" s="314"/>
      <c r="K297" s="314"/>
    </row>
    <row r="298" spans="1:11" ht="24.75" customHeight="1">
      <c r="A298" s="749"/>
      <c r="B298" s="778"/>
      <c r="C298" s="76" t="s">
        <v>342</v>
      </c>
      <c r="D298" s="86">
        <v>1813479000</v>
      </c>
      <c r="E298" s="86">
        <v>1813479000</v>
      </c>
      <c r="F298" s="86">
        <v>1465355000</v>
      </c>
      <c r="G298" s="86">
        <v>1465355000</v>
      </c>
      <c r="H298" s="86">
        <v>787285169</v>
      </c>
      <c r="I298" s="308">
        <f t="shared" si="1"/>
        <v>0.53726582909943321</v>
      </c>
      <c r="J298" s="314"/>
      <c r="K298" s="314"/>
    </row>
    <row r="299" spans="1:11" ht="24.75" customHeight="1">
      <c r="A299" s="749"/>
      <c r="B299" s="76" t="s">
        <v>338</v>
      </c>
      <c r="C299" s="76" t="s">
        <v>340</v>
      </c>
      <c r="D299" s="86">
        <v>843232000</v>
      </c>
      <c r="E299" s="86">
        <v>836184000</v>
      </c>
      <c r="F299" s="86">
        <v>455184000</v>
      </c>
      <c r="G299" s="86">
        <v>455184000</v>
      </c>
      <c r="H299" s="86">
        <v>255129574</v>
      </c>
      <c r="I299" s="308">
        <f t="shared" si="1"/>
        <v>0.56049767566522546</v>
      </c>
      <c r="J299" s="314"/>
      <c r="K299" s="314"/>
    </row>
    <row r="300" spans="1:11" ht="24.75" customHeight="1">
      <c r="A300" s="303"/>
      <c r="B300" s="776" t="s">
        <v>339</v>
      </c>
      <c r="C300" s="76" t="s">
        <v>340</v>
      </c>
      <c r="D300" s="86">
        <v>2180745000</v>
      </c>
      <c r="E300" s="86">
        <v>2180745000</v>
      </c>
      <c r="F300" s="86">
        <v>815963000</v>
      </c>
      <c r="G300" s="86">
        <v>815963000</v>
      </c>
      <c r="H300" s="86">
        <v>388415818</v>
      </c>
      <c r="I300" s="308">
        <f>H300/F300</f>
        <v>0.47602136126270433</v>
      </c>
      <c r="J300" s="314"/>
      <c r="K300" s="314"/>
    </row>
    <row r="301" spans="1:11" ht="24.75" customHeight="1">
      <c r="A301" s="303"/>
      <c r="B301" s="778"/>
      <c r="C301" s="76" t="s">
        <v>341</v>
      </c>
      <c r="D301" s="86">
        <v>38864000</v>
      </c>
      <c r="E301" s="86">
        <v>38864000</v>
      </c>
      <c r="F301" s="86">
        <v>0</v>
      </c>
      <c r="G301" s="86">
        <v>0</v>
      </c>
      <c r="H301" s="86">
        <v>0</v>
      </c>
      <c r="I301" s="308" t="e">
        <f>H301/F301</f>
        <v>#DIV/0!</v>
      </c>
      <c r="J301" s="314"/>
      <c r="K301" s="314"/>
    </row>
    <row r="302" spans="1:11" ht="24.75" customHeight="1">
      <c r="A302" s="748" t="s">
        <v>129</v>
      </c>
      <c r="B302" s="76" t="s">
        <v>330</v>
      </c>
      <c r="C302" s="86">
        <v>725040000</v>
      </c>
      <c r="D302" s="86">
        <v>588053000</v>
      </c>
      <c r="E302" s="86">
        <v>585413000</v>
      </c>
      <c r="F302" s="86">
        <v>585413000</v>
      </c>
      <c r="G302" s="86">
        <v>394918600</v>
      </c>
      <c r="H302" s="305">
        <v>0</v>
      </c>
      <c r="I302" s="313"/>
      <c r="J302" s="314"/>
      <c r="K302" s="314"/>
    </row>
    <row r="303" spans="1:11" ht="24.75" customHeight="1">
      <c r="A303" s="749"/>
      <c r="B303" s="76" t="s">
        <v>331</v>
      </c>
      <c r="C303" s="86">
        <v>6130432000</v>
      </c>
      <c r="D303" s="86">
        <v>6219259000</v>
      </c>
      <c r="E303" s="86">
        <v>1879977000</v>
      </c>
      <c r="F303" s="86">
        <v>1879977000</v>
      </c>
      <c r="G303" s="86">
        <v>1230598335</v>
      </c>
      <c r="H303" s="305">
        <v>0</v>
      </c>
      <c r="I303" s="313"/>
      <c r="J303" s="314"/>
      <c r="K303" s="314"/>
    </row>
    <row r="304" spans="1:11" ht="24.75" customHeight="1">
      <c r="A304" s="749"/>
      <c r="B304" s="76" t="s">
        <v>335</v>
      </c>
      <c r="C304" s="86">
        <v>1617058000</v>
      </c>
      <c r="D304" s="86">
        <v>1617058000</v>
      </c>
      <c r="E304" s="86">
        <v>1097940000</v>
      </c>
      <c r="F304" s="86">
        <v>1097940000</v>
      </c>
      <c r="G304" s="86">
        <v>753544868</v>
      </c>
      <c r="H304" s="305">
        <v>0</v>
      </c>
      <c r="I304" s="313"/>
      <c r="J304" s="314"/>
      <c r="K304" s="314"/>
    </row>
    <row r="305" spans="1:11" ht="24.75" customHeight="1">
      <c r="A305" s="749"/>
      <c r="B305" s="776" t="s">
        <v>522</v>
      </c>
      <c r="C305" s="86">
        <f>154846000-48160000</f>
        <v>106686000</v>
      </c>
      <c r="D305" s="86">
        <v>161894000</v>
      </c>
      <c r="E305" s="86">
        <v>160269000</v>
      </c>
      <c r="F305" s="86">
        <v>160269000</v>
      </c>
      <c r="G305" s="86">
        <v>86995534</v>
      </c>
      <c r="H305" s="305">
        <v>0</v>
      </c>
      <c r="I305" s="313"/>
      <c r="J305" s="314"/>
      <c r="K305" s="314"/>
    </row>
    <row r="306" spans="1:11" ht="24.75" customHeight="1">
      <c r="A306" s="749"/>
      <c r="B306" s="777"/>
      <c r="C306" s="86">
        <v>117874000</v>
      </c>
      <c r="D306" s="86">
        <v>117874000</v>
      </c>
      <c r="E306" s="86">
        <v>0</v>
      </c>
      <c r="F306" s="86">
        <v>0</v>
      </c>
      <c r="G306" s="86">
        <v>0</v>
      </c>
      <c r="H306" s="305">
        <v>0</v>
      </c>
      <c r="I306" s="313"/>
      <c r="J306" s="314"/>
      <c r="K306" s="314"/>
    </row>
    <row r="307" spans="1:11" ht="24.75" customHeight="1">
      <c r="A307" s="749"/>
      <c r="B307" s="777"/>
      <c r="C307" s="86">
        <v>1336995000</v>
      </c>
      <c r="D307" s="86">
        <v>1336995000</v>
      </c>
      <c r="E307" s="86">
        <v>1333569000</v>
      </c>
      <c r="F307" s="86">
        <v>1333569000</v>
      </c>
      <c r="G307" s="86">
        <v>794413699</v>
      </c>
      <c r="H307" s="305">
        <v>0</v>
      </c>
      <c r="I307" s="313"/>
      <c r="J307" s="314"/>
      <c r="K307" s="314"/>
    </row>
    <row r="308" spans="1:11" ht="24.75" customHeight="1">
      <c r="A308" s="749"/>
      <c r="B308" s="778"/>
      <c r="C308" s="86">
        <v>7278000</v>
      </c>
      <c r="D308" s="86">
        <v>7278000</v>
      </c>
      <c r="E308" s="86">
        <v>0</v>
      </c>
      <c r="F308" s="86">
        <v>0</v>
      </c>
      <c r="G308" s="86">
        <v>0</v>
      </c>
      <c r="H308" s="305">
        <v>0</v>
      </c>
      <c r="I308" s="313"/>
      <c r="J308" s="314"/>
      <c r="K308" s="314"/>
    </row>
    <row r="309" spans="1:11" ht="24.75" customHeight="1">
      <c r="A309" s="749"/>
      <c r="B309" s="776" t="s">
        <v>337</v>
      </c>
      <c r="C309" s="86">
        <v>679700000</v>
      </c>
      <c r="D309" s="86">
        <v>679700000</v>
      </c>
      <c r="E309" s="86">
        <v>672552000</v>
      </c>
      <c r="F309" s="86">
        <v>672552000</v>
      </c>
      <c r="G309" s="86">
        <v>454258933</v>
      </c>
      <c r="H309" s="305">
        <v>0</v>
      </c>
    </row>
    <row r="310" spans="1:11" ht="24.75" customHeight="1">
      <c r="A310" s="749"/>
      <c r="B310" s="777"/>
      <c r="C310" s="86">
        <v>871058000</v>
      </c>
      <c r="D310" s="86">
        <v>871058000</v>
      </c>
      <c r="E310" s="86">
        <v>609327908</v>
      </c>
      <c r="F310" s="86">
        <v>609327908</v>
      </c>
      <c r="G310" s="86">
        <v>266781190</v>
      </c>
      <c r="H310" s="305">
        <v>0</v>
      </c>
    </row>
    <row r="311" spans="1:11" ht="24.75" customHeight="1">
      <c r="A311" s="749"/>
      <c r="B311" s="778"/>
      <c r="C311" s="86">
        <v>1813479000</v>
      </c>
      <c r="D311" s="86">
        <v>1813479000</v>
      </c>
      <c r="E311" s="86">
        <v>1479383000</v>
      </c>
      <c r="F311" s="86">
        <v>1479383000</v>
      </c>
      <c r="G311" s="86">
        <v>945966436</v>
      </c>
      <c r="H311" s="305">
        <v>0</v>
      </c>
    </row>
    <row r="312" spans="1:11" ht="24.75" customHeight="1">
      <c r="A312" s="749"/>
      <c r="B312" s="76" t="s">
        <v>338</v>
      </c>
      <c r="C312" s="86">
        <v>843232000</v>
      </c>
      <c r="D312" s="86">
        <v>836184000</v>
      </c>
      <c r="E312" s="86">
        <v>455184000</v>
      </c>
      <c r="F312" s="86">
        <v>455184000</v>
      </c>
      <c r="G312" s="86">
        <v>304998938</v>
      </c>
      <c r="H312" s="305">
        <v>0</v>
      </c>
    </row>
    <row r="313" spans="1:11" ht="24.75" customHeight="1">
      <c r="A313" s="749"/>
      <c r="B313" s="776" t="s">
        <v>339</v>
      </c>
      <c r="C313" s="86">
        <v>2180745000</v>
      </c>
      <c r="D313" s="86">
        <v>2180745000</v>
      </c>
      <c r="E313" s="86">
        <v>815963000</v>
      </c>
      <c r="F313" s="86">
        <v>815963000</v>
      </c>
      <c r="G313" s="86">
        <v>463887092</v>
      </c>
      <c r="H313" s="305">
        <v>0</v>
      </c>
    </row>
    <row r="314" spans="1:11" ht="24.75" customHeight="1">
      <c r="A314" s="750"/>
      <c r="B314" s="778"/>
      <c r="C314" s="86">
        <v>38864000</v>
      </c>
      <c r="D314" s="86">
        <v>38864000</v>
      </c>
      <c r="E314" s="86">
        <v>0</v>
      </c>
      <c r="F314" s="86">
        <v>0</v>
      </c>
      <c r="G314" s="86">
        <v>0</v>
      </c>
      <c r="H314" s="305">
        <v>0</v>
      </c>
    </row>
    <row r="315" spans="1:11" ht="24.75" customHeight="1">
      <c r="A315" s="748" t="s">
        <v>130</v>
      </c>
      <c r="B315" s="76" t="s">
        <v>330</v>
      </c>
      <c r="C315" s="86">
        <v>725040000</v>
      </c>
      <c r="D315" s="86">
        <v>664856767</v>
      </c>
      <c r="E315" s="86">
        <v>597453000</v>
      </c>
      <c r="F315" s="86">
        <v>597453000</v>
      </c>
      <c r="G315" s="86">
        <v>467407600</v>
      </c>
      <c r="H315" s="126">
        <v>0</v>
      </c>
    </row>
    <row r="316" spans="1:11" ht="24.75" customHeight="1">
      <c r="A316" s="749"/>
      <c r="B316" s="76" t="s">
        <v>331</v>
      </c>
      <c r="C316" s="86">
        <v>6130432000</v>
      </c>
      <c r="D316" s="86">
        <v>5536905968</v>
      </c>
      <c r="E316" s="86">
        <v>2115789834</v>
      </c>
      <c r="F316" s="86">
        <v>2115789834</v>
      </c>
      <c r="G316" s="86">
        <v>1419163968</v>
      </c>
      <c r="H316" s="126">
        <v>0</v>
      </c>
    </row>
    <row r="317" spans="1:11" ht="24.75" customHeight="1">
      <c r="A317" s="749"/>
      <c r="B317" s="76" t="s">
        <v>335</v>
      </c>
      <c r="C317" s="86">
        <v>1617058000</v>
      </c>
      <c r="D317" s="86">
        <v>1898153100</v>
      </c>
      <c r="E317" s="86">
        <v>1137940000</v>
      </c>
      <c r="F317" s="86">
        <v>1137940000</v>
      </c>
      <c r="G317" s="86">
        <v>874450868</v>
      </c>
      <c r="H317" s="126">
        <v>0</v>
      </c>
    </row>
    <row r="318" spans="1:11" ht="24.75" customHeight="1">
      <c r="A318" s="749"/>
      <c r="B318" s="776" t="s">
        <v>522</v>
      </c>
      <c r="C318" s="86">
        <f>154846000-48160000</f>
        <v>106686000</v>
      </c>
      <c r="D318" s="86">
        <v>375716900</v>
      </c>
      <c r="E318" s="86">
        <v>208209200</v>
      </c>
      <c r="F318" s="86">
        <v>208209200</v>
      </c>
      <c r="G318" s="86">
        <v>111747867</v>
      </c>
      <c r="H318" s="126">
        <v>0</v>
      </c>
    </row>
    <row r="319" spans="1:11" ht="24.75" customHeight="1">
      <c r="A319" s="749"/>
      <c r="B319" s="777"/>
      <c r="C319" s="86">
        <v>117874000</v>
      </c>
      <c r="D319" s="86">
        <v>117874000</v>
      </c>
      <c r="E319" s="86">
        <v>0</v>
      </c>
      <c r="F319" s="86">
        <v>0</v>
      </c>
      <c r="G319" s="86">
        <v>0</v>
      </c>
      <c r="H319" s="126">
        <v>0</v>
      </c>
    </row>
    <row r="320" spans="1:11" ht="24.75" customHeight="1">
      <c r="A320" s="749"/>
      <c r="B320" s="777"/>
      <c r="C320" s="86">
        <v>1336995000</v>
      </c>
      <c r="D320" s="86">
        <v>1336995000</v>
      </c>
      <c r="E320" s="86">
        <v>1333569000</v>
      </c>
      <c r="F320" s="86">
        <v>1333569000</v>
      </c>
      <c r="G320" s="86">
        <v>944156966</v>
      </c>
      <c r="H320" s="126">
        <v>0</v>
      </c>
    </row>
    <row r="321" spans="1:8" ht="24.75" customHeight="1">
      <c r="A321" s="749"/>
      <c r="B321" s="778"/>
      <c r="C321" s="86">
        <v>7278000</v>
      </c>
      <c r="D321" s="86">
        <v>7278000</v>
      </c>
      <c r="E321" s="86">
        <v>0</v>
      </c>
      <c r="F321" s="86">
        <v>0</v>
      </c>
      <c r="G321" s="86">
        <v>0</v>
      </c>
      <c r="H321" s="126">
        <v>0</v>
      </c>
    </row>
    <row r="322" spans="1:8" ht="24.75" customHeight="1">
      <c r="A322" s="749"/>
      <c r="B322" s="776" t="s">
        <v>337</v>
      </c>
      <c r="C322" s="86">
        <v>679700000</v>
      </c>
      <c r="D322" s="86">
        <v>833369108</v>
      </c>
      <c r="E322" s="86">
        <v>682060300</v>
      </c>
      <c r="F322" s="86">
        <v>682060300</v>
      </c>
      <c r="G322" s="86">
        <v>527832933</v>
      </c>
      <c r="H322" s="126">
        <v>0</v>
      </c>
    </row>
    <row r="323" spans="1:8" ht="24.75" customHeight="1">
      <c r="A323" s="749"/>
      <c r="B323" s="777"/>
      <c r="C323" s="86">
        <v>871058000</v>
      </c>
      <c r="D323" s="86">
        <v>871058000</v>
      </c>
      <c r="E323" s="86">
        <v>609327908</v>
      </c>
      <c r="F323" s="86">
        <v>609327908</v>
      </c>
      <c r="G323" s="86">
        <v>312323063</v>
      </c>
      <c r="H323" s="126">
        <v>0</v>
      </c>
    </row>
    <row r="324" spans="1:8" ht="24.75" customHeight="1">
      <c r="A324" s="749"/>
      <c r="B324" s="778"/>
      <c r="C324" s="86">
        <v>1813479000</v>
      </c>
      <c r="D324" s="86">
        <v>1813479000</v>
      </c>
      <c r="E324" s="86">
        <v>1536739700</v>
      </c>
      <c r="F324" s="86">
        <v>1536739700</v>
      </c>
      <c r="G324" s="86">
        <v>1109558936</v>
      </c>
      <c r="H324" s="126">
        <v>0</v>
      </c>
    </row>
    <row r="325" spans="1:8" ht="24.75" customHeight="1">
      <c r="A325" s="749"/>
      <c r="B325" s="76" t="s">
        <v>338</v>
      </c>
      <c r="C325" s="86">
        <v>843232000</v>
      </c>
      <c r="D325" s="86">
        <v>953656198</v>
      </c>
      <c r="E325" s="86">
        <v>488561800</v>
      </c>
      <c r="F325" s="86">
        <v>488561800</v>
      </c>
      <c r="G325" s="86">
        <v>354868302</v>
      </c>
      <c r="H325" s="126">
        <v>0</v>
      </c>
    </row>
    <row r="326" spans="1:8" ht="24.75" customHeight="1">
      <c r="A326" s="749"/>
      <c r="B326" s="776" t="s">
        <v>339</v>
      </c>
      <c r="C326" s="86">
        <v>2180745000</v>
      </c>
      <c r="D326" s="86">
        <v>2020234959</v>
      </c>
      <c r="E326" s="86">
        <v>836275000</v>
      </c>
      <c r="F326" s="86">
        <v>836275000</v>
      </c>
      <c r="G326" s="86">
        <v>650070449</v>
      </c>
      <c r="H326" s="126">
        <v>0</v>
      </c>
    </row>
    <row r="327" spans="1:8" ht="24.75" customHeight="1">
      <c r="A327" s="750"/>
      <c r="B327" s="778"/>
      <c r="C327" s="86">
        <v>38864000</v>
      </c>
      <c r="D327" s="86">
        <v>38864000</v>
      </c>
      <c r="E327" s="86">
        <v>0</v>
      </c>
      <c r="F327" s="86">
        <v>0</v>
      </c>
      <c r="G327" s="86">
        <v>0</v>
      </c>
      <c r="H327" s="126">
        <v>0</v>
      </c>
    </row>
    <row r="328" spans="1:8" ht="24.75" customHeight="1">
      <c r="A328" s="748" t="s">
        <v>131</v>
      </c>
      <c r="B328" s="76" t="s">
        <v>330</v>
      </c>
      <c r="C328" s="86">
        <v>725040000</v>
      </c>
      <c r="D328" s="86">
        <v>664063000</v>
      </c>
      <c r="E328" s="86">
        <v>644162200</v>
      </c>
      <c r="F328" s="86">
        <v>644162200</v>
      </c>
      <c r="G328" s="86">
        <v>515166600</v>
      </c>
      <c r="H328" s="126">
        <v>0</v>
      </c>
    </row>
    <row r="329" spans="1:8" ht="24.75" customHeight="1">
      <c r="A329" s="749"/>
      <c r="B329" s="776" t="s">
        <v>331</v>
      </c>
      <c r="C329" s="86">
        <v>6130432000</v>
      </c>
      <c r="D329" s="86">
        <v>3432133334</v>
      </c>
      <c r="E329" s="86">
        <v>2336563534</v>
      </c>
      <c r="F329" s="86">
        <v>2336563534</v>
      </c>
      <c r="G329" s="86">
        <v>1615859560</v>
      </c>
      <c r="H329" s="126">
        <v>0</v>
      </c>
    </row>
    <row r="330" spans="1:8" ht="24.75" customHeight="1">
      <c r="A330" s="749"/>
      <c r="B330" s="777"/>
      <c r="C330" s="86">
        <v>0</v>
      </c>
      <c r="D330" s="86">
        <v>942550113</v>
      </c>
      <c r="E330" s="86">
        <v>0</v>
      </c>
      <c r="F330" s="86">
        <v>0</v>
      </c>
      <c r="G330" s="86">
        <v>0</v>
      </c>
      <c r="H330" s="126">
        <v>0</v>
      </c>
    </row>
    <row r="331" spans="1:8" ht="24.75" customHeight="1">
      <c r="A331" s="749"/>
      <c r="B331" s="777"/>
      <c r="C331" s="86">
        <v>0</v>
      </c>
      <c r="D331" s="86">
        <v>106931000</v>
      </c>
      <c r="E331" s="86">
        <v>0</v>
      </c>
      <c r="F331" s="86">
        <v>0</v>
      </c>
      <c r="G331" s="86">
        <v>0</v>
      </c>
      <c r="H331" s="126">
        <v>0</v>
      </c>
    </row>
    <row r="332" spans="1:8" ht="24.75" customHeight="1">
      <c r="A332" s="749"/>
      <c r="B332" s="777"/>
      <c r="C332" s="86">
        <v>0</v>
      </c>
      <c r="D332" s="86">
        <v>1243207000</v>
      </c>
      <c r="E332" s="86">
        <v>0</v>
      </c>
      <c r="F332" s="86">
        <v>0</v>
      </c>
      <c r="G332" s="86">
        <v>0</v>
      </c>
      <c r="H332" s="126">
        <v>0</v>
      </c>
    </row>
    <row r="333" spans="1:8" ht="24.75" customHeight="1">
      <c r="A333" s="749"/>
      <c r="B333" s="777"/>
      <c r="C333" s="86">
        <v>0</v>
      </c>
      <c r="D333" s="86">
        <v>49887783</v>
      </c>
      <c r="E333" s="86">
        <v>0</v>
      </c>
      <c r="F333" s="86">
        <v>0</v>
      </c>
      <c r="G333" s="86">
        <v>0</v>
      </c>
      <c r="H333" s="126">
        <v>0</v>
      </c>
    </row>
    <row r="334" spans="1:8" ht="24.75" customHeight="1">
      <c r="A334" s="749"/>
      <c r="B334" s="778"/>
      <c r="C334" s="86">
        <v>0</v>
      </c>
      <c r="D334" s="86">
        <v>461999876</v>
      </c>
      <c r="E334" s="86">
        <v>0</v>
      </c>
      <c r="F334" s="86">
        <v>0</v>
      </c>
      <c r="G334" s="86">
        <v>0</v>
      </c>
      <c r="H334" s="126">
        <v>0</v>
      </c>
    </row>
    <row r="335" spans="1:8" ht="24.75" customHeight="1">
      <c r="A335" s="749"/>
      <c r="B335" s="76" t="s">
        <v>335</v>
      </c>
      <c r="C335" s="86">
        <v>1617058000</v>
      </c>
      <c r="D335" s="86">
        <v>1951122100</v>
      </c>
      <c r="E335" s="86">
        <v>1685938200</v>
      </c>
      <c r="F335" s="86">
        <v>1685938200</v>
      </c>
      <c r="G335" s="86">
        <v>993332868</v>
      </c>
      <c r="H335" s="126">
        <v>0</v>
      </c>
    </row>
    <row r="336" spans="1:8" ht="24.75" customHeight="1">
      <c r="A336" s="749"/>
      <c r="B336" s="776" t="s">
        <v>522</v>
      </c>
      <c r="C336" s="86">
        <f>154846000-48160000</f>
        <v>106686000</v>
      </c>
      <c r="D336" s="86">
        <v>523043100</v>
      </c>
      <c r="E336" s="86">
        <v>366388600</v>
      </c>
      <c r="F336" s="86">
        <v>366388600</v>
      </c>
      <c r="G336" s="86">
        <v>125148401</v>
      </c>
      <c r="H336" s="126">
        <v>0</v>
      </c>
    </row>
    <row r="337" spans="1:8" ht="24.75" customHeight="1">
      <c r="A337" s="749"/>
      <c r="B337" s="777"/>
      <c r="C337" s="86">
        <v>117874000</v>
      </c>
      <c r="D337" s="86">
        <v>75039600</v>
      </c>
      <c r="E337" s="86">
        <v>65708600</v>
      </c>
      <c r="F337" s="86">
        <v>65708600</v>
      </c>
      <c r="G337" s="86">
        <v>0</v>
      </c>
      <c r="H337" s="126">
        <v>0</v>
      </c>
    </row>
    <row r="338" spans="1:8" ht="24.75" customHeight="1">
      <c r="A338" s="749"/>
      <c r="B338" s="777"/>
      <c r="C338" s="86">
        <v>1336995000</v>
      </c>
      <c r="D338" s="86">
        <v>1340583000</v>
      </c>
      <c r="E338" s="86">
        <v>1333569000</v>
      </c>
      <c r="F338" s="86">
        <v>1333569000</v>
      </c>
      <c r="G338" s="86">
        <v>1093410766</v>
      </c>
      <c r="H338" s="126">
        <v>0</v>
      </c>
    </row>
    <row r="339" spans="1:8" ht="24.75" customHeight="1">
      <c r="A339" s="749"/>
      <c r="B339" s="777"/>
      <c r="C339" s="86">
        <v>0</v>
      </c>
      <c r="D339" s="86">
        <v>7442298</v>
      </c>
      <c r="E339" s="86">
        <v>0</v>
      </c>
      <c r="F339" s="86">
        <v>0</v>
      </c>
      <c r="G339" s="86">
        <v>0</v>
      </c>
      <c r="H339" s="126">
        <v>0</v>
      </c>
    </row>
    <row r="340" spans="1:8" ht="24.75" customHeight="1">
      <c r="A340" s="749"/>
      <c r="B340" s="778"/>
      <c r="C340" s="86">
        <v>7278000</v>
      </c>
      <c r="D340" s="86">
        <v>7279900</v>
      </c>
      <c r="E340" s="86">
        <v>0</v>
      </c>
      <c r="F340" s="86">
        <v>0</v>
      </c>
      <c r="G340" s="86">
        <v>0</v>
      </c>
      <c r="H340" s="126">
        <v>0</v>
      </c>
    </row>
    <row r="341" spans="1:8" ht="24.75" customHeight="1">
      <c r="A341" s="749"/>
      <c r="B341" s="776" t="s">
        <v>337</v>
      </c>
      <c r="C341" s="86">
        <v>679700000</v>
      </c>
      <c r="D341" s="86">
        <v>1104438709</v>
      </c>
      <c r="E341" s="86">
        <v>688022200</v>
      </c>
      <c r="F341" s="86">
        <v>688022200</v>
      </c>
      <c r="G341" s="86">
        <v>590640200</v>
      </c>
      <c r="H341" s="126">
        <v>0</v>
      </c>
    </row>
    <row r="342" spans="1:8" ht="24.75" customHeight="1">
      <c r="A342" s="749"/>
      <c r="B342" s="777"/>
      <c r="C342" s="86">
        <v>871058000</v>
      </c>
      <c r="D342" s="86">
        <v>913892400</v>
      </c>
      <c r="E342" s="86">
        <v>609327908</v>
      </c>
      <c r="F342" s="86">
        <v>609327908</v>
      </c>
      <c r="G342" s="86">
        <v>421334140</v>
      </c>
      <c r="H342" s="126">
        <v>0</v>
      </c>
    </row>
    <row r="343" spans="1:8" ht="24.75" customHeight="1">
      <c r="A343" s="749"/>
      <c r="B343" s="778"/>
      <c r="C343" s="86">
        <v>1813479000</v>
      </c>
      <c r="D343" s="86">
        <v>1809891000</v>
      </c>
      <c r="E343" s="86">
        <v>1652704700</v>
      </c>
      <c r="F343" s="86">
        <v>1652704700</v>
      </c>
      <c r="G343" s="86">
        <v>1284261969</v>
      </c>
      <c r="H343" s="126">
        <v>0</v>
      </c>
    </row>
    <row r="344" spans="1:8" ht="24.75" customHeight="1">
      <c r="A344" s="749"/>
      <c r="B344" s="76" t="s">
        <v>338</v>
      </c>
      <c r="C344" s="86">
        <v>843232000</v>
      </c>
      <c r="D344" s="86">
        <v>1087886300</v>
      </c>
      <c r="E344" s="86">
        <v>532681660</v>
      </c>
      <c r="F344" s="86">
        <v>532681660</v>
      </c>
      <c r="G344" s="86">
        <v>405798576</v>
      </c>
      <c r="H344" s="126">
        <v>0</v>
      </c>
    </row>
    <row r="345" spans="1:8" ht="24.75" customHeight="1">
      <c r="A345" s="749"/>
      <c r="B345" s="776" t="s">
        <v>339</v>
      </c>
      <c r="C345" s="86">
        <v>2180745000</v>
      </c>
      <c r="D345" s="86">
        <v>2085874600</v>
      </c>
      <c r="E345" s="86">
        <v>940253600</v>
      </c>
      <c r="F345" s="86">
        <v>940253600</v>
      </c>
      <c r="G345" s="86">
        <v>727454805</v>
      </c>
      <c r="H345" s="126">
        <v>0</v>
      </c>
    </row>
    <row r="346" spans="1:8" ht="24.75" customHeight="1">
      <c r="A346" s="750"/>
      <c r="B346" s="778"/>
      <c r="C346" s="86">
        <v>38864000</v>
      </c>
      <c r="D346" s="86">
        <v>38864000</v>
      </c>
      <c r="E346" s="86">
        <v>0</v>
      </c>
      <c r="F346" s="86">
        <v>0</v>
      </c>
      <c r="G346" s="86">
        <v>0</v>
      </c>
      <c r="H346" s="126">
        <v>0</v>
      </c>
    </row>
    <row r="347" spans="1:8" ht="24.75" customHeight="1">
      <c r="A347" s="748" t="s">
        <v>132</v>
      </c>
      <c r="B347" s="76" t="s">
        <v>330</v>
      </c>
      <c r="C347" s="126">
        <v>725040000</v>
      </c>
      <c r="D347" s="126">
        <v>664063000</v>
      </c>
      <c r="E347" s="126">
        <v>664063000</v>
      </c>
      <c r="F347" s="126">
        <v>664063000</v>
      </c>
      <c r="G347" s="126">
        <v>560428600</v>
      </c>
      <c r="H347" s="126">
        <v>0</v>
      </c>
    </row>
    <row r="348" spans="1:8" ht="24.75" customHeight="1">
      <c r="A348" s="749"/>
      <c r="B348" s="776" t="s">
        <v>331</v>
      </c>
      <c r="C348" s="126">
        <v>6130432000</v>
      </c>
      <c r="D348" s="126">
        <v>3432133334</v>
      </c>
      <c r="E348" s="126">
        <v>2473286401</v>
      </c>
      <c r="F348" s="126">
        <v>2473286401</v>
      </c>
      <c r="G348" s="126">
        <v>1816913895</v>
      </c>
      <c r="H348" s="126">
        <v>0</v>
      </c>
    </row>
    <row r="349" spans="1:8" ht="24.75" customHeight="1">
      <c r="A349" s="749"/>
      <c r="B349" s="777"/>
      <c r="C349" s="126">
        <v>0</v>
      </c>
      <c r="D349" s="126">
        <v>942550113</v>
      </c>
      <c r="E349" s="126">
        <v>942550113</v>
      </c>
      <c r="F349" s="126">
        <v>942550113</v>
      </c>
      <c r="G349" s="126">
        <v>942550113</v>
      </c>
      <c r="H349" s="126">
        <v>0</v>
      </c>
    </row>
    <row r="350" spans="1:8" ht="24.75" customHeight="1">
      <c r="A350" s="749"/>
      <c r="B350" s="777"/>
      <c r="C350" s="126">
        <v>0</v>
      </c>
      <c r="D350" s="126">
        <v>211140743</v>
      </c>
      <c r="E350" s="126">
        <v>0</v>
      </c>
      <c r="F350" s="126">
        <v>0</v>
      </c>
      <c r="G350" s="126">
        <v>0</v>
      </c>
      <c r="H350" s="126">
        <v>0</v>
      </c>
    </row>
    <row r="351" spans="1:8" ht="24.75" customHeight="1">
      <c r="A351" s="749"/>
      <c r="B351" s="777"/>
      <c r="C351" s="126">
        <v>0</v>
      </c>
      <c r="D351" s="126">
        <v>106931000</v>
      </c>
      <c r="E351" s="126">
        <v>106931000</v>
      </c>
      <c r="F351" s="126">
        <v>106931000</v>
      </c>
      <c r="G351" s="126">
        <v>106931000</v>
      </c>
      <c r="H351" s="126">
        <v>0</v>
      </c>
    </row>
    <row r="352" spans="1:8" ht="24.75" customHeight="1">
      <c r="A352" s="749"/>
      <c r="B352" s="777"/>
      <c r="C352" s="126">
        <v>0</v>
      </c>
      <c r="D352" s="126">
        <v>1243207000</v>
      </c>
      <c r="E352" s="126">
        <v>1243207000</v>
      </c>
      <c r="F352" s="126">
        <v>1243207000</v>
      </c>
      <c r="G352" s="126">
        <v>1243207000</v>
      </c>
      <c r="H352" s="126">
        <v>0</v>
      </c>
    </row>
    <row r="353" spans="1:8" ht="24.75" customHeight="1">
      <c r="A353" s="749"/>
      <c r="B353" s="778"/>
      <c r="C353" s="126">
        <v>0</v>
      </c>
      <c r="D353" s="126">
        <v>49887783</v>
      </c>
      <c r="E353" s="126">
        <v>49887783</v>
      </c>
      <c r="F353" s="126">
        <v>49887783</v>
      </c>
      <c r="G353" s="126">
        <v>0</v>
      </c>
      <c r="H353" s="126">
        <v>0</v>
      </c>
    </row>
    <row r="354" spans="1:8" ht="24.75" customHeight="1">
      <c r="A354" s="749"/>
      <c r="B354" s="76" t="s">
        <v>335</v>
      </c>
      <c r="C354" s="126">
        <v>0</v>
      </c>
      <c r="D354" s="126">
        <v>461999876</v>
      </c>
      <c r="E354" s="126">
        <v>461999876</v>
      </c>
      <c r="F354" s="126">
        <v>461999876</v>
      </c>
      <c r="G354" s="126">
        <v>461999876</v>
      </c>
      <c r="H354" s="126">
        <v>0</v>
      </c>
    </row>
    <row r="355" spans="1:8" ht="24.75" customHeight="1">
      <c r="A355" s="749"/>
      <c r="B355" s="776" t="s">
        <v>522</v>
      </c>
      <c r="C355" s="126">
        <v>1617058000</v>
      </c>
      <c r="D355" s="126">
        <v>1951122100</v>
      </c>
      <c r="E355" s="126">
        <v>1772031700</v>
      </c>
      <c r="F355" s="126">
        <v>1772031700</v>
      </c>
      <c r="G355" s="126">
        <v>1097562968</v>
      </c>
      <c r="H355" s="126">
        <v>0</v>
      </c>
    </row>
    <row r="356" spans="1:8" ht="24.75" customHeight="1">
      <c r="A356" s="749"/>
      <c r="B356" s="777"/>
      <c r="C356" s="126">
        <v>106686000</v>
      </c>
      <c r="D356" s="126">
        <v>523043100</v>
      </c>
      <c r="E356" s="126">
        <v>481750500</v>
      </c>
      <c r="F356" s="126">
        <v>481750500</v>
      </c>
      <c r="G356" s="126">
        <v>164669101</v>
      </c>
      <c r="H356" s="126">
        <v>0</v>
      </c>
    </row>
    <row r="357" spans="1:8" ht="24.75" customHeight="1">
      <c r="A357" s="749"/>
      <c r="B357" s="777"/>
      <c r="C357" s="126">
        <v>117874000</v>
      </c>
      <c r="D357" s="126">
        <v>75039600</v>
      </c>
      <c r="E357" s="126">
        <v>65708600</v>
      </c>
      <c r="F357" s="126">
        <v>65708600</v>
      </c>
      <c r="G357" s="126">
        <v>5119466</v>
      </c>
      <c r="H357" s="126">
        <v>0</v>
      </c>
    </row>
    <row r="358" spans="1:8" ht="24.75" customHeight="1">
      <c r="A358" s="749"/>
      <c r="B358" s="777"/>
      <c r="C358" s="126">
        <v>1336995000</v>
      </c>
      <c r="D358" s="126">
        <v>1340583000</v>
      </c>
      <c r="E358" s="126">
        <v>1340583000</v>
      </c>
      <c r="F358" s="126">
        <v>1340583000</v>
      </c>
      <c r="G358" s="126">
        <v>1211544800</v>
      </c>
      <c r="H358" s="126">
        <v>0</v>
      </c>
    </row>
    <row r="359" spans="1:8" ht="24.75" customHeight="1">
      <c r="A359" s="749"/>
      <c r="B359" s="778"/>
      <c r="C359" s="126">
        <v>0</v>
      </c>
      <c r="D359" s="126">
        <v>7442298</v>
      </c>
      <c r="E359" s="126">
        <v>0</v>
      </c>
      <c r="F359" s="126">
        <v>0</v>
      </c>
      <c r="G359" s="126">
        <v>0</v>
      </c>
      <c r="H359" s="126">
        <v>0</v>
      </c>
    </row>
    <row r="360" spans="1:8" ht="24.75" customHeight="1">
      <c r="A360" s="749"/>
      <c r="B360" s="776" t="s">
        <v>337</v>
      </c>
      <c r="C360" s="126">
        <v>7278000</v>
      </c>
      <c r="D360" s="126">
        <v>7279900</v>
      </c>
      <c r="E360" s="126">
        <v>0</v>
      </c>
      <c r="F360" s="126">
        <v>0</v>
      </c>
      <c r="G360" s="126">
        <v>0</v>
      </c>
      <c r="H360" s="126">
        <v>0</v>
      </c>
    </row>
    <row r="361" spans="1:8" ht="24.75" customHeight="1">
      <c r="A361" s="749"/>
      <c r="B361" s="777"/>
      <c r="C361" s="126">
        <v>679700000</v>
      </c>
      <c r="D361" s="126">
        <v>1104438709</v>
      </c>
      <c r="E361" s="126">
        <v>975798100</v>
      </c>
      <c r="F361" s="126">
        <v>975798100</v>
      </c>
      <c r="G361" s="126">
        <v>654657067</v>
      </c>
      <c r="H361" s="126">
        <v>0</v>
      </c>
    </row>
    <row r="362" spans="1:8" ht="24.75" customHeight="1">
      <c r="A362" s="749"/>
      <c r="B362" s="778"/>
      <c r="C362" s="126">
        <v>871058000</v>
      </c>
      <c r="D362" s="126">
        <v>913892400</v>
      </c>
      <c r="E362" s="126">
        <v>687303908</v>
      </c>
      <c r="F362" s="126">
        <v>687303908</v>
      </c>
      <c r="G362" s="126">
        <v>504555181</v>
      </c>
      <c r="H362" s="126">
        <v>0</v>
      </c>
    </row>
    <row r="363" spans="1:8" ht="24.75" customHeight="1">
      <c r="A363" s="749"/>
      <c r="B363" s="76" t="s">
        <v>338</v>
      </c>
      <c r="C363" s="126">
        <v>1813479000</v>
      </c>
      <c r="D363" s="126">
        <v>1809891000</v>
      </c>
      <c r="E363" s="126">
        <v>1662860700</v>
      </c>
      <c r="F363" s="126">
        <v>1662860700</v>
      </c>
      <c r="G363" s="126">
        <v>1438188102</v>
      </c>
      <c r="H363" s="126">
        <v>0</v>
      </c>
    </row>
    <row r="364" spans="1:8" ht="24.75" customHeight="1">
      <c r="A364" s="749"/>
      <c r="B364" s="776" t="s">
        <v>339</v>
      </c>
      <c r="C364" s="126">
        <v>843232000</v>
      </c>
      <c r="D364" s="126">
        <v>1087886300</v>
      </c>
      <c r="E364" s="126">
        <v>640649460</v>
      </c>
      <c r="F364" s="126">
        <v>640649460</v>
      </c>
      <c r="G364" s="126">
        <v>454609783</v>
      </c>
      <c r="H364" s="126">
        <v>0</v>
      </c>
    </row>
    <row r="365" spans="1:8" ht="24.75" customHeight="1">
      <c r="A365" s="750"/>
      <c r="B365" s="778"/>
      <c r="C365" s="315">
        <v>2180745000</v>
      </c>
      <c r="D365" s="315">
        <v>2085874600</v>
      </c>
      <c r="E365" s="315">
        <v>1062739500</v>
      </c>
      <c r="F365" s="315">
        <v>1062739500</v>
      </c>
      <c r="G365" s="315">
        <v>798374729</v>
      </c>
      <c r="H365" s="126">
        <v>0</v>
      </c>
    </row>
    <row r="366" spans="1:8" ht="24.75" customHeight="1">
      <c r="A366" s="749" t="s">
        <v>133</v>
      </c>
      <c r="B366" s="76" t="s">
        <v>330</v>
      </c>
      <c r="C366" s="86">
        <v>725040000</v>
      </c>
      <c r="D366" s="86">
        <v>664063000</v>
      </c>
      <c r="E366" s="86">
        <v>664063000</v>
      </c>
      <c r="F366" s="86">
        <v>664063000</v>
      </c>
      <c r="G366" s="86">
        <v>629739500</v>
      </c>
      <c r="H366" s="126">
        <v>0</v>
      </c>
    </row>
    <row r="367" spans="1:8" ht="24.75" customHeight="1">
      <c r="A367" s="749"/>
      <c r="B367" s="776" t="s">
        <v>331</v>
      </c>
      <c r="C367" s="86">
        <v>6130432000</v>
      </c>
      <c r="D367" s="86">
        <v>2976133334</v>
      </c>
      <c r="E367" s="86">
        <v>2901320089</v>
      </c>
      <c r="F367" s="86">
        <v>2901320089</v>
      </c>
      <c r="G367" s="86">
        <v>2129197884</v>
      </c>
      <c r="H367" s="126">
        <v>0</v>
      </c>
    </row>
    <row r="368" spans="1:8" ht="24.75" customHeight="1">
      <c r="A368" s="749"/>
      <c r="B368" s="777"/>
      <c r="C368" s="86">
        <v>0</v>
      </c>
      <c r="D368" s="86">
        <v>942550113</v>
      </c>
      <c r="E368" s="86">
        <v>942550113</v>
      </c>
      <c r="F368" s="86">
        <v>942550113</v>
      </c>
      <c r="G368" s="86">
        <v>942550113</v>
      </c>
      <c r="H368" s="126">
        <v>0</v>
      </c>
    </row>
    <row r="369" spans="1:8" ht="24.75" customHeight="1">
      <c r="A369" s="749"/>
      <c r="B369" s="777"/>
      <c r="C369" s="86">
        <v>0</v>
      </c>
      <c r="D369" s="86">
        <v>211140743</v>
      </c>
      <c r="E369" s="86">
        <v>0</v>
      </c>
      <c r="F369" s="86">
        <v>0</v>
      </c>
      <c r="G369" s="86">
        <v>0</v>
      </c>
      <c r="H369" s="126">
        <v>0</v>
      </c>
    </row>
    <row r="370" spans="1:8" ht="24.75" customHeight="1">
      <c r="A370" s="749"/>
      <c r="B370" s="777"/>
      <c r="C370" s="86">
        <v>0</v>
      </c>
      <c r="D370" s="86">
        <v>106931000</v>
      </c>
      <c r="E370" s="86">
        <v>106931000</v>
      </c>
      <c r="F370" s="86">
        <v>106931000</v>
      </c>
      <c r="G370" s="86">
        <v>106931000</v>
      </c>
      <c r="H370" s="126">
        <v>0</v>
      </c>
    </row>
    <row r="371" spans="1:8" ht="24.75" customHeight="1">
      <c r="A371" s="749"/>
      <c r="B371" s="777"/>
      <c r="C371" s="86">
        <v>0</v>
      </c>
      <c r="D371" s="86">
        <v>1243207000</v>
      </c>
      <c r="E371" s="86">
        <v>1243207000</v>
      </c>
      <c r="F371" s="86">
        <v>1243207000</v>
      </c>
      <c r="G371" s="86">
        <v>1243207000</v>
      </c>
      <c r="H371" s="126">
        <v>0</v>
      </c>
    </row>
    <row r="372" spans="1:8" ht="24.75" customHeight="1">
      <c r="A372" s="749"/>
      <c r="B372" s="778"/>
      <c r="C372" s="86">
        <v>0</v>
      </c>
      <c r="D372" s="86">
        <v>49887783</v>
      </c>
      <c r="E372" s="86">
        <v>49887783</v>
      </c>
      <c r="F372" s="86">
        <v>49887783</v>
      </c>
      <c r="G372" s="86">
        <v>49887783</v>
      </c>
      <c r="H372" s="126">
        <v>0</v>
      </c>
    </row>
    <row r="373" spans="1:8" ht="24.75" customHeight="1">
      <c r="A373" s="749"/>
      <c r="B373" s="76" t="s">
        <v>335</v>
      </c>
      <c r="C373" s="86">
        <v>0</v>
      </c>
      <c r="D373" s="86">
        <v>461999876</v>
      </c>
      <c r="E373" s="86">
        <v>461999876</v>
      </c>
      <c r="F373" s="86">
        <v>461999876</v>
      </c>
      <c r="G373" s="86">
        <v>461999876</v>
      </c>
      <c r="H373" s="126">
        <v>0</v>
      </c>
    </row>
    <row r="374" spans="1:8" ht="24.75" customHeight="1">
      <c r="A374" s="749"/>
      <c r="B374" s="776" t="s">
        <v>522</v>
      </c>
      <c r="C374" s="86">
        <v>1617058000</v>
      </c>
      <c r="D374" s="86">
        <v>1908372100</v>
      </c>
      <c r="E374" s="86">
        <v>1857893447.8183219</v>
      </c>
      <c r="F374" s="86">
        <v>1857893447.8183219</v>
      </c>
      <c r="G374" s="86">
        <v>1285077105</v>
      </c>
      <c r="H374" s="126">
        <v>0</v>
      </c>
    </row>
    <row r="375" spans="1:8" ht="24.75" customHeight="1">
      <c r="A375" s="749"/>
      <c r="B375" s="777"/>
      <c r="C375" s="86">
        <f>154846000-48160000</f>
        <v>106686000</v>
      </c>
      <c r="D375" s="86">
        <v>607793100</v>
      </c>
      <c r="E375" s="86">
        <v>585867000</v>
      </c>
      <c r="F375" s="86">
        <v>585867000</v>
      </c>
      <c r="G375" s="86">
        <v>326873801</v>
      </c>
      <c r="H375" s="126">
        <v>0</v>
      </c>
    </row>
    <row r="376" spans="1:8" ht="24.75" customHeight="1">
      <c r="A376" s="749"/>
      <c r="B376" s="777"/>
      <c r="C376" s="86">
        <v>117874000</v>
      </c>
      <c r="D376" s="86">
        <v>75039600</v>
      </c>
      <c r="E376" s="86">
        <v>74738600</v>
      </c>
      <c r="F376" s="86">
        <v>74738600</v>
      </c>
      <c r="G376" s="86">
        <v>46365466</v>
      </c>
      <c r="H376" s="126">
        <v>0</v>
      </c>
    </row>
    <row r="377" spans="1:8" ht="24.75" customHeight="1">
      <c r="A377" s="749"/>
      <c r="B377" s="777"/>
      <c r="C377" s="86">
        <v>1336995000</v>
      </c>
      <c r="D377" s="86">
        <v>1340583000</v>
      </c>
      <c r="E377" s="86">
        <v>1340583000</v>
      </c>
      <c r="F377" s="86">
        <v>1340583000</v>
      </c>
      <c r="G377" s="86">
        <v>1237915300</v>
      </c>
      <c r="H377" s="126">
        <v>0</v>
      </c>
    </row>
    <row r="378" spans="1:8" ht="24.75" customHeight="1">
      <c r="A378" s="749"/>
      <c r="B378" s="778"/>
      <c r="C378" s="86">
        <v>0</v>
      </c>
      <c r="D378" s="86">
        <v>7442298</v>
      </c>
      <c r="E378" s="86">
        <v>4305733</v>
      </c>
      <c r="F378" s="86">
        <v>4305733</v>
      </c>
      <c r="G378" s="86">
        <v>4305733</v>
      </c>
      <c r="H378" s="126">
        <v>0</v>
      </c>
    </row>
    <row r="379" spans="1:8" ht="24.75" customHeight="1">
      <c r="A379" s="749"/>
      <c r="B379" s="776" t="s">
        <v>337</v>
      </c>
      <c r="C379" s="86">
        <v>7278000</v>
      </c>
      <c r="D379" s="86">
        <v>7279900</v>
      </c>
      <c r="E379" s="86">
        <v>7279900</v>
      </c>
      <c r="F379" s="86">
        <v>7279900</v>
      </c>
      <c r="G379" s="86">
        <v>7279900</v>
      </c>
      <c r="H379" s="126">
        <v>0</v>
      </c>
    </row>
    <row r="380" spans="1:8" ht="24.75" customHeight="1">
      <c r="A380" s="749"/>
      <c r="B380" s="777"/>
      <c r="C380" s="86">
        <v>679700000</v>
      </c>
      <c r="D380" s="86">
        <v>1286438709</v>
      </c>
      <c r="E380" s="86">
        <v>1203589444</v>
      </c>
      <c r="F380" s="86">
        <v>1203589444</v>
      </c>
      <c r="G380" s="86">
        <v>859096735</v>
      </c>
      <c r="H380" s="126">
        <v>0</v>
      </c>
    </row>
    <row r="381" spans="1:8" ht="24.75" customHeight="1">
      <c r="A381" s="749"/>
      <c r="B381" s="778"/>
      <c r="C381" s="86">
        <v>871058000</v>
      </c>
      <c r="D381" s="86">
        <v>913892400</v>
      </c>
      <c r="E381" s="86">
        <v>880309908</v>
      </c>
      <c r="F381" s="86">
        <v>880309908</v>
      </c>
      <c r="G381" s="86">
        <v>609070032</v>
      </c>
      <c r="H381" s="126">
        <v>0</v>
      </c>
    </row>
    <row r="382" spans="1:8" ht="24.75" customHeight="1">
      <c r="A382" s="749"/>
      <c r="B382" s="76" t="s">
        <v>338</v>
      </c>
      <c r="C382" s="86">
        <v>1813479000</v>
      </c>
      <c r="D382" s="86">
        <v>1809891000</v>
      </c>
      <c r="E382" s="86">
        <v>1727280436</v>
      </c>
      <c r="F382" s="86">
        <v>1727280436</v>
      </c>
      <c r="G382" s="86">
        <v>1577150501</v>
      </c>
      <c r="H382" s="126">
        <v>0</v>
      </c>
    </row>
    <row r="383" spans="1:8" ht="24.75" customHeight="1">
      <c r="A383" s="749"/>
      <c r="B383" s="776" t="s">
        <v>339</v>
      </c>
      <c r="C383" s="86">
        <v>843232000</v>
      </c>
      <c r="D383" s="86">
        <v>1053886300</v>
      </c>
      <c r="E383" s="86">
        <v>1023760508</v>
      </c>
      <c r="F383" s="86">
        <v>1023760508</v>
      </c>
      <c r="G383" s="86">
        <v>599508847</v>
      </c>
      <c r="H383" s="126">
        <v>0</v>
      </c>
    </row>
    <row r="384" spans="1:8" ht="24.75" customHeight="1">
      <c r="A384" s="750"/>
      <c r="B384" s="778"/>
      <c r="C384" s="86">
        <v>2180745000</v>
      </c>
      <c r="D384" s="86">
        <v>2101874600</v>
      </c>
      <c r="E384" s="86">
        <v>1875387950.1816781</v>
      </c>
      <c r="F384" s="86">
        <v>1875387950.1816781</v>
      </c>
      <c r="G384" s="86">
        <v>926164380</v>
      </c>
      <c r="H384" s="126">
        <v>0</v>
      </c>
    </row>
    <row r="385" spans="1:8" ht="24.75" customHeight="1">
      <c r="C385" s="86">
        <v>38864000</v>
      </c>
      <c r="D385" s="86">
        <v>38864000</v>
      </c>
      <c r="E385" s="86">
        <v>38864000</v>
      </c>
      <c r="F385" s="86">
        <v>38864000</v>
      </c>
      <c r="G385" s="86">
        <v>0</v>
      </c>
    </row>
    <row r="386" spans="1:8" ht="24.75" customHeight="1">
      <c r="C386" s="309"/>
      <c r="D386" s="309"/>
      <c r="E386" s="309"/>
      <c r="F386" s="309"/>
      <c r="G386" s="309"/>
    </row>
    <row r="387" spans="1:8" ht="24.75" customHeight="1">
      <c r="A387" s="770" t="s">
        <v>142</v>
      </c>
      <c r="B387" s="770"/>
      <c r="C387" s="770"/>
      <c r="D387" s="770"/>
      <c r="E387" s="770"/>
      <c r="F387" s="770"/>
      <c r="G387" s="770"/>
      <c r="H387" s="770"/>
    </row>
    <row r="388" spans="1:8" ht="24.75" customHeight="1">
      <c r="A388" s="103" t="s">
        <v>62</v>
      </c>
      <c r="B388" s="30" t="s">
        <v>121</v>
      </c>
      <c r="C388" s="30" t="s">
        <v>122</v>
      </c>
      <c r="D388" s="30" t="s">
        <v>123</v>
      </c>
      <c r="E388" s="30" t="s">
        <v>124</v>
      </c>
      <c r="F388" s="30" t="s">
        <v>125</v>
      </c>
      <c r="G388" s="30" t="s">
        <v>126</v>
      </c>
      <c r="H388" s="30" t="s">
        <v>127</v>
      </c>
    </row>
    <row r="389" spans="1:8" ht="24.75" customHeight="1">
      <c r="A389" s="752" t="s">
        <v>135</v>
      </c>
      <c r="B389" s="239" t="s">
        <v>612</v>
      </c>
      <c r="C389" s="240">
        <v>835827000</v>
      </c>
      <c r="D389" s="240">
        <v>835827000</v>
      </c>
      <c r="E389" s="240">
        <v>0</v>
      </c>
      <c r="F389" s="240">
        <v>0</v>
      </c>
      <c r="G389" s="240">
        <v>0</v>
      </c>
      <c r="H389" s="316" t="e">
        <f>G389/E389</f>
        <v>#DIV/0!</v>
      </c>
    </row>
    <row r="390" spans="1:8" ht="24.75" customHeight="1">
      <c r="A390" s="753"/>
      <c r="B390" s="239" t="s">
        <v>612</v>
      </c>
      <c r="C390" s="240">
        <v>2638047000</v>
      </c>
      <c r="D390" s="240">
        <v>2638047000</v>
      </c>
      <c r="E390" s="240">
        <v>0</v>
      </c>
      <c r="F390" s="240">
        <v>0</v>
      </c>
      <c r="G390" s="240">
        <v>0</v>
      </c>
      <c r="H390" s="316" t="e">
        <f>G390/E390</f>
        <v>#DIV/0!</v>
      </c>
    </row>
    <row r="391" spans="1:8" ht="24.75" customHeight="1">
      <c r="A391" s="753"/>
      <c r="B391" s="239" t="s">
        <v>613</v>
      </c>
      <c r="C391" s="240">
        <v>967153000</v>
      </c>
      <c r="D391" s="240">
        <v>967153000</v>
      </c>
      <c r="E391" s="240">
        <v>0</v>
      </c>
      <c r="F391" s="240">
        <v>0</v>
      </c>
      <c r="G391" s="240">
        <v>0</v>
      </c>
      <c r="H391" s="316" t="e">
        <f t="shared" ref="H391:H405" si="2">G391/E391</f>
        <v>#DIV/0!</v>
      </c>
    </row>
    <row r="392" spans="1:8" ht="24.75" customHeight="1">
      <c r="A392" s="753"/>
      <c r="B392" s="239" t="s">
        <v>614</v>
      </c>
      <c r="C392" s="240">
        <v>29282000</v>
      </c>
      <c r="D392" s="240">
        <v>29282000</v>
      </c>
      <c r="E392" s="240">
        <v>0</v>
      </c>
      <c r="F392" s="240">
        <v>0</v>
      </c>
      <c r="G392" s="240">
        <v>0</v>
      </c>
      <c r="H392" s="316" t="e">
        <f t="shared" si="2"/>
        <v>#DIV/0!</v>
      </c>
    </row>
    <row r="393" spans="1:8" ht="24.75" customHeight="1">
      <c r="A393" s="753"/>
      <c r="B393" s="239" t="s">
        <v>612</v>
      </c>
      <c r="C393" s="240">
        <v>1187599500</v>
      </c>
      <c r="D393" s="240">
        <v>1187599500</v>
      </c>
      <c r="E393" s="240">
        <v>0</v>
      </c>
      <c r="F393" s="240">
        <v>0</v>
      </c>
      <c r="G393" s="240">
        <v>0</v>
      </c>
      <c r="H393" s="316" t="e">
        <f t="shared" si="2"/>
        <v>#DIV/0!</v>
      </c>
    </row>
    <row r="394" spans="1:8" ht="24.75" customHeight="1">
      <c r="A394" s="753"/>
      <c r="B394" s="239" t="s">
        <v>612</v>
      </c>
      <c r="C394" s="240">
        <v>1630204500</v>
      </c>
      <c r="D394" s="240">
        <v>1630204500</v>
      </c>
      <c r="E394" s="240">
        <v>0</v>
      </c>
      <c r="F394" s="240">
        <v>0</v>
      </c>
      <c r="G394" s="240">
        <v>0</v>
      </c>
      <c r="H394" s="316" t="e">
        <f t="shared" si="2"/>
        <v>#DIV/0!</v>
      </c>
    </row>
    <row r="395" spans="1:8" ht="24.75" customHeight="1">
      <c r="A395" s="753"/>
      <c r="B395" s="239" t="s">
        <v>612</v>
      </c>
      <c r="C395" s="240">
        <v>2834765500</v>
      </c>
      <c r="D395" s="240">
        <v>2834765500</v>
      </c>
      <c r="E395" s="240">
        <v>0</v>
      </c>
      <c r="F395" s="240">
        <v>0</v>
      </c>
      <c r="G395" s="240">
        <v>0</v>
      </c>
      <c r="H395" s="316" t="e">
        <f t="shared" si="2"/>
        <v>#DIV/0!</v>
      </c>
    </row>
    <row r="396" spans="1:8" ht="24.75" customHeight="1">
      <c r="A396" s="753"/>
      <c r="B396" s="239" t="s">
        <v>612</v>
      </c>
      <c r="C396" s="240">
        <v>540599000</v>
      </c>
      <c r="D396" s="240">
        <v>540599000</v>
      </c>
      <c r="E396" s="240">
        <v>0</v>
      </c>
      <c r="F396" s="240">
        <v>0</v>
      </c>
      <c r="G396" s="240">
        <v>0</v>
      </c>
      <c r="H396" s="316" t="e">
        <f t="shared" si="2"/>
        <v>#DIV/0!</v>
      </c>
    </row>
    <row r="397" spans="1:8" ht="24.75" customHeight="1">
      <c r="A397" s="754"/>
      <c r="B397" s="239" t="s">
        <v>612</v>
      </c>
      <c r="C397" s="240">
        <v>1722404500</v>
      </c>
      <c r="D397" s="240">
        <v>1722404500</v>
      </c>
      <c r="E397" s="240">
        <v>46330000</v>
      </c>
      <c r="F397" s="240">
        <v>46330000</v>
      </c>
      <c r="G397" s="240">
        <v>0</v>
      </c>
      <c r="H397" s="316">
        <f t="shared" si="2"/>
        <v>0</v>
      </c>
    </row>
    <row r="398" spans="1:8" ht="24.75" customHeight="1">
      <c r="A398" s="752" t="s">
        <v>136</v>
      </c>
      <c r="B398" s="239" t="s">
        <v>612</v>
      </c>
      <c r="C398" s="240">
        <v>835827000</v>
      </c>
      <c r="D398" s="240">
        <v>835827000</v>
      </c>
      <c r="E398" s="240">
        <v>366737000</v>
      </c>
      <c r="F398" s="240">
        <v>366737000</v>
      </c>
      <c r="G398" s="240">
        <v>0</v>
      </c>
      <c r="H398" s="280">
        <f t="shared" si="2"/>
        <v>0</v>
      </c>
    </row>
    <row r="399" spans="1:8" ht="24.75" customHeight="1">
      <c r="A399" s="753"/>
      <c r="B399" s="239" t="s">
        <v>612</v>
      </c>
      <c r="C399" s="240">
        <v>2638047000</v>
      </c>
      <c r="D399" s="240">
        <v>2638047000</v>
      </c>
      <c r="E399" s="240">
        <v>584274500</v>
      </c>
      <c r="F399" s="240">
        <v>584274500</v>
      </c>
      <c r="G399" s="240">
        <v>0</v>
      </c>
      <c r="H399" s="280">
        <f t="shared" si="2"/>
        <v>0</v>
      </c>
    </row>
    <row r="400" spans="1:8" ht="24.75" customHeight="1">
      <c r="A400" s="753"/>
      <c r="B400" s="239" t="s">
        <v>613</v>
      </c>
      <c r="C400" s="240">
        <v>967153000</v>
      </c>
      <c r="D400" s="240">
        <v>756012257</v>
      </c>
      <c r="E400" s="240">
        <v>0</v>
      </c>
      <c r="F400" s="240">
        <v>0</v>
      </c>
      <c r="G400" s="240">
        <v>0</v>
      </c>
      <c r="H400" s="280" t="e">
        <f t="shared" si="2"/>
        <v>#DIV/0!</v>
      </c>
    </row>
    <row r="401" spans="1:8" ht="24.75" customHeight="1">
      <c r="A401" s="753"/>
      <c r="B401" s="239" t="s">
        <v>614</v>
      </c>
      <c r="C401" s="240">
        <v>29282000</v>
      </c>
      <c r="D401" s="240">
        <v>240422743</v>
      </c>
      <c r="E401" s="240">
        <v>0</v>
      </c>
      <c r="F401" s="240">
        <v>0</v>
      </c>
      <c r="G401" s="240">
        <v>0</v>
      </c>
      <c r="H401" s="280" t="e">
        <f t="shared" si="2"/>
        <v>#DIV/0!</v>
      </c>
    </row>
    <row r="402" spans="1:8" ht="24.75" customHeight="1">
      <c r="A402" s="753"/>
      <c r="B402" s="239" t="s">
        <v>612</v>
      </c>
      <c r="C402" s="240">
        <v>1187599500</v>
      </c>
      <c r="D402" s="240">
        <v>1187599500</v>
      </c>
      <c r="E402" s="240">
        <v>499703500</v>
      </c>
      <c r="F402" s="240">
        <v>499703500</v>
      </c>
      <c r="G402" s="240">
        <v>0</v>
      </c>
      <c r="H402" s="280">
        <f t="shared" si="2"/>
        <v>0</v>
      </c>
    </row>
    <row r="403" spans="1:8" ht="24.75" customHeight="1">
      <c r="A403" s="753"/>
      <c r="B403" s="239" t="s">
        <v>612</v>
      </c>
      <c r="C403" s="240">
        <v>1630204500</v>
      </c>
      <c r="D403" s="240">
        <v>1630204500</v>
      </c>
      <c r="E403" s="240">
        <v>411740000</v>
      </c>
      <c r="F403" s="240">
        <v>411740000</v>
      </c>
      <c r="G403" s="240">
        <v>0</v>
      </c>
      <c r="H403" s="280">
        <f t="shared" si="2"/>
        <v>0</v>
      </c>
    </row>
    <row r="404" spans="1:8" ht="24.75" customHeight="1">
      <c r="A404" s="753"/>
      <c r="B404" s="239" t="s">
        <v>612</v>
      </c>
      <c r="C404" s="240">
        <v>2834765500</v>
      </c>
      <c r="D404" s="240">
        <v>2834765500</v>
      </c>
      <c r="E404" s="240">
        <v>756020000</v>
      </c>
      <c r="F404" s="240">
        <v>756020000</v>
      </c>
      <c r="G404" s="240">
        <v>0</v>
      </c>
      <c r="H404" s="280">
        <f t="shared" si="2"/>
        <v>0</v>
      </c>
    </row>
    <row r="405" spans="1:8" ht="24.75" customHeight="1">
      <c r="A405" s="753"/>
      <c r="B405" s="239" t="s">
        <v>612</v>
      </c>
      <c r="C405" s="240">
        <v>540599000</v>
      </c>
      <c r="D405" s="240">
        <v>540599000</v>
      </c>
      <c r="E405" s="240">
        <v>183154500</v>
      </c>
      <c r="F405" s="240">
        <v>183154500</v>
      </c>
      <c r="G405" s="240">
        <v>0</v>
      </c>
      <c r="H405" s="280">
        <f t="shared" si="2"/>
        <v>0</v>
      </c>
    </row>
    <row r="406" spans="1:8" ht="24.75" customHeight="1">
      <c r="A406" s="754"/>
      <c r="B406" s="239" t="s">
        <v>612</v>
      </c>
      <c r="C406" s="240">
        <v>1722404500</v>
      </c>
      <c r="D406" s="240">
        <v>1722404500</v>
      </c>
      <c r="E406" s="240">
        <v>446430000</v>
      </c>
      <c r="F406" s="240">
        <v>446430000</v>
      </c>
      <c r="G406" s="240">
        <v>0</v>
      </c>
      <c r="H406" s="280">
        <f>G406/E406</f>
        <v>0</v>
      </c>
    </row>
    <row r="407" spans="1:8" ht="24.75" customHeight="1">
      <c r="A407" s="752" t="s">
        <v>137</v>
      </c>
      <c r="B407" s="239" t="s">
        <v>612</v>
      </c>
      <c r="C407" s="240">
        <v>835827000</v>
      </c>
      <c r="D407" s="240">
        <v>835827000</v>
      </c>
      <c r="E407" s="240">
        <v>691465000</v>
      </c>
      <c r="F407" s="240">
        <v>691465000</v>
      </c>
      <c r="G407" s="240">
        <v>16333866</v>
      </c>
      <c r="H407" s="280">
        <f t="shared" ref="H407:H414" si="3">G407/E407</f>
        <v>2.3622115363756663E-2</v>
      </c>
    </row>
    <row r="408" spans="1:8" ht="24.75" customHeight="1">
      <c r="A408" s="753"/>
      <c r="B408" s="239" t="s">
        <v>612</v>
      </c>
      <c r="C408" s="240">
        <v>2638047000</v>
      </c>
      <c r="D408" s="240">
        <v>2626047000</v>
      </c>
      <c r="E408" s="240">
        <v>1329272000</v>
      </c>
      <c r="F408" s="240">
        <v>1329272000</v>
      </c>
      <c r="G408" s="240">
        <v>31425433</v>
      </c>
      <c r="H408" s="280">
        <f t="shared" si="3"/>
        <v>2.3641085496422101E-2</v>
      </c>
    </row>
    <row r="409" spans="1:8" ht="24.75" customHeight="1">
      <c r="A409" s="753"/>
      <c r="B409" s="239" t="s">
        <v>613</v>
      </c>
      <c r="C409" s="240">
        <v>967153000</v>
      </c>
      <c r="D409" s="240">
        <v>756012257</v>
      </c>
      <c r="E409" s="240">
        <v>0</v>
      </c>
      <c r="F409" s="240">
        <v>0</v>
      </c>
      <c r="G409" s="240">
        <v>0</v>
      </c>
      <c r="H409" s="280" t="e">
        <f>G409/E409</f>
        <v>#DIV/0!</v>
      </c>
    </row>
    <row r="410" spans="1:8" ht="24.75" customHeight="1">
      <c r="A410" s="753"/>
      <c r="B410" s="239" t="s">
        <v>614</v>
      </c>
      <c r="C410" s="240">
        <v>29282000</v>
      </c>
      <c r="D410" s="240">
        <v>240422743</v>
      </c>
      <c r="E410" s="240">
        <v>0</v>
      </c>
      <c r="F410" s="240">
        <v>0</v>
      </c>
      <c r="G410" s="240">
        <v>0</v>
      </c>
      <c r="H410" s="280" t="e">
        <f>G410/E410</f>
        <v>#DIV/0!</v>
      </c>
    </row>
    <row r="411" spans="1:8" ht="24.75" customHeight="1">
      <c r="A411" s="753"/>
      <c r="B411" s="239" t="s">
        <v>612</v>
      </c>
      <c r="C411" s="240">
        <v>1187599500</v>
      </c>
      <c r="D411" s="240">
        <v>1187599500</v>
      </c>
      <c r="E411" s="240">
        <v>957552500</v>
      </c>
      <c r="F411" s="240">
        <v>957552500</v>
      </c>
      <c r="G411" s="240">
        <v>20523200</v>
      </c>
      <c r="H411" s="280">
        <f t="shared" si="3"/>
        <v>2.1432976259787323E-2</v>
      </c>
    </row>
    <row r="412" spans="1:8" ht="24.75" customHeight="1">
      <c r="A412" s="753"/>
      <c r="B412" s="239" t="s">
        <v>612</v>
      </c>
      <c r="C412" s="240">
        <v>1630204500</v>
      </c>
      <c r="D412" s="240">
        <v>1630204500</v>
      </c>
      <c r="E412" s="240">
        <v>1268093500</v>
      </c>
      <c r="F412" s="240">
        <v>1268093500</v>
      </c>
      <c r="G412" s="240">
        <v>10565366</v>
      </c>
      <c r="H412" s="280">
        <f t="shared" si="3"/>
        <v>8.3316932071649287E-3</v>
      </c>
    </row>
    <row r="413" spans="1:8" ht="24.75" customHeight="1">
      <c r="A413" s="753"/>
      <c r="B413" s="239" t="s">
        <v>612</v>
      </c>
      <c r="C413" s="240">
        <v>2834765500</v>
      </c>
      <c r="D413" s="240">
        <v>2834765500</v>
      </c>
      <c r="E413" s="240">
        <v>2050885000</v>
      </c>
      <c r="F413" s="240">
        <v>2050885000</v>
      </c>
      <c r="G413" s="240">
        <v>12747000</v>
      </c>
      <c r="H413" s="280">
        <f t="shared" si="3"/>
        <v>6.2153655616965361E-3</v>
      </c>
    </row>
    <row r="414" spans="1:8" ht="24.75" customHeight="1">
      <c r="A414" s="753"/>
      <c r="B414" s="239" t="s">
        <v>612</v>
      </c>
      <c r="C414" s="240">
        <v>540599000</v>
      </c>
      <c r="D414" s="240">
        <v>540599000</v>
      </c>
      <c r="E414" s="240">
        <v>420858043</v>
      </c>
      <c r="F414" s="240">
        <v>420858043</v>
      </c>
      <c r="G414" s="240">
        <v>9010633</v>
      </c>
      <c r="H414" s="280">
        <f t="shared" si="3"/>
        <v>2.1410148029415231E-2</v>
      </c>
    </row>
    <row r="415" spans="1:8" ht="24.75" customHeight="1">
      <c r="A415" s="754"/>
      <c r="B415" s="239" t="s">
        <v>612</v>
      </c>
      <c r="C415" s="240">
        <v>1722404500</v>
      </c>
      <c r="D415" s="240">
        <v>1734404500</v>
      </c>
      <c r="E415" s="240">
        <v>753613000</v>
      </c>
      <c r="F415" s="240">
        <v>753613000</v>
      </c>
      <c r="G415" s="240">
        <v>28638634</v>
      </c>
      <c r="H415" s="280">
        <f>G415/E415</f>
        <v>3.8001778100961635E-2</v>
      </c>
    </row>
    <row r="416" spans="1:8" ht="24.75" customHeight="1">
      <c r="A416" s="752" t="s">
        <v>138</v>
      </c>
      <c r="B416" s="239" t="s">
        <v>612</v>
      </c>
      <c r="C416" s="240">
        <v>835827000</v>
      </c>
      <c r="D416" s="240">
        <v>835827000</v>
      </c>
      <c r="E416" s="240">
        <v>713657000</v>
      </c>
      <c r="F416" s="240">
        <v>713657000</v>
      </c>
      <c r="G416" s="240">
        <v>69824066</v>
      </c>
      <c r="H416" s="280">
        <f t="shared" ref="H416:H423" si="4">G416/E416</f>
        <v>9.7839811001643642E-2</v>
      </c>
    </row>
    <row r="417" spans="1:8" ht="24.75" customHeight="1">
      <c r="A417" s="753"/>
      <c r="B417" s="239" t="s">
        <v>612</v>
      </c>
      <c r="C417" s="240">
        <v>2638047000</v>
      </c>
      <c r="D417" s="240">
        <v>2626047000</v>
      </c>
      <c r="E417" s="240">
        <v>1489212500</v>
      </c>
      <c r="F417" s="240">
        <v>1489212500</v>
      </c>
      <c r="G417" s="240">
        <v>121928199</v>
      </c>
      <c r="H417" s="280">
        <f t="shared" si="4"/>
        <v>8.1874278519687413E-2</v>
      </c>
    </row>
    <row r="418" spans="1:8" ht="24.75" customHeight="1">
      <c r="A418" s="753"/>
      <c r="B418" s="271" t="s">
        <v>337</v>
      </c>
      <c r="C418" s="240">
        <v>967153000</v>
      </c>
      <c r="D418" s="240">
        <v>756012257</v>
      </c>
      <c r="E418" s="240">
        <v>0</v>
      </c>
      <c r="F418" s="240">
        <v>0</v>
      </c>
      <c r="G418" s="240">
        <v>0</v>
      </c>
      <c r="H418" s="280" t="e">
        <f t="shared" si="4"/>
        <v>#DIV/0!</v>
      </c>
    </row>
    <row r="419" spans="1:8" ht="24.75" customHeight="1">
      <c r="A419" s="753"/>
      <c r="B419" s="239" t="s">
        <v>614</v>
      </c>
      <c r="C419" s="240">
        <v>29282000</v>
      </c>
      <c r="D419" s="240">
        <v>240422743</v>
      </c>
      <c r="E419" s="240">
        <v>0</v>
      </c>
      <c r="F419" s="240">
        <v>0</v>
      </c>
      <c r="G419" s="240">
        <v>0</v>
      </c>
      <c r="H419" s="280" t="e">
        <f t="shared" si="4"/>
        <v>#DIV/0!</v>
      </c>
    </row>
    <row r="420" spans="1:8" ht="24.75" customHeight="1">
      <c r="A420" s="753"/>
      <c r="B420" s="239" t="s">
        <v>612</v>
      </c>
      <c r="C420" s="240">
        <v>1187599500</v>
      </c>
      <c r="D420" s="240">
        <v>1187599500</v>
      </c>
      <c r="E420" s="240">
        <v>1033691000</v>
      </c>
      <c r="F420" s="240">
        <v>1033691000</v>
      </c>
      <c r="G420" s="240">
        <v>98603405.313861847</v>
      </c>
      <c r="H420" s="280">
        <f t="shared" si="4"/>
        <v>9.5389633182316427E-2</v>
      </c>
    </row>
    <row r="421" spans="1:8" ht="24.75" customHeight="1">
      <c r="A421" s="753"/>
      <c r="B421" s="239" t="s">
        <v>612</v>
      </c>
      <c r="C421" s="240">
        <v>1630204500</v>
      </c>
      <c r="D421" s="240">
        <v>1630204500</v>
      </c>
      <c r="E421" s="240">
        <v>1456148500</v>
      </c>
      <c r="F421" s="240">
        <v>1456148500</v>
      </c>
      <c r="G421" s="240">
        <v>89124533</v>
      </c>
      <c r="H421" s="280">
        <f t="shared" si="4"/>
        <v>6.1205662059879193E-2</v>
      </c>
    </row>
    <row r="422" spans="1:8" ht="24.75" customHeight="1">
      <c r="A422" s="753"/>
      <c r="B422" s="239" t="s">
        <v>612</v>
      </c>
      <c r="C422" s="240">
        <v>2834765500</v>
      </c>
      <c r="D422" s="240">
        <v>2834765500</v>
      </c>
      <c r="E422" s="240">
        <v>2146184000</v>
      </c>
      <c r="F422" s="240">
        <v>2146184000</v>
      </c>
      <c r="G422" s="240">
        <v>133954810.39871383</v>
      </c>
      <c r="H422" s="280">
        <f t="shared" si="4"/>
        <v>6.2415342952288261E-2</v>
      </c>
    </row>
    <row r="423" spans="1:8" ht="24.75" customHeight="1">
      <c r="A423" s="753"/>
      <c r="B423" s="239" t="s">
        <v>612</v>
      </c>
      <c r="C423" s="240">
        <v>540599000</v>
      </c>
      <c r="D423" s="240">
        <v>540599000</v>
      </c>
      <c r="E423" s="240">
        <v>444818944</v>
      </c>
      <c r="F423" s="240">
        <v>444818944</v>
      </c>
      <c r="G423" s="240">
        <v>28378733</v>
      </c>
      <c r="H423" s="280">
        <f t="shared" si="4"/>
        <v>6.37983911944182E-2</v>
      </c>
    </row>
    <row r="424" spans="1:8" ht="24.75" customHeight="1">
      <c r="A424" s="754"/>
      <c r="B424" s="239" t="s">
        <v>612</v>
      </c>
      <c r="C424" s="240">
        <v>1722404500</v>
      </c>
      <c r="D424" s="240">
        <v>1734404500</v>
      </c>
      <c r="E424" s="240">
        <v>890603000</v>
      </c>
      <c r="F424" s="240">
        <v>890603000</v>
      </c>
      <c r="G424" s="240">
        <v>110194475.28742433</v>
      </c>
      <c r="H424" s="280">
        <f>G424/E424</f>
        <v>0.12373018649996051</v>
      </c>
    </row>
    <row r="425" spans="1:8" ht="24.75" customHeight="1">
      <c r="A425" s="752" t="s">
        <v>139</v>
      </c>
      <c r="B425" s="239" t="s">
        <v>612</v>
      </c>
      <c r="C425" s="240">
        <v>835827000</v>
      </c>
      <c r="D425" s="240">
        <v>835827000</v>
      </c>
      <c r="E425" s="240">
        <v>713657000</v>
      </c>
      <c r="F425" s="240">
        <v>713657000</v>
      </c>
      <c r="G425" s="240">
        <v>137340199</v>
      </c>
      <c r="H425" s="280">
        <f>G425/E425</f>
        <v>0.19244566927809859</v>
      </c>
    </row>
    <row r="426" spans="1:8" ht="24.75" customHeight="1">
      <c r="A426" s="753"/>
      <c r="B426" s="239" t="s">
        <v>612</v>
      </c>
      <c r="C426" s="240">
        <v>2638047000</v>
      </c>
      <c r="D426" s="240">
        <v>2626047000</v>
      </c>
      <c r="E426" s="240">
        <v>1639198000</v>
      </c>
      <c r="F426" s="240">
        <v>1639198000</v>
      </c>
      <c r="G426" s="240">
        <v>259673999</v>
      </c>
      <c r="H426" s="280">
        <f t="shared" ref="H426:H432" si="5">G426/E426</f>
        <v>0.15841527320067497</v>
      </c>
    </row>
    <row r="427" spans="1:8" ht="24.75" customHeight="1">
      <c r="A427" s="753"/>
      <c r="B427" s="239" t="s">
        <v>613</v>
      </c>
      <c r="C427" s="240">
        <v>967153000</v>
      </c>
      <c r="D427" s="240">
        <v>756012257</v>
      </c>
      <c r="E427" s="240">
        <v>0</v>
      </c>
      <c r="F427" s="240">
        <v>0</v>
      </c>
      <c r="G427" s="240">
        <v>0</v>
      </c>
      <c r="H427" s="280" t="e">
        <f t="shared" si="5"/>
        <v>#DIV/0!</v>
      </c>
    </row>
    <row r="428" spans="1:8" ht="24.75" customHeight="1">
      <c r="A428" s="753"/>
      <c r="B428" s="239" t="s">
        <v>614</v>
      </c>
      <c r="C428" s="240">
        <v>29282000</v>
      </c>
      <c r="D428" s="240">
        <v>240422743</v>
      </c>
      <c r="E428" s="240">
        <v>0</v>
      </c>
      <c r="F428" s="240">
        <v>0</v>
      </c>
      <c r="G428" s="240">
        <v>0</v>
      </c>
      <c r="H428" s="280" t="e">
        <f t="shared" si="5"/>
        <v>#DIV/0!</v>
      </c>
    </row>
    <row r="429" spans="1:8" ht="24.75" customHeight="1">
      <c r="A429" s="753"/>
      <c r="B429" s="239" t="s">
        <v>612</v>
      </c>
      <c r="C429" s="240">
        <v>1187599500</v>
      </c>
      <c r="D429" s="240">
        <v>1187599500</v>
      </c>
      <c r="E429" s="240">
        <v>1057771000</v>
      </c>
      <c r="F429" s="240">
        <v>1057771000</v>
      </c>
      <c r="G429" s="240">
        <v>200589054.91979602</v>
      </c>
      <c r="H429" s="280">
        <f t="shared" si="5"/>
        <v>0.1896337249932131</v>
      </c>
    </row>
    <row r="430" spans="1:8" ht="24.75" customHeight="1">
      <c r="A430" s="753"/>
      <c r="B430" s="239" t="s">
        <v>612</v>
      </c>
      <c r="C430" s="240">
        <v>1630204500</v>
      </c>
      <c r="D430" s="240">
        <v>1630204500</v>
      </c>
      <c r="E430" s="240">
        <v>1499381500</v>
      </c>
      <c r="F430" s="240">
        <v>1499381500</v>
      </c>
      <c r="G430" s="240">
        <v>230987501</v>
      </c>
      <c r="H430" s="280">
        <f t="shared" si="5"/>
        <v>0.15405518942310545</v>
      </c>
    </row>
    <row r="431" spans="1:8" ht="24.75" customHeight="1">
      <c r="A431" s="753"/>
      <c r="B431" s="239" t="s">
        <v>612</v>
      </c>
      <c r="C431" s="240">
        <v>2834765500</v>
      </c>
      <c r="D431" s="240">
        <v>2834765500</v>
      </c>
      <c r="E431" s="240">
        <v>2238680695</v>
      </c>
      <c r="F431" s="240">
        <v>2238680695</v>
      </c>
      <c r="G431" s="240">
        <v>366131981.33118969</v>
      </c>
      <c r="H431" s="280">
        <f t="shared" si="5"/>
        <v>0.16354810319708846</v>
      </c>
    </row>
    <row r="432" spans="1:8" ht="24.75" customHeight="1">
      <c r="A432" s="753"/>
      <c r="B432" s="239" t="s">
        <v>612</v>
      </c>
      <c r="C432" s="240">
        <v>540599000</v>
      </c>
      <c r="D432" s="240">
        <v>540599000</v>
      </c>
      <c r="E432" s="240">
        <v>444818944</v>
      </c>
      <c r="F432" s="240">
        <v>444818944</v>
      </c>
      <c r="G432" s="240">
        <v>69986967</v>
      </c>
      <c r="H432" s="280">
        <f t="shared" si="5"/>
        <v>0.15733809889175943</v>
      </c>
    </row>
    <row r="433" spans="1:8" ht="24.75" customHeight="1">
      <c r="A433" s="754"/>
      <c r="B433" s="239" t="s">
        <v>612</v>
      </c>
      <c r="C433" s="240">
        <v>1722404500</v>
      </c>
      <c r="D433" s="240">
        <v>1734404500</v>
      </c>
      <c r="E433" s="240">
        <v>921907000</v>
      </c>
      <c r="F433" s="240">
        <v>921907000</v>
      </c>
      <c r="G433" s="240">
        <v>200099220.74901426</v>
      </c>
      <c r="H433" s="280">
        <f>G433/E433</f>
        <v>0.21704924764538533</v>
      </c>
    </row>
    <row r="434" spans="1:8" ht="24.75" customHeight="1">
      <c r="A434" s="752" t="s">
        <v>707</v>
      </c>
      <c r="B434" s="239" t="s">
        <v>612</v>
      </c>
      <c r="C434" s="240">
        <v>835827000</v>
      </c>
      <c r="D434" s="240">
        <v>835827000</v>
      </c>
      <c r="E434" s="240">
        <v>725843000</v>
      </c>
      <c r="F434" s="240">
        <v>725843000</v>
      </c>
      <c r="G434" s="240">
        <v>205660499</v>
      </c>
      <c r="H434" s="280">
        <f>G434/E434</f>
        <v>0.28334019753583073</v>
      </c>
    </row>
    <row r="435" spans="1:8" ht="24.75" customHeight="1">
      <c r="A435" s="753"/>
      <c r="B435" s="239" t="s">
        <v>612</v>
      </c>
      <c r="C435" s="240">
        <v>2638047000</v>
      </c>
      <c r="D435" s="240">
        <v>2627047000</v>
      </c>
      <c r="E435" s="240">
        <v>1750940398</v>
      </c>
      <c r="F435" s="240">
        <v>1750940398</v>
      </c>
      <c r="G435" s="240">
        <v>409871664</v>
      </c>
      <c r="H435" s="280">
        <f t="shared" ref="H435:H450" si="6">G435/E435</f>
        <v>0.23408658825176071</v>
      </c>
    </row>
    <row r="436" spans="1:8" ht="24.75" customHeight="1">
      <c r="A436" s="753"/>
      <c r="B436" s="239" t="s">
        <v>613</v>
      </c>
      <c r="C436" s="240">
        <v>967153000</v>
      </c>
      <c r="D436" s="240">
        <v>756012257</v>
      </c>
      <c r="E436" s="240">
        <v>26454000</v>
      </c>
      <c r="F436" s="240">
        <v>26454000</v>
      </c>
      <c r="G436" s="240">
        <v>0</v>
      </c>
      <c r="H436" s="280">
        <f t="shared" si="6"/>
        <v>0</v>
      </c>
    </row>
    <row r="437" spans="1:8" ht="24.75" customHeight="1">
      <c r="A437" s="753"/>
      <c r="B437" s="239" t="s">
        <v>614</v>
      </c>
      <c r="C437" s="240">
        <v>29282000</v>
      </c>
      <c r="D437" s="240">
        <v>240422743</v>
      </c>
      <c r="E437" s="240">
        <v>0</v>
      </c>
      <c r="F437" s="240">
        <v>0</v>
      </c>
      <c r="G437" s="240">
        <v>0</v>
      </c>
      <c r="H437" s="280" t="e">
        <f t="shared" si="6"/>
        <v>#DIV/0!</v>
      </c>
    </row>
    <row r="438" spans="1:8" ht="24.75" customHeight="1">
      <c r="A438" s="753"/>
      <c r="B438" s="239" t="s">
        <v>612</v>
      </c>
      <c r="C438" s="240">
        <v>1187599500</v>
      </c>
      <c r="D438" s="240">
        <v>1187599500</v>
      </c>
      <c r="E438" s="240">
        <v>1033289666</v>
      </c>
      <c r="F438" s="240">
        <v>1033289666</v>
      </c>
      <c r="G438" s="240">
        <v>315863329.32869726</v>
      </c>
      <c r="H438" s="280">
        <f t="shared" si="6"/>
        <v>0.3056871076156657</v>
      </c>
    </row>
    <row r="439" spans="1:8" ht="24.75" customHeight="1">
      <c r="A439" s="753"/>
      <c r="B439" s="239" t="s">
        <v>612</v>
      </c>
      <c r="C439" s="240">
        <v>1630204500</v>
      </c>
      <c r="D439" s="240">
        <v>1630204500</v>
      </c>
      <c r="E439" s="240">
        <v>1517441500</v>
      </c>
      <c r="F439" s="240">
        <v>1517441500</v>
      </c>
      <c r="G439" s="240">
        <v>351103201</v>
      </c>
      <c r="H439" s="280">
        <f t="shared" si="6"/>
        <v>0.23137840964544598</v>
      </c>
    </row>
    <row r="440" spans="1:8" ht="24.75" customHeight="1">
      <c r="A440" s="753"/>
      <c r="B440" s="239" t="s">
        <v>612</v>
      </c>
      <c r="C440" s="240">
        <v>2834765500</v>
      </c>
      <c r="D440" s="240">
        <v>2834765500</v>
      </c>
      <c r="E440" s="240">
        <v>2560103695</v>
      </c>
      <c r="F440" s="240">
        <v>2560103695</v>
      </c>
      <c r="G440" s="240">
        <v>551337552.26366568</v>
      </c>
      <c r="H440" s="280">
        <f t="shared" si="6"/>
        <v>0.21535750811205548</v>
      </c>
    </row>
    <row r="441" spans="1:8" ht="24.75" customHeight="1">
      <c r="A441" s="753"/>
      <c r="B441" s="239" t="s">
        <v>612</v>
      </c>
      <c r="C441" s="240">
        <v>540599000</v>
      </c>
      <c r="D441" s="240">
        <v>540599000</v>
      </c>
      <c r="E441" s="240">
        <v>444818944</v>
      </c>
      <c r="F441" s="240">
        <v>444818944</v>
      </c>
      <c r="G441" s="240">
        <v>114670967</v>
      </c>
      <c r="H441" s="280">
        <f t="shared" si="6"/>
        <v>0.25779245364154274</v>
      </c>
    </row>
    <row r="442" spans="1:8" ht="24.75" customHeight="1">
      <c r="A442" s="754"/>
      <c r="B442" s="239" t="s">
        <v>612</v>
      </c>
      <c r="C442" s="240">
        <v>1722404500</v>
      </c>
      <c r="D442" s="240">
        <v>1733404500</v>
      </c>
      <c r="E442" s="240">
        <v>921907000</v>
      </c>
      <c r="F442" s="240">
        <v>921907000</v>
      </c>
      <c r="G442" s="240">
        <v>282378446.40763712</v>
      </c>
      <c r="H442" s="280">
        <f t="shared" si="6"/>
        <v>0.30629819104056821</v>
      </c>
    </row>
    <row r="443" spans="1:8" ht="24.75" customHeight="1">
      <c r="A443" s="752" t="s">
        <v>710</v>
      </c>
      <c r="B443" s="336" t="s">
        <v>612</v>
      </c>
      <c r="C443" s="337">
        <v>835827000</v>
      </c>
      <c r="D443" s="337">
        <v>835827000</v>
      </c>
      <c r="E443" s="337">
        <v>753209000</v>
      </c>
      <c r="F443" s="337">
        <v>753209000</v>
      </c>
      <c r="G443" s="337">
        <v>292931266</v>
      </c>
      <c r="H443" s="338">
        <f t="shared" si="6"/>
        <v>0.38891100079791929</v>
      </c>
    </row>
    <row r="444" spans="1:8" ht="24.75" customHeight="1">
      <c r="A444" s="753"/>
      <c r="B444" s="336" t="s">
        <v>612</v>
      </c>
      <c r="C444" s="337">
        <v>2638047000</v>
      </c>
      <c r="D444" s="337">
        <v>2590579500</v>
      </c>
      <c r="E444" s="337">
        <v>1751666178</v>
      </c>
      <c r="F444" s="337">
        <v>1751666178</v>
      </c>
      <c r="G444" s="337">
        <v>590508044</v>
      </c>
      <c r="H444" s="338">
        <f t="shared" si="6"/>
        <v>0.33711220289371824</v>
      </c>
    </row>
    <row r="445" spans="1:8" ht="24.75" customHeight="1">
      <c r="A445" s="753"/>
      <c r="B445" s="336" t="s">
        <v>613</v>
      </c>
      <c r="C445" s="337">
        <v>967153000</v>
      </c>
      <c r="D445" s="337">
        <v>756012257</v>
      </c>
      <c r="E445" s="337">
        <v>26454000</v>
      </c>
      <c r="F445" s="337">
        <v>26454000</v>
      </c>
      <c r="G445" s="337">
        <v>2057533</v>
      </c>
      <c r="H445" s="338">
        <f t="shared" si="6"/>
        <v>7.7777765177288877E-2</v>
      </c>
    </row>
    <row r="446" spans="1:8" ht="24.75" customHeight="1">
      <c r="A446" s="753"/>
      <c r="B446" s="336" t="s">
        <v>614</v>
      </c>
      <c r="C446" s="337">
        <v>29282000</v>
      </c>
      <c r="D446" s="337">
        <v>240422743</v>
      </c>
      <c r="E446" s="337">
        <v>0</v>
      </c>
      <c r="F446" s="337">
        <v>0</v>
      </c>
      <c r="G446" s="337">
        <v>0</v>
      </c>
      <c r="H446" s="338" t="e">
        <f t="shared" si="6"/>
        <v>#DIV/0!</v>
      </c>
    </row>
    <row r="447" spans="1:8" ht="24.75" customHeight="1">
      <c r="A447" s="753"/>
      <c r="B447" s="336" t="s">
        <v>612</v>
      </c>
      <c r="C447" s="337">
        <v>1187599500</v>
      </c>
      <c r="D447" s="337">
        <v>1163612666</v>
      </c>
      <c r="E447" s="337">
        <v>1066399666</v>
      </c>
      <c r="F447" s="337">
        <v>1066399666</v>
      </c>
      <c r="G447" s="337">
        <v>421036689.72786278</v>
      </c>
      <c r="H447" s="338">
        <f t="shared" si="6"/>
        <v>0.39482072542946839</v>
      </c>
    </row>
    <row r="448" spans="1:8" ht="24.75" customHeight="1">
      <c r="A448" s="753"/>
      <c r="B448" s="336" t="s">
        <v>612</v>
      </c>
      <c r="C448" s="337">
        <v>1630204500</v>
      </c>
      <c r="D448" s="337">
        <v>1594299000</v>
      </c>
      <c r="E448" s="337">
        <v>1517441500</v>
      </c>
      <c r="F448" s="337">
        <v>1517441500</v>
      </c>
      <c r="G448" s="337">
        <v>504237801</v>
      </c>
      <c r="H448" s="338">
        <f t="shared" si="6"/>
        <v>0.33229472174050861</v>
      </c>
    </row>
    <row r="449" spans="1:8" ht="24.75" customHeight="1">
      <c r="A449" s="753"/>
      <c r="B449" s="336" t="s">
        <v>612</v>
      </c>
      <c r="C449" s="337">
        <v>2834765500</v>
      </c>
      <c r="D449" s="337">
        <v>2917453000</v>
      </c>
      <c r="E449" s="337">
        <v>2560103695</v>
      </c>
      <c r="F449" s="337">
        <v>2560103695</v>
      </c>
      <c r="G449" s="337">
        <v>801735056.19614148</v>
      </c>
      <c r="H449" s="338">
        <f t="shared" si="6"/>
        <v>0.3131650713062783</v>
      </c>
    </row>
    <row r="450" spans="1:8" ht="24.75" customHeight="1">
      <c r="A450" s="753"/>
      <c r="B450" s="336" t="s">
        <v>612</v>
      </c>
      <c r="C450" s="337">
        <v>540599000</v>
      </c>
      <c r="D450" s="337">
        <v>540599000</v>
      </c>
      <c r="E450" s="337">
        <v>481666944</v>
      </c>
      <c r="F450" s="337">
        <v>481666944</v>
      </c>
      <c r="G450" s="337">
        <v>159354967</v>
      </c>
      <c r="H450" s="338">
        <f t="shared" si="6"/>
        <v>0.33084057144681284</v>
      </c>
    </row>
    <row r="451" spans="1:8" ht="24.75" customHeight="1">
      <c r="A451" s="754"/>
      <c r="B451" s="336" t="s">
        <v>612</v>
      </c>
      <c r="C451" s="337">
        <v>1722404500</v>
      </c>
      <c r="D451" s="337">
        <v>1747076834</v>
      </c>
      <c r="E451" s="337">
        <v>921907000</v>
      </c>
      <c r="F451" s="337">
        <v>921907000</v>
      </c>
      <c r="G451" s="337">
        <v>380610827.07599574</v>
      </c>
      <c r="H451" s="338">
        <f>G451/E451</f>
        <v>0.41285165106241273</v>
      </c>
    </row>
    <row r="452" spans="1:8" ht="24.75" customHeight="1">
      <c r="A452" s="752" t="s">
        <v>712</v>
      </c>
      <c r="B452" s="336" t="s">
        <v>612</v>
      </c>
      <c r="C452" s="337">
        <v>835827000</v>
      </c>
      <c r="D452" s="337">
        <v>809640000</v>
      </c>
      <c r="E452" s="337">
        <v>753209000</v>
      </c>
      <c r="F452" s="337">
        <v>753209000</v>
      </c>
      <c r="G452" s="337">
        <v>377647666</v>
      </c>
      <c r="H452" s="338">
        <f t="shared" ref="H452:H461" si="7">G452/E452</f>
        <v>0.50138496220836448</v>
      </c>
    </row>
    <row r="453" spans="1:8" ht="24.75" customHeight="1">
      <c r="A453" s="753"/>
      <c r="B453" s="336" t="s">
        <v>612</v>
      </c>
      <c r="C453" s="337">
        <v>2638047000</v>
      </c>
      <c r="D453" s="337">
        <v>2533721000</v>
      </c>
      <c r="E453" s="337">
        <v>1752391958</v>
      </c>
      <c r="F453" s="337">
        <v>1752391958</v>
      </c>
      <c r="G453" s="337">
        <v>783211091</v>
      </c>
      <c r="H453" s="338">
        <f t="shared" si="7"/>
        <v>0.44693830476937169</v>
      </c>
    </row>
    <row r="454" spans="1:8" ht="24.75" customHeight="1">
      <c r="A454" s="753"/>
      <c r="B454" s="336" t="s">
        <v>613</v>
      </c>
      <c r="C454" s="337">
        <v>967153000</v>
      </c>
      <c r="D454" s="337">
        <v>756012257</v>
      </c>
      <c r="E454" s="337">
        <v>26454000</v>
      </c>
      <c r="F454" s="337">
        <v>26454000</v>
      </c>
      <c r="G454" s="337">
        <v>2057533</v>
      </c>
      <c r="H454" s="338">
        <f t="shared" si="7"/>
        <v>7.7777765177288877E-2</v>
      </c>
    </row>
    <row r="455" spans="1:8" ht="24.75" customHeight="1">
      <c r="A455" s="753"/>
      <c r="B455" s="336" t="s">
        <v>614</v>
      </c>
      <c r="C455" s="337">
        <v>29282000</v>
      </c>
      <c r="D455" s="337">
        <v>240422743</v>
      </c>
      <c r="E455" s="337">
        <v>0</v>
      </c>
      <c r="F455" s="337">
        <v>0</v>
      </c>
      <c r="G455" s="337">
        <v>0</v>
      </c>
      <c r="H455" s="338" t="e">
        <f t="shared" si="7"/>
        <v>#DIV/0!</v>
      </c>
    </row>
    <row r="456" spans="1:8" ht="24.75" customHeight="1">
      <c r="A456" s="753"/>
      <c r="B456" s="336" t="s">
        <v>612</v>
      </c>
      <c r="C456" s="337">
        <v>1187599500</v>
      </c>
      <c r="D456" s="337">
        <v>1161874533</v>
      </c>
      <c r="E456" s="337">
        <v>1066399666</v>
      </c>
      <c r="F456" s="337">
        <v>1066399666</v>
      </c>
      <c r="G456" s="337">
        <v>541812973.27862775</v>
      </c>
      <c r="H456" s="338">
        <f t="shared" si="7"/>
        <v>0.50807684075046189</v>
      </c>
    </row>
    <row r="457" spans="1:8" ht="24.75" customHeight="1">
      <c r="A457" s="753"/>
      <c r="B457" s="336" t="s">
        <v>719</v>
      </c>
      <c r="C457" s="337">
        <v>0</v>
      </c>
      <c r="D457" s="337">
        <v>1738133</v>
      </c>
      <c r="E457" s="337">
        <v>0</v>
      </c>
      <c r="F457" s="337">
        <v>0</v>
      </c>
      <c r="G457" s="337">
        <v>0</v>
      </c>
      <c r="H457" s="338" t="e">
        <f t="shared" si="7"/>
        <v>#DIV/0!</v>
      </c>
    </row>
    <row r="458" spans="1:8" ht="24.75" customHeight="1">
      <c r="A458" s="753"/>
      <c r="B458" s="336" t="s">
        <v>612</v>
      </c>
      <c r="C458" s="337">
        <v>1630204500</v>
      </c>
      <c r="D458" s="337">
        <v>1555946068</v>
      </c>
      <c r="E458" s="337">
        <v>1517441500</v>
      </c>
      <c r="F458" s="337">
        <v>1517441500</v>
      </c>
      <c r="G458" s="337">
        <v>656296134</v>
      </c>
      <c r="H458" s="338">
        <f t="shared" si="7"/>
        <v>0.43250176959045866</v>
      </c>
    </row>
    <row r="459" spans="1:8" ht="24.75" customHeight="1">
      <c r="A459" s="753"/>
      <c r="B459" s="336" t="s">
        <v>719</v>
      </c>
      <c r="C459" s="337">
        <v>0</v>
      </c>
      <c r="D459" s="337">
        <v>1398432</v>
      </c>
      <c r="E459" s="337">
        <v>0</v>
      </c>
      <c r="F459" s="337">
        <v>0</v>
      </c>
      <c r="G459" s="337">
        <v>0</v>
      </c>
      <c r="H459" s="338" t="e">
        <f t="shared" si="7"/>
        <v>#DIV/0!</v>
      </c>
    </row>
    <row r="460" spans="1:8" ht="24.75" customHeight="1">
      <c r="A460" s="753"/>
      <c r="B460" s="336" t="s">
        <v>612</v>
      </c>
      <c r="C460" s="337">
        <v>2834765500</v>
      </c>
      <c r="D460" s="337">
        <v>3037453000</v>
      </c>
      <c r="E460" s="337">
        <v>2577120695</v>
      </c>
      <c r="F460" s="337">
        <v>2577120695</v>
      </c>
      <c r="G460" s="337">
        <v>1209077382.8906753</v>
      </c>
      <c r="H460" s="338">
        <f t="shared" si="7"/>
        <v>0.46915822966167881</v>
      </c>
    </row>
    <row r="461" spans="1:8" ht="24.75" customHeight="1">
      <c r="A461" s="753"/>
      <c r="B461" s="336" t="s">
        <v>612</v>
      </c>
      <c r="C461" s="337">
        <v>540599000</v>
      </c>
      <c r="D461" s="337">
        <v>540599000</v>
      </c>
      <c r="E461" s="337">
        <v>481666944</v>
      </c>
      <c r="F461" s="337">
        <v>481666944</v>
      </c>
      <c r="G461" s="337">
        <v>208101367</v>
      </c>
      <c r="H461" s="338">
        <f t="shared" si="7"/>
        <v>0.43204411179190244</v>
      </c>
    </row>
    <row r="462" spans="1:8" ht="24.75" customHeight="1">
      <c r="A462" s="754"/>
      <c r="B462" s="336" t="s">
        <v>612</v>
      </c>
      <c r="C462" s="337">
        <v>1722404500</v>
      </c>
      <c r="D462" s="337">
        <v>1747076834</v>
      </c>
      <c r="E462" s="337">
        <v>942907000</v>
      </c>
      <c r="F462" s="337">
        <v>942907000</v>
      </c>
      <c r="G462" s="337">
        <v>495558542.83069706</v>
      </c>
      <c r="H462" s="338">
        <f>G462/E462</f>
        <v>0.52556460269220295</v>
      </c>
    </row>
    <row r="463" spans="1:8" ht="24.75" customHeight="1">
      <c r="A463" s="752" t="s">
        <v>721</v>
      </c>
      <c r="B463" s="336" t="s">
        <v>612</v>
      </c>
      <c r="C463" s="337">
        <v>835827000</v>
      </c>
      <c r="D463" s="337">
        <v>769139000</v>
      </c>
      <c r="E463" s="337">
        <v>753209000</v>
      </c>
      <c r="F463" s="337">
        <v>753209000</v>
      </c>
      <c r="G463" s="337">
        <v>456465666</v>
      </c>
      <c r="H463" s="338">
        <f t="shared" ref="H463:H469" si="8">G463/E463</f>
        <v>0.60602789663957812</v>
      </c>
    </row>
    <row r="464" spans="1:8" ht="24.75" customHeight="1">
      <c r="A464" s="753"/>
      <c r="B464" s="336" t="s">
        <v>612</v>
      </c>
      <c r="C464" s="337">
        <v>2638047000</v>
      </c>
      <c r="D464" s="337">
        <v>2501515000</v>
      </c>
      <c r="E464" s="337">
        <v>1776937947</v>
      </c>
      <c r="F464" s="337">
        <v>1776937947</v>
      </c>
      <c r="G464" s="337">
        <v>976184238</v>
      </c>
      <c r="H464" s="338">
        <f t="shared" si="8"/>
        <v>0.54936315567355032</v>
      </c>
    </row>
    <row r="465" spans="1:8" ht="24.75" customHeight="1">
      <c r="A465" s="753"/>
      <c r="B465" s="336" t="s">
        <v>613</v>
      </c>
      <c r="C465" s="337">
        <v>967153000</v>
      </c>
      <c r="D465" s="337">
        <v>756012257</v>
      </c>
      <c r="E465" s="337">
        <v>47691000</v>
      </c>
      <c r="F465" s="337">
        <v>47691000</v>
      </c>
      <c r="G465" s="337">
        <v>10875533</v>
      </c>
      <c r="H465" s="338">
        <f t="shared" si="8"/>
        <v>0.22804162210899331</v>
      </c>
    </row>
    <row r="466" spans="1:8" ht="24.75" customHeight="1">
      <c r="A466" s="753"/>
      <c r="B466" s="336" t="s">
        <v>614</v>
      </c>
      <c r="C466" s="337">
        <v>29282000</v>
      </c>
      <c r="D466" s="337">
        <v>240422743</v>
      </c>
      <c r="E466" s="337">
        <v>0</v>
      </c>
      <c r="F466" s="337">
        <v>0</v>
      </c>
      <c r="G466" s="337">
        <v>0</v>
      </c>
      <c r="H466" s="338" t="e">
        <f t="shared" si="8"/>
        <v>#DIV/0!</v>
      </c>
    </row>
    <row r="467" spans="1:8" ht="24.75" customHeight="1">
      <c r="A467" s="753"/>
      <c r="B467" s="336" t="s">
        <v>612</v>
      </c>
      <c r="C467" s="337">
        <v>1187599500</v>
      </c>
      <c r="D467" s="337">
        <v>1144220533</v>
      </c>
      <c r="E467" s="337">
        <v>1066399666</v>
      </c>
      <c r="F467" s="337">
        <v>1066399666</v>
      </c>
      <c r="G467" s="337">
        <v>660370298.11914694</v>
      </c>
      <c r="H467" s="338">
        <f t="shared" si="8"/>
        <v>0.61925216143039086</v>
      </c>
    </row>
    <row r="468" spans="1:8" ht="24.75" customHeight="1">
      <c r="A468" s="753"/>
      <c r="B468" s="336" t="s">
        <v>719</v>
      </c>
      <c r="C468" s="337">
        <v>0</v>
      </c>
      <c r="D468" s="337">
        <v>1738133</v>
      </c>
      <c r="E468" s="337">
        <v>0</v>
      </c>
      <c r="F468" s="337">
        <v>0</v>
      </c>
      <c r="G468" s="337">
        <v>0</v>
      </c>
      <c r="H468" s="338" t="e">
        <f t="shared" si="8"/>
        <v>#DIV/0!</v>
      </c>
    </row>
    <row r="469" spans="1:8" ht="24.75" customHeight="1">
      <c r="A469" s="753"/>
      <c r="B469" s="336" t="s">
        <v>612</v>
      </c>
      <c r="C469" s="337">
        <v>1630204500</v>
      </c>
      <c r="D469" s="337">
        <v>1535188068</v>
      </c>
      <c r="E469" s="337">
        <v>1517441500</v>
      </c>
      <c r="F469" s="337">
        <v>1517441500</v>
      </c>
      <c r="G469" s="337">
        <v>801336235</v>
      </c>
      <c r="H469" s="338">
        <f t="shared" si="8"/>
        <v>0.52808377456396183</v>
      </c>
    </row>
    <row r="470" spans="1:8" ht="24.75" customHeight="1">
      <c r="A470" s="753"/>
      <c r="B470" s="336" t="s">
        <v>719</v>
      </c>
      <c r="C470" s="337">
        <v>0</v>
      </c>
      <c r="D470" s="337">
        <v>1398432</v>
      </c>
      <c r="E470" s="337">
        <v>0</v>
      </c>
      <c r="F470" s="337">
        <v>0</v>
      </c>
      <c r="G470" s="337">
        <v>0</v>
      </c>
      <c r="H470" s="338"/>
    </row>
    <row r="471" spans="1:8" ht="24.75" customHeight="1">
      <c r="A471" s="753"/>
      <c r="B471" s="336" t="s">
        <v>612</v>
      </c>
      <c r="C471" s="337">
        <v>2834765500</v>
      </c>
      <c r="D471" s="337">
        <v>2991544000</v>
      </c>
      <c r="E471" s="337">
        <v>2745120695</v>
      </c>
      <c r="F471" s="337">
        <v>2745120695</v>
      </c>
      <c r="G471" s="337">
        <v>1475620334</v>
      </c>
      <c r="H471" s="338">
        <f t="shared" ref="H471:H472" si="9">G471/E471</f>
        <v>0.53754297094758519</v>
      </c>
    </row>
    <row r="472" spans="1:8" ht="24.75" customHeight="1">
      <c r="A472" s="753"/>
      <c r="B472" s="336" t="s">
        <v>612</v>
      </c>
      <c r="C472" s="337">
        <v>540599000</v>
      </c>
      <c r="D472" s="337">
        <v>540599000</v>
      </c>
      <c r="E472" s="337">
        <v>481666944</v>
      </c>
      <c r="F472" s="337">
        <v>481666944</v>
      </c>
      <c r="G472" s="337">
        <v>257863367</v>
      </c>
      <c r="H472" s="338">
        <f t="shared" si="9"/>
        <v>0.53535616303368327</v>
      </c>
    </row>
    <row r="473" spans="1:8" ht="24.75" customHeight="1">
      <c r="A473" s="754"/>
      <c r="B473" s="336" t="s">
        <v>612</v>
      </c>
      <c r="C473" s="337">
        <v>1722404500</v>
      </c>
      <c r="D473" s="337">
        <v>1904104834</v>
      </c>
      <c r="E473" s="337">
        <v>1085607000</v>
      </c>
      <c r="F473" s="337">
        <v>1085607000</v>
      </c>
      <c r="G473" s="337">
        <v>591809020.88085306</v>
      </c>
      <c r="H473" s="338">
        <f>G473/E473</f>
        <v>0.54514112462507436</v>
      </c>
    </row>
    <row r="474" spans="1:8" ht="24.75" customHeight="1">
      <c r="A474" s="752" t="s">
        <v>738</v>
      </c>
      <c r="B474" s="336" t="s">
        <v>612</v>
      </c>
      <c r="C474" s="337">
        <v>835827000</v>
      </c>
      <c r="D474" s="337">
        <v>794087053</v>
      </c>
      <c r="E474" s="337">
        <v>757691652</v>
      </c>
      <c r="F474" s="337">
        <v>757691652</v>
      </c>
      <c r="G474" s="337">
        <v>533295666</v>
      </c>
      <c r="H474" s="338">
        <f>G474/E474</f>
        <v>0.70384260482785421</v>
      </c>
    </row>
    <row r="475" spans="1:8" ht="24.75" customHeight="1">
      <c r="A475" s="753"/>
      <c r="B475" s="336" t="s">
        <v>612</v>
      </c>
      <c r="C475" s="337">
        <v>2638047000</v>
      </c>
      <c r="D475" s="337">
        <v>2567223800</v>
      </c>
      <c r="E475" s="337">
        <v>1828087901</v>
      </c>
      <c r="F475" s="337">
        <v>1828087901</v>
      </c>
      <c r="G475" s="337">
        <v>1193174958</v>
      </c>
      <c r="H475" s="338">
        <f t="shared" ref="H475:H480" si="10">G475/E475</f>
        <v>0.65269014545050585</v>
      </c>
    </row>
    <row r="476" spans="1:8" ht="24.75" customHeight="1">
      <c r="A476" s="753"/>
      <c r="B476" s="336" t="s">
        <v>613</v>
      </c>
      <c r="C476" s="337">
        <v>967153000</v>
      </c>
      <c r="D476" s="337">
        <v>756012257</v>
      </c>
      <c r="E476" s="337">
        <v>47691000</v>
      </c>
      <c r="F476" s="337">
        <v>47691000</v>
      </c>
      <c r="G476" s="337">
        <v>18352100</v>
      </c>
      <c r="H476" s="338">
        <f t="shared" si="10"/>
        <v>0.38481264808873794</v>
      </c>
    </row>
    <row r="477" spans="1:8" ht="24.75" customHeight="1">
      <c r="A477" s="753"/>
      <c r="B477" s="336" t="s">
        <v>614</v>
      </c>
      <c r="C477" s="337">
        <v>29282000</v>
      </c>
      <c r="D477" s="337">
        <v>240422743</v>
      </c>
      <c r="E477" s="337">
        <v>222786743</v>
      </c>
      <c r="F477" s="337">
        <v>222786743</v>
      </c>
      <c r="G477" s="337"/>
      <c r="H477" s="338">
        <f t="shared" si="10"/>
        <v>0</v>
      </c>
    </row>
    <row r="478" spans="1:8" ht="24.75" customHeight="1">
      <c r="A478" s="753"/>
      <c r="B478" s="336" t="s">
        <v>612</v>
      </c>
      <c r="C478" s="337">
        <v>1187599500</v>
      </c>
      <c r="D478" s="337">
        <v>1203160966</v>
      </c>
      <c r="E478" s="337">
        <v>1066399666</v>
      </c>
      <c r="F478" s="337">
        <v>1066399666</v>
      </c>
      <c r="G478" s="337">
        <v>772830134.23412144</v>
      </c>
      <c r="H478" s="338">
        <f t="shared" si="10"/>
        <v>0.72470965518299535</v>
      </c>
    </row>
    <row r="479" spans="1:8" ht="24.75" customHeight="1">
      <c r="A479" s="753"/>
      <c r="B479" s="336" t="s">
        <v>719</v>
      </c>
      <c r="C479" s="337">
        <v>0</v>
      </c>
      <c r="D479" s="337">
        <v>1738133</v>
      </c>
      <c r="E479" s="337">
        <v>0</v>
      </c>
      <c r="F479" s="337">
        <v>0</v>
      </c>
      <c r="G479" s="337">
        <v>0</v>
      </c>
      <c r="H479" s="338" t="e">
        <f t="shared" si="10"/>
        <v>#DIV/0!</v>
      </c>
    </row>
    <row r="480" spans="1:8" ht="24.75" customHeight="1">
      <c r="A480" s="753"/>
      <c r="B480" s="336" t="s">
        <v>612</v>
      </c>
      <c r="C480" s="337">
        <v>1630204500</v>
      </c>
      <c r="D480" s="337">
        <v>1593483500</v>
      </c>
      <c r="E480" s="337">
        <v>1517441500</v>
      </c>
      <c r="F480" s="337">
        <v>1517441500</v>
      </c>
      <c r="G480" s="337">
        <v>969273501</v>
      </c>
      <c r="H480" s="338">
        <f t="shared" si="10"/>
        <v>0.63875510258550328</v>
      </c>
    </row>
    <row r="481" spans="1:8" ht="24.75" customHeight="1">
      <c r="A481" s="753"/>
      <c r="B481" s="336" t="s">
        <v>719</v>
      </c>
      <c r="C481" s="337">
        <v>0</v>
      </c>
      <c r="D481" s="337">
        <v>1398432</v>
      </c>
      <c r="E481" s="337">
        <v>0</v>
      </c>
      <c r="F481" s="337">
        <v>0</v>
      </c>
      <c r="G481" s="337">
        <v>0</v>
      </c>
      <c r="H481" s="338"/>
    </row>
    <row r="482" spans="1:8" ht="24.75" customHeight="1">
      <c r="A482" s="753"/>
      <c r="B482" s="336" t="s">
        <v>612</v>
      </c>
      <c r="C482" s="337">
        <v>2834765500</v>
      </c>
      <c r="D482" s="337">
        <v>3053478695</v>
      </c>
      <c r="E482" s="337">
        <v>2752134695</v>
      </c>
      <c r="F482" s="337">
        <v>2752134695</v>
      </c>
      <c r="G482" s="337">
        <v>1770344713</v>
      </c>
      <c r="H482" s="338">
        <f t="shared" ref="H482:H483" si="11">G482/E482</f>
        <v>0.64326237964163302</v>
      </c>
    </row>
    <row r="483" spans="1:8" ht="24.75" customHeight="1">
      <c r="A483" s="753"/>
      <c r="B483" s="336" t="s">
        <v>612</v>
      </c>
      <c r="C483" s="337">
        <v>540599000</v>
      </c>
      <c r="D483" s="337">
        <v>558846267</v>
      </c>
      <c r="E483" s="337">
        <v>481666944</v>
      </c>
      <c r="F483" s="337">
        <v>481666944</v>
      </c>
      <c r="G483" s="337">
        <v>318163485</v>
      </c>
      <c r="H483" s="338">
        <f t="shared" si="11"/>
        <v>0.66054664735307222</v>
      </c>
    </row>
    <row r="484" spans="1:8" ht="24.75" customHeight="1">
      <c r="A484" s="754"/>
      <c r="B484" s="336" t="s">
        <v>612</v>
      </c>
      <c r="C484" s="337">
        <v>1722404500</v>
      </c>
      <c r="D484" s="337">
        <v>1616030154</v>
      </c>
      <c r="E484" s="337">
        <v>1085607000</v>
      </c>
      <c r="F484" s="337">
        <v>1085607000</v>
      </c>
      <c r="G484" s="337">
        <v>686539547.76587856</v>
      </c>
      <c r="H484" s="338">
        <f>G484/E484</f>
        <v>0.63240154841105345</v>
      </c>
    </row>
    <row r="485" spans="1:8" ht="24.75" customHeight="1">
      <c r="A485" s="752" t="s">
        <v>132</v>
      </c>
      <c r="B485" s="336" t="s">
        <v>612</v>
      </c>
      <c r="C485" s="337">
        <v>835827000</v>
      </c>
      <c r="D485" s="337">
        <v>785712653</v>
      </c>
      <c r="E485" s="337">
        <v>785712653</v>
      </c>
      <c r="F485" s="337">
        <v>785712653</v>
      </c>
      <c r="G485" s="337">
        <v>601445318</v>
      </c>
      <c r="H485" s="338">
        <f>G485/E485</f>
        <v>0.76547744993486821</v>
      </c>
    </row>
    <row r="486" spans="1:8" ht="24.75" customHeight="1">
      <c r="A486" s="753"/>
      <c r="B486" s="336" t="s">
        <v>612</v>
      </c>
      <c r="C486" s="337">
        <v>2638047000</v>
      </c>
      <c r="D486" s="337">
        <v>2575598200</v>
      </c>
      <c r="E486" s="337">
        <v>1854063081</v>
      </c>
      <c r="F486" s="337">
        <v>1854063081</v>
      </c>
      <c r="G486" s="337">
        <v>1436659888</v>
      </c>
      <c r="H486" s="338">
        <f t="shared" ref="H486:H496" si="12">G486/E486</f>
        <v>0.77487109404342858</v>
      </c>
    </row>
    <row r="487" spans="1:8" ht="24.75" customHeight="1">
      <c r="A487" s="753"/>
      <c r="B487" s="336" t="s">
        <v>613</v>
      </c>
      <c r="C487" s="337">
        <v>967153000</v>
      </c>
      <c r="D487" s="337">
        <v>756012257</v>
      </c>
      <c r="E487" s="337">
        <v>47691000</v>
      </c>
      <c r="F487" s="337">
        <v>47691000</v>
      </c>
      <c r="G487" s="337">
        <v>29840100</v>
      </c>
      <c r="H487" s="338">
        <f t="shared" si="12"/>
        <v>0.62569667232811221</v>
      </c>
    </row>
    <row r="488" spans="1:8" ht="24.75" customHeight="1">
      <c r="A488" s="753"/>
      <c r="B488" s="336" t="s">
        <v>614</v>
      </c>
      <c r="C488" s="337">
        <v>29282000</v>
      </c>
      <c r="D488" s="337">
        <v>240422743</v>
      </c>
      <c r="E488" s="337">
        <v>222786743</v>
      </c>
      <c r="F488" s="337">
        <v>222786743</v>
      </c>
      <c r="G488" s="337">
        <v>0</v>
      </c>
      <c r="H488" s="338">
        <f t="shared" si="12"/>
        <v>0</v>
      </c>
    </row>
    <row r="489" spans="1:8" ht="24.75" customHeight="1">
      <c r="A489" s="753"/>
      <c r="B489" s="336" t="s">
        <v>612</v>
      </c>
      <c r="C489" s="337">
        <v>1187599500</v>
      </c>
      <c r="D489" s="337">
        <v>1206419466</v>
      </c>
      <c r="E489" s="337">
        <v>1128719166</v>
      </c>
      <c r="F489" s="337">
        <v>1128719166</v>
      </c>
      <c r="G489" s="337">
        <v>894815730.15438104</v>
      </c>
      <c r="H489" s="338">
        <f t="shared" si="12"/>
        <v>0.79277091867365446</v>
      </c>
    </row>
    <row r="490" spans="1:8" ht="24.75" customHeight="1">
      <c r="A490" s="753"/>
      <c r="B490" s="336" t="s">
        <v>719</v>
      </c>
      <c r="C490" s="337">
        <v>0</v>
      </c>
      <c r="D490" s="337">
        <v>1738133</v>
      </c>
      <c r="E490" s="337">
        <v>0</v>
      </c>
      <c r="F490" s="337">
        <v>0</v>
      </c>
      <c r="G490" s="337">
        <v>0</v>
      </c>
      <c r="H490" s="338" t="e">
        <f t="shared" si="12"/>
        <v>#DIV/0!</v>
      </c>
    </row>
    <row r="491" spans="1:8" ht="24.75" customHeight="1">
      <c r="A491" s="753"/>
      <c r="B491" s="336" t="s">
        <v>612</v>
      </c>
      <c r="C491" s="337">
        <v>1630204500</v>
      </c>
      <c r="D491" s="337">
        <v>1598182400</v>
      </c>
      <c r="E491" s="337">
        <v>1567170300</v>
      </c>
      <c r="F491" s="337">
        <v>1567170300</v>
      </c>
      <c r="G491" s="337">
        <v>1141259235</v>
      </c>
      <c r="H491" s="338">
        <f t="shared" si="12"/>
        <v>0.72822923903037218</v>
      </c>
    </row>
    <row r="492" spans="1:8" ht="24.75" customHeight="1">
      <c r="A492" s="753"/>
      <c r="B492" s="336" t="s">
        <v>719</v>
      </c>
      <c r="C492" s="337">
        <v>0</v>
      </c>
      <c r="D492" s="337">
        <v>1398432</v>
      </c>
      <c r="E492" s="337">
        <v>0</v>
      </c>
      <c r="F492" s="337">
        <v>0</v>
      </c>
      <c r="G492" s="337">
        <v>0</v>
      </c>
      <c r="H492" s="338" t="e">
        <f t="shared" si="12"/>
        <v>#DIV/0!</v>
      </c>
    </row>
    <row r="493" spans="1:8" ht="24.75" customHeight="1">
      <c r="A493" s="753"/>
      <c r="B493" s="336" t="s">
        <v>612</v>
      </c>
      <c r="C493" s="337">
        <v>2834765500</v>
      </c>
      <c r="D493" s="337">
        <v>3064957095</v>
      </c>
      <c r="E493" s="337">
        <v>2796009795</v>
      </c>
      <c r="F493" s="337">
        <v>2796009795</v>
      </c>
      <c r="G493" s="337">
        <v>2044238251</v>
      </c>
      <c r="H493" s="338">
        <f t="shared" si="12"/>
        <v>0.73112699914558066</v>
      </c>
    </row>
    <row r="494" spans="1:8" ht="24.75" customHeight="1">
      <c r="A494" s="753"/>
      <c r="B494" s="336" t="s">
        <v>612</v>
      </c>
      <c r="C494" s="337">
        <v>540599000</v>
      </c>
      <c r="D494" s="337">
        <v>554202067</v>
      </c>
      <c r="E494" s="337">
        <v>513434344</v>
      </c>
      <c r="F494" s="337">
        <v>513434344</v>
      </c>
      <c r="G494" s="337">
        <v>368205909</v>
      </c>
      <c r="H494" s="338">
        <f t="shared" si="12"/>
        <v>0.71714312317214213</v>
      </c>
    </row>
    <row r="495" spans="1:8" ht="24.75" customHeight="1">
      <c r="A495" s="753"/>
      <c r="B495" s="336" t="s">
        <v>612</v>
      </c>
      <c r="C495" s="337">
        <v>0</v>
      </c>
      <c r="D495" s="337">
        <v>4644200</v>
      </c>
      <c r="E495" s="337">
        <v>0</v>
      </c>
      <c r="F495" s="337">
        <v>0</v>
      </c>
      <c r="G495" s="337">
        <v>0</v>
      </c>
      <c r="H495" s="338" t="e">
        <f t="shared" si="12"/>
        <v>#DIV/0!</v>
      </c>
    </row>
    <row r="496" spans="1:8" ht="24.75" customHeight="1">
      <c r="A496" s="754"/>
      <c r="B496" s="336" t="s">
        <v>612</v>
      </c>
      <c r="C496" s="452">
        <v>1722404500</v>
      </c>
      <c r="D496" s="452">
        <v>1596594354</v>
      </c>
      <c r="E496" s="452">
        <v>1129378400</v>
      </c>
      <c r="F496" s="452">
        <v>1129378400</v>
      </c>
      <c r="G496" s="452">
        <v>777401058.84561896</v>
      </c>
      <c r="H496" s="338">
        <f t="shared" si="12"/>
        <v>0.68834418902080907</v>
      </c>
    </row>
    <row r="497" spans="1:12" ht="24.75" customHeight="1">
      <c r="A497" s="809" t="s">
        <v>773</v>
      </c>
      <c r="B497" s="336" t="s">
        <v>612</v>
      </c>
      <c r="C497" s="337">
        <v>2638047000</v>
      </c>
      <c r="D497" s="337">
        <v>1947311700</v>
      </c>
      <c r="E497" s="337">
        <v>1931747161</v>
      </c>
      <c r="F497" s="337">
        <v>1931747161</v>
      </c>
      <c r="G497" s="337">
        <v>1695144635</v>
      </c>
      <c r="H497" s="338">
        <f>G497/E497</f>
        <v>0.87751889544513739</v>
      </c>
    </row>
    <row r="498" spans="1:12" ht="24.75" customHeight="1">
      <c r="A498" s="810"/>
      <c r="B498" s="336" t="s">
        <v>612</v>
      </c>
      <c r="C498" s="337">
        <v>967153000</v>
      </c>
      <c r="D498" s="337">
        <v>756012257</v>
      </c>
      <c r="E498" s="337">
        <v>144781019</v>
      </c>
      <c r="F498" s="337">
        <v>144781019</v>
      </c>
      <c r="G498" s="337">
        <v>49748533</v>
      </c>
      <c r="H498" s="338">
        <f t="shared" ref="H498:H507" si="13">G498/E498</f>
        <v>0.34361225900751535</v>
      </c>
    </row>
    <row r="499" spans="1:12" ht="24.75" customHeight="1">
      <c r="A499" s="810"/>
      <c r="B499" s="336" t="s">
        <v>613</v>
      </c>
      <c r="C499" s="337">
        <v>29282000</v>
      </c>
      <c r="D499" s="337">
        <v>240422743</v>
      </c>
      <c r="E499" s="337">
        <v>240422743</v>
      </c>
      <c r="F499" s="337">
        <v>240422743</v>
      </c>
      <c r="G499" s="337">
        <v>0</v>
      </c>
      <c r="H499" s="338">
        <f t="shared" si="13"/>
        <v>0</v>
      </c>
    </row>
    <row r="500" spans="1:12" ht="24.75" customHeight="1">
      <c r="A500" s="810"/>
      <c r="B500" s="336" t="s">
        <v>614</v>
      </c>
      <c r="C500" s="337">
        <v>1187599500</v>
      </c>
      <c r="D500" s="337">
        <v>1222248566</v>
      </c>
      <c r="E500" s="337">
        <v>1222018466</v>
      </c>
      <c r="F500" s="337">
        <v>1222018466</v>
      </c>
      <c r="G500" s="337">
        <v>1072852097.154381</v>
      </c>
      <c r="H500" s="338">
        <f t="shared" si="13"/>
        <v>0.87793443962112849</v>
      </c>
    </row>
    <row r="501" spans="1:12" ht="24.75" customHeight="1">
      <c r="A501" s="810"/>
      <c r="B501" s="336" t="s">
        <v>612</v>
      </c>
      <c r="C501" s="337">
        <v>0</v>
      </c>
      <c r="D501" s="337">
        <v>1738133</v>
      </c>
      <c r="E501" s="337">
        <v>0</v>
      </c>
      <c r="F501" s="337">
        <v>0</v>
      </c>
      <c r="G501" s="337">
        <v>0</v>
      </c>
      <c r="H501" s="338" t="e">
        <f t="shared" si="13"/>
        <v>#DIV/0!</v>
      </c>
    </row>
    <row r="502" spans="1:12" ht="24.75" customHeight="1">
      <c r="A502" s="810"/>
      <c r="B502" s="336" t="s">
        <v>719</v>
      </c>
      <c r="C502" s="337">
        <v>1630204500</v>
      </c>
      <c r="D502" s="337">
        <v>1623699400</v>
      </c>
      <c r="E502" s="337">
        <v>1616580500</v>
      </c>
      <c r="F502" s="337">
        <v>1616580500</v>
      </c>
      <c r="G502" s="337">
        <v>1362539235</v>
      </c>
      <c r="H502" s="338">
        <f t="shared" si="13"/>
        <v>0.84285269740665558</v>
      </c>
    </row>
    <row r="503" spans="1:12" ht="24.75" customHeight="1">
      <c r="A503" s="810"/>
      <c r="B503" s="336" t="s">
        <v>612</v>
      </c>
      <c r="C503" s="337">
        <v>0</v>
      </c>
      <c r="D503" s="337">
        <v>1398432</v>
      </c>
      <c r="E503" s="337">
        <v>0</v>
      </c>
      <c r="F503" s="337">
        <v>0</v>
      </c>
      <c r="G503" s="337">
        <v>0</v>
      </c>
      <c r="H503" s="338" t="e">
        <f t="shared" si="13"/>
        <v>#DIV/0!</v>
      </c>
    </row>
    <row r="504" spans="1:12" ht="24.75" customHeight="1">
      <c r="A504" s="810"/>
      <c r="B504" s="336" t="s">
        <v>719</v>
      </c>
      <c r="C504" s="337">
        <v>2834765500</v>
      </c>
      <c r="D504" s="337">
        <v>3019226595</v>
      </c>
      <c r="E504" s="337">
        <v>3013503988</v>
      </c>
      <c r="F504" s="337">
        <v>3013503988</v>
      </c>
      <c r="G504" s="337">
        <v>2495257268</v>
      </c>
      <c r="H504" s="338">
        <f t="shared" si="13"/>
        <v>0.82802520850687522</v>
      </c>
    </row>
    <row r="505" spans="1:12" ht="24.75" customHeight="1">
      <c r="A505" s="810"/>
      <c r="B505" s="336" t="s">
        <v>612</v>
      </c>
      <c r="C505" s="337">
        <v>540599000</v>
      </c>
      <c r="D505" s="337">
        <v>545636967</v>
      </c>
      <c r="E505" s="337">
        <v>538000786</v>
      </c>
      <c r="F505" s="337">
        <v>538000786</v>
      </c>
      <c r="G505" s="337">
        <v>455643360</v>
      </c>
      <c r="H505" s="338">
        <f t="shared" si="13"/>
        <v>0.84691950617336087</v>
      </c>
    </row>
    <row r="506" spans="1:12" ht="24.75" customHeight="1">
      <c r="A506" s="810"/>
      <c r="B506" s="336" t="s">
        <v>612</v>
      </c>
      <c r="C506" s="337">
        <v>0</v>
      </c>
      <c r="D506" s="337">
        <v>4644200</v>
      </c>
      <c r="E506" s="337">
        <v>0</v>
      </c>
      <c r="F506" s="337">
        <v>0</v>
      </c>
      <c r="G506" s="337">
        <v>0</v>
      </c>
      <c r="H506" s="338" t="e">
        <f t="shared" si="13"/>
        <v>#DIV/0!</v>
      </c>
    </row>
    <row r="507" spans="1:12" ht="24.75" customHeight="1">
      <c r="A507" s="810"/>
      <c r="B507" s="336" t="s">
        <v>612</v>
      </c>
      <c r="C507" s="337">
        <v>1722404500</v>
      </c>
      <c r="D507" s="337">
        <v>1587830354</v>
      </c>
      <c r="E507" s="337">
        <v>1581509471</v>
      </c>
      <c r="F507" s="337">
        <v>1581509471</v>
      </c>
      <c r="G507" s="337">
        <v>922082780.84561896</v>
      </c>
      <c r="H507" s="338">
        <f t="shared" si="13"/>
        <v>0.58303968313422705</v>
      </c>
    </row>
    <row r="508" spans="1:12" ht="24.75" customHeight="1">
      <c r="A508" s="339"/>
      <c r="B508" s="340"/>
      <c r="H508" s="341"/>
    </row>
    <row r="509" spans="1:12" s="106" customFormat="1" ht="24.75" customHeight="1">
      <c r="A509" s="757" t="s">
        <v>143</v>
      </c>
      <c r="B509" s="758"/>
      <c r="C509" s="758"/>
      <c r="D509" s="758"/>
      <c r="E509" s="758"/>
      <c r="F509" s="758"/>
      <c r="G509" s="758"/>
      <c r="H509" s="758"/>
      <c r="I509" s="758"/>
      <c r="J509" s="758"/>
      <c r="K509" s="758"/>
      <c r="L509" s="759"/>
    </row>
    <row r="510" spans="1:12" s="106" customFormat="1" ht="24.75" customHeight="1">
      <c r="A510" s="103" t="s">
        <v>48</v>
      </c>
      <c r="B510" s="30" t="s">
        <v>144</v>
      </c>
      <c r="C510" s="30" t="s">
        <v>145</v>
      </c>
      <c r="D510" s="30" t="s">
        <v>146</v>
      </c>
      <c r="E510" s="30" t="s">
        <v>147</v>
      </c>
      <c r="F510" s="30" t="s">
        <v>148</v>
      </c>
      <c r="G510" s="30" t="s">
        <v>149</v>
      </c>
      <c r="H510" s="30" t="s">
        <v>150</v>
      </c>
      <c r="I510" s="124" t="s">
        <v>151</v>
      </c>
      <c r="J510" s="30" t="s">
        <v>152</v>
      </c>
      <c r="K510" s="30" t="s">
        <v>153</v>
      </c>
      <c r="L510" s="30" t="s">
        <v>154</v>
      </c>
    </row>
    <row r="511" spans="1:12" s="108" customFormat="1" ht="24.75" customHeight="1">
      <c r="A511" s="751" t="s">
        <v>128</v>
      </c>
      <c r="B511" s="762" t="s">
        <v>343</v>
      </c>
      <c r="C511" s="762" t="s">
        <v>344</v>
      </c>
      <c r="D511" s="762" t="s">
        <v>345</v>
      </c>
      <c r="E511" s="762" t="s">
        <v>346</v>
      </c>
      <c r="F511" s="765">
        <v>0.45</v>
      </c>
      <c r="G511" s="252" t="s">
        <v>304</v>
      </c>
      <c r="H511" s="255">
        <v>1</v>
      </c>
      <c r="I511" s="125">
        <v>0</v>
      </c>
      <c r="J511" s="252">
        <v>0</v>
      </c>
      <c r="K511" s="252" t="e">
        <f>J511/I511</f>
        <v>#DIV/0!</v>
      </c>
      <c r="L511" s="252" t="s">
        <v>347</v>
      </c>
    </row>
    <row r="512" spans="1:12" s="108" customFormat="1" ht="24.75" customHeight="1">
      <c r="A512" s="751"/>
      <c r="B512" s="763"/>
      <c r="C512" s="763"/>
      <c r="D512" s="763"/>
      <c r="E512" s="763"/>
      <c r="F512" s="766"/>
      <c r="G512" s="252" t="s">
        <v>315</v>
      </c>
      <c r="H512" s="109">
        <v>4</v>
      </c>
      <c r="I512" s="125">
        <v>0</v>
      </c>
      <c r="J512" s="252">
        <v>0</v>
      </c>
      <c r="K512" s="252" t="e">
        <f>J512/I512</f>
        <v>#DIV/0!</v>
      </c>
      <c r="L512" s="252" t="s">
        <v>348</v>
      </c>
    </row>
    <row r="513" spans="1:12" s="108" customFormat="1" ht="24.75" customHeight="1">
      <c r="A513" s="751"/>
      <c r="B513" s="764"/>
      <c r="C513" s="764"/>
      <c r="D513" s="764"/>
      <c r="E513" s="764"/>
      <c r="F513" s="767"/>
      <c r="G513" s="252" t="s">
        <v>316</v>
      </c>
      <c r="H513" s="109">
        <v>1</v>
      </c>
      <c r="I513" s="125">
        <v>0</v>
      </c>
      <c r="J513" s="252">
        <v>0</v>
      </c>
      <c r="K513" s="252" t="e">
        <f>J513/I513</f>
        <v>#DIV/0!</v>
      </c>
      <c r="L513" s="252" t="s">
        <v>349</v>
      </c>
    </row>
    <row r="514" spans="1:12" s="108" customFormat="1" ht="24.75" customHeight="1">
      <c r="A514" s="751"/>
      <c r="B514" s="252" t="s">
        <v>350</v>
      </c>
      <c r="C514" s="252" t="s">
        <v>351</v>
      </c>
      <c r="D514" s="252" t="s">
        <v>352</v>
      </c>
      <c r="E514" s="252" t="s">
        <v>254</v>
      </c>
      <c r="F514" s="255">
        <v>0.15</v>
      </c>
      <c r="G514" s="252" t="s">
        <v>256</v>
      </c>
      <c r="H514" s="110">
        <v>426</v>
      </c>
      <c r="I514" s="125">
        <v>0</v>
      </c>
      <c r="J514" s="252">
        <v>0</v>
      </c>
      <c r="K514" s="252" t="e">
        <f t="shared" ref="K514:K544" si="14">J514/I514</f>
        <v>#DIV/0!</v>
      </c>
      <c r="L514" s="252" t="s">
        <v>353</v>
      </c>
    </row>
    <row r="515" spans="1:12" s="108" customFormat="1" ht="24.75" customHeight="1">
      <c r="A515" s="751"/>
      <c r="B515" s="252" t="s">
        <v>354</v>
      </c>
      <c r="C515" s="252" t="s">
        <v>355</v>
      </c>
      <c r="D515" s="252" t="s">
        <v>356</v>
      </c>
      <c r="E515" s="252" t="s">
        <v>254</v>
      </c>
      <c r="F515" s="255">
        <v>0.15</v>
      </c>
      <c r="G515" s="252" t="s">
        <v>257</v>
      </c>
      <c r="H515" s="255">
        <v>1</v>
      </c>
      <c r="I515" s="125">
        <v>0</v>
      </c>
      <c r="J515" s="252">
        <v>0</v>
      </c>
      <c r="K515" s="252" t="e">
        <f t="shared" si="14"/>
        <v>#DIV/0!</v>
      </c>
      <c r="L515" s="252" t="s">
        <v>357</v>
      </c>
    </row>
    <row r="516" spans="1:12" s="108" customFormat="1" ht="24.75" customHeight="1">
      <c r="A516" s="751"/>
      <c r="B516" s="751" t="s">
        <v>358</v>
      </c>
      <c r="C516" s="751" t="s">
        <v>359</v>
      </c>
      <c r="D516" s="751" t="s">
        <v>360</v>
      </c>
      <c r="E516" s="751" t="s">
        <v>346</v>
      </c>
      <c r="F516" s="760">
        <v>0.25</v>
      </c>
      <c r="G516" s="252" t="s">
        <v>252</v>
      </c>
      <c r="H516" s="110">
        <v>234</v>
      </c>
      <c r="I516" s="125">
        <v>0</v>
      </c>
      <c r="J516" s="252">
        <v>0</v>
      </c>
      <c r="K516" s="252" t="e">
        <f>J516/I516</f>
        <v>#DIV/0!</v>
      </c>
      <c r="L516" s="252" t="s">
        <v>361</v>
      </c>
    </row>
    <row r="517" spans="1:12" s="108" customFormat="1" ht="24.75" customHeight="1">
      <c r="A517" s="751"/>
      <c r="B517" s="751"/>
      <c r="C517" s="751"/>
      <c r="D517" s="751"/>
      <c r="E517" s="751"/>
      <c r="F517" s="760"/>
      <c r="G517" s="252" t="s">
        <v>309</v>
      </c>
      <c r="H517" s="255">
        <v>1</v>
      </c>
      <c r="I517" s="125">
        <v>0</v>
      </c>
      <c r="J517" s="252">
        <v>0</v>
      </c>
      <c r="K517" s="252" t="e">
        <f>J517/I517</f>
        <v>#DIV/0!</v>
      </c>
      <c r="L517" s="252" t="s">
        <v>362</v>
      </c>
    </row>
    <row r="518" spans="1:12" ht="24.75" customHeight="1">
      <c r="A518" s="756" t="s">
        <v>129</v>
      </c>
      <c r="B518" s="751" t="s">
        <v>343</v>
      </c>
      <c r="C518" s="751" t="s">
        <v>344</v>
      </c>
      <c r="D518" s="751" t="s">
        <v>345</v>
      </c>
      <c r="E518" s="751" t="s">
        <v>346</v>
      </c>
      <c r="F518" s="760">
        <v>0.45</v>
      </c>
      <c r="G518" s="252" t="s">
        <v>304</v>
      </c>
      <c r="H518" s="255">
        <v>1</v>
      </c>
      <c r="I518" s="126">
        <v>0</v>
      </c>
      <c r="J518" s="251">
        <v>0</v>
      </c>
      <c r="K518" s="252" t="e">
        <f>J518/I518</f>
        <v>#DIV/0!</v>
      </c>
      <c r="L518" s="111" t="s">
        <v>363</v>
      </c>
    </row>
    <row r="519" spans="1:12" ht="24.75" customHeight="1">
      <c r="A519" s="756"/>
      <c r="B519" s="751"/>
      <c r="C519" s="751"/>
      <c r="D519" s="751"/>
      <c r="E519" s="751"/>
      <c r="F519" s="760"/>
      <c r="G519" s="252" t="s">
        <v>315</v>
      </c>
      <c r="H519" s="109">
        <v>4</v>
      </c>
      <c r="I519" s="126">
        <v>0</v>
      </c>
      <c r="J519" s="251">
        <v>0</v>
      </c>
      <c r="K519" s="252" t="e">
        <f>J519/I519</f>
        <v>#DIV/0!</v>
      </c>
      <c r="L519" s="111" t="s">
        <v>364</v>
      </c>
    </row>
    <row r="520" spans="1:12" ht="24.75" customHeight="1">
      <c r="A520" s="756"/>
      <c r="B520" s="751"/>
      <c r="C520" s="751"/>
      <c r="D520" s="751"/>
      <c r="E520" s="751"/>
      <c r="F520" s="760"/>
      <c r="G520" s="252" t="s">
        <v>316</v>
      </c>
      <c r="H520" s="109">
        <v>1</v>
      </c>
      <c r="I520" s="126">
        <v>0</v>
      </c>
      <c r="J520" s="251">
        <v>0</v>
      </c>
      <c r="K520" s="252" t="e">
        <f>J520/I520</f>
        <v>#DIV/0!</v>
      </c>
      <c r="L520" s="111" t="s">
        <v>365</v>
      </c>
    </row>
    <row r="521" spans="1:12" ht="24.75" customHeight="1">
      <c r="A521" s="756"/>
      <c r="B521" s="252" t="s">
        <v>350</v>
      </c>
      <c r="C521" s="252" t="s">
        <v>351</v>
      </c>
      <c r="D521" s="252" t="s">
        <v>352</v>
      </c>
      <c r="E521" s="252" t="s">
        <v>254</v>
      </c>
      <c r="F521" s="255">
        <v>0.15</v>
      </c>
      <c r="G521" s="252" t="s">
        <v>256</v>
      </c>
      <c r="H521" s="110">
        <v>426</v>
      </c>
      <c r="I521" s="126">
        <v>0</v>
      </c>
      <c r="J521" s="251">
        <v>0</v>
      </c>
      <c r="K521" s="252" t="e">
        <f t="shared" si="14"/>
        <v>#DIV/0!</v>
      </c>
      <c r="L521" s="111" t="s">
        <v>366</v>
      </c>
    </row>
    <row r="522" spans="1:12" ht="24.75" customHeight="1">
      <c r="A522" s="756"/>
      <c r="B522" s="252" t="s">
        <v>354</v>
      </c>
      <c r="C522" s="252" t="s">
        <v>355</v>
      </c>
      <c r="D522" s="252" t="s">
        <v>356</v>
      </c>
      <c r="E522" s="252" t="s">
        <v>254</v>
      </c>
      <c r="F522" s="255">
        <v>0.15</v>
      </c>
      <c r="G522" s="252" t="s">
        <v>257</v>
      </c>
      <c r="H522" s="255">
        <v>1</v>
      </c>
      <c r="I522" s="126">
        <v>0</v>
      </c>
      <c r="J522" s="251">
        <v>0</v>
      </c>
      <c r="K522" s="252" t="e">
        <f t="shared" si="14"/>
        <v>#DIV/0!</v>
      </c>
      <c r="L522" s="111" t="s">
        <v>367</v>
      </c>
    </row>
    <row r="523" spans="1:12" ht="24.75" customHeight="1">
      <c r="A523" s="756"/>
      <c r="B523" s="751" t="s">
        <v>358</v>
      </c>
      <c r="C523" s="751" t="s">
        <v>359</v>
      </c>
      <c r="D523" s="751" t="s">
        <v>360</v>
      </c>
      <c r="E523" s="751" t="s">
        <v>346</v>
      </c>
      <c r="F523" s="760">
        <v>0.25</v>
      </c>
      <c r="G523" s="252" t="s">
        <v>252</v>
      </c>
      <c r="H523" s="110">
        <v>234</v>
      </c>
      <c r="I523" s="126">
        <v>0</v>
      </c>
      <c r="J523" s="251">
        <v>0</v>
      </c>
      <c r="K523" s="252" t="e">
        <f>J523/I523</f>
        <v>#DIV/0!</v>
      </c>
      <c r="L523" s="111" t="s">
        <v>368</v>
      </c>
    </row>
    <row r="524" spans="1:12" ht="24.75" customHeight="1">
      <c r="A524" s="756"/>
      <c r="B524" s="751"/>
      <c r="C524" s="751"/>
      <c r="D524" s="751"/>
      <c r="E524" s="751"/>
      <c r="F524" s="760"/>
      <c r="G524" s="252" t="s">
        <v>309</v>
      </c>
      <c r="H524" s="255">
        <v>1</v>
      </c>
      <c r="I524" s="126">
        <v>0</v>
      </c>
      <c r="J524" s="251">
        <v>0</v>
      </c>
      <c r="K524" s="252" t="e">
        <f>J524/I524</f>
        <v>#DIV/0!</v>
      </c>
      <c r="L524" s="111" t="s">
        <v>369</v>
      </c>
    </row>
    <row r="525" spans="1:12" ht="24.75" customHeight="1">
      <c r="A525" s="756" t="s">
        <v>130</v>
      </c>
      <c r="B525" s="751" t="s">
        <v>343</v>
      </c>
      <c r="C525" s="751" t="s">
        <v>344</v>
      </c>
      <c r="D525" s="751" t="s">
        <v>345</v>
      </c>
      <c r="E525" s="751" t="s">
        <v>346</v>
      </c>
      <c r="F525" s="760">
        <v>0.45</v>
      </c>
      <c r="G525" s="252" t="s">
        <v>304</v>
      </c>
      <c r="H525" s="255">
        <v>1</v>
      </c>
      <c r="I525" s="126">
        <v>0</v>
      </c>
      <c r="J525" s="251">
        <v>0</v>
      </c>
      <c r="K525" s="252" t="e">
        <f>J525/I525</f>
        <v>#DIV/0!</v>
      </c>
      <c r="L525" s="111" t="s">
        <v>370</v>
      </c>
    </row>
    <row r="526" spans="1:12" ht="24.75" customHeight="1">
      <c r="A526" s="756"/>
      <c r="B526" s="751"/>
      <c r="C526" s="751"/>
      <c r="D526" s="751"/>
      <c r="E526" s="751"/>
      <c r="F526" s="760"/>
      <c r="G526" s="252" t="s">
        <v>315</v>
      </c>
      <c r="H526" s="109">
        <v>4</v>
      </c>
      <c r="I526" s="126">
        <v>0</v>
      </c>
      <c r="J526" s="251">
        <v>0</v>
      </c>
      <c r="K526" s="252" t="e">
        <f>J526/I526</f>
        <v>#DIV/0!</v>
      </c>
      <c r="L526" s="111" t="s">
        <v>371</v>
      </c>
    </row>
    <row r="527" spans="1:12" ht="24.75" customHeight="1">
      <c r="A527" s="756"/>
      <c r="B527" s="751"/>
      <c r="C527" s="751"/>
      <c r="D527" s="751"/>
      <c r="E527" s="751"/>
      <c r="F527" s="760"/>
      <c r="G527" s="252" t="s">
        <v>316</v>
      </c>
      <c r="H527" s="109">
        <v>1</v>
      </c>
      <c r="I527" s="126">
        <v>0</v>
      </c>
      <c r="J527" s="251">
        <v>0</v>
      </c>
      <c r="K527" s="252" t="e">
        <f>J527/I527</f>
        <v>#DIV/0!</v>
      </c>
      <c r="L527" s="111" t="s">
        <v>372</v>
      </c>
    </row>
    <row r="528" spans="1:12" ht="24.75" customHeight="1">
      <c r="A528" s="756"/>
      <c r="B528" s="252" t="s">
        <v>350</v>
      </c>
      <c r="C528" s="252" t="s">
        <v>351</v>
      </c>
      <c r="D528" s="252" t="s">
        <v>352</v>
      </c>
      <c r="E528" s="252" t="s">
        <v>254</v>
      </c>
      <c r="F528" s="255">
        <v>0.15</v>
      </c>
      <c r="G528" s="252" t="s">
        <v>256</v>
      </c>
      <c r="H528" s="110">
        <v>426</v>
      </c>
      <c r="I528" s="126">
        <v>0</v>
      </c>
      <c r="J528" s="251">
        <v>0</v>
      </c>
      <c r="K528" s="252" t="e">
        <f t="shared" si="14"/>
        <v>#DIV/0!</v>
      </c>
      <c r="L528" s="111" t="s">
        <v>373</v>
      </c>
    </row>
    <row r="529" spans="1:12" ht="24.75" customHeight="1">
      <c r="A529" s="756"/>
      <c r="B529" s="252" t="s">
        <v>354</v>
      </c>
      <c r="C529" s="252" t="s">
        <v>355</v>
      </c>
      <c r="D529" s="252" t="s">
        <v>356</v>
      </c>
      <c r="E529" s="252" t="s">
        <v>254</v>
      </c>
      <c r="F529" s="255">
        <v>0.15</v>
      </c>
      <c r="G529" s="252" t="s">
        <v>257</v>
      </c>
      <c r="H529" s="255">
        <v>1</v>
      </c>
      <c r="I529" s="126">
        <v>0</v>
      </c>
      <c r="J529" s="251">
        <v>0</v>
      </c>
      <c r="K529" s="252" t="e">
        <f t="shared" si="14"/>
        <v>#DIV/0!</v>
      </c>
      <c r="L529" s="111" t="s">
        <v>374</v>
      </c>
    </row>
    <row r="530" spans="1:12" ht="24.75" customHeight="1">
      <c r="A530" s="756"/>
      <c r="B530" s="751" t="s">
        <v>358</v>
      </c>
      <c r="C530" s="751" t="s">
        <v>359</v>
      </c>
      <c r="D530" s="751" t="s">
        <v>360</v>
      </c>
      <c r="E530" s="751" t="s">
        <v>346</v>
      </c>
      <c r="F530" s="760">
        <v>0.25</v>
      </c>
      <c r="G530" s="252" t="s">
        <v>252</v>
      </c>
      <c r="H530" s="110">
        <v>234</v>
      </c>
      <c r="I530" s="126">
        <v>0</v>
      </c>
      <c r="J530" s="251">
        <v>0</v>
      </c>
      <c r="K530" s="252" t="e">
        <f>J530/I530</f>
        <v>#DIV/0!</v>
      </c>
      <c r="L530" s="111" t="s">
        <v>375</v>
      </c>
    </row>
    <row r="531" spans="1:12" ht="24.75" customHeight="1">
      <c r="A531" s="756"/>
      <c r="B531" s="751"/>
      <c r="C531" s="751"/>
      <c r="D531" s="751"/>
      <c r="E531" s="751"/>
      <c r="F531" s="760"/>
      <c r="G531" s="252" t="s">
        <v>309</v>
      </c>
      <c r="H531" s="255">
        <v>1</v>
      </c>
      <c r="I531" s="126">
        <v>0</v>
      </c>
      <c r="J531" s="251">
        <v>0</v>
      </c>
      <c r="K531" s="252" t="e">
        <f>J531/I531</f>
        <v>#DIV/0!</v>
      </c>
      <c r="L531" s="111" t="s">
        <v>376</v>
      </c>
    </row>
    <row r="532" spans="1:12" ht="24.75" customHeight="1">
      <c r="A532" s="756" t="s">
        <v>131</v>
      </c>
      <c r="B532" s="751" t="s">
        <v>343</v>
      </c>
      <c r="C532" s="751" t="s">
        <v>344</v>
      </c>
      <c r="D532" s="751" t="s">
        <v>345</v>
      </c>
      <c r="E532" s="751" t="s">
        <v>346</v>
      </c>
      <c r="F532" s="760">
        <v>0.45</v>
      </c>
      <c r="G532" s="252" t="s">
        <v>304</v>
      </c>
      <c r="H532" s="255">
        <v>1</v>
      </c>
      <c r="I532" s="126">
        <v>0</v>
      </c>
      <c r="J532" s="251">
        <v>0</v>
      </c>
      <c r="K532" s="252" t="e">
        <f>J532/I532</f>
        <v>#DIV/0!</v>
      </c>
      <c r="L532" s="111" t="s">
        <v>405</v>
      </c>
    </row>
    <row r="533" spans="1:12" ht="24.75" customHeight="1">
      <c r="A533" s="756"/>
      <c r="B533" s="751"/>
      <c r="C533" s="751"/>
      <c r="D533" s="751"/>
      <c r="E533" s="751"/>
      <c r="F533" s="760"/>
      <c r="G533" s="252" t="s">
        <v>315</v>
      </c>
      <c r="H533" s="109">
        <v>4</v>
      </c>
      <c r="I533" s="126">
        <v>0</v>
      </c>
      <c r="J533" s="251">
        <v>0</v>
      </c>
      <c r="K533" s="252" t="e">
        <f>J533/I533</f>
        <v>#DIV/0!</v>
      </c>
      <c r="L533" s="111" t="s">
        <v>406</v>
      </c>
    </row>
    <row r="534" spans="1:12" ht="24.75" customHeight="1">
      <c r="A534" s="756"/>
      <c r="B534" s="751"/>
      <c r="C534" s="751"/>
      <c r="D534" s="751"/>
      <c r="E534" s="751"/>
      <c r="F534" s="760"/>
      <c r="G534" s="252" t="s">
        <v>316</v>
      </c>
      <c r="H534" s="109">
        <v>1</v>
      </c>
      <c r="I534" s="126">
        <v>0</v>
      </c>
      <c r="J534" s="251">
        <v>0</v>
      </c>
      <c r="K534" s="252" t="e">
        <f>J534/I534</f>
        <v>#DIV/0!</v>
      </c>
      <c r="L534" s="111" t="s">
        <v>407</v>
      </c>
    </row>
    <row r="535" spans="1:12" ht="24.75" customHeight="1">
      <c r="A535" s="756"/>
      <c r="B535" s="252" t="s">
        <v>350</v>
      </c>
      <c r="C535" s="252" t="s">
        <v>351</v>
      </c>
      <c r="D535" s="252" t="s">
        <v>352</v>
      </c>
      <c r="E535" s="252" t="s">
        <v>254</v>
      </c>
      <c r="F535" s="255">
        <v>0.15</v>
      </c>
      <c r="G535" s="252" t="s">
        <v>256</v>
      </c>
      <c r="H535" s="110">
        <v>426</v>
      </c>
      <c r="I535" s="126">
        <v>0</v>
      </c>
      <c r="J535" s="251">
        <v>0</v>
      </c>
      <c r="K535" s="252" t="e">
        <f t="shared" si="14"/>
        <v>#DIV/0!</v>
      </c>
      <c r="L535" s="111" t="s">
        <v>408</v>
      </c>
    </row>
    <row r="536" spans="1:12" ht="24.75" customHeight="1">
      <c r="A536" s="756"/>
      <c r="B536" s="252" t="s">
        <v>354</v>
      </c>
      <c r="C536" s="252" t="s">
        <v>355</v>
      </c>
      <c r="D536" s="252" t="s">
        <v>356</v>
      </c>
      <c r="E536" s="252" t="s">
        <v>254</v>
      </c>
      <c r="F536" s="255">
        <v>0.15</v>
      </c>
      <c r="G536" s="252" t="s">
        <v>257</v>
      </c>
      <c r="H536" s="255">
        <v>1</v>
      </c>
      <c r="I536" s="126">
        <v>0</v>
      </c>
      <c r="J536" s="251">
        <v>0</v>
      </c>
      <c r="K536" s="252" t="e">
        <f t="shared" si="14"/>
        <v>#DIV/0!</v>
      </c>
      <c r="L536" s="111" t="s">
        <v>409</v>
      </c>
    </row>
    <row r="537" spans="1:12" ht="24.75" customHeight="1">
      <c r="A537" s="756"/>
      <c r="B537" s="751" t="s">
        <v>358</v>
      </c>
      <c r="C537" s="751" t="s">
        <v>359</v>
      </c>
      <c r="D537" s="751" t="s">
        <v>360</v>
      </c>
      <c r="E537" s="751" t="s">
        <v>346</v>
      </c>
      <c r="F537" s="760">
        <v>0.25</v>
      </c>
      <c r="G537" s="252" t="s">
        <v>252</v>
      </c>
      <c r="H537" s="110">
        <v>234</v>
      </c>
      <c r="I537" s="126">
        <v>0</v>
      </c>
      <c r="J537" s="251">
        <v>0</v>
      </c>
      <c r="K537" s="252" t="e">
        <f t="shared" si="14"/>
        <v>#DIV/0!</v>
      </c>
      <c r="L537" s="111" t="s">
        <v>410</v>
      </c>
    </row>
    <row r="538" spans="1:12" ht="24.75" customHeight="1">
      <c r="A538" s="756"/>
      <c r="B538" s="751"/>
      <c r="C538" s="751"/>
      <c r="D538" s="751"/>
      <c r="E538" s="751"/>
      <c r="F538" s="760"/>
      <c r="G538" s="252" t="s">
        <v>309</v>
      </c>
      <c r="H538" s="255">
        <v>1</v>
      </c>
      <c r="I538" s="126">
        <v>0</v>
      </c>
      <c r="J538" s="251">
        <v>0</v>
      </c>
      <c r="K538" s="252" t="e">
        <f t="shared" si="14"/>
        <v>#DIV/0!</v>
      </c>
      <c r="L538" s="111" t="s">
        <v>411</v>
      </c>
    </row>
    <row r="539" spans="1:12" ht="24.75" customHeight="1">
      <c r="A539" s="756" t="s">
        <v>132</v>
      </c>
      <c r="B539" s="751" t="s">
        <v>343</v>
      </c>
      <c r="C539" s="751" t="s">
        <v>344</v>
      </c>
      <c r="D539" s="751" t="s">
        <v>345</v>
      </c>
      <c r="E539" s="751" t="s">
        <v>346</v>
      </c>
      <c r="F539" s="760">
        <v>0.45</v>
      </c>
      <c r="G539" s="252" t="s">
        <v>304</v>
      </c>
      <c r="H539" s="255">
        <v>1</v>
      </c>
      <c r="I539" s="126">
        <v>0</v>
      </c>
      <c r="J539" s="251">
        <v>0</v>
      </c>
      <c r="K539" s="252" t="e">
        <f t="shared" si="14"/>
        <v>#DIV/0!</v>
      </c>
      <c r="L539" s="111" t="s">
        <v>377</v>
      </c>
    </row>
    <row r="540" spans="1:12" ht="24.75" customHeight="1">
      <c r="A540" s="756"/>
      <c r="B540" s="751"/>
      <c r="C540" s="751"/>
      <c r="D540" s="751"/>
      <c r="E540" s="751"/>
      <c r="F540" s="760"/>
      <c r="G540" s="252" t="s">
        <v>315</v>
      </c>
      <c r="H540" s="113">
        <v>4</v>
      </c>
      <c r="I540" s="126">
        <v>0</v>
      </c>
      <c r="J540" s="251">
        <v>0</v>
      </c>
      <c r="K540" s="252" t="e">
        <f t="shared" si="14"/>
        <v>#DIV/0!</v>
      </c>
      <c r="L540" s="111" t="s">
        <v>378</v>
      </c>
    </row>
    <row r="541" spans="1:12" ht="24.75" customHeight="1">
      <c r="A541" s="756"/>
      <c r="B541" s="751"/>
      <c r="C541" s="751"/>
      <c r="D541" s="751"/>
      <c r="E541" s="751"/>
      <c r="F541" s="760"/>
      <c r="G541" s="252" t="s">
        <v>316</v>
      </c>
      <c r="H541" s="255">
        <v>1</v>
      </c>
      <c r="I541" s="126">
        <v>0</v>
      </c>
      <c r="J541" s="251">
        <v>0</v>
      </c>
      <c r="K541" s="252" t="e">
        <f t="shared" si="14"/>
        <v>#DIV/0!</v>
      </c>
      <c r="L541" s="111" t="s">
        <v>379</v>
      </c>
    </row>
    <row r="542" spans="1:12" ht="24.75" customHeight="1">
      <c r="A542" s="756"/>
      <c r="B542" s="252" t="s">
        <v>350</v>
      </c>
      <c r="C542" s="252" t="s">
        <v>351</v>
      </c>
      <c r="D542" s="252" t="s">
        <v>352</v>
      </c>
      <c r="E542" s="252" t="s">
        <v>254</v>
      </c>
      <c r="F542" s="255">
        <v>0.15</v>
      </c>
      <c r="G542" s="252" t="s">
        <v>256</v>
      </c>
      <c r="H542" s="113">
        <v>426</v>
      </c>
      <c r="I542" s="126">
        <v>0</v>
      </c>
      <c r="J542" s="251">
        <v>0</v>
      </c>
      <c r="K542" s="252" t="e">
        <f t="shared" si="14"/>
        <v>#DIV/0!</v>
      </c>
      <c r="L542" s="111" t="s">
        <v>380</v>
      </c>
    </row>
    <row r="543" spans="1:12" ht="24.75" customHeight="1">
      <c r="A543" s="756"/>
      <c r="B543" s="252" t="s">
        <v>354</v>
      </c>
      <c r="C543" s="252" t="s">
        <v>355</v>
      </c>
      <c r="D543" s="252" t="s">
        <v>356</v>
      </c>
      <c r="E543" s="252" t="s">
        <v>254</v>
      </c>
      <c r="F543" s="255">
        <v>0.15</v>
      </c>
      <c r="G543" s="252" t="s">
        <v>257</v>
      </c>
      <c r="H543" s="255">
        <v>1</v>
      </c>
      <c r="I543" s="126">
        <v>0</v>
      </c>
      <c r="J543" s="251">
        <v>0</v>
      </c>
      <c r="K543" s="252" t="e">
        <f t="shared" si="14"/>
        <v>#DIV/0!</v>
      </c>
      <c r="L543" s="111" t="s">
        <v>381</v>
      </c>
    </row>
    <row r="544" spans="1:12" ht="24.75" customHeight="1">
      <c r="A544" s="756"/>
      <c r="B544" s="751" t="s">
        <v>358</v>
      </c>
      <c r="C544" s="751" t="s">
        <v>359</v>
      </c>
      <c r="D544" s="751" t="s">
        <v>360</v>
      </c>
      <c r="E544" s="751" t="s">
        <v>346</v>
      </c>
      <c r="F544" s="760">
        <v>0.25</v>
      </c>
      <c r="G544" s="252" t="s">
        <v>252</v>
      </c>
      <c r="H544" s="113">
        <v>234</v>
      </c>
      <c r="I544" s="126">
        <v>0</v>
      </c>
      <c r="J544" s="251">
        <v>0</v>
      </c>
      <c r="K544" s="252" t="e">
        <f t="shared" si="14"/>
        <v>#DIV/0!</v>
      </c>
      <c r="L544" s="111" t="s">
        <v>382</v>
      </c>
    </row>
    <row r="545" spans="1:13" ht="24.75" customHeight="1">
      <c r="A545" s="756"/>
      <c r="B545" s="751"/>
      <c r="C545" s="751"/>
      <c r="D545" s="751"/>
      <c r="E545" s="751"/>
      <c r="F545" s="760"/>
      <c r="G545" s="252" t="s">
        <v>309</v>
      </c>
      <c r="H545" s="255">
        <v>1</v>
      </c>
      <c r="I545" s="126">
        <v>0</v>
      </c>
      <c r="J545" s="251">
        <v>0</v>
      </c>
      <c r="K545" s="252" t="e">
        <f>J545/I545</f>
        <v>#DIV/0!</v>
      </c>
      <c r="L545" s="111" t="s">
        <v>383</v>
      </c>
    </row>
    <row r="546" spans="1:13" ht="24.75" customHeight="1">
      <c r="A546" s="748" t="s">
        <v>133</v>
      </c>
      <c r="B546" s="751" t="s">
        <v>343</v>
      </c>
      <c r="C546" s="751" t="s">
        <v>344</v>
      </c>
      <c r="D546" s="751" t="s">
        <v>345</v>
      </c>
      <c r="E546" s="751" t="s">
        <v>346</v>
      </c>
      <c r="F546" s="760">
        <v>0.45</v>
      </c>
      <c r="G546" s="252" t="s">
        <v>304</v>
      </c>
      <c r="H546" s="255">
        <v>1</v>
      </c>
      <c r="I546" s="126">
        <v>0</v>
      </c>
      <c r="J546" s="251">
        <v>0</v>
      </c>
      <c r="K546" s="252" t="e">
        <f t="shared" ref="K546:K551" si="15">J546/I546</f>
        <v>#DIV/0!</v>
      </c>
      <c r="L546" s="111" t="s">
        <v>384</v>
      </c>
    </row>
    <row r="547" spans="1:13" ht="24.75" customHeight="1">
      <c r="A547" s="749"/>
      <c r="B547" s="751"/>
      <c r="C547" s="751"/>
      <c r="D547" s="751"/>
      <c r="E547" s="751"/>
      <c r="F547" s="760"/>
      <c r="G547" s="252" t="s">
        <v>315</v>
      </c>
      <c r="H547" s="113">
        <v>4</v>
      </c>
      <c r="I547" s="126">
        <v>0</v>
      </c>
      <c r="J547" s="251">
        <v>0</v>
      </c>
      <c r="K547" s="252" t="e">
        <f t="shared" si="15"/>
        <v>#DIV/0!</v>
      </c>
      <c r="L547" s="111" t="s">
        <v>385</v>
      </c>
    </row>
    <row r="548" spans="1:13" ht="24.75" customHeight="1">
      <c r="A548" s="749"/>
      <c r="B548" s="751"/>
      <c r="C548" s="751"/>
      <c r="D548" s="751"/>
      <c r="E548" s="751"/>
      <c r="F548" s="760"/>
      <c r="G548" s="252" t="s">
        <v>316</v>
      </c>
      <c r="H548" s="255">
        <v>1</v>
      </c>
      <c r="I548" s="126">
        <v>0</v>
      </c>
      <c r="J548" s="251">
        <v>0</v>
      </c>
      <c r="K548" s="252" t="e">
        <f t="shared" si="15"/>
        <v>#DIV/0!</v>
      </c>
      <c r="L548" s="111" t="s">
        <v>386</v>
      </c>
    </row>
    <row r="549" spans="1:13" ht="24.75" customHeight="1">
      <c r="A549" s="749"/>
      <c r="B549" s="252" t="s">
        <v>350</v>
      </c>
      <c r="C549" s="252" t="s">
        <v>351</v>
      </c>
      <c r="D549" s="252" t="s">
        <v>352</v>
      </c>
      <c r="E549" s="252" t="s">
        <v>254</v>
      </c>
      <c r="F549" s="255">
        <v>0.15</v>
      </c>
      <c r="G549" s="252" t="s">
        <v>256</v>
      </c>
      <c r="H549" s="113">
        <v>491</v>
      </c>
      <c r="I549" s="126">
        <v>0</v>
      </c>
      <c r="J549" s="251">
        <v>0</v>
      </c>
      <c r="K549" s="252" t="e">
        <f t="shared" si="15"/>
        <v>#DIV/0!</v>
      </c>
      <c r="L549" s="111" t="s">
        <v>387</v>
      </c>
    </row>
    <row r="550" spans="1:13" ht="24.75" customHeight="1">
      <c r="A550" s="749"/>
      <c r="B550" s="252" t="s">
        <v>354</v>
      </c>
      <c r="C550" s="252" t="s">
        <v>355</v>
      </c>
      <c r="D550" s="252" t="s">
        <v>356</v>
      </c>
      <c r="E550" s="252" t="s">
        <v>254</v>
      </c>
      <c r="F550" s="255">
        <v>0.15</v>
      </c>
      <c r="G550" s="252" t="s">
        <v>257</v>
      </c>
      <c r="H550" s="255">
        <v>1</v>
      </c>
      <c r="I550" s="126">
        <v>0</v>
      </c>
      <c r="J550" s="251">
        <v>0</v>
      </c>
      <c r="K550" s="252" t="e">
        <f t="shared" si="15"/>
        <v>#DIV/0!</v>
      </c>
      <c r="L550" s="111" t="s">
        <v>388</v>
      </c>
    </row>
    <row r="551" spans="1:13" ht="24.75" customHeight="1">
      <c r="A551" s="749"/>
      <c r="B551" s="751" t="s">
        <v>358</v>
      </c>
      <c r="C551" s="751" t="s">
        <v>359</v>
      </c>
      <c r="D551" s="751" t="s">
        <v>360</v>
      </c>
      <c r="E551" s="751" t="s">
        <v>346</v>
      </c>
      <c r="F551" s="760">
        <v>0.25</v>
      </c>
      <c r="G551" s="252" t="s">
        <v>252</v>
      </c>
      <c r="H551" s="113">
        <v>1292</v>
      </c>
      <c r="I551" s="126">
        <v>0</v>
      </c>
      <c r="J551" s="251">
        <v>0</v>
      </c>
      <c r="K551" s="252" t="e">
        <f t="shared" si="15"/>
        <v>#DIV/0!</v>
      </c>
      <c r="L551" s="111" t="s">
        <v>389</v>
      </c>
    </row>
    <row r="552" spans="1:13" ht="24.75" customHeight="1">
      <c r="A552" s="750"/>
      <c r="B552" s="751"/>
      <c r="C552" s="751"/>
      <c r="D552" s="751"/>
      <c r="E552" s="751"/>
      <c r="F552" s="760"/>
      <c r="G552" s="252" t="s">
        <v>309</v>
      </c>
      <c r="H552" s="255">
        <v>1</v>
      </c>
      <c r="I552" s="126">
        <v>0</v>
      </c>
      <c r="J552" s="251">
        <v>0</v>
      </c>
      <c r="K552" s="252" t="e">
        <f>J552/I552</f>
        <v>#DIV/0!</v>
      </c>
      <c r="L552" s="111" t="s">
        <v>390</v>
      </c>
    </row>
    <row r="554" spans="1:13" ht="24.75" customHeight="1">
      <c r="A554" s="757" t="s">
        <v>189</v>
      </c>
      <c r="B554" s="758"/>
      <c r="C554" s="758"/>
      <c r="D554" s="758"/>
      <c r="E554" s="758"/>
      <c r="F554" s="758"/>
      <c r="G554" s="758"/>
      <c r="H554" s="758"/>
      <c r="I554" s="758"/>
      <c r="J554" s="758"/>
      <c r="K554" s="758"/>
      <c r="L554" s="759"/>
    </row>
    <row r="555" spans="1:13" ht="24.75" customHeight="1">
      <c r="A555" s="103" t="s">
        <v>49</v>
      </c>
      <c r="B555" s="30" t="s">
        <v>144</v>
      </c>
      <c r="C555" s="30" t="s">
        <v>145</v>
      </c>
      <c r="D555" s="30" t="s">
        <v>146</v>
      </c>
      <c r="E555" s="30" t="s">
        <v>147</v>
      </c>
      <c r="F555" s="30" t="s">
        <v>155</v>
      </c>
      <c r="G555" s="30" t="s">
        <v>149</v>
      </c>
      <c r="H555" s="30" t="s">
        <v>156</v>
      </c>
      <c r="I555" s="124" t="s">
        <v>151</v>
      </c>
      <c r="J555" s="30" t="s">
        <v>152</v>
      </c>
      <c r="K555" s="30" t="s">
        <v>153</v>
      </c>
      <c r="L555" s="30" t="s">
        <v>154</v>
      </c>
    </row>
    <row r="556" spans="1:13" ht="24.75" customHeight="1">
      <c r="A556" s="748" t="s">
        <v>135</v>
      </c>
      <c r="B556" s="751" t="s">
        <v>343</v>
      </c>
      <c r="C556" s="751" t="s">
        <v>344</v>
      </c>
      <c r="D556" s="751" t="s">
        <v>345</v>
      </c>
      <c r="E556" s="751" t="s">
        <v>346</v>
      </c>
      <c r="F556" s="760">
        <v>0.45</v>
      </c>
      <c r="G556" s="252" t="s">
        <v>304</v>
      </c>
      <c r="H556" s="255">
        <v>1</v>
      </c>
      <c r="I556" s="126">
        <v>0</v>
      </c>
      <c r="J556" s="251">
        <v>0</v>
      </c>
      <c r="K556" s="252" t="e">
        <f t="shared" ref="K556:K619" si="16">J556/I556</f>
        <v>#DIV/0!</v>
      </c>
      <c r="L556" s="114" t="s">
        <v>384</v>
      </c>
      <c r="M556" s="115"/>
    </row>
    <row r="557" spans="1:13" ht="24.75" customHeight="1">
      <c r="A557" s="749"/>
      <c r="B557" s="751"/>
      <c r="C557" s="751"/>
      <c r="D557" s="751"/>
      <c r="E557" s="751"/>
      <c r="F557" s="760"/>
      <c r="G557" s="252" t="s">
        <v>315</v>
      </c>
      <c r="H557" s="113">
        <v>8</v>
      </c>
      <c r="I557" s="126">
        <v>0</v>
      </c>
      <c r="J557" s="251">
        <v>0</v>
      </c>
      <c r="K557" s="252" t="e">
        <f t="shared" si="16"/>
        <v>#DIV/0!</v>
      </c>
      <c r="L557" s="114" t="s">
        <v>385</v>
      </c>
      <c r="M557" s="115"/>
    </row>
    <row r="558" spans="1:13" ht="24.75" customHeight="1">
      <c r="A558" s="749"/>
      <c r="B558" s="751"/>
      <c r="C558" s="751"/>
      <c r="D558" s="751"/>
      <c r="E558" s="751"/>
      <c r="F558" s="760"/>
      <c r="G558" s="252" t="s">
        <v>316</v>
      </c>
      <c r="H558" s="113">
        <v>2</v>
      </c>
      <c r="I558" s="126">
        <v>0</v>
      </c>
      <c r="J558" s="251">
        <v>0</v>
      </c>
      <c r="K558" s="252" t="e">
        <f t="shared" si="16"/>
        <v>#DIV/0!</v>
      </c>
      <c r="L558" s="114" t="s">
        <v>386</v>
      </c>
      <c r="M558" s="115"/>
    </row>
    <row r="559" spans="1:13" ht="24.75" customHeight="1">
      <c r="A559" s="749"/>
      <c r="B559" s="252" t="s">
        <v>350</v>
      </c>
      <c r="C559" s="252" t="s">
        <v>351</v>
      </c>
      <c r="D559" s="252" t="s">
        <v>352</v>
      </c>
      <c r="E559" s="252" t="s">
        <v>254</v>
      </c>
      <c r="F559" s="255">
        <v>0.15</v>
      </c>
      <c r="G559" s="252" t="s">
        <v>256</v>
      </c>
      <c r="H559" s="113">
        <v>893</v>
      </c>
      <c r="I559" s="126">
        <v>0</v>
      </c>
      <c r="J559" s="251">
        <v>0</v>
      </c>
      <c r="K559" s="252" t="e">
        <f t="shared" si="16"/>
        <v>#DIV/0!</v>
      </c>
      <c r="L559" s="114" t="s">
        <v>387</v>
      </c>
      <c r="M559" s="115"/>
    </row>
    <row r="560" spans="1:13" ht="24.75" customHeight="1">
      <c r="A560" s="749"/>
      <c r="B560" s="252" t="s">
        <v>354</v>
      </c>
      <c r="C560" s="252" t="s">
        <v>355</v>
      </c>
      <c r="D560" s="252" t="s">
        <v>356</v>
      </c>
      <c r="E560" s="252" t="s">
        <v>254</v>
      </c>
      <c r="F560" s="255">
        <v>0.15</v>
      </c>
      <c r="G560" s="252" t="s">
        <v>257</v>
      </c>
      <c r="H560" s="255">
        <v>1</v>
      </c>
      <c r="I560" s="126">
        <v>0</v>
      </c>
      <c r="J560" s="251">
        <v>0</v>
      </c>
      <c r="K560" s="252" t="e">
        <f t="shared" si="16"/>
        <v>#DIV/0!</v>
      </c>
      <c r="L560" s="114" t="s">
        <v>388</v>
      </c>
      <c r="M560" s="115"/>
    </row>
    <row r="561" spans="1:13" ht="24.75" customHeight="1">
      <c r="A561" s="749"/>
      <c r="B561" s="751" t="s">
        <v>358</v>
      </c>
      <c r="C561" s="751" t="s">
        <v>359</v>
      </c>
      <c r="D561" s="751" t="s">
        <v>360</v>
      </c>
      <c r="E561" s="751" t="s">
        <v>346</v>
      </c>
      <c r="F561" s="760">
        <v>0.25</v>
      </c>
      <c r="G561" s="252" t="s">
        <v>252</v>
      </c>
      <c r="H561" s="113">
        <v>759</v>
      </c>
      <c r="I561" s="126">
        <v>0</v>
      </c>
      <c r="J561" s="251">
        <v>0</v>
      </c>
      <c r="K561" s="252" t="e">
        <f t="shared" si="16"/>
        <v>#DIV/0!</v>
      </c>
      <c r="L561" s="114" t="s">
        <v>389</v>
      </c>
      <c r="M561" s="115"/>
    </row>
    <row r="562" spans="1:13" ht="24.75" customHeight="1">
      <c r="A562" s="750"/>
      <c r="B562" s="751"/>
      <c r="C562" s="751"/>
      <c r="D562" s="751"/>
      <c r="E562" s="751"/>
      <c r="F562" s="760"/>
      <c r="G562" s="252" t="s">
        <v>309</v>
      </c>
      <c r="H562" s="255">
        <v>1</v>
      </c>
      <c r="I562" s="126">
        <v>0</v>
      </c>
      <c r="J562" s="251">
        <v>0</v>
      </c>
      <c r="K562" s="252" t="e">
        <f t="shared" si="16"/>
        <v>#DIV/0!</v>
      </c>
      <c r="L562" s="114" t="s">
        <v>390</v>
      </c>
      <c r="M562" s="115"/>
    </row>
    <row r="563" spans="1:13" ht="24.75" customHeight="1">
      <c r="A563" s="748" t="s">
        <v>136</v>
      </c>
      <c r="B563" s="751" t="s">
        <v>343</v>
      </c>
      <c r="C563" s="751" t="s">
        <v>344</v>
      </c>
      <c r="D563" s="751" t="s">
        <v>345</v>
      </c>
      <c r="E563" s="751" t="s">
        <v>346</v>
      </c>
      <c r="F563" s="760">
        <v>0.45</v>
      </c>
      <c r="G563" s="252" t="s">
        <v>304</v>
      </c>
      <c r="H563" s="255">
        <v>1</v>
      </c>
      <c r="I563" s="126">
        <v>0</v>
      </c>
      <c r="J563" s="251">
        <v>0</v>
      </c>
      <c r="K563" s="252" t="e">
        <f t="shared" si="16"/>
        <v>#DIV/0!</v>
      </c>
      <c r="L563" s="116" t="s">
        <v>391</v>
      </c>
    </row>
    <row r="564" spans="1:13" ht="24.75" customHeight="1">
      <c r="A564" s="749"/>
      <c r="B564" s="751"/>
      <c r="C564" s="751"/>
      <c r="D564" s="751"/>
      <c r="E564" s="751"/>
      <c r="F564" s="760"/>
      <c r="G564" s="252" t="s">
        <v>315</v>
      </c>
      <c r="H564" s="113">
        <v>8</v>
      </c>
      <c r="I564" s="126">
        <v>0</v>
      </c>
      <c r="J564" s="251">
        <v>0</v>
      </c>
      <c r="K564" s="252" t="e">
        <f t="shared" si="16"/>
        <v>#DIV/0!</v>
      </c>
      <c r="L564" s="116" t="s">
        <v>392</v>
      </c>
    </row>
    <row r="565" spans="1:13" ht="24.75" customHeight="1">
      <c r="A565" s="749"/>
      <c r="B565" s="751"/>
      <c r="C565" s="751"/>
      <c r="D565" s="751"/>
      <c r="E565" s="751"/>
      <c r="F565" s="760"/>
      <c r="G565" s="252" t="s">
        <v>316</v>
      </c>
      <c r="H565" s="113">
        <v>2</v>
      </c>
      <c r="I565" s="126">
        <v>0</v>
      </c>
      <c r="J565" s="251">
        <v>0</v>
      </c>
      <c r="K565" s="252" t="e">
        <f t="shared" si="16"/>
        <v>#DIV/0!</v>
      </c>
      <c r="L565" s="116" t="s">
        <v>393</v>
      </c>
    </row>
    <row r="566" spans="1:13" ht="24.75" customHeight="1">
      <c r="A566" s="749"/>
      <c r="B566" s="252" t="s">
        <v>350</v>
      </c>
      <c r="C566" s="252" t="s">
        <v>351</v>
      </c>
      <c r="D566" s="252" t="s">
        <v>352</v>
      </c>
      <c r="E566" s="252" t="s">
        <v>254</v>
      </c>
      <c r="F566" s="255">
        <v>0.15</v>
      </c>
      <c r="G566" s="252" t="s">
        <v>256</v>
      </c>
      <c r="H566" s="113">
        <v>893</v>
      </c>
      <c r="I566" s="126">
        <v>0</v>
      </c>
      <c r="J566" s="251">
        <v>0</v>
      </c>
      <c r="K566" s="252" t="e">
        <f t="shared" si="16"/>
        <v>#DIV/0!</v>
      </c>
      <c r="L566" s="116" t="s">
        <v>394</v>
      </c>
    </row>
    <row r="567" spans="1:13" ht="24.75" customHeight="1">
      <c r="A567" s="749"/>
      <c r="B567" s="252" t="s">
        <v>354</v>
      </c>
      <c r="C567" s="252" t="s">
        <v>355</v>
      </c>
      <c r="D567" s="252" t="s">
        <v>356</v>
      </c>
      <c r="E567" s="252" t="s">
        <v>254</v>
      </c>
      <c r="F567" s="255">
        <v>0.15</v>
      </c>
      <c r="G567" s="252" t="s">
        <v>257</v>
      </c>
      <c r="H567" s="255">
        <v>1</v>
      </c>
      <c r="I567" s="126">
        <v>0</v>
      </c>
      <c r="J567" s="251">
        <v>0</v>
      </c>
      <c r="K567" s="252" t="e">
        <f t="shared" si="16"/>
        <v>#DIV/0!</v>
      </c>
      <c r="L567" s="116" t="s">
        <v>395</v>
      </c>
    </row>
    <row r="568" spans="1:13" ht="24.75" customHeight="1">
      <c r="A568" s="749"/>
      <c r="B568" s="751" t="s">
        <v>358</v>
      </c>
      <c r="C568" s="751" t="s">
        <v>359</v>
      </c>
      <c r="D568" s="751" t="s">
        <v>360</v>
      </c>
      <c r="E568" s="751" t="s">
        <v>346</v>
      </c>
      <c r="F568" s="760">
        <v>0.25</v>
      </c>
      <c r="G568" s="252" t="s">
        <v>252</v>
      </c>
      <c r="H568" s="113">
        <v>759</v>
      </c>
      <c r="I568" s="126">
        <v>0</v>
      </c>
      <c r="J568" s="251">
        <v>0</v>
      </c>
      <c r="K568" s="252" t="e">
        <f t="shared" si="16"/>
        <v>#DIV/0!</v>
      </c>
      <c r="L568" s="116" t="s">
        <v>396</v>
      </c>
    </row>
    <row r="569" spans="1:13" ht="24.75" customHeight="1">
      <c r="A569" s="750"/>
      <c r="B569" s="751"/>
      <c r="C569" s="751"/>
      <c r="D569" s="751"/>
      <c r="E569" s="751"/>
      <c r="F569" s="760"/>
      <c r="G569" s="252" t="s">
        <v>309</v>
      </c>
      <c r="H569" s="255">
        <v>1</v>
      </c>
      <c r="I569" s="126">
        <v>0</v>
      </c>
      <c r="J569" s="251">
        <v>0</v>
      </c>
      <c r="K569" s="252" t="e">
        <f t="shared" si="16"/>
        <v>#DIV/0!</v>
      </c>
      <c r="L569" s="116" t="s">
        <v>397</v>
      </c>
    </row>
    <row r="570" spans="1:13" ht="24.75" customHeight="1">
      <c r="A570" s="748" t="s">
        <v>137</v>
      </c>
      <c r="B570" s="751" t="s">
        <v>343</v>
      </c>
      <c r="C570" s="751" t="s">
        <v>344</v>
      </c>
      <c r="D570" s="751" t="s">
        <v>345</v>
      </c>
      <c r="E570" s="751" t="s">
        <v>346</v>
      </c>
      <c r="F570" s="760">
        <v>0.45</v>
      </c>
      <c r="G570" s="252" t="s">
        <v>304</v>
      </c>
      <c r="H570" s="255">
        <v>1</v>
      </c>
      <c r="I570" s="126">
        <v>0</v>
      </c>
      <c r="J570" s="251">
        <v>0</v>
      </c>
      <c r="K570" s="252" t="e">
        <f t="shared" si="16"/>
        <v>#DIV/0!</v>
      </c>
      <c r="L570" s="116" t="s">
        <v>398</v>
      </c>
    </row>
    <row r="571" spans="1:13" ht="24.75" customHeight="1">
      <c r="A571" s="749"/>
      <c r="B571" s="751"/>
      <c r="C571" s="751"/>
      <c r="D571" s="751"/>
      <c r="E571" s="751"/>
      <c r="F571" s="760"/>
      <c r="G571" s="252" t="s">
        <v>315</v>
      </c>
      <c r="H571" s="113">
        <v>8</v>
      </c>
      <c r="I571" s="126">
        <v>0</v>
      </c>
      <c r="J571" s="251">
        <v>0</v>
      </c>
      <c r="K571" s="252" t="e">
        <f t="shared" si="16"/>
        <v>#DIV/0!</v>
      </c>
      <c r="L571" s="116" t="s">
        <v>399</v>
      </c>
    </row>
    <row r="572" spans="1:13" ht="24.75" customHeight="1">
      <c r="A572" s="749"/>
      <c r="B572" s="751"/>
      <c r="C572" s="751"/>
      <c r="D572" s="751"/>
      <c r="E572" s="751"/>
      <c r="F572" s="760"/>
      <c r="G572" s="252" t="s">
        <v>316</v>
      </c>
      <c r="H572" s="113">
        <v>2</v>
      </c>
      <c r="I572" s="126">
        <v>0</v>
      </c>
      <c r="J572" s="251">
        <v>0</v>
      </c>
      <c r="K572" s="252" t="e">
        <f t="shared" si="16"/>
        <v>#DIV/0!</v>
      </c>
      <c r="L572" s="116" t="s">
        <v>400</v>
      </c>
    </row>
    <row r="573" spans="1:13" ht="24.75" customHeight="1">
      <c r="A573" s="749"/>
      <c r="B573" s="252" t="s">
        <v>350</v>
      </c>
      <c r="C573" s="252" t="s">
        <v>351</v>
      </c>
      <c r="D573" s="252" t="s">
        <v>352</v>
      </c>
      <c r="E573" s="252" t="s">
        <v>254</v>
      </c>
      <c r="F573" s="255">
        <v>0.15</v>
      </c>
      <c r="G573" s="252" t="s">
        <v>256</v>
      </c>
      <c r="H573" s="113">
        <v>893</v>
      </c>
      <c r="I573" s="126">
        <v>0</v>
      </c>
      <c r="J573" s="251">
        <v>0</v>
      </c>
      <c r="K573" s="252" t="e">
        <f t="shared" si="16"/>
        <v>#DIV/0!</v>
      </c>
      <c r="L573" s="116" t="s">
        <v>401</v>
      </c>
    </row>
    <row r="574" spans="1:13" ht="24.75" customHeight="1">
      <c r="A574" s="749"/>
      <c r="B574" s="252" t="s">
        <v>354</v>
      </c>
      <c r="C574" s="252" t="s">
        <v>355</v>
      </c>
      <c r="D574" s="252" t="s">
        <v>356</v>
      </c>
      <c r="E574" s="252" t="s">
        <v>254</v>
      </c>
      <c r="F574" s="255">
        <v>0.15</v>
      </c>
      <c r="G574" s="252" t="s">
        <v>257</v>
      </c>
      <c r="H574" s="255">
        <v>1</v>
      </c>
      <c r="I574" s="126">
        <v>0</v>
      </c>
      <c r="J574" s="251">
        <v>0</v>
      </c>
      <c r="K574" s="252" t="e">
        <f t="shared" si="16"/>
        <v>#DIV/0!</v>
      </c>
      <c r="L574" s="116" t="s">
        <v>402</v>
      </c>
    </row>
    <row r="575" spans="1:13" ht="24.75" customHeight="1">
      <c r="A575" s="749"/>
      <c r="B575" s="751" t="s">
        <v>358</v>
      </c>
      <c r="C575" s="751" t="s">
        <v>359</v>
      </c>
      <c r="D575" s="751" t="s">
        <v>360</v>
      </c>
      <c r="E575" s="751" t="s">
        <v>346</v>
      </c>
      <c r="F575" s="760">
        <v>0.25</v>
      </c>
      <c r="G575" s="252" t="s">
        <v>252</v>
      </c>
      <c r="H575" s="113">
        <v>4707</v>
      </c>
      <c r="I575" s="126">
        <v>0</v>
      </c>
      <c r="J575" s="251">
        <v>0</v>
      </c>
      <c r="K575" s="252" t="e">
        <f t="shared" si="16"/>
        <v>#DIV/0!</v>
      </c>
      <c r="L575" s="116" t="s">
        <v>403</v>
      </c>
    </row>
    <row r="576" spans="1:13" ht="24.75" customHeight="1">
      <c r="A576" s="750"/>
      <c r="B576" s="751"/>
      <c r="C576" s="751"/>
      <c r="D576" s="751"/>
      <c r="E576" s="751"/>
      <c r="F576" s="760"/>
      <c r="G576" s="252" t="s">
        <v>309</v>
      </c>
      <c r="H576" s="255">
        <v>1</v>
      </c>
      <c r="I576" s="126">
        <v>0</v>
      </c>
      <c r="J576" s="251">
        <v>0</v>
      </c>
      <c r="K576" s="252" t="e">
        <f t="shared" si="16"/>
        <v>#DIV/0!</v>
      </c>
      <c r="L576" s="116" t="s">
        <v>404</v>
      </c>
    </row>
    <row r="577" spans="1:12" ht="24.75" customHeight="1">
      <c r="A577" s="748" t="s">
        <v>138</v>
      </c>
      <c r="B577" s="751" t="s">
        <v>343</v>
      </c>
      <c r="C577" s="751" t="s">
        <v>344</v>
      </c>
      <c r="D577" s="751" t="s">
        <v>345</v>
      </c>
      <c r="E577" s="751" t="s">
        <v>346</v>
      </c>
      <c r="F577" s="760">
        <v>0.45</v>
      </c>
      <c r="G577" s="252" t="s">
        <v>304</v>
      </c>
      <c r="H577" s="255">
        <v>1</v>
      </c>
      <c r="I577" s="126">
        <v>0</v>
      </c>
      <c r="J577" s="251">
        <v>0</v>
      </c>
      <c r="K577" s="252" t="e">
        <f t="shared" si="16"/>
        <v>#DIV/0!</v>
      </c>
      <c r="L577" s="111" t="s">
        <v>405</v>
      </c>
    </row>
    <row r="578" spans="1:12" ht="24.75" customHeight="1">
      <c r="A578" s="749"/>
      <c r="B578" s="751"/>
      <c r="C578" s="751"/>
      <c r="D578" s="751"/>
      <c r="E578" s="751"/>
      <c r="F578" s="760"/>
      <c r="G578" s="252" t="s">
        <v>315</v>
      </c>
      <c r="H578" s="113">
        <v>6</v>
      </c>
      <c r="I578" s="126">
        <v>0</v>
      </c>
      <c r="J578" s="251">
        <v>0</v>
      </c>
      <c r="K578" s="252" t="e">
        <f t="shared" si="16"/>
        <v>#DIV/0!</v>
      </c>
      <c r="L578" s="111" t="s">
        <v>406</v>
      </c>
    </row>
    <row r="579" spans="1:12" ht="24.75" customHeight="1">
      <c r="A579" s="749"/>
      <c r="B579" s="751"/>
      <c r="C579" s="751"/>
      <c r="D579" s="751"/>
      <c r="E579" s="751"/>
      <c r="F579" s="760"/>
      <c r="G579" s="252" t="s">
        <v>316</v>
      </c>
      <c r="H579" s="113">
        <v>1</v>
      </c>
      <c r="I579" s="126">
        <v>0</v>
      </c>
      <c r="J579" s="251">
        <v>0</v>
      </c>
      <c r="K579" s="252" t="e">
        <f t="shared" si="16"/>
        <v>#DIV/0!</v>
      </c>
      <c r="L579" s="111" t="s">
        <v>407</v>
      </c>
    </row>
    <row r="580" spans="1:12" ht="24.75" customHeight="1">
      <c r="A580" s="749"/>
      <c r="B580" s="252" t="s">
        <v>350</v>
      </c>
      <c r="C580" s="252" t="s">
        <v>351</v>
      </c>
      <c r="D580" s="252" t="s">
        <v>352</v>
      </c>
      <c r="E580" s="252" t="s">
        <v>254</v>
      </c>
      <c r="F580" s="255">
        <v>0.15</v>
      </c>
      <c r="G580" s="252" t="s">
        <v>256</v>
      </c>
      <c r="H580" s="113">
        <v>705</v>
      </c>
      <c r="I580" s="126">
        <v>0</v>
      </c>
      <c r="J580" s="251">
        <v>0</v>
      </c>
      <c r="K580" s="252" t="e">
        <f t="shared" si="16"/>
        <v>#DIV/0!</v>
      </c>
      <c r="L580" s="111" t="s">
        <v>408</v>
      </c>
    </row>
    <row r="581" spans="1:12" ht="24.75" customHeight="1">
      <c r="A581" s="749"/>
      <c r="B581" s="252" t="s">
        <v>354</v>
      </c>
      <c r="C581" s="252" t="s">
        <v>355</v>
      </c>
      <c r="D581" s="252" t="s">
        <v>356</v>
      </c>
      <c r="E581" s="252" t="s">
        <v>254</v>
      </c>
      <c r="F581" s="255">
        <v>0.15</v>
      </c>
      <c r="G581" s="252" t="s">
        <v>257</v>
      </c>
      <c r="H581" s="255">
        <v>1</v>
      </c>
      <c r="I581" s="126">
        <v>0</v>
      </c>
      <c r="J581" s="251">
        <v>0</v>
      </c>
      <c r="K581" s="252" t="e">
        <f t="shared" si="16"/>
        <v>#DIV/0!</v>
      </c>
      <c r="L581" s="111" t="s">
        <v>409</v>
      </c>
    </row>
    <row r="582" spans="1:12" ht="24.75" customHeight="1">
      <c r="A582" s="749"/>
      <c r="B582" s="751" t="s">
        <v>358</v>
      </c>
      <c r="C582" s="751" t="s">
        <v>359</v>
      </c>
      <c r="D582" s="751" t="s">
        <v>360</v>
      </c>
      <c r="E582" s="751" t="s">
        <v>346</v>
      </c>
      <c r="F582" s="760">
        <v>0.25</v>
      </c>
      <c r="G582" s="252" t="s">
        <v>252</v>
      </c>
      <c r="H582" s="113">
        <v>4707</v>
      </c>
      <c r="I582" s="126">
        <v>0</v>
      </c>
      <c r="J582" s="251">
        <v>0</v>
      </c>
      <c r="K582" s="252" t="e">
        <f t="shared" si="16"/>
        <v>#DIV/0!</v>
      </c>
      <c r="L582" s="111" t="s">
        <v>410</v>
      </c>
    </row>
    <row r="583" spans="1:12" ht="24.75" customHeight="1">
      <c r="A583" s="750"/>
      <c r="B583" s="751"/>
      <c r="C583" s="751"/>
      <c r="D583" s="751"/>
      <c r="E583" s="751"/>
      <c r="F583" s="760"/>
      <c r="G583" s="252" t="s">
        <v>309</v>
      </c>
      <c r="H583" s="255">
        <v>1</v>
      </c>
      <c r="I583" s="126">
        <v>0</v>
      </c>
      <c r="J583" s="251">
        <v>0</v>
      </c>
      <c r="K583" s="252" t="e">
        <f t="shared" si="16"/>
        <v>#DIV/0!</v>
      </c>
      <c r="L583" s="111" t="s">
        <v>411</v>
      </c>
    </row>
    <row r="584" spans="1:12" ht="24.75" customHeight="1">
      <c r="A584" s="748" t="s">
        <v>139</v>
      </c>
      <c r="B584" s="751" t="s">
        <v>343</v>
      </c>
      <c r="C584" s="751" t="s">
        <v>344</v>
      </c>
      <c r="D584" s="751" t="s">
        <v>345</v>
      </c>
      <c r="E584" s="751" t="s">
        <v>346</v>
      </c>
      <c r="F584" s="760">
        <v>0.45</v>
      </c>
      <c r="G584" s="252" t="s">
        <v>304</v>
      </c>
      <c r="H584" s="255" t="e">
        <f>+[2]INVERSIÓN!BD10</f>
        <v>#REF!</v>
      </c>
      <c r="I584" s="126">
        <v>0</v>
      </c>
      <c r="J584" s="251">
        <v>0</v>
      </c>
      <c r="K584" s="317" t="e">
        <f t="shared" si="16"/>
        <v>#DIV/0!</v>
      </c>
      <c r="L584" s="111" t="s">
        <v>434</v>
      </c>
    </row>
    <row r="585" spans="1:12" ht="24.75" customHeight="1">
      <c r="A585" s="749"/>
      <c r="B585" s="751"/>
      <c r="C585" s="751"/>
      <c r="D585" s="751"/>
      <c r="E585" s="751"/>
      <c r="F585" s="760"/>
      <c r="G585" s="252" t="s">
        <v>315</v>
      </c>
      <c r="H585" s="113" t="e">
        <f>+[2]INVERSIÓN!BD17</f>
        <v>#REF!</v>
      </c>
      <c r="I585" s="126">
        <v>0</v>
      </c>
      <c r="J585" s="251">
        <v>0</v>
      </c>
      <c r="K585" s="317" t="e">
        <f t="shared" si="16"/>
        <v>#DIV/0!</v>
      </c>
      <c r="L585" s="111" t="s">
        <v>435</v>
      </c>
    </row>
    <row r="586" spans="1:12" ht="24.75" customHeight="1">
      <c r="A586" s="749"/>
      <c r="B586" s="751"/>
      <c r="C586" s="751"/>
      <c r="D586" s="751"/>
      <c r="E586" s="751"/>
      <c r="F586" s="760"/>
      <c r="G586" s="252" t="s">
        <v>316</v>
      </c>
      <c r="H586" s="113" t="e">
        <f>+[2]INVERSIÓN!BD24</f>
        <v>#REF!</v>
      </c>
      <c r="I586" s="126">
        <v>0</v>
      </c>
      <c r="J586" s="251">
        <v>0</v>
      </c>
      <c r="K586" s="317" t="e">
        <f t="shared" si="16"/>
        <v>#DIV/0!</v>
      </c>
      <c r="L586" s="111" t="s">
        <v>436</v>
      </c>
    </row>
    <row r="587" spans="1:12" ht="24.75" customHeight="1">
      <c r="A587" s="749"/>
      <c r="B587" s="252" t="s">
        <v>350</v>
      </c>
      <c r="C587" s="252" t="s">
        <v>351</v>
      </c>
      <c r="D587" s="252" t="s">
        <v>352</v>
      </c>
      <c r="E587" s="252" t="s">
        <v>254</v>
      </c>
      <c r="F587" s="255">
        <v>0.15</v>
      </c>
      <c r="G587" s="252" t="s">
        <v>256</v>
      </c>
      <c r="H587" s="113" t="e">
        <f>+[2]INVERSIÓN!BD31</f>
        <v>#REF!</v>
      </c>
      <c r="I587" s="126">
        <v>0</v>
      </c>
      <c r="J587" s="251">
        <v>0</v>
      </c>
      <c r="K587" s="317" t="e">
        <f t="shared" si="16"/>
        <v>#DIV/0!</v>
      </c>
      <c r="L587" s="111" t="s">
        <v>437</v>
      </c>
    </row>
    <row r="588" spans="1:12" ht="24.75" customHeight="1">
      <c r="A588" s="749"/>
      <c r="B588" s="252" t="s">
        <v>354</v>
      </c>
      <c r="C588" s="252" t="s">
        <v>355</v>
      </c>
      <c r="D588" s="252" t="s">
        <v>356</v>
      </c>
      <c r="E588" s="252" t="s">
        <v>254</v>
      </c>
      <c r="F588" s="255">
        <v>0.15</v>
      </c>
      <c r="G588" s="252" t="s">
        <v>257</v>
      </c>
      <c r="H588" s="255" t="e">
        <f>+[2]INVERSIÓN!BD38</f>
        <v>#REF!</v>
      </c>
      <c r="I588" s="126">
        <v>0</v>
      </c>
      <c r="J588" s="251">
        <v>0</v>
      </c>
      <c r="K588" s="317" t="e">
        <f t="shared" si="16"/>
        <v>#DIV/0!</v>
      </c>
      <c r="L588" s="111" t="s">
        <v>438</v>
      </c>
    </row>
    <row r="589" spans="1:12" ht="24.75" customHeight="1">
      <c r="A589" s="749"/>
      <c r="B589" s="751" t="s">
        <v>358</v>
      </c>
      <c r="C589" s="751" t="s">
        <v>359</v>
      </c>
      <c r="D589" s="751" t="s">
        <v>360</v>
      </c>
      <c r="E589" s="751" t="s">
        <v>346</v>
      </c>
      <c r="F589" s="760">
        <v>0.25</v>
      </c>
      <c r="G589" s="252" t="s">
        <v>252</v>
      </c>
      <c r="H589" s="113" t="e">
        <f>+[2]INVERSIÓN!BD45</f>
        <v>#REF!</v>
      </c>
      <c r="I589" s="126">
        <v>0</v>
      </c>
      <c r="J589" s="251">
        <v>0</v>
      </c>
      <c r="K589" s="317" t="e">
        <f t="shared" si="16"/>
        <v>#DIV/0!</v>
      </c>
      <c r="L589" s="111" t="s">
        <v>439</v>
      </c>
    </row>
    <row r="590" spans="1:12" ht="24.75" customHeight="1">
      <c r="A590" s="750"/>
      <c r="B590" s="751"/>
      <c r="C590" s="751"/>
      <c r="D590" s="751"/>
      <c r="E590" s="751"/>
      <c r="F590" s="760"/>
      <c r="G590" s="252" t="s">
        <v>309</v>
      </c>
      <c r="H590" s="255" t="e">
        <f>+[2]INVERSIÓN!BD52</f>
        <v>#REF!</v>
      </c>
      <c r="I590" s="126">
        <v>0</v>
      </c>
      <c r="J590" s="251">
        <v>0</v>
      </c>
      <c r="K590" s="317" t="e">
        <f t="shared" si="16"/>
        <v>#DIV/0!</v>
      </c>
      <c r="L590" s="111" t="s">
        <v>440</v>
      </c>
    </row>
    <row r="591" spans="1:12" ht="24.75" customHeight="1">
      <c r="A591" s="748" t="s">
        <v>140</v>
      </c>
      <c r="B591" s="751" t="s">
        <v>343</v>
      </c>
      <c r="C591" s="751" t="s">
        <v>344</v>
      </c>
      <c r="D591" s="751" t="s">
        <v>345</v>
      </c>
      <c r="E591" s="751" t="s">
        <v>346</v>
      </c>
      <c r="F591" s="760">
        <v>0.45</v>
      </c>
      <c r="G591" s="252" t="s">
        <v>304</v>
      </c>
      <c r="H591" s="255" t="e">
        <f>+[2]INVERSIÓN!BD10</f>
        <v>#REF!</v>
      </c>
      <c r="I591" s="126">
        <v>0</v>
      </c>
      <c r="J591" s="251">
        <v>0</v>
      </c>
      <c r="K591" s="317" t="e">
        <f t="shared" si="16"/>
        <v>#DIV/0!</v>
      </c>
      <c r="L591" s="111" t="s">
        <v>447</v>
      </c>
    </row>
    <row r="592" spans="1:12" ht="24.75" customHeight="1">
      <c r="A592" s="749"/>
      <c r="B592" s="751"/>
      <c r="C592" s="751"/>
      <c r="D592" s="751"/>
      <c r="E592" s="751"/>
      <c r="F592" s="760"/>
      <c r="G592" s="252" t="s">
        <v>315</v>
      </c>
      <c r="H592" s="113" t="e">
        <f>+[2]INVERSIÓN!BD17</f>
        <v>#REF!</v>
      </c>
      <c r="I592" s="126">
        <v>0</v>
      </c>
      <c r="J592" s="251">
        <v>0</v>
      </c>
      <c r="K592" s="317" t="e">
        <f t="shared" si="16"/>
        <v>#DIV/0!</v>
      </c>
      <c r="L592" s="111" t="s">
        <v>326</v>
      </c>
    </row>
    <row r="593" spans="1:14" ht="24.75" customHeight="1">
      <c r="A593" s="749"/>
      <c r="B593" s="751"/>
      <c r="C593" s="751"/>
      <c r="D593" s="751"/>
      <c r="E593" s="751"/>
      <c r="F593" s="760"/>
      <c r="G593" s="252" t="s">
        <v>316</v>
      </c>
      <c r="H593" s="113" t="e">
        <f>+[2]INVERSIÓN!BD24</f>
        <v>#REF!</v>
      </c>
      <c r="I593" s="126">
        <v>0</v>
      </c>
      <c r="J593" s="251">
        <v>0</v>
      </c>
      <c r="K593" s="317" t="e">
        <f t="shared" si="16"/>
        <v>#DIV/0!</v>
      </c>
      <c r="L593" s="111" t="s">
        <v>448</v>
      </c>
    </row>
    <row r="594" spans="1:14" ht="24.75" customHeight="1">
      <c r="A594" s="749"/>
      <c r="B594" s="252" t="s">
        <v>350</v>
      </c>
      <c r="C594" s="252" t="s">
        <v>351</v>
      </c>
      <c r="D594" s="252" t="s">
        <v>352</v>
      </c>
      <c r="E594" s="252" t="s">
        <v>254</v>
      </c>
      <c r="F594" s="255">
        <v>0.15</v>
      </c>
      <c r="G594" s="252" t="s">
        <v>256</v>
      </c>
      <c r="H594" s="113" t="e">
        <f>+[2]INVERSIÓN!BD31</f>
        <v>#REF!</v>
      </c>
      <c r="I594" s="126">
        <v>0</v>
      </c>
      <c r="J594" s="251">
        <v>0</v>
      </c>
      <c r="K594" s="317" t="e">
        <f t="shared" si="16"/>
        <v>#DIV/0!</v>
      </c>
      <c r="L594" s="111" t="s">
        <v>449</v>
      </c>
    </row>
    <row r="595" spans="1:14" ht="24.75" customHeight="1">
      <c r="A595" s="749"/>
      <c r="B595" s="252" t="s">
        <v>354</v>
      </c>
      <c r="C595" s="252" t="s">
        <v>355</v>
      </c>
      <c r="D595" s="252" t="s">
        <v>356</v>
      </c>
      <c r="E595" s="252" t="s">
        <v>254</v>
      </c>
      <c r="F595" s="255">
        <v>0.15</v>
      </c>
      <c r="G595" s="252" t="s">
        <v>257</v>
      </c>
      <c r="H595" s="255" t="e">
        <f>+[2]INVERSIÓN!BD38</f>
        <v>#REF!</v>
      </c>
      <c r="I595" s="126">
        <v>0</v>
      </c>
      <c r="J595" s="251">
        <v>0</v>
      </c>
      <c r="K595" s="317" t="e">
        <f t="shared" si="16"/>
        <v>#DIV/0!</v>
      </c>
      <c r="L595" s="111" t="s">
        <v>450</v>
      </c>
    </row>
    <row r="596" spans="1:14" ht="24.75" customHeight="1">
      <c r="A596" s="749"/>
      <c r="B596" s="751" t="s">
        <v>358</v>
      </c>
      <c r="C596" s="751" t="s">
        <v>359</v>
      </c>
      <c r="D596" s="751" t="s">
        <v>360</v>
      </c>
      <c r="E596" s="751" t="s">
        <v>346</v>
      </c>
      <c r="F596" s="760">
        <v>0.25</v>
      </c>
      <c r="G596" s="252" t="s">
        <v>252</v>
      </c>
      <c r="H596" s="113" t="e">
        <f>+[2]INVERSIÓN!BD45</f>
        <v>#REF!</v>
      </c>
      <c r="I596" s="126">
        <v>0</v>
      </c>
      <c r="J596" s="251">
        <v>0</v>
      </c>
      <c r="K596" s="317" t="e">
        <f t="shared" si="16"/>
        <v>#DIV/0!</v>
      </c>
      <c r="L596" s="111" t="s">
        <v>451</v>
      </c>
    </row>
    <row r="597" spans="1:14" ht="24.75" customHeight="1">
      <c r="A597" s="750"/>
      <c r="B597" s="751"/>
      <c r="C597" s="751"/>
      <c r="D597" s="751"/>
      <c r="E597" s="751"/>
      <c r="F597" s="760"/>
      <c r="G597" s="252" t="s">
        <v>309</v>
      </c>
      <c r="H597" s="255" t="e">
        <f>+[2]INVERSIÓN!BD52</f>
        <v>#REF!</v>
      </c>
      <c r="I597" s="126">
        <v>0</v>
      </c>
      <c r="J597" s="251">
        <v>0</v>
      </c>
      <c r="K597" s="317" t="e">
        <f t="shared" si="16"/>
        <v>#DIV/0!</v>
      </c>
      <c r="L597" s="111" t="s">
        <v>452</v>
      </c>
    </row>
    <row r="598" spans="1:14" ht="24.75" customHeight="1">
      <c r="A598" s="756" t="s">
        <v>128</v>
      </c>
      <c r="B598" s="751" t="s">
        <v>343</v>
      </c>
      <c r="C598" s="751" t="s">
        <v>344</v>
      </c>
      <c r="D598" s="751" t="s">
        <v>345</v>
      </c>
      <c r="E598" s="751" t="s">
        <v>346</v>
      </c>
      <c r="F598" s="760">
        <v>0.45</v>
      </c>
      <c r="G598" s="252" t="s">
        <v>304</v>
      </c>
      <c r="H598" s="255" t="e">
        <f>+[2]INVERSIÓN!BD10</f>
        <v>#REF!</v>
      </c>
      <c r="I598" s="126">
        <v>0</v>
      </c>
      <c r="J598" s="251">
        <v>0</v>
      </c>
      <c r="K598" s="317" t="e">
        <f t="shared" si="16"/>
        <v>#DIV/0!</v>
      </c>
      <c r="L598" s="318" t="s">
        <v>461</v>
      </c>
      <c r="N598" s="319"/>
    </row>
    <row r="599" spans="1:14" ht="24.75" customHeight="1">
      <c r="A599" s="756"/>
      <c r="B599" s="751"/>
      <c r="C599" s="751"/>
      <c r="D599" s="751"/>
      <c r="E599" s="751"/>
      <c r="F599" s="760"/>
      <c r="G599" s="252" t="s">
        <v>315</v>
      </c>
      <c r="H599" s="113" t="e">
        <f>+[2]INVERSIÓN!BD17</f>
        <v>#REF!</v>
      </c>
      <c r="I599" s="126">
        <v>0</v>
      </c>
      <c r="J599" s="251">
        <v>0</v>
      </c>
      <c r="K599" s="317" t="e">
        <f t="shared" si="16"/>
        <v>#DIV/0!</v>
      </c>
      <c r="L599" s="318" t="s">
        <v>462</v>
      </c>
      <c r="N599" s="319"/>
    </row>
    <row r="600" spans="1:14" ht="24.75" customHeight="1">
      <c r="A600" s="756"/>
      <c r="B600" s="751"/>
      <c r="C600" s="751"/>
      <c r="D600" s="751"/>
      <c r="E600" s="751"/>
      <c r="F600" s="760"/>
      <c r="G600" s="252" t="s">
        <v>316</v>
      </c>
      <c r="H600" s="113" t="e">
        <f>+[2]INVERSIÓN!BD24</f>
        <v>#REF!</v>
      </c>
      <c r="I600" s="126">
        <v>0</v>
      </c>
      <c r="J600" s="251">
        <v>0</v>
      </c>
      <c r="K600" s="317" t="e">
        <f t="shared" si="16"/>
        <v>#DIV/0!</v>
      </c>
      <c r="L600" s="318" t="s">
        <v>463</v>
      </c>
      <c r="N600" s="319"/>
    </row>
    <row r="601" spans="1:14" ht="24.75" customHeight="1">
      <c r="A601" s="756"/>
      <c r="B601" s="252" t="s">
        <v>350</v>
      </c>
      <c r="C601" s="252" t="s">
        <v>351</v>
      </c>
      <c r="D601" s="252" t="s">
        <v>352</v>
      </c>
      <c r="E601" s="252" t="s">
        <v>254</v>
      </c>
      <c r="F601" s="255">
        <v>0.15</v>
      </c>
      <c r="G601" s="252" t="s">
        <v>256</v>
      </c>
      <c r="H601" s="113" t="e">
        <f>+[2]INVERSIÓN!BD31</f>
        <v>#REF!</v>
      </c>
      <c r="I601" s="126">
        <v>0</v>
      </c>
      <c r="J601" s="251">
        <v>0</v>
      </c>
      <c r="K601" s="317" t="e">
        <f t="shared" si="16"/>
        <v>#DIV/0!</v>
      </c>
      <c r="L601" s="318" t="s">
        <v>467</v>
      </c>
      <c r="N601" s="319"/>
    </row>
    <row r="602" spans="1:14" ht="24.75" customHeight="1">
      <c r="A602" s="756"/>
      <c r="B602" s="252" t="s">
        <v>354</v>
      </c>
      <c r="C602" s="252" t="s">
        <v>355</v>
      </c>
      <c r="D602" s="252" t="s">
        <v>356</v>
      </c>
      <c r="E602" s="252" t="s">
        <v>254</v>
      </c>
      <c r="F602" s="255">
        <v>0.15</v>
      </c>
      <c r="G602" s="252" t="s">
        <v>257</v>
      </c>
      <c r="H602" s="255" t="e">
        <f>+[2]INVERSIÓN!BD38</f>
        <v>#REF!</v>
      </c>
      <c r="I602" s="126">
        <v>0</v>
      </c>
      <c r="J602" s="251">
        <v>0</v>
      </c>
      <c r="K602" s="317" t="e">
        <f t="shared" si="16"/>
        <v>#DIV/0!</v>
      </c>
      <c r="L602" s="318" t="s">
        <v>464</v>
      </c>
      <c r="N602" s="319"/>
    </row>
    <row r="603" spans="1:14" ht="24.75" customHeight="1">
      <c r="A603" s="756"/>
      <c r="B603" s="751" t="s">
        <v>358</v>
      </c>
      <c r="C603" s="751" t="s">
        <v>359</v>
      </c>
      <c r="D603" s="751" t="s">
        <v>360</v>
      </c>
      <c r="E603" s="751" t="s">
        <v>346</v>
      </c>
      <c r="F603" s="760">
        <v>0.25</v>
      </c>
      <c r="G603" s="252" t="s">
        <v>252</v>
      </c>
      <c r="H603" s="113" t="e">
        <f>+[2]INVERSIÓN!BD45</f>
        <v>#REF!</v>
      </c>
      <c r="I603" s="126">
        <v>0</v>
      </c>
      <c r="J603" s="251">
        <v>0</v>
      </c>
      <c r="K603" s="317" t="e">
        <f t="shared" si="16"/>
        <v>#DIV/0!</v>
      </c>
      <c r="L603" s="318" t="s">
        <v>465</v>
      </c>
      <c r="N603" s="319"/>
    </row>
    <row r="604" spans="1:14" ht="24.75" customHeight="1">
      <c r="A604" s="756"/>
      <c r="B604" s="751"/>
      <c r="C604" s="751"/>
      <c r="D604" s="751"/>
      <c r="E604" s="751"/>
      <c r="F604" s="760"/>
      <c r="G604" s="252" t="s">
        <v>309</v>
      </c>
      <c r="H604" s="255" t="e">
        <f>+[2]INVERSIÓN!BD52</f>
        <v>#REF!</v>
      </c>
      <c r="I604" s="126">
        <v>0</v>
      </c>
      <c r="J604" s="251">
        <v>0</v>
      </c>
      <c r="K604" s="317" t="e">
        <f t="shared" si="16"/>
        <v>#DIV/0!</v>
      </c>
      <c r="L604" s="318" t="s">
        <v>466</v>
      </c>
      <c r="N604" s="319"/>
    </row>
    <row r="605" spans="1:14" ht="24.75" customHeight="1">
      <c r="A605" s="748" t="s">
        <v>129</v>
      </c>
      <c r="B605" s="751" t="s">
        <v>343</v>
      </c>
      <c r="C605" s="751" t="s">
        <v>344</v>
      </c>
      <c r="D605" s="751" t="s">
        <v>345</v>
      </c>
      <c r="E605" s="751" t="s">
        <v>346</v>
      </c>
      <c r="F605" s="760">
        <v>0.45</v>
      </c>
      <c r="G605" s="252" t="s">
        <v>304</v>
      </c>
      <c r="H605" s="255" t="e">
        <f>+[2]INVERSIÓN!BD10</f>
        <v>#REF!</v>
      </c>
      <c r="I605" s="126">
        <v>0</v>
      </c>
      <c r="J605" s="251">
        <v>0</v>
      </c>
      <c r="K605" s="317" t="e">
        <f t="shared" si="16"/>
        <v>#DIV/0!</v>
      </c>
      <c r="L605" s="111" t="s">
        <v>473</v>
      </c>
    </row>
    <row r="606" spans="1:14" ht="24.75" customHeight="1">
      <c r="A606" s="749"/>
      <c r="B606" s="751"/>
      <c r="C606" s="751"/>
      <c r="D606" s="751"/>
      <c r="E606" s="751"/>
      <c r="F606" s="760"/>
      <c r="G606" s="252" t="s">
        <v>315</v>
      </c>
      <c r="H606" s="113" t="e">
        <f>+[2]INVERSIÓN!BD17</f>
        <v>#REF!</v>
      </c>
      <c r="I606" s="126">
        <v>0</v>
      </c>
      <c r="J606" s="251">
        <v>0</v>
      </c>
      <c r="K606" s="317" t="e">
        <f t="shared" si="16"/>
        <v>#DIV/0!</v>
      </c>
      <c r="L606" s="111" t="s">
        <v>472</v>
      </c>
    </row>
    <row r="607" spans="1:14" ht="24.75" customHeight="1">
      <c r="A607" s="749"/>
      <c r="B607" s="751"/>
      <c r="C607" s="751"/>
      <c r="D607" s="751"/>
      <c r="E607" s="751"/>
      <c r="F607" s="760"/>
      <c r="G607" s="252" t="s">
        <v>316</v>
      </c>
      <c r="H607" s="113" t="e">
        <f>+[2]INVERSIÓN!BD24</f>
        <v>#REF!</v>
      </c>
      <c r="I607" s="126">
        <v>0</v>
      </c>
      <c r="J607" s="251">
        <v>0</v>
      </c>
      <c r="K607" s="317" t="e">
        <f t="shared" si="16"/>
        <v>#DIV/0!</v>
      </c>
      <c r="L607" s="111" t="s">
        <v>474</v>
      </c>
    </row>
    <row r="608" spans="1:14" ht="24.75" customHeight="1">
      <c r="A608" s="749"/>
      <c r="B608" s="252" t="s">
        <v>350</v>
      </c>
      <c r="C608" s="252" t="s">
        <v>351</v>
      </c>
      <c r="D608" s="252" t="s">
        <v>352</v>
      </c>
      <c r="E608" s="252" t="s">
        <v>254</v>
      </c>
      <c r="F608" s="255">
        <v>0.15</v>
      </c>
      <c r="G608" s="252" t="s">
        <v>256</v>
      </c>
      <c r="H608" s="113" t="e">
        <f>+[2]INVERSIÓN!BD31</f>
        <v>#REF!</v>
      </c>
      <c r="I608" s="126">
        <v>0</v>
      </c>
      <c r="J608" s="251">
        <v>0</v>
      </c>
      <c r="K608" s="317" t="e">
        <f t="shared" si="16"/>
        <v>#DIV/0!</v>
      </c>
      <c r="L608" s="111" t="s">
        <v>470</v>
      </c>
    </row>
    <row r="609" spans="1:14" ht="24.75" customHeight="1">
      <c r="A609" s="749"/>
      <c r="B609" s="252" t="s">
        <v>354</v>
      </c>
      <c r="C609" s="252" t="s">
        <v>355</v>
      </c>
      <c r="D609" s="252" t="s">
        <v>356</v>
      </c>
      <c r="E609" s="252" t="s">
        <v>254</v>
      </c>
      <c r="F609" s="255">
        <v>0.15</v>
      </c>
      <c r="G609" s="252" t="s">
        <v>257</v>
      </c>
      <c r="H609" s="255" t="e">
        <f>+[2]INVERSIÓN!BD38</f>
        <v>#REF!</v>
      </c>
      <c r="I609" s="126">
        <v>0</v>
      </c>
      <c r="J609" s="251">
        <v>0</v>
      </c>
      <c r="K609" s="317" t="e">
        <f t="shared" si="16"/>
        <v>#DIV/0!</v>
      </c>
      <c r="L609" s="111" t="s">
        <v>471</v>
      </c>
    </row>
    <row r="610" spans="1:14" ht="24.75" customHeight="1">
      <c r="A610" s="749"/>
      <c r="B610" s="751" t="s">
        <v>358</v>
      </c>
      <c r="C610" s="751" t="s">
        <v>359</v>
      </c>
      <c r="D610" s="751" t="s">
        <v>360</v>
      </c>
      <c r="E610" s="751" t="s">
        <v>346</v>
      </c>
      <c r="F610" s="760">
        <v>0.25</v>
      </c>
      <c r="G610" s="252" t="s">
        <v>252</v>
      </c>
      <c r="H610" s="113" t="e">
        <f>+[2]INVERSIÓN!BD45</f>
        <v>#REF!</v>
      </c>
      <c r="I610" s="126">
        <v>0</v>
      </c>
      <c r="J610" s="251">
        <v>0</v>
      </c>
      <c r="K610" s="317" t="e">
        <f t="shared" si="16"/>
        <v>#DIV/0!</v>
      </c>
      <c r="L610" s="111" t="s">
        <v>469</v>
      </c>
    </row>
    <row r="611" spans="1:14" ht="24.75" customHeight="1">
      <c r="A611" s="750"/>
      <c r="B611" s="751"/>
      <c r="C611" s="751"/>
      <c r="D611" s="751"/>
      <c r="E611" s="751"/>
      <c r="F611" s="760"/>
      <c r="G611" s="252" t="s">
        <v>309</v>
      </c>
      <c r="H611" s="255" t="e">
        <f>+[2]INVERSIÓN!BD52</f>
        <v>#REF!</v>
      </c>
      <c r="I611" s="126">
        <v>0</v>
      </c>
      <c r="J611" s="251">
        <v>0</v>
      </c>
      <c r="K611" s="317" t="e">
        <f t="shared" si="16"/>
        <v>#DIV/0!</v>
      </c>
      <c r="L611" s="111" t="s">
        <v>475</v>
      </c>
    </row>
    <row r="612" spans="1:14" ht="24.75" customHeight="1">
      <c r="A612" s="748" t="s">
        <v>130</v>
      </c>
      <c r="B612" s="751" t="s">
        <v>343</v>
      </c>
      <c r="C612" s="751" t="s">
        <v>344</v>
      </c>
      <c r="D612" s="751" t="s">
        <v>345</v>
      </c>
      <c r="E612" s="751" t="s">
        <v>346</v>
      </c>
      <c r="F612" s="760">
        <v>0.45</v>
      </c>
      <c r="G612" s="252" t="s">
        <v>304</v>
      </c>
      <c r="H612" s="255" t="e">
        <f>+[2]INVERSIÓN!BD10</f>
        <v>#REF!</v>
      </c>
      <c r="I612" s="312">
        <v>0</v>
      </c>
      <c r="J612" s="317">
        <v>0</v>
      </c>
      <c r="K612" s="317" t="e">
        <f t="shared" si="16"/>
        <v>#DIV/0!</v>
      </c>
      <c r="L612" s="129" t="s">
        <v>481</v>
      </c>
      <c r="N612" s="320"/>
    </row>
    <row r="613" spans="1:14" ht="24.75" customHeight="1">
      <c r="A613" s="749"/>
      <c r="B613" s="751"/>
      <c r="C613" s="751"/>
      <c r="D613" s="751"/>
      <c r="E613" s="751"/>
      <c r="F613" s="760"/>
      <c r="G613" s="252" t="s">
        <v>315</v>
      </c>
      <c r="H613" s="113" t="e">
        <f>+[2]INVERSIÓN!BD17</f>
        <v>#REF!</v>
      </c>
      <c r="I613" s="312">
        <v>0</v>
      </c>
      <c r="J613" s="317">
        <v>0</v>
      </c>
      <c r="K613" s="317" t="e">
        <f t="shared" si="16"/>
        <v>#DIV/0!</v>
      </c>
      <c r="L613" s="129" t="s">
        <v>479</v>
      </c>
      <c r="N613" s="320"/>
    </row>
    <row r="614" spans="1:14" ht="24.75" customHeight="1">
      <c r="A614" s="749"/>
      <c r="B614" s="751"/>
      <c r="C614" s="751"/>
      <c r="D614" s="751"/>
      <c r="E614" s="751"/>
      <c r="F614" s="760"/>
      <c r="G614" s="252" t="s">
        <v>316</v>
      </c>
      <c r="H614" s="113" t="e">
        <f>+[2]INVERSIÓN!BD24</f>
        <v>#REF!</v>
      </c>
      <c r="I614" s="312">
        <v>0</v>
      </c>
      <c r="J614" s="317">
        <v>0</v>
      </c>
      <c r="K614" s="317" t="e">
        <f t="shared" si="16"/>
        <v>#DIV/0!</v>
      </c>
      <c r="L614" s="129" t="s">
        <v>480</v>
      </c>
      <c r="N614" s="320"/>
    </row>
    <row r="615" spans="1:14" ht="24.75" customHeight="1">
      <c r="A615" s="749"/>
      <c r="B615" s="252" t="s">
        <v>350</v>
      </c>
      <c r="C615" s="252" t="s">
        <v>351</v>
      </c>
      <c r="D615" s="252" t="s">
        <v>352</v>
      </c>
      <c r="E615" s="252" t="s">
        <v>254</v>
      </c>
      <c r="F615" s="255">
        <v>0.15</v>
      </c>
      <c r="G615" s="252" t="s">
        <v>256</v>
      </c>
      <c r="H615" s="113" t="e">
        <f>+[2]INVERSIÓN!BD31</f>
        <v>#REF!</v>
      </c>
      <c r="I615" s="312">
        <v>0</v>
      </c>
      <c r="J615" s="317">
        <v>0</v>
      </c>
      <c r="K615" s="317" t="e">
        <f t="shared" si="16"/>
        <v>#DIV/0!</v>
      </c>
      <c r="L615" s="129" t="s">
        <v>477</v>
      </c>
      <c r="N615" s="320"/>
    </row>
    <row r="616" spans="1:14" ht="24.75" customHeight="1">
      <c r="A616" s="749"/>
      <c r="B616" s="252" t="s">
        <v>354</v>
      </c>
      <c r="C616" s="252" t="s">
        <v>355</v>
      </c>
      <c r="D616" s="252" t="s">
        <v>356</v>
      </c>
      <c r="E616" s="252" t="s">
        <v>254</v>
      </c>
      <c r="F616" s="255">
        <v>0.15</v>
      </c>
      <c r="G616" s="252" t="s">
        <v>257</v>
      </c>
      <c r="H616" s="255" t="e">
        <f>+[2]INVERSIÓN!BD38</f>
        <v>#REF!</v>
      </c>
      <c r="I616" s="312">
        <v>0</v>
      </c>
      <c r="J616" s="317">
        <v>0</v>
      </c>
      <c r="K616" s="317" t="e">
        <f t="shared" si="16"/>
        <v>#DIV/0!</v>
      </c>
      <c r="L616" s="129" t="s">
        <v>478</v>
      </c>
      <c r="N616" s="320"/>
    </row>
    <row r="617" spans="1:14" ht="24.75" customHeight="1">
      <c r="A617" s="749"/>
      <c r="B617" s="751" t="s">
        <v>358</v>
      </c>
      <c r="C617" s="751" t="s">
        <v>359</v>
      </c>
      <c r="D617" s="751" t="s">
        <v>360</v>
      </c>
      <c r="E617" s="751" t="s">
        <v>346</v>
      </c>
      <c r="F617" s="760">
        <v>0.25</v>
      </c>
      <c r="G617" s="252" t="s">
        <v>252</v>
      </c>
      <c r="H617" s="113" t="e">
        <f>+[2]INVERSIÓN!BD45</f>
        <v>#REF!</v>
      </c>
      <c r="I617" s="312">
        <v>0</v>
      </c>
      <c r="J617" s="317">
        <v>0</v>
      </c>
      <c r="K617" s="317" t="e">
        <f t="shared" si="16"/>
        <v>#DIV/0!</v>
      </c>
      <c r="L617" s="129" t="s">
        <v>476</v>
      </c>
      <c r="N617" s="320"/>
    </row>
    <row r="618" spans="1:14" ht="24.75" customHeight="1">
      <c r="A618" s="750"/>
      <c r="B618" s="751"/>
      <c r="C618" s="751"/>
      <c r="D618" s="751"/>
      <c r="E618" s="751"/>
      <c r="F618" s="760"/>
      <c r="G618" s="252" t="s">
        <v>309</v>
      </c>
      <c r="H618" s="255" t="e">
        <f>+[2]INVERSIÓN!BD52</f>
        <v>#REF!</v>
      </c>
      <c r="I618" s="312">
        <v>0</v>
      </c>
      <c r="J618" s="317">
        <v>0</v>
      </c>
      <c r="K618" s="317" t="e">
        <f t="shared" si="16"/>
        <v>#DIV/0!</v>
      </c>
      <c r="L618" s="129" t="s">
        <v>482</v>
      </c>
      <c r="N618" s="320"/>
    </row>
    <row r="619" spans="1:14" ht="24.75" customHeight="1">
      <c r="A619" s="748" t="s">
        <v>131</v>
      </c>
      <c r="B619" s="751" t="s">
        <v>343</v>
      </c>
      <c r="C619" s="751" t="s">
        <v>344</v>
      </c>
      <c r="D619" s="751" t="s">
        <v>345</v>
      </c>
      <c r="E619" s="751" t="s">
        <v>346</v>
      </c>
      <c r="F619" s="760">
        <v>0.45</v>
      </c>
      <c r="G619" s="252" t="s">
        <v>304</v>
      </c>
      <c r="H619" s="255" t="e">
        <f>+[2]INVERSIÓN!BD10</f>
        <v>#REF!</v>
      </c>
      <c r="I619" s="312">
        <v>0</v>
      </c>
      <c r="J619" s="317">
        <v>0</v>
      </c>
      <c r="K619" s="317" t="e">
        <f t="shared" si="16"/>
        <v>#DIV/0!</v>
      </c>
      <c r="L619" s="129" t="s">
        <v>488</v>
      </c>
    </row>
    <row r="620" spans="1:14" ht="24.75" customHeight="1">
      <c r="A620" s="749"/>
      <c r="B620" s="751"/>
      <c r="C620" s="751"/>
      <c r="D620" s="751"/>
      <c r="E620" s="751"/>
      <c r="F620" s="760"/>
      <c r="G620" s="252" t="s">
        <v>315</v>
      </c>
      <c r="H620" s="113" t="e">
        <f>+[2]INVERSIÓN!BD17</f>
        <v>#REF!</v>
      </c>
      <c r="I620" s="312">
        <v>0</v>
      </c>
      <c r="J620" s="317">
        <v>0</v>
      </c>
      <c r="K620" s="317" t="e">
        <f t="shared" ref="K620:K625" si="17">J620/I620</f>
        <v>#DIV/0!</v>
      </c>
      <c r="L620" s="129" t="s">
        <v>486</v>
      </c>
    </row>
    <row r="621" spans="1:14" ht="24.75" customHeight="1">
      <c r="A621" s="749"/>
      <c r="B621" s="751"/>
      <c r="C621" s="751"/>
      <c r="D621" s="751"/>
      <c r="E621" s="751"/>
      <c r="F621" s="760"/>
      <c r="G621" s="252" t="s">
        <v>316</v>
      </c>
      <c r="H621" s="113" t="e">
        <f>+[2]INVERSIÓN!BD24</f>
        <v>#REF!</v>
      </c>
      <c r="I621" s="312">
        <v>0</v>
      </c>
      <c r="J621" s="317">
        <v>0</v>
      </c>
      <c r="K621" s="317" t="e">
        <f t="shared" si="17"/>
        <v>#DIV/0!</v>
      </c>
      <c r="L621" s="129" t="s">
        <v>489</v>
      </c>
    </row>
    <row r="622" spans="1:14" ht="24.75" customHeight="1">
      <c r="A622" s="749"/>
      <c r="B622" s="252" t="s">
        <v>350</v>
      </c>
      <c r="C622" s="252" t="s">
        <v>351</v>
      </c>
      <c r="D622" s="252" t="s">
        <v>352</v>
      </c>
      <c r="E622" s="252" t="s">
        <v>254</v>
      </c>
      <c r="F622" s="255">
        <v>0.15</v>
      </c>
      <c r="G622" s="252" t="s">
        <v>256</v>
      </c>
      <c r="H622" s="113" t="e">
        <f>+[2]INVERSIÓN!BD31</f>
        <v>#REF!</v>
      </c>
      <c r="I622" s="312">
        <v>0</v>
      </c>
      <c r="J622" s="317">
        <v>0</v>
      </c>
      <c r="K622" s="317" t="e">
        <f t="shared" si="17"/>
        <v>#DIV/0!</v>
      </c>
      <c r="L622" s="129" t="s">
        <v>483</v>
      </c>
    </row>
    <row r="623" spans="1:14" ht="24.75" customHeight="1">
      <c r="A623" s="749"/>
      <c r="B623" s="252" t="s">
        <v>354</v>
      </c>
      <c r="C623" s="252" t="s">
        <v>355</v>
      </c>
      <c r="D623" s="252" t="s">
        <v>356</v>
      </c>
      <c r="E623" s="252" t="s">
        <v>254</v>
      </c>
      <c r="F623" s="255">
        <v>0.15</v>
      </c>
      <c r="G623" s="252" t="s">
        <v>257</v>
      </c>
      <c r="H623" s="255" t="e">
        <f>+[2]INVERSIÓN!BD38</f>
        <v>#REF!</v>
      </c>
      <c r="I623" s="312">
        <v>0</v>
      </c>
      <c r="J623" s="317">
        <v>0</v>
      </c>
      <c r="K623" s="317" t="e">
        <f t="shared" si="17"/>
        <v>#DIV/0!</v>
      </c>
      <c r="L623" s="129" t="s">
        <v>485</v>
      </c>
    </row>
    <row r="624" spans="1:14" ht="24.75" customHeight="1">
      <c r="A624" s="749"/>
      <c r="B624" s="751" t="s">
        <v>358</v>
      </c>
      <c r="C624" s="751" t="s">
        <v>359</v>
      </c>
      <c r="D624" s="751" t="s">
        <v>360</v>
      </c>
      <c r="E624" s="751" t="s">
        <v>346</v>
      </c>
      <c r="F624" s="760">
        <v>0.25</v>
      </c>
      <c r="G624" s="252" t="s">
        <v>252</v>
      </c>
      <c r="H624" s="113" t="e">
        <f>+[2]INVERSIÓN!BD45</f>
        <v>#REF!</v>
      </c>
      <c r="I624" s="312">
        <v>0</v>
      </c>
      <c r="J624" s="317">
        <v>0</v>
      </c>
      <c r="K624" s="317" t="e">
        <f t="shared" si="17"/>
        <v>#DIV/0!</v>
      </c>
      <c r="L624" s="129" t="s">
        <v>490</v>
      </c>
    </row>
    <row r="625" spans="1:12" ht="24.75" customHeight="1">
      <c r="A625" s="750"/>
      <c r="B625" s="751"/>
      <c r="C625" s="751"/>
      <c r="D625" s="751"/>
      <c r="E625" s="751"/>
      <c r="F625" s="760"/>
      <c r="G625" s="252" t="s">
        <v>309</v>
      </c>
      <c r="H625" s="255" t="e">
        <f>+[2]INVERSIÓN!BD52</f>
        <v>#REF!</v>
      </c>
      <c r="I625" s="312">
        <v>0</v>
      </c>
      <c r="J625" s="317">
        <v>0</v>
      </c>
      <c r="K625" s="317" t="e">
        <f t="shared" si="17"/>
        <v>#DIV/0!</v>
      </c>
      <c r="L625" s="129" t="s">
        <v>487</v>
      </c>
    </row>
    <row r="626" spans="1:12" ht="24.75" customHeight="1">
      <c r="A626" s="748" t="s">
        <v>132</v>
      </c>
      <c r="B626" s="751" t="s">
        <v>343</v>
      </c>
      <c r="C626" s="751" t="s">
        <v>344</v>
      </c>
      <c r="D626" s="751" t="s">
        <v>345</v>
      </c>
      <c r="E626" s="751" t="s">
        <v>346</v>
      </c>
      <c r="F626" s="760">
        <v>0.45</v>
      </c>
      <c r="G626" s="252" t="s">
        <v>304</v>
      </c>
      <c r="H626" s="255" t="e">
        <f>+[2]INVERSIÓN!BD10</f>
        <v>#REF!</v>
      </c>
      <c r="I626" s="312">
        <v>0</v>
      </c>
      <c r="J626" s="317">
        <v>0</v>
      </c>
      <c r="K626" s="317" t="e">
        <f>J626/I626</f>
        <v>#DIV/0!</v>
      </c>
      <c r="L626" s="129" t="s">
        <v>504</v>
      </c>
    </row>
    <row r="627" spans="1:12" ht="24.75" customHeight="1">
      <c r="A627" s="749"/>
      <c r="B627" s="751"/>
      <c r="C627" s="751"/>
      <c r="D627" s="751"/>
      <c r="E627" s="751"/>
      <c r="F627" s="760"/>
      <c r="G627" s="252" t="s">
        <v>315</v>
      </c>
      <c r="H627" s="113" t="e">
        <f>+[2]INVERSIÓN!BD17</f>
        <v>#REF!</v>
      </c>
      <c r="I627" s="312">
        <v>0</v>
      </c>
      <c r="J627" s="317">
        <v>0</v>
      </c>
      <c r="K627" s="317" t="e">
        <f t="shared" ref="K627:K632" si="18">J627/I627</f>
        <v>#DIV/0!</v>
      </c>
      <c r="L627" s="129" t="s">
        <v>501</v>
      </c>
    </row>
    <row r="628" spans="1:12" ht="24.75" customHeight="1">
      <c r="A628" s="749"/>
      <c r="B628" s="751"/>
      <c r="C628" s="751"/>
      <c r="D628" s="751"/>
      <c r="E628" s="751"/>
      <c r="F628" s="760"/>
      <c r="G628" s="252" t="s">
        <v>316</v>
      </c>
      <c r="H628" s="113" t="e">
        <f>+[2]INVERSIÓN!BD24</f>
        <v>#REF!</v>
      </c>
      <c r="I628" s="312">
        <v>0</v>
      </c>
      <c r="J628" s="317">
        <v>0</v>
      </c>
      <c r="K628" s="317" t="e">
        <f t="shared" si="18"/>
        <v>#DIV/0!</v>
      </c>
      <c r="L628" s="129" t="s">
        <v>506</v>
      </c>
    </row>
    <row r="629" spans="1:12" ht="24.75" customHeight="1">
      <c r="A629" s="749"/>
      <c r="B629" s="252" t="s">
        <v>350</v>
      </c>
      <c r="C629" s="252" t="s">
        <v>351</v>
      </c>
      <c r="D629" s="252" t="s">
        <v>352</v>
      </c>
      <c r="E629" s="252" t="s">
        <v>254</v>
      </c>
      <c r="F629" s="255">
        <v>0.15</v>
      </c>
      <c r="G629" s="252" t="s">
        <v>256</v>
      </c>
      <c r="H629" s="113" t="e">
        <f>+[2]INVERSIÓN!BD31</f>
        <v>#REF!</v>
      </c>
      <c r="I629" s="312">
        <v>0</v>
      </c>
      <c r="J629" s="317">
        <v>0</v>
      </c>
      <c r="K629" s="317" t="e">
        <f t="shared" si="18"/>
        <v>#DIV/0!</v>
      </c>
      <c r="L629" s="129" t="s">
        <v>500</v>
      </c>
    </row>
    <row r="630" spans="1:12" ht="24.75" customHeight="1">
      <c r="A630" s="749"/>
      <c r="B630" s="252" t="s">
        <v>354</v>
      </c>
      <c r="C630" s="252" t="s">
        <v>355</v>
      </c>
      <c r="D630" s="252" t="s">
        <v>356</v>
      </c>
      <c r="E630" s="252" t="s">
        <v>254</v>
      </c>
      <c r="F630" s="255">
        <v>0.15</v>
      </c>
      <c r="G630" s="252" t="s">
        <v>257</v>
      </c>
      <c r="H630" s="255" t="e">
        <f>+[2]INVERSIÓN!BD38</f>
        <v>#REF!</v>
      </c>
      <c r="I630" s="312">
        <v>0</v>
      </c>
      <c r="J630" s="317">
        <v>0</v>
      </c>
      <c r="K630" s="317" t="e">
        <f t="shared" si="18"/>
        <v>#DIV/0!</v>
      </c>
      <c r="L630" s="129" t="s">
        <v>502</v>
      </c>
    </row>
    <row r="631" spans="1:12" ht="24.75" customHeight="1">
      <c r="A631" s="749"/>
      <c r="B631" s="751" t="s">
        <v>358</v>
      </c>
      <c r="C631" s="751" t="s">
        <v>359</v>
      </c>
      <c r="D631" s="751" t="s">
        <v>360</v>
      </c>
      <c r="E631" s="751" t="s">
        <v>346</v>
      </c>
      <c r="F631" s="760">
        <v>0.25</v>
      </c>
      <c r="G631" s="252" t="s">
        <v>252</v>
      </c>
      <c r="H631" s="113" t="e">
        <f>+[2]INVERSIÓN!BD45</f>
        <v>#REF!</v>
      </c>
      <c r="I631" s="312">
        <v>0</v>
      </c>
      <c r="J631" s="317">
        <v>0</v>
      </c>
      <c r="K631" s="317" t="e">
        <f t="shared" si="18"/>
        <v>#DIV/0!</v>
      </c>
      <c r="L631" s="129" t="s">
        <v>505</v>
      </c>
    </row>
    <row r="632" spans="1:12" ht="24.75" customHeight="1">
      <c r="A632" s="750"/>
      <c r="B632" s="751"/>
      <c r="C632" s="751"/>
      <c r="D632" s="751"/>
      <c r="E632" s="751"/>
      <c r="F632" s="760"/>
      <c r="G632" s="252" t="s">
        <v>309</v>
      </c>
      <c r="H632" s="255" t="e">
        <f>+[2]INVERSIÓN!BD52</f>
        <v>#REF!</v>
      </c>
      <c r="I632" s="312">
        <v>0</v>
      </c>
      <c r="J632" s="317">
        <v>0</v>
      </c>
      <c r="K632" s="317" t="e">
        <f t="shared" si="18"/>
        <v>#DIV/0!</v>
      </c>
      <c r="L632" s="129" t="s">
        <v>503</v>
      </c>
    </row>
    <row r="633" spans="1:12" ht="24.75" customHeight="1">
      <c r="A633" s="748" t="s">
        <v>133</v>
      </c>
      <c r="B633" s="751" t="s">
        <v>343</v>
      </c>
      <c r="C633" s="751" t="s">
        <v>344</v>
      </c>
      <c r="D633" s="751" t="s">
        <v>345</v>
      </c>
      <c r="E633" s="751" t="s">
        <v>346</v>
      </c>
      <c r="F633" s="760">
        <v>0.45</v>
      </c>
      <c r="G633" s="252" t="s">
        <v>304</v>
      </c>
      <c r="H633" s="255" t="e">
        <f>+[2]INVERSIÓN!BD10</f>
        <v>#REF!</v>
      </c>
      <c r="I633" s="312">
        <v>0</v>
      </c>
      <c r="J633" s="317">
        <v>0</v>
      </c>
      <c r="K633" s="317" t="e">
        <f>J633/I633</f>
        <v>#DIV/0!</v>
      </c>
      <c r="L633" s="129" t="s">
        <v>676</v>
      </c>
    </row>
    <row r="634" spans="1:12" ht="24.75" customHeight="1">
      <c r="A634" s="749"/>
      <c r="B634" s="751"/>
      <c r="C634" s="751"/>
      <c r="D634" s="751"/>
      <c r="E634" s="751"/>
      <c r="F634" s="760"/>
      <c r="G634" s="252" t="s">
        <v>315</v>
      </c>
      <c r="H634" s="113" t="e">
        <f>+[2]INVERSIÓN!BD17</f>
        <v>#REF!</v>
      </c>
      <c r="I634" s="312">
        <v>0</v>
      </c>
      <c r="J634" s="317">
        <v>0</v>
      </c>
      <c r="K634" s="317" t="e">
        <f t="shared" ref="K634:K639" si="19">J634/I634</f>
        <v>#DIV/0!</v>
      </c>
      <c r="L634" s="129" t="s">
        <v>677</v>
      </c>
    </row>
    <row r="635" spans="1:12" ht="24.75" customHeight="1">
      <c r="A635" s="749"/>
      <c r="B635" s="751"/>
      <c r="C635" s="751"/>
      <c r="D635" s="751"/>
      <c r="E635" s="751"/>
      <c r="F635" s="760"/>
      <c r="G635" s="252" t="s">
        <v>316</v>
      </c>
      <c r="H635" s="113" t="e">
        <f>+[2]INVERSIÓN!BD24</f>
        <v>#REF!</v>
      </c>
      <c r="I635" s="312">
        <v>0</v>
      </c>
      <c r="J635" s="317">
        <v>0</v>
      </c>
      <c r="K635" s="317" t="e">
        <f t="shared" si="19"/>
        <v>#DIV/0!</v>
      </c>
      <c r="L635" s="129" t="s">
        <v>678</v>
      </c>
    </row>
    <row r="636" spans="1:12" ht="24.75" customHeight="1">
      <c r="A636" s="749"/>
      <c r="B636" s="252" t="s">
        <v>350</v>
      </c>
      <c r="C636" s="252" t="s">
        <v>351</v>
      </c>
      <c r="D636" s="252" t="s">
        <v>352</v>
      </c>
      <c r="E636" s="252" t="s">
        <v>254</v>
      </c>
      <c r="F636" s="255">
        <v>0.15</v>
      </c>
      <c r="G636" s="252" t="s">
        <v>256</v>
      </c>
      <c r="H636" s="113" t="e">
        <f>+[2]INVERSIÓN!BD31</f>
        <v>#REF!</v>
      </c>
      <c r="I636" s="312">
        <v>0</v>
      </c>
      <c r="J636" s="317">
        <v>0</v>
      </c>
      <c r="K636" s="317" t="e">
        <f t="shared" si="19"/>
        <v>#DIV/0!</v>
      </c>
      <c r="L636" s="129" t="s">
        <v>679</v>
      </c>
    </row>
    <row r="637" spans="1:12" ht="24.75" customHeight="1">
      <c r="A637" s="749"/>
      <c r="B637" s="252" t="s">
        <v>354</v>
      </c>
      <c r="C637" s="252" t="s">
        <v>355</v>
      </c>
      <c r="D637" s="252" t="s">
        <v>356</v>
      </c>
      <c r="E637" s="252" t="s">
        <v>254</v>
      </c>
      <c r="F637" s="255">
        <v>0.15</v>
      </c>
      <c r="G637" s="252" t="s">
        <v>257</v>
      </c>
      <c r="H637" s="255" t="e">
        <f>+[2]INVERSIÓN!BD38</f>
        <v>#REF!</v>
      </c>
      <c r="I637" s="312">
        <v>0</v>
      </c>
      <c r="J637" s="317">
        <v>0</v>
      </c>
      <c r="K637" s="317" t="e">
        <f t="shared" si="19"/>
        <v>#DIV/0!</v>
      </c>
      <c r="L637" s="129" t="s">
        <v>680</v>
      </c>
    </row>
    <row r="638" spans="1:12" ht="24.75" customHeight="1">
      <c r="A638" s="749"/>
      <c r="B638" s="751" t="s">
        <v>358</v>
      </c>
      <c r="C638" s="751" t="s">
        <v>359</v>
      </c>
      <c r="D638" s="751" t="s">
        <v>360</v>
      </c>
      <c r="E638" s="751" t="s">
        <v>346</v>
      </c>
      <c r="F638" s="760">
        <v>0.25</v>
      </c>
      <c r="G638" s="252" t="s">
        <v>252</v>
      </c>
      <c r="H638" s="113" t="e">
        <f>+[2]INVERSIÓN!BD45</f>
        <v>#REF!</v>
      </c>
      <c r="I638" s="312">
        <v>0</v>
      </c>
      <c r="J638" s="317">
        <v>0</v>
      </c>
      <c r="K638" s="317" t="e">
        <f t="shared" si="19"/>
        <v>#DIV/0!</v>
      </c>
      <c r="L638" s="129" t="s">
        <v>681</v>
      </c>
    </row>
    <row r="639" spans="1:12" ht="24.75" customHeight="1">
      <c r="A639" s="750"/>
      <c r="B639" s="751"/>
      <c r="C639" s="751"/>
      <c r="D639" s="751"/>
      <c r="E639" s="751"/>
      <c r="F639" s="760"/>
      <c r="G639" s="252" t="s">
        <v>309</v>
      </c>
      <c r="H639" s="255" t="e">
        <f>+[2]INVERSIÓN!BD52</f>
        <v>#REF!</v>
      </c>
      <c r="I639" s="312">
        <v>0</v>
      </c>
      <c r="J639" s="317">
        <v>0</v>
      </c>
      <c r="K639" s="317" t="e">
        <f t="shared" si="19"/>
        <v>#DIV/0!</v>
      </c>
      <c r="L639" s="129" t="s">
        <v>682</v>
      </c>
    </row>
    <row r="641" spans="1:12" ht="24.75" customHeight="1">
      <c r="A641" s="757" t="s">
        <v>157</v>
      </c>
      <c r="B641" s="758"/>
      <c r="C641" s="758"/>
      <c r="D641" s="758"/>
      <c r="E641" s="758"/>
      <c r="F641" s="758"/>
      <c r="G641" s="758"/>
      <c r="H641" s="758"/>
      <c r="I641" s="758"/>
      <c r="J641" s="758"/>
      <c r="K641" s="758"/>
      <c r="L641" s="759"/>
    </row>
    <row r="642" spans="1:12" ht="24.75" customHeight="1">
      <c r="A642" s="103" t="s">
        <v>61</v>
      </c>
      <c r="B642" s="30" t="s">
        <v>144</v>
      </c>
      <c r="C642" s="30" t="s">
        <v>145</v>
      </c>
      <c r="D642" s="30" t="s">
        <v>146</v>
      </c>
      <c r="E642" s="30" t="s">
        <v>147</v>
      </c>
      <c r="F642" s="30" t="s">
        <v>158</v>
      </c>
      <c r="G642" s="30" t="s">
        <v>149</v>
      </c>
      <c r="H642" s="30" t="s">
        <v>159</v>
      </c>
      <c r="I642" s="124" t="s">
        <v>151</v>
      </c>
      <c r="J642" s="30" t="s">
        <v>152</v>
      </c>
      <c r="K642" s="30" t="s">
        <v>153</v>
      </c>
      <c r="L642" s="30" t="s">
        <v>154</v>
      </c>
    </row>
    <row r="643" spans="1:12" ht="24.75" customHeight="1">
      <c r="A643" s="748" t="s">
        <v>135</v>
      </c>
      <c r="B643" s="751" t="s">
        <v>343</v>
      </c>
      <c r="C643" s="751" t="s">
        <v>344</v>
      </c>
      <c r="D643" s="751" t="s">
        <v>345</v>
      </c>
      <c r="E643" s="751" t="s">
        <v>346</v>
      </c>
      <c r="F643" s="760">
        <v>0.45</v>
      </c>
      <c r="G643" s="252" t="s">
        <v>304</v>
      </c>
      <c r="H643" s="255" t="e">
        <f>+[2]INVERSIÓN!$BF$10</f>
        <v>#REF!</v>
      </c>
      <c r="I643" s="255">
        <v>0</v>
      </c>
      <c r="J643" s="255">
        <v>0</v>
      </c>
      <c r="K643" s="317" t="e">
        <f>J643/I643</f>
        <v>#DIV/0!</v>
      </c>
      <c r="L643" s="111" t="s">
        <v>514</v>
      </c>
    </row>
    <row r="644" spans="1:12" ht="24.75" customHeight="1">
      <c r="A644" s="749"/>
      <c r="B644" s="751"/>
      <c r="C644" s="751"/>
      <c r="D644" s="751"/>
      <c r="E644" s="751"/>
      <c r="F644" s="760"/>
      <c r="G644" s="252" t="s">
        <v>315</v>
      </c>
      <c r="H644" s="113" t="e">
        <f>+[2]INVERSIÓN!$BF$17</f>
        <v>#REF!</v>
      </c>
      <c r="I644" s="113">
        <v>0</v>
      </c>
      <c r="J644" s="113">
        <v>0</v>
      </c>
      <c r="K644" s="317" t="e">
        <f t="shared" ref="K644:K649" si="20">J644/I644</f>
        <v>#DIV/0!</v>
      </c>
      <c r="L644" s="111" t="s">
        <v>515</v>
      </c>
    </row>
    <row r="645" spans="1:12" ht="24.75" customHeight="1">
      <c r="A645" s="749"/>
      <c r="B645" s="751"/>
      <c r="C645" s="751"/>
      <c r="D645" s="751"/>
      <c r="E645" s="751"/>
      <c r="F645" s="760"/>
      <c r="G645" s="252" t="s">
        <v>316</v>
      </c>
      <c r="H645" s="113" t="e">
        <f>+[2]INVERSIÓN!$BF$24</f>
        <v>#REF!</v>
      </c>
      <c r="I645" s="113">
        <v>0</v>
      </c>
      <c r="J645" s="113">
        <v>0</v>
      </c>
      <c r="K645" s="317" t="e">
        <f t="shared" si="20"/>
        <v>#DIV/0!</v>
      </c>
      <c r="L645" s="111" t="s">
        <v>518</v>
      </c>
    </row>
    <row r="646" spans="1:12" ht="24.75" customHeight="1">
      <c r="A646" s="749"/>
      <c r="B646" s="252" t="s">
        <v>350</v>
      </c>
      <c r="C646" s="252" t="s">
        <v>351</v>
      </c>
      <c r="D646" s="252" t="s">
        <v>352</v>
      </c>
      <c r="E646" s="252" t="s">
        <v>254</v>
      </c>
      <c r="F646" s="255">
        <v>0.15</v>
      </c>
      <c r="G646" s="252" t="s">
        <v>256</v>
      </c>
      <c r="H646" s="113" t="e">
        <f>+[2]INVERSIÓN!$BF$31</f>
        <v>#REF!</v>
      </c>
      <c r="I646" s="113">
        <v>0</v>
      </c>
      <c r="J646" s="113">
        <v>0</v>
      </c>
      <c r="K646" s="317" t="e">
        <f t="shared" si="20"/>
        <v>#DIV/0!</v>
      </c>
      <c r="L646" s="111" t="s">
        <v>519</v>
      </c>
    </row>
    <row r="647" spans="1:12" ht="24.75" customHeight="1">
      <c r="A647" s="749"/>
      <c r="B647" s="252" t="s">
        <v>354</v>
      </c>
      <c r="C647" s="252" t="s">
        <v>355</v>
      </c>
      <c r="D647" s="252" t="s">
        <v>356</v>
      </c>
      <c r="E647" s="252" t="s">
        <v>254</v>
      </c>
      <c r="F647" s="255">
        <v>0.15</v>
      </c>
      <c r="G647" s="252" t="s">
        <v>257</v>
      </c>
      <c r="H647" s="255" t="e">
        <f>+[2]INVERSIÓN!$BF$38</f>
        <v>#REF!</v>
      </c>
      <c r="I647" s="255">
        <v>0</v>
      </c>
      <c r="J647" s="255">
        <v>0</v>
      </c>
      <c r="K647" s="317" t="e">
        <f t="shared" si="20"/>
        <v>#DIV/0!</v>
      </c>
      <c r="L647" s="111" t="s">
        <v>512</v>
      </c>
    </row>
    <row r="648" spans="1:12" ht="24.75" customHeight="1">
      <c r="A648" s="749"/>
      <c r="B648" s="751" t="s">
        <v>358</v>
      </c>
      <c r="C648" s="751" t="s">
        <v>359</v>
      </c>
      <c r="D648" s="751" t="s">
        <v>360</v>
      </c>
      <c r="E648" s="751" t="s">
        <v>346</v>
      </c>
      <c r="F648" s="760">
        <v>0.25</v>
      </c>
      <c r="G648" s="252" t="s">
        <v>252</v>
      </c>
      <c r="H648" s="113" t="e">
        <f>+[2]INVERSIÓN!$BF$45</f>
        <v>#REF!</v>
      </c>
      <c r="I648" s="113">
        <v>0</v>
      </c>
      <c r="J648" s="113">
        <v>0</v>
      </c>
      <c r="K648" s="317" t="e">
        <f t="shared" si="20"/>
        <v>#DIV/0!</v>
      </c>
      <c r="L648" s="111" t="s">
        <v>518</v>
      </c>
    </row>
    <row r="649" spans="1:12" ht="24.75" customHeight="1">
      <c r="A649" s="750"/>
      <c r="B649" s="751"/>
      <c r="C649" s="751"/>
      <c r="D649" s="751"/>
      <c r="E649" s="751"/>
      <c r="F649" s="760"/>
      <c r="G649" s="252" t="s">
        <v>309</v>
      </c>
      <c r="H649" s="255" t="e">
        <f>+[2]INVERSIÓN!$BF$52</f>
        <v>#REF!</v>
      </c>
      <c r="I649" s="255">
        <v>0</v>
      </c>
      <c r="J649" s="255">
        <v>0</v>
      </c>
      <c r="K649" s="317" t="e">
        <f t="shared" si="20"/>
        <v>#DIV/0!</v>
      </c>
      <c r="L649" s="111" t="s">
        <v>510</v>
      </c>
    </row>
    <row r="650" spans="1:12" ht="24.75" customHeight="1">
      <c r="A650" s="748" t="s">
        <v>136</v>
      </c>
      <c r="B650" s="751" t="s">
        <v>343</v>
      </c>
      <c r="C650" s="751" t="s">
        <v>344</v>
      </c>
      <c r="D650" s="751" t="s">
        <v>345</v>
      </c>
      <c r="E650" s="751" t="s">
        <v>346</v>
      </c>
      <c r="F650" s="760">
        <v>0.45</v>
      </c>
      <c r="G650" s="252" t="s">
        <v>304</v>
      </c>
      <c r="H650" s="255" t="e">
        <f>+[2]INVERSIÓN!$BF$10</f>
        <v>#REF!</v>
      </c>
      <c r="I650" s="255">
        <v>0</v>
      </c>
      <c r="J650" s="255">
        <v>0</v>
      </c>
      <c r="K650" s="317" t="e">
        <f>J650/I650</f>
        <v>#DIV/0!</v>
      </c>
      <c r="L650" s="111" t="s">
        <v>536</v>
      </c>
    </row>
    <row r="651" spans="1:12" ht="24.75" customHeight="1">
      <c r="A651" s="749"/>
      <c r="B651" s="751"/>
      <c r="C651" s="751"/>
      <c r="D651" s="751"/>
      <c r="E651" s="751"/>
      <c r="F651" s="760"/>
      <c r="G651" s="252" t="s">
        <v>315</v>
      </c>
      <c r="H651" s="113" t="e">
        <f>+[2]INVERSIÓN!$BF$17</f>
        <v>#REF!</v>
      </c>
      <c r="I651" s="113">
        <v>0</v>
      </c>
      <c r="J651" s="113">
        <v>0</v>
      </c>
      <c r="K651" s="317" t="e">
        <f t="shared" ref="K651:K656" si="21">J651/I651</f>
        <v>#DIV/0!</v>
      </c>
      <c r="L651" s="111" t="s">
        <v>531</v>
      </c>
    </row>
    <row r="652" spans="1:12" ht="24.75" customHeight="1">
      <c r="A652" s="749"/>
      <c r="B652" s="751"/>
      <c r="C652" s="751"/>
      <c r="D652" s="751"/>
      <c r="E652" s="751"/>
      <c r="F652" s="760"/>
      <c r="G652" s="252" t="s">
        <v>316</v>
      </c>
      <c r="H652" s="113" t="e">
        <f>+[2]INVERSIÓN!$BF$24</f>
        <v>#REF!</v>
      </c>
      <c r="I652" s="113">
        <v>0</v>
      </c>
      <c r="J652" s="113">
        <v>0</v>
      </c>
      <c r="K652" s="317" t="e">
        <f t="shared" si="21"/>
        <v>#DIV/0!</v>
      </c>
      <c r="L652" s="111" t="s">
        <v>532</v>
      </c>
    </row>
    <row r="653" spans="1:12" ht="24.75" customHeight="1">
      <c r="A653" s="749"/>
      <c r="B653" s="252" t="s">
        <v>350</v>
      </c>
      <c r="C653" s="252" t="s">
        <v>351</v>
      </c>
      <c r="D653" s="252" t="s">
        <v>352</v>
      </c>
      <c r="E653" s="252" t="s">
        <v>254</v>
      </c>
      <c r="F653" s="255">
        <v>0.15</v>
      </c>
      <c r="G653" s="252" t="s">
        <v>256</v>
      </c>
      <c r="H653" s="113" t="e">
        <f>+[2]INVERSIÓN!$BF$31</f>
        <v>#REF!</v>
      </c>
      <c r="I653" s="113">
        <v>0</v>
      </c>
      <c r="J653" s="113">
        <v>0</v>
      </c>
      <c r="K653" s="317" t="e">
        <f t="shared" si="21"/>
        <v>#DIV/0!</v>
      </c>
      <c r="L653" s="111" t="s">
        <v>533</v>
      </c>
    </row>
    <row r="654" spans="1:12" ht="24.75" customHeight="1">
      <c r="A654" s="749"/>
      <c r="B654" s="252" t="s">
        <v>354</v>
      </c>
      <c r="C654" s="252" t="s">
        <v>355</v>
      </c>
      <c r="D654" s="252" t="s">
        <v>356</v>
      </c>
      <c r="E654" s="252" t="s">
        <v>254</v>
      </c>
      <c r="F654" s="255">
        <v>0.15</v>
      </c>
      <c r="G654" s="252" t="s">
        <v>257</v>
      </c>
      <c r="H654" s="255" t="e">
        <f>+[2]INVERSIÓN!$BF$38</f>
        <v>#REF!</v>
      </c>
      <c r="I654" s="255">
        <v>0</v>
      </c>
      <c r="J654" s="255">
        <v>0</v>
      </c>
      <c r="K654" s="317" t="e">
        <f t="shared" si="21"/>
        <v>#DIV/0!</v>
      </c>
      <c r="L654" s="111" t="s">
        <v>534</v>
      </c>
    </row>
    <row r="655" spans="1:12" ht="24.75" customHeight="1">
      <c r="A655" s="749"/>
      <c r="B655" s="751" t="s">
        <v>358</v>
      </c>
      <c r="C655" s="751" t="s">
        <v>359</v>
      </c>
      <c r="D655" s="751" t="s">
        <v>360</v>
      </c>
      <c r="E655" s="751" t="s">
        <v>346</v>
      </c>
      <c r="F655" s="760">
        <v>0.25</v>
      </c>
      <c r="G655" s="252" t="s">
        <v>252</v>
      </c>
      <c r="H655" s="113" t="e">
        <f>+[2]INVERSIÓN!$BF$45</f>
        <v>#REF!</v>
      </c>
      <c r="I655" s="113">
        <v>0</v>
      </c>
      <c r="J655" s="113">
        <v>0</v>
      </c>
      <c r="K655" s="317" t="e">
        <f t="shared" si="21"/>
        <v>#DIV/0!</v>
      </c>
      <c r="L655" s="111" t="s">
        <v>530</v>
      </c>
    </row>
    <row r="656" spans="1:12" ht="24.75" customHeight="1">
      <c r="A656" s="750"/>
      <c r="B656" s="751"/>
      <c r="C656" s="751"/>
      <c r="D656" s="751"/>
      <c r="E656" s="751"/>
      <c r="F656" s="760"/>
      <c r="G656" s="252" t="s">
        <v>309</v>
      </c>
      <c r="H656" s="255" t="e">
        <f>+[2]INVERSIÓN!$BF$52</f>
        <v>#REF!</v>
      </c>
      <c r="I656" s="255">
        <v>0</v>
      </c>
      <c r="J656" s="255">
        <v>0</v>
      </c>
      <c r="K656" s="317" t="e">
        <f t="shared" si="21"/>
        <v>#DIV/0!</v>
      </c>
      <c r="L656" s="111" t="s">
        <v>535</v>
      </c>
    </row>
    <row r="657" spans="1:12" ht="24.75" customHeight="1">
      <c r="A657" s="748" t="s">
        <v>137</v>
      </c>
      <c r="B657" s="751" t="s">
        <v>343</v>
      </c>
      <c r="C657" s="751" t="s">
        <v>344</v>
      </c>
      <c r="D657" s="751" t="s">
        <v>345</v>
      </c>
      <c r="E657" s="751" t="s">
        <v>346</v>
      </c>
      <c r="F657" s="760">
        <v>0.45</v>
      </c>
      <c r="G657" s="252" t="s">
        <v>304</v>
      </c>
      <c r="H657" s="255" t="e">
        <f>+[2]INVERSIÓN!$BF$10</f>
        <v>#REF!</v>
      </c>
      <c r="I657" s="255">
        <v>0</v>
      </c>
      <c r="J657" s="255">
        <v>0</v>
      </c>
      <c r="K657" s="317" t="e">
        <f>J657/I657</f>
        <v>#DIV/0!</v>
      </c>
      <c r="L657" s="111" t="s">
        <v>540</v>
      </c>
    </row>
    <row r="658" spans="1:12" ht="24.75" customHeight="1">
      <c r="A658" s="749"/>
      <c r="B658" s="751"/>
      <c r="C658" s="751"/>
      <c r="D658" s="751"/>
      <c r="E658" s="751"/>
      <c r="F658" s="760"/>
      <c r="G658" s="252" t="s">
        <v>315</v>
      </c>
      <c r="H658" s="113" t="e">
        <f>+[2]INVERSIÓN!$BF$17</f>
        <v>#REF!</v>
      </c>
      <c r="I658" s="113">
        <v>0</v>
      </c>
      <c r="J658" s="113">
        <v>0</v>
      </c>
      <c r="K658" s="317" t="e">
        <f t="shared" ref="K658:K721" si="22">J658/I658</f>
        <v>#DIV/0!</v>
      </c>
      <c r="L658" s="111" t="s">
        <v>541</v>
      </c>
    </row>
    <row r="659" spans="1:12" ht="24.75" customHeight="1">
      <c r="A659" s="749"/>
      <c r="B659" s="751"/>
      <c r="C659" s="751"/>
      <c r="D659" s="751"/>
      <c r="E659" s="751"/>
      <c r="F659" s="760"/>
      <c r="G659" s="252" t="s">
        <v>316</v>
      </c>
      <c r="H659" s="113" t="e">
        <f>+[2]INVERSIÓN!$BF$24</f>
        <v>#REF!</v>
      </c>
      <c r="I659" s="113">
        <v>0</v>
      </c>
      <c r="J659" s="113">
        <v>0</v>
      </c>
      <c r="K659" s="317" t="e">
        <f t="shared" si="22"/>
        <v>#DIV/0!</v>
      </c>
      <c r="L659" s="111" t="s">
        <v>542</v>
      </c>
    </row>
    <row r="660" spans="1:12" ht="24.75" customHeight="1">
      <c r="A660" s="749"/>
      <c r="B660" s="252" t="s">
        <v>350</v>
      </c>
      <c r="C660" s="252" t="s">
        <v>351</v>
      </c>
      <c r="D660" s="252" t="s">
        <v>352</v>
      </c>
      <c r="E660" s="252" t="s">
        <v>254</v>
      </c>
      <c r="F660" s="255">
        <v>0.15</v>
      </c>
      <c r="G660" s="252" t="s">
        <v>256</v>
      </c>
      <c r="H660" s="113" t="e">
        <f>+[2]INVERSIÓN!$BF$31</f>
        <v>#REF!</v>
      </c>
      <c r="I660" s="113">
        <v>0</v>
      </c>
      <c r="J660" s="113">
        <v>0</v>
      </c>
      <c r="K660" s="317" t="e">
        <f t="shared" si="22"/>
        <v>#DIV/0!</v>
      </c>
      <c r="L660" s="111" t="s">
        <v>544</v>
      </c>
    </row>
    <row r="661" spans="1:12" ht="24.75" customHeight="1">
      <c r="A661" s="749"/>
      <c r="B661" s="252" t="s">
        <v>354</v>
      </c>
      <c r="C661" s="252" t="s">
        <v>355</v>
      </c>
      <c r="D661" s="252" t="s">
        <v>356</v>
      </c>
      <c r="E661" s="252" t="s">
        <v>254</v>
      </c>
      <c r="F661" s="255">
        <v>0.15</v>
      </c>
      <c r="G661" s="252" t="s">
        <v>257</v>
      </c>
      <c r="H661" s="255" t="e">
        <f>+[2]INVERSIÓN!$BF$38</f>
        <v>#REF!</v>
      </c>
      <c r="I661" s="255">
        <v>0</v>
      </c>
      <c r="J661" s="255">
        <v>0</v>
      </c>
      <c r="K661" s="317" t="e">
        <f t="shared" si="22"/>
        <v>#DIV/0!</v>
      </c>
      <c r="L661" s="111" t="s">
        <v>543</v>
      </c>
    </row>
    <row r="662" spans="1:12" ht="24.75" customHeight="1">
      <c r="A662" s="749"/>
      <c r="B662" s="751" t="s">
        <v>358</v>
      </c>
      <c r="C662" s="751" t="s">
        <v>359</v>
      </c>
      <c r="D662" s="751" t="s">
        <v>360</v>
      </c>
      <c r="E662" s="751" t="s">
        <v>346</v>
      </c>
      <c r="F662" s="760">
        <v>0.25</v>
      </c>
      <c r="G662" s="252" t="s">
        <v>252</v>
      </c>
      <c r="H662" s="113" t="e">
        <f>+[2]INVERSIÓN!$BF$45</f>
        <v>#REF!</v>
      </c>
      <c r="I662" s="113">
        <v>0</v>
      </c>
      <c r="J662" s="113">
        <v>0</v>
      </c>
      <c r="K662" s="317" t="e">
        <f t="shared" si="22"/>
        <v>#DIV/0!</v>
      </c>
      <c r="L662" s="111" t="s">
        <v>545</v>
      </c>
    </row>
    <row r="663" spans="1:12" ht="24.75" customHeight="1">
      <c r="A663" s="749"/>
      <c r="B663" s="751"/>
      <c r="C663" s="751"/>
      <c r="D663" s="751"/>
      <c r="E663" s="751"/>
      <c r="F663" s="760"/>
      <c r="G663" s="252" t="s">
        <v>309</v>
      </c>
      <c r="H663" s="255" t="e">
        <f>+[2]INVERSIÓN!$BF$52</f>
        <v>#REF!</v>
      </c>
      <c r="I663" s="255">
        <v>0</v>
      </c>
      <c r="J663" s="255">
        <v>0</v>
      </c>
      <c r="K663" s="317" t="e">
        <f t="shared" si="22"/>
        <v>#DIV/0!</v>
      </c>
      <c r="L663" s="111" t="s">
        <v>546</v>
      </c>
    </row>
    <row r="664" spans="1:12" ht="24.75" customHeight="1">
      <c r="A664" s="748" t="s">
        <v>138</v>
      </c>
      <c r="B664" s="751" t="s">
        <v>343</v>
      </c>
      <c r="C664" s="751" t="s">
        <v>344</v>
      </c>
      <c r="D664" s="751" t="s">
        <v>345</v>
      </c>
      <c r="E664" s="751" t="s">
        <v>346</v>
      </c>
      <c r="F664" s="760">
        <v>0.45</v>
      </c>
      <c r="G664" s="252" t="s">
        <v>304</v>
      </c>
      <c r="H664" s="255" t="e">
        <f>+[2]INVERSIÓN!$BF$10</f>
        <v>#REF!</v>
      </c>
      <c r="I664" s="255">
        <v>0</v>
      </c>
      <c r="J664" s="255">
        <v>0</v>
      </c>
      <c r="K664" s="317" t="e">
        <f t="shared" si="22"/>
        <v>#DIV/0!</v>
      </c>
      <c r="L664" s="111">
        <v>0</v>
      </c>
    </row>
    <row r="665" spans="1:12" ht="24.75" customHeight="1">
      <c r="A665" s="749"/>
      <c r="B665" s="751"/>
      <c r="C665" s="751"/>
      <c r="D665" s="751"/>
      <c r="E665" s="751"/>
      <c r="F665" s="760"/>
      <c r="G665" s="252" t="s">
        <v>315</v>
      </c>
      <c r="H665" s="113" t="e">
        <f>+[2]INVERSIÓN!$BF$17</f>
        <v>#REF!</v>
      </c>
      <c r="I665" s="113">
        <v>0</v>
      </c>
      <c r="J665" s="113">
        <v>0</v>
      </c>
      <c r="K665" s="317" t="e">
        <f t="shared" si="22"/>
        <v>#DIV/0!</v>
      </c>
      <c r="L665" s="111" t="s">
        <v>550</v>
      </c>
    </row>
    <row r="666" spans="1:12" ht="24.75" customHeight="1">
      <c r="A666" s="749"/>
      <c r="B666" s="751"/>
      <c r="C666" s="751"/>
      <c r="D666" s="751"/>
      <c r="E666" s="751"/>
      <c r="F666" s="760"/>
      <c r="G666" s="252" t="s">
        <v>316</v>
      </c>
      <c r="H666" s="113" t="e">
        <f>+[2]INVERSIÓN!$BF$24</f>
        <v>#REF!</v>
      </c>
      <c r="I666" s="113">
        <v>0</v>
      </c>
      <c r="J666" s="113">
        <v>0</v>
      </c>
      <c r="K666" s="317" t="e">
        <f t="shared" si="22"/>
        <v>#DIV/0!</v>
      </c>
      <c r="L666" s="111" t="s">
        <v>552</v>
      </c>
    </row>
    <row r="667" spans="1:12" ht="24.75" customHeight="1">
      <c r="A667" s="749"/>
      <c r="B667" s="252" t="s">
        <v>350</v>
      </c>
      <c r="C667" s="252" t="s">
        <v>351</v>
      </c>
      <c r="D667" s="252" t="s">
        <v>352</v>
      </c>
      <c r="E667" s="252" t="s">
        <v>254</v>
      </c>
      <c r="F667" s="255">
        <v>0.15</v>
      </c>
      <c r="G667" s="252" t="s">
        <v>256</v>
      </c>
      <c r="H667" s="113" t="e">
        <f>+[2]INVERSIÓN!$BF$31</f>
        <v>#REF!</v>
      </c>
      <c r="I667" s="113">
        <v>0</v>
      </c>
      <c r="J667" s="113">
        <v>0</v>
      </c>
      <c r="K667" s="317" t="e">
        <f t="shared" si="22"/>
        <v>#DIV/0!</v>
      </c>
      <c r="L667" s="111" t="s">
        <v>551</v>
      </c>
    </row>
    <row r="668" spans="1:12" ht="24.75" customHeight="1">
      <c r="A668" s="749"/>
      <c r="B668" s="252" t="s">
        <v>354</v>
      </c>
      <c r="C668" s="252" t="s">
        <v>355</v>
      </c>
      <c r="D668" s="252" t="s">
        <v>356</v>
      </c>
      <c r="E668" s="252" t="s">
        <v>254</v>
      </c>
      <c r="F668" s="255">
        <v>0.15</v>
      </c>
      <c r="G668" s="252" t="s">
        <v>257</v>
      </c>
      <c r="H668" s="255" t="e">
        <f>+[2]INVERSIÓN!$BF$38</f>
        <v>#REF!</v>
      </c>
      <c r="I668" s="255">
        <v>0</v>
      </c>
      <c r="J668" s="255">
        <v>0</v>
      </c>
      <c r="K668" s="317" t="e">
        <f t="shared" si="22"/>
        <v>#DIV/0!</v>
      </c>
      <c r="L668" s="111" t="s">
        <v>549</v>
      </c>
    </row>
    <row r="669" spans="1:12" ht="24.75" customHeight="1">
      <c r="A669" s="749"/>
      <c r="B669" s="751" t="s">
        <v>358</v>
      </c>
      <c r="C669" s="751" t="s">
        <v>359</v>
      </c>
      <c r="D669" s="751" t="s">
        <v>360</v>
      </c>
      <c r="E669" s="751" t="s">
        <v>346</v>
      </c>
      <c r="F669" s="760">
        <v>0.25</v>
      </c>
      <c r="G669" s="252" t="s">
        <v>252</v>
      </c>
      <c r="H669" s="113" t="e">
        <f>+[2]INVERSIÓN!$BF$45</f>
        <v>#REF!</v>
      </c>
      <c r="I669" s="113">
        <v>0</v>
      </c>
      <c r="J669" s="113">
        <v>0</v>
      </c>
      <c r="K669" s="317" t="e">
        <f t="shared" si="22"/>
        <v>#DIV/0!</v>
      </c>
      <c r="L669" s="111" t="s">
        <v>553</v>
      </c>
    </row>
    <row r="670" spans="1:12" ht="24.75" customHeight="1">
      <c r="A670" s="750"/>
      <c r="B670" s="751"/>
      <c r="C670" s="751"/>
      <c r="D670" s="751"/>
      <c r="E670" s="751"/>
      <c r="F670" s="760"/>
      <c r="G670" s="252" t="s">
        <v>309</v>
      </c>
      <c r="H670" s="255" t="e">
        <f>+[2]INVERSIÓN!$BF$52</f>
        <v>#REF!</v>
      </c>
      <c r="I670" s="255">
        <v>0</v>
      </c>
      <c r="J670" s="255">
        <v>0</v>
      </c>
      <c r="K670" s="317" t="e">
        <f t="shared" si="22"/>
        <v>#DIV/0!</v>
      </c>
      <c r="L670" s="111" t="s">
        <v>547</v>
      </c>
    </row>
    <row r="671" spans="1:12" ht="24.75" customHeight="1">
      <c r="A671" s="748" t="s">
        <v>139</v>
      </c>
      <c r="B671" s="751" t="s">
        <v>343</v>
      </c>
      <c r="C671" s="751" t="s">
        <v>344</v>
      </c>
      <c r="D671" s="751" t="s">
        <v>345</v>
      </c>
      <c r="E671" s="751" t="s">
        <v>346</v>
      </c>
      <c r="F671" s="760">
        <v>0.45</v>
      </c>
      <c r="G671" s="252" t="s">
        <v>304</v>
      </c>
      <c r="H671" s="255" t="e">
        <f>+[2]INVERSIÓN!$BF$10</f>
        <v>#REF!</v>
      </c>
      <c r="I671" s="255">
        <v>0</v>
      </c>
      <c r="J671" s="255">
        <v>0</v>
      </c>
      <c r="K671" s="317" t="e">
        <f t="shared" si="22"/>
        <v>#DIV/0!</v>
      </c>
      <c r="L671" s="111" t="s">
        <v>558</v>
      </c>
    </row>
    <row r="672" spans="1:12" ht="24.75" customHeight="1">
      <c r="A672" s="749"/>
      <c r="B672" s="751"/>
      <c r="C672" s="751"/>
      <c r="D672" s="751"/>
      <c r="E672" s="751"/>
      <c r="F672" s="760"/>
      <c r="G672" s="252" t="s">
        <v>315</v>
      </c>
      <c r="H672" s="113" t="e">
        <f>+[2]INVERSIÓN!$BF$17</f>
        <v>#REF!</v>
      </c>
      <c r="I672" s="113">
        <v>0</v>
      </c>
      <c r="J672" s="113">
        <v>0</v>
      </c>
      <c r="K672" s="317" t="e">
        <f t="shared" si="22"/>
        <v>#DIV/0!</v>
      </c>
      <c r="L672" s="111" t="s">
        <v>557</v>
      </c>
    </row>
    <row r="673" spans="1:12" ht="24.75" customHeight="1">
      <c r="A673" s="749"/>
      <c r="B673" s="751"/>
      <c r="C673" s="751"/>
      <c r="D673" s="751"/>
      <c r="E673" s="751"/>
      <c r="F673" s="760"/>
      <c r="G673" s="252" t="s">
        <v>316</v>
      </c>
      <c r="H673" s="113" t="e">
        <f>+[2]INVERSIÓN!$BF$24</f>
        <v>#REF!</v>
      </c>
      <c r="I673" s="113">
        <v>0</v>
      </c>
      <c r="J673" s="113">
        <v>0</v>
      </c>
      <c r="K673" s="317" t="e">
        <f t="shared" si="22"/>
        <v>#DIV/0!</v>
      </c>
      <c r="L673" s="111" t="s">
        <v>559</v>
      </c>
    </row>
    <row r="674" spans="1:12" ht="24.75" customHeight="1">
      <c r="A674" s="749"/>
      <c r="B674" s="252" t="s">
        <v>350</v>
      </c>
      <c r="C674" s="252" t="s">
        <v>351</v>
      </c>
      <c r="D674" s="252" t="s">
        <v>352</v>
      </c>
      <c r="E674" s="252" t="s">
        <v>254</v>
      </c>
      <c r="F674" s="255">
        <v>0.15</v>
      </c>
      <c r="G674" s="252" t="s">
        <v>256</v>
      </c>
      <c r="H674" s="113" t="e">
        <f>+[2]INVERSIÓN!$BF$31</f>
        <v>#REF!</v>
      </c>
      <c r="I674" s="113">
        <v>0</v>
      </c>
      <c r="J674" s="113">
        <v>0</v>
      </c>
      <c r="K674" s="317" t="e">
        <f t="shared" si="22"/>
        <v>#DIV/0!</v>
      </c>
      <c r="L674" s="111" t="s">
        <v>555</v>
      </c>
    </row>
    <row r="675" spans="1:12" ht="24.75" customHeight="1">
      <c r="A675" s="749"/>
      <c r="B675" s="252" t="s">
        <v>354</v>
      </c>
      <c r="C675" s="252" t="s">
        <v>355</v>
      </c>
      <c r="D675" s="252" t="s">
        <v>356</v>
      </c>
      <c r="E675" s="252" t="s">
        <v>254</v>
      </c>
      <c r="F675" s="255">
        <v>0.15</v>
      </c>
      <c r="G675" s="252" t="s">
        <v>257</v>
      </c>
      <c r="H675" s="255" t="e">
        <f>+[2]INVERSIÓN!$BF$38</f>
        <v>#REF!</v>
      </c>
      <c r="I675" s="255">
        <v>0</v>
      </c>
      <c r="J675" s="255">
        <v>0</v>
      </c>
      <c r="K675" s="317" t="e">
        <f t="shared" si="22"/>
        <v>#DIV/0!</v>
      </c>
      <c r="L675" s="111" t="s">
        <v>556</v>
      </c>
    </row>
    <row r="676" spans="1:12" ht="24.75" customHeight="1">
      <c r="A676" s="749"/>
      <c r="B676" s="751" t="s">
        <v>358</v>
      </c>
      <c r="C676" s="751" t="s">
        <v>359</v>
      </c>
      <c r="D676" s="751" t="s">
        <v>360</v>
      </c>
      <c r="E676" s="751" t="s">
        <v>346</v>
      </c>
      <c r="F676" s="760">
        <v>0.25</v>
      </c>
      <c r="G676" s="252" t="s">
        <v>252</v>
      </c>
      <c r="H676" s="113" t="e">
        <f>+[2]INVERSIÓN!$BF$45</f>
        <v>#REF!</v>
      </c>
      <c r="I676" s="113">
        <v>0</v>
      </c>
      <c r="J676" s="113">
        <v>0</v>
      </c>
      <c r="K676" s="317" t="e">
        <f t="shared" si="22"/>
        <v>#DIV/0!</v>
      </c>
      <c r="L676" s="111" t="s">
        <v>554</v>
      </c>
    </row>
    <row r="677" spans="1:12" ht="24.75" customHeight="1">
      <c r="A677" s="750"/>
      <c r="B677" s="751"/>
      <c r="C677" s="751"/>
      <c r="D677" s="751"/>
      <c r="E677" s="751"/>
      <c r="F677" s="760"/>
      <c r="G677" s="252" t="s">
        <v>309</v>
      </c>
      <c r="H677" s="255" t="e">
        <f>+[2]INVERSIÓN!$BF$52</f>
        <v>#REF!</v>
      </c>
      <c r="I677" s="255">
        <v>0</v>
      </c>
      <c r="J677" s="255">
        <v>0</v>
      </c>
      <c r="K677" s="317" t="e">
        <f t="shared" si="22"/>
        <v>#DIV/0!</v>
      </c>
      <c r="L677" s="111" t="s">
        <v>560</v>
      </c>
    </row>
    <row r="678" spans="1:12" ht="24.75" customHeight="1">
      <c r="A678" s="748" t="s">
        <v>140</v>
      </c>
      <c r="B678" s="751" t="s">
        <v>343</v>
      </c>
      <c r="C678" s="751" t="s">
        <v>344</v>
      </c>
      <c r="D678" s="751" t="s">
        <v>345</v>
      </c>
      <c r="E678" s="751" t="s">
        <v>346</v>
      </c>
      <c r="F678" s="760">
        <v>0.45</v>
      </c>
      <c r="G678" s="252" t="s">
        <v>304</v>
      </c>
      <c r="H678" s="255" t="e">
        <f>+[2]INVERSIÓN!$CE$10</f>
        <v>#REF!</v>
      </c>
      <c r="I678" s="255">
        <v>0</v>
      </c>
      <c r="J678" s="255">
        <v>0</v>
      </c>
      <c r="K678" s="317" t="e">
        <f t="shared" si="22"/>
        <v>#DIV/0!</v>
      </c>
      <c r="L678" s="111" t="s">
        <v>568</v>
      </c>
    </row>
    <row r="679" spans="1:12" ht="24.75" customHeight="1">
      <c r="A679" s="749"/>
      <c r="B679" s="751"/>
      <c r="C679" s="751"/>
      <c r="D679" s="751"/>
      <c r="E679" s="751"/>
      <c r="F679" s="760"/>
      <c r="G679" s="252" t="s">
        <v>315</v>
      </c>
      <c r="H679" s="113" t="e">
        <f>+[2]INVERSIÓN!$CE$17</f>
        <v>#REF!</v>
      </c>
      <c r="I679" s="113">
        <v>0</v>
      </c>
      <c r="J679" s="113">
        <v>0</v>
      </c>
      <c r="K679" s="317" t="e">
        <f t="shared" si="22"/>
        <v>#DIV/0!</v>
      </c>
      <c r="L679" s="111" t="s">
        <v>564</v>
      </c>
    </row>
    <row r="680" spans="1:12" ht="24.75" customHeight="1">
      <c r="A680" s="749"/>
      <c r="B680" s="751"/>
      <c r="C680" s="751"/>
      <c r="D680" s="751"/>
      <c r="E680" s="751"/>
      <c r="F680" s="760"/>
      <c r="G680" s="252" t="s">
        <v>316</v>
      </c>
      <c r="H680" s="113" t="e">
        <f>+[2]INVERSIÓN!$CE$24</f>
        <v>#REF!</v>
      </c>
      <c r="I680" s="113">
        <v>0</v>
      </c>
      <c r="J680" s="113">
        <v>0</v>
      </c>
      <c r="K680" s="317" t="e">
        <f t="shared" si="22"/>
        <v>#DIV/0!</v>
      </c>
      <c r="L680" s="111" t="s">
        <v>567</v>
      </c>
    </row>
    <row r="681" spans="1:12" ht="24.75" customHeight="1">
      <c r="A681" s="749"/>
      <c r="B681" s="252" t="s">
        <v>350</v>
      </c>
      <c r="C681" s="252" t="s">
        <v>351</v>
      </c>
      <c r="D681" s="252" t="s">
        <v>352</v>
      </c>
      <c r="E681" s="252" t="s">
        <v>254</v>
      </c>
      <c r="F681" s="255">
        <v>0.15</v>
      </c>
      <c r="G681" s="252" t="s">
        <v>256</v>
      </c>
      <c r="H681" s="113" t="e">
        <f>+[2]INVERSIÓN!$CE$31</f>
        <v>#REF!</v>
      </c>
      <c r="I681" s="113">
        <v>0</v>
      </c>
      <c r="J681" s="113">
        <v>0</v>
      </c>
      <c r="K681" s="317" t="e">
        <f t="shared" si="22"/>
        <v>#DIV/0!</v>
      </c>
      <c r="L681" s="111" t="s">
        <v>563</v>
      </c>
    </row>
    <row r="682" spans="1:12" ht="24.75" customHeight="1">
      <c r="A682" s="749"/>
      <c r="B682" s="252" t="s">
        <v>354</v>
      </c>
      <c r="C682" s="252" t="s">
        <v>355</v>
      </c>
      <c r="D682" s="252" t="s">
        <v>356</v>
      </c>
      <c r="E682" s="252" t="s">
        <v>254</v>
      </c>
      <c r="F682" s="255">
        <v>0.15</v>
      </c>
      <c r="G682" s="252" t="s">
        <v>257</v>
      </c>
      <c r="H682" s="255" t="e">
        <f>+[2]INVERSIÓN!$CE$38</f>
        <v>#REF!</v>
      </c>
      <c r="I682" s="255">
        <v>0</v>
      </c>
      <c r="J682" s="255">
        <v>0</v>
      </c>
      <c r="K682" s="317" t="e">
        <f t="shared" si="22"/>
        <v>#DIV/0!</v>
      </c>
      <c r="L682" s="111" t="s">
        <v>566</v>
      </c>
    </row>
    <row r="683" spans="1:12" ht="24.75" customHeight="1">
      <c r="A683" s="749"/>
      <c r="B683" s="751" t="s">
        <v>358</v>
      </c>
      <c r="C683" s="751" t="s">
        <v>359</v>
      </c>
      <c r="D683" s="751" t="s">
        <v>360</v>
      </c>
      <c r="E683" s="751" t="s">
        <v>346</v>
      </c>
      <c r="F683" s="760">
        <v>0.25</v>
      </c>
      <c r="G683" s="252" t="s">
        <v>252</v>
      </c>
      <c r="H683" s="113" t="e">
        <f>+[2]INVERSIÓN!$CE$45</f>
        <v>#REF!</v>
      </c>
      <c r="I683" s="113">
        <v>0</v>
      </c>
      <c r="J683" s="113">
        <v>0</v>
      </c>
      <c r="K683" s="317" t="e">
        <f t="shared" si="22"/>
        <v>#DIV/0!</v>
      </c>
      <c r="L683" s="111" t="s">
        <v>565</v>
      </c>
    </row>
    <row r="684" spans="1:12" ht="24.75" customHeight="1">
      <c r="A684" s="750"/>
      <c r="B684" s="751"/>
      <c r="C684" s="751"/>
      <c r="D684" s="751"/>
      <c r="E684" s="751"/>
      <c r="F684" s="760"/>
      <c r="G684" s="252" t="s">
        <v>309</v>
      </c>
      <c r="H684" s="255" t="e">
        <f>+[2]INVERSIÓN!$CE$52</f>
        <v>#REF!</v>
      </c>
      <c r="I684" s="255">
        <v>0</v>
      </c>
      <c r="J684" s="255">
        <v>0</v>
      </c>
      <c r="K684" s="317" t="e">
        <f t="shared" si="22"/>
        <v>#DIV/0!</v>
      </c>
      <c r="L684" s="111" t="s">
        <v>562</v>
      </c>
    </row>
    <row r="685" spans="1:12" ht="24.75" customHeight="1">
      <c r="A685" s="748" t="s">
        <v>128</v>
      </c>
      <c r="B685" s="751" t="s">
        <v>343</v>
      </c>
      <c r="C685" s="751" t="s">
        <v>344</v>
      </c>
      <c r="D685" s="751" t="s">
        <v>345</v>
      </c>
      <c r="E685" s="751" t="s">
        <v>346</v>
      </c>
      <c r="F685" s="760">
        <v>0.45</v>
      </c>
      <c r="G685" s="252" t="s">
        <v>304</v>
      </c>
      <c r="H685" s="255" t="e">
        <f>+[2]INVERSIÓN!$CE$10</f>
        <v>#REF!</v>
      </c>
      <c r="I685" s="255">
        <v>0</v>
      </c>
      <c r="J685" s="255">
        <v>0</v>
      </c>
      <c r="K685" s="317" t="e">
        <f t="shared" si="22"/>
        <v>#DIV/0!</v>
      </c>
      <c r="L685" s="111" t="s">
        <v>572</v>
      </c>
    </row>
    <row r="686" spans="1:12" ht="24.75" customHeight="1">
      <c r="A686" s="749"/>
      <c r="B686" s="751"/>
      <c r="C686" s="751"/>
      <c r="D686" s="751"/>
      <c r="E686" s="751"/>
      <c r="F686" s="760"/>
      <c r="G686" s="252" t="s">
        <v>315</v>
      </c>
      <c r="H686" s="113" t="e">
        <f>+[2]INVERSIÓN!$CE$17</f>
        <v>#REF!</v>
      </c>
      <c r="I686" s="113">
        <v>0</v>
      </c>
      <c r="J686" s="113">
        <v>0</v>
      </c>
      <c r="K686" s="317" t="e">
        <f t="shared" si="22"/>
        <v>#DIV/0!</v>
      </c>
      <c r="L686" s="111" t="s">
        <v>573</v>
      </c>
    </row>
    <row r="687" spans="1:12" ht="24.75" customHeight="1">
      <c r="A687" s="749"/>
      <c r="B687" s="751"/>
      <c r="C687" s="751"/>
      <c r="D687" s="751"/>
      <c r="E687" s="751"/>
      <c r="F687" s="760"/>
      <c r="G687" s="252" t="s">
        <v>316</v>
      </c>
      <c r="H687" s="113" t="e">
        <f>+[2]INVERSIÓN!$CE$24</f>
        <v>#REF!</v>
      </c>
      <c r="I687" s="113">
        <v>0</v>
      </c>
      <c r="J687" s="113">
        <v>0</v>
      </c>
      <c r="K687" s="317" t="e">
        <f t="shared" si="22"/>
        <v>#DIV/0!</v>
      </c>
      <c r="L687" s="111" t="s">
        <v>574</v>
      </c>
    </row>
    <row r="688" spans="1:12" ht="24.75" customHeight="1">
      <c r="A688" s="749"/>
      <c r="B688" s="252" t="s">
        <v>350</v>
      </c>
      <c r="C688" s="252" t="s">
        <v>351</v>
      </c>
      <c r="D688" s="252" t="s">
        <v>352</v>
      </c>
      <c r="E688" s="252" t="s">
        <v>254</v>
      </c>
      <c r="F688" s="255">
        <v>0.15</v>
      </c>
      <c r="G688" s="252" t="s">
        <v>256</v>
      </c>
      <c r="H688" s="113" t="e">
        <f>+[2]INVERSIÓN!$CE$31</f>
        <v>#REF!</v>
      </c>
      <c r="I688" s="113">
        <v>0</v>
      </c>
      <c r="J688" s="113">
        <v>0</v>
      </c>
      <c r="K688" s="317" t="e">
        <f t="shared" si="22"/>
        <v>#DIV/0!</v>
      </c>
      <c r="L688" s="111" t="s">
        <v>570</v>
      </c>
    </row>
    <row r="689" spans="1:12" ht="24.75" customHeight="1">
      <c r="A689" s="749"/>
      <c r="B689" s="252" t="s">
        <v>354</v>
      </c>
      <c r="C689" s="252" t="s">
        <v>355</v>
      </c>
      <c r="D689" s="252" t="s">
        <v>356</v>
      </c>
      <c r="E689" s="252" t="s">
        <v>254</v>
      </c>
      <c r="F689" s="255">
        <v>0.15</v>
      </c>
      <c r="G689" s="252" t="s">
        <v>257</v>
      </c>
      <c r="H689" s="255" t="e">
        <f>+[2]INVERSIÓN!$CE$38</f>
        <v>#REF!</v>
      </c>
      <c r="I689" s="255">
        <v>0</v>
      </c>
      <c r="J689" s="255">
        <v>0</v>
      </c>
      <c r="K689" s="317" t="e">
        <f t="shared" si="22"/>
        <v>#DIV/0!</v>
      </c>
      <c r="L689" s="111" t="s">
        <v>571</v>
      </c>
    </row>
    <row r="690" spans="1:12" ht="24.75" customHeight="1">
      <c r="A690" s="749"/>
      <c r="B690" s="751" t="s">
        <v>358</v>
      </c>
      <c r="C690" s="751" t="s">
        <v>359</v>
      </c>
      <c r="D690" s="751" t="s">
        <v>360</v>
      </c>
      <c r="E690" s="751" t="s">
        <v>346</v>
      </c>
      <c r="F690" s="760">
        <v>0.25</v>
      </c>
      <c r="G690" s="252" t="s">
        <v>252</v>
      </c>
      <c r="H690" s="113" t="e">
        <f>+[2]INVERSIÓN!$CE$45</f>
        <v>#REF!</v>
      </c>
      <c r="I690" s="113">
        <v>0</v>
      </c>
      <c r="J690" s="113">
        <v>0</v>
      </c>
      <c r="K690" s="317" t="e">
        <f t="shared" si="22"/>
        <v>#DIV/0!</v>
      </c>
      <c r="L690" s="111" t="s">
        <v>569</v>
      </c>
    </row>
    <row r="691" spans="1:12" ht="24.75" customHeight="1">
      <c r="A691" s="750"/>
      <c r="B691" s="751"/>
      <c r="C691" s="751"/>
      <c r="D691" s="751"/>
      <c r="E691" s="751"/>
      <c r="F691" s="760"/>
      <c r="G691" s="252" t="s">
        <v>309</v>
      </c>
      <c r="H691" s="255" t="e">
        <f>+[2]INVERSIÓN!$CE$52</f>
        <v>#REF!</v>
      </c>
      <c r="I691" s="255">
        <v>0</v>
      </c>
      <c r="J691" s="255">
        <v>0</v>
      </c>
      <c r="K691" s="317" t="e">
        <f t="shared" si="22"/>
        <v>#DIV/0!</v>
      </c>
      <c r="L691" s="111" t="s">
        <v>575</v>
      </c>
    </row>
    <row r="692" spans="1:12" ht="24.75" customHeight="1">
      <c r="A692" s="748" t="s">
        <v>129</v>
      </c>
      <c r="B692" s="751" t="s">
        <v>343</v>
      </c>
      <c r="C692" s="751" t="s">
        <v>344</v>
      </c>
      <c r="D692" s="751" t="s">
        <v>345</v>
      </c>
      <c r="E692" s="751" t="s">
        <v>346</v>
      </c>
      <c r="F692" s="760">
        <v>0.45</v>
      </c>
      <c r="G692" s="252" t="s">
        <v>304</v>
      </c>
      <c r="H692" s="255" t="e">
        <f>+[2]INVERSIÓN!$CE$10</f>
        <v>#REF!</v>
      </c>
      <c r="I692" s="255">
        <v>0</v>
      </c>
      <c r="J692" s="255">
        <v>0</v>
      </c>
      <c r="K692" s="317" t="e">
        <f t="shared" si="22"/>
        <v>#DIV/0!</v>
      </c>
      <c r="L692" s="116" t="s">
        <v>582</v>
      </c>
    </row>
    <row r="693" spans="1:12" ht="24.75" customHeight="1">
      <c r="A693" s="749"/>
      <c r="B693" s="751"/>
      <c r="C693" s="751"/>
      <c r="D693" s="751"/>
      <c r="E693" s="751"/>
      <c r="F693" s="760"/>
      <c r="G693" s="252" t="s">
        <v>315</v>
      </c>
      <c r="H693" s="113" t="e">
        <f>+[2]INVERSIÓN!$CE$17</f>
        <v>#REF!</v>
      </c>
      <c r="I693" s="113">
        <v>0</v>
      </c>
      <c r="J693" s="113">
        <v>0</v>
      </c>
      <c r="K693" s="317" t="e">
        <f t="shared" si="22"/>
        <v>#DIV/0!</v>
      </c>
      <c r="L693" s="116" t="s">
        <v>578</v>
      </c>
    </row>
    <row r="694" spans="1:12" ht="24.75" customHeight="1">
      <c r="A694" s="749"/>
      <c r="B694" s="751"/>
      <c r="C694" s="751"/>
      <c r="D694" s="751"/>
      <c r="E694" s="751"/>
      <c r="F694" s="760"/>
      <c r="G694" s="252" t="s">
        <v>316</v>
      </c>
      <c r="H694" s="113" t="e">
        <f>+[2]INVERSIÓN!$CE$24</f>
        <v>#REF!</v>
      </c>
      <c r="I694" s="113">
        <v>0</v>
      </c>
      <c r="J694" s="113">
        <v>0</v>
      </c>
      <c r="K694" s="317" t="e">
        <f t="shared" si="22"/>
        <v>#DIV/0!</v>
      </c>
      <c r="L694" s="116" t="s">
        <v>581</v>
      </c>
    </row>
    <row r="695" spans="1:12" ht="24.75" customHeight="1">
      <c r="A695" s="749"/>
      <c r="B695" s="252" t="s">
        <v>350</v>
      </c>
      <c r="C695" s="252" t="s">
        <v>351</v>
      </c>
      <c r="D695" s="252" t="s">
        <v>352</v>
      </c>
      <c r="E695" s="252" t="s">
        <v>254</v>
      </c>
      <c r="F695" s="255">
        <v>0.15</v>
      </c>
      <c r="G695" s="252" t="s">
        <v>256</v>
      </c>
      <c r="H695" s="113" t="e">
        <f>+[2]INVERSIÓN!$CE$31</f>
        <v>#REF!</v>
      </c>
      <c r="I695" s="113">
        <v>0</v>
      </c>
      <c r="J695" s="113">
        <v>0</v>
      </c>
      <c r="K695" s="317" t="e">
        <f t="shared" si="22"/>
        <v>#DIV/0!</v>
      </c>
      <c r="L695" s="116" t="s">
        <v>577</v>
      </c>
    </row>
    <row r="696" spans="1:12" ht="24.75" customHeight="1">
      <c r="A696" s="749"/>
      <c r="B696" s="252" t="s">
        <v>354</v>
      </c>
      <c r="C696" s="252" t="s">
        <v>355</v>
      </c>
      <c r="D696" s="252" t="s">
        <v>356</v>
      </c>
      <c r="E696" s="252" t="s">
        <v>254</v>
      </c>
      <c r="F696" s="255">
        <v>0.15</v>
      </c>
      <c r="G696" s="252" t="s">
        <v>257</v>
      </c>
      <c r="H696" s="255" t="e">
        <f>+[2]INVERSIÓN!$CE$38</f>
        <v>#REF!</v>
      </c>
      <c r="I696" s="255">
        <v>0</v>
      </c>
      <c r="J696" s="255">
        <v>0</v>
      </c>
      <c r="K696" s="317" t="e">
        <f t="shared" si="22"/>
        <v>#DIV/0!</v>
      </c>
      <c r="L696" s="116" t="s">
        <v>579</v>
      </c>
    </row>
    <row r="697" spans="1:12" ht="24.75" customHeight="1">
      <c r="A697" s="749"/>
      <c r="B697" s="751" t="s">
        <v>358</v>
      </c>
      <c r="C697" s="751" t="s">
        <v>359</v>
      </c>
      <c r="D697" s="751" t="s">
        <v>360</v>
      </c>
      <c r="E697" s="751" t="s">
        <v>346</v>
      </c>
      <c r="F697" s="760">
        <v>0.25</v>
      </c>
      <c r="G697" s="252" t="s">
        <v>252</v>
      </c>
      <c r="H697" s="113" t="e">
        <f>+[2]INVERSIÓN!$CE$45</f>
        <v>#REF!</v>
      </c>
      <c r="I697" s="113">
        <v>0</v>
      </c>
      <c r="J697" s="113">
        <v>0</v>
      </c>
      <c r="K697" s="317" t="e">
        <f t="shared" si="22"/>
        <v>#DIV/0!</v>
      </c>
      <c r="L697" s="116" t="s">
        <v>576</v>
      </c>
    </row>
    <row r="698" spans="1:12" ht="24.75" customHeight="1">
      <c r="A698" s="750"/>
      <c r="B698" s="751"/>
      <c r="C698" s="751"/>
      <c r="D698" s="751"/>
      <c r="E698" s="751"/>
      <c r="F698" s="760"/>
      <c r="G698" s="252" t="s">
        <v>309</v>
      </c>
      <c r="H698" s="255" t="e">
        <f>+[2]INVERSIÓN!$CE$52</f>
        <v>#REF!</v>
      </c>
      <c r="I698" s="255">
        <v>0</v>
      </c>
      <c r="J698" s="255">
        <v>0</v>
      </c>
      <c r="K698" s="317" t="e">
        <f t="shared" si="22"/>
        <v>#DIV/0!</v>
      </c>
      <c r="L698" s="116" t="s">
        <v>580</v>
      </c>
    </row>
    <row r="699" spans="1:12" ht="24.75" customHeight="1">
      <c r="A699" s="748" t="s">
        <v>130</v>
      </c>
      <c r="B699" s="751" t="s">
        <v>343</v>
      </c>
      <c r="C699" s="751" t="s">
        <v>344</v>
      </c>
      <c r="D699" s="751" t="s">
        <v>345</v>
      </c>
      <c r="E699" s="751" t="s">
        <v>346</v>
      </c>
      <c r="F699" s="760">
        <v>0.45</v>
      </c>
      <c r="G699" s="252" t="s">
        <v>304</v>
      </c>
      <c r="H699" s="255" t="e">
        <f>+[2]INVERSIÓN!$CE$10</f>
        <v>#REF!</v>
      </c>
      <c r="I699" s="255">
        <v>0</v>
      </c>
      <c r="J699" s="255">
        <v>0</v>
      </c>
      <c r="K699" s="317" t="e">
        <f t="shared" si="22"/>
        <v>#DIV/0!</v>
      </c>
      <c r="L699" s="116" t="s">
        <v>587</v>
      </c>
    </row>
    <row r="700" spans="1:12" ht="24.75" customHeight="1">
      <c r="A700" s="749"/>
      <c r="B700" s="751"/>
      <c r="C700" s="751"/>
      <c r="D700" s="751"/>
      <c r="E700" s="751"/>
      <c r="F700" s="760"/>
      <c r="G700" s="252" t="s">
        <v>315</v>
      </c>
      <c r="H700" s="113" t="e">
        <f>+[2]INVERSIÓN!$CE$17</f>
        <v>#REF!</v>
      </c>
      <c r="I700" s="113">
        <v>0</v>
      </c>
      <c r="J700" s="113">
        <v>0</v>
      </c>
      <c r="K700" s="317" t="e">
        <f t="shared" si="22"/>
        <v>#DIV/0!</v>
      </c>
      <c r="L700" s="116" t="s">
        <v>586</v>
      </c>
    </row>
    <row r="701" spans="1:12" ht="24.75" customHeight="1">
      <c r="A701" s="749"/>
      <c r="B701" s="751"/>
      <c r="C701" s="751"/>
      <c r="D701" s="751"/>
      <c r="E701" s="751"/>
      <c r="F701" s="760"/>
      <c r="G701" s="252" t="s">
        <v>316</v>
      </c>
      <c r="H701" s="113" t="e">
        <f>+[2]INVERSIÓN!$CE$24</f>
        <v>#REF!</v>
      </c>
      <c r="I701" s="113">
        <v>0</v>
      </c>
      <c r="J701" s="113">
        <v>0</v>
      </c>
      <c r="K701" s="317" t="e">
        <f t="shared" si="22"/>
        <v>#DIV/0!</v>
      </c>
      <c r="L701" s="116" t="s">
        <v>588</v>
      </c>
    </row>
    <row r="702" spans="1:12" ht="24.75" customHeight="1">
      <c r="A702" s="749"/>
      <c r="B702" s="252" t="s">
        <v>350</v>
      </c>
      <c r="C702" s="252" t="s">
        <v>351</v>
      </c>
      <c r="D702" s="252" t="s">
        <v>352</v>
      </c>
      <c r="E702" s="252" t="s">
        <v>254</v>
      </c>
      <c r="F702" s="255">
        <v>0.15</v>
      </c>
      <c r="G702" s="252" t="s">
        <v>256</v>
      </c>
      <c r="H702" s="113" t="e">
        <f>+[2]INVERSIÓN!$CE$31</f>
        <v>#REF!</v>
      </c>
      <c r="I702" s="113">
        <v>0</v>
      </c>
      <c r="J702" s="113">
        <v>0</v>
      </c>
      <c r="K702" s="317" t="e">
        <f t="shared" si="22"/>
        <v>#DIV/0!</v>
      </c>
      <c r="L702" s="116" t="s">
        <v>585</v>
      </c>
    </row>
    <row r="703" spans="1:12" ht="24.75" customHeight="1">
      <c r="A703" s="749"/>
      <c r="B703" s="252" t="s">
        <v>354</v>
      </c>
      <c r="C703" s="252" t="s">
        <v>355</v>
      </c>
      <c r="D703" s="252" t="s">
        <v>356</v>
      </c>
      <c r="E703" s="252" t="s">
        <v>254</v>
      </c>
      <c r="F703" s="255">
        <v>0.15</v>
      </c>
      <c r="G703" s="252" t="s">
        <v>257</v>
      </c>
      <c r="H703" s="255" t="e">
        <f>+[2]INVERSIÓN!$CE$38</f>
        <v>#REF!</v>
      </c>
      <c r="I703" s="255">
        <v>0</v>
      </c>
      <c r="J703" s="255">
        <v>0</v>
      </c>
      <c r="K703" s="317" t="e">
        <f t="shared" si="22"/>
        <v>#DIV/0!</v>
      </c>
      <c r="L703" s="116" t="s">
        <v>579</v>
      </c>
    </row>
    <row r="704" spans="1:12" ht="24.75" customHeight="1">
      <c r="A704" s="749"/>
      <c r="B704" s="751" t="s">
        <v>358</v>
      </c>
      <c r="C704" s="751" t="s">
        <v>359</v>
      </c>
      <c r="D704" s="751" t="s">
        <v>360</v>
      </c>
      <c r="E704" s="751" t="s">
        <v>346</v>
      </c>
      <c r="F704" s="760">
        <v>0.25</v>
      </c>
      <c r="G704" s="252" t="s">
        <v>252</v>
      </c>
      <c r="H704" s="113" t="e">
        <f>+[2]INVERSIÓN!$CE$45</f>
        <v>#REF!</v>
      </c>
      <c r="I704" s="113">
        <v>0</v>
      </c>
      <c r="J704" s="113">
        <v>0</v>
      </c>
      <c r="K704" s="317" t="e">
        <f t="shared" si="22"/>
        <v>#DIV/0!</v>
      </c>
      <c r="L704" s="116" t="s">
        <v>584</v>
      </c>
    </row>
    <row r="705" spans="1:12" ht="24.75" customHeight="1">
      <c r="A705" s="750"/>
      <c r="B705" s="751"/>
      <c r="C705" s="751"/>
      <c r="D705" s="751"/>
      <c r="E705" s="751"/>
      <c r="F705" s="760"/>
      <c r="G705" s="252" t="s">
        <v>309</v>
      </c>
      <c r="H705" s="255" t="e">
        <f>+[2]INVERSIÓN!$CE$52</f>
        <v>#REF!</v>
      </c>
      <c r="I705" s="255">
        <v>0</v>
      </c>
      <c r="J705" s="255">
        <v>0</v>
      </c>
      <c r="K705" s="317" t="e">
        <f t="shared" si="22"/>
        <v>#DIV/0!</v>
      </c>
      <c r="L705" s="116" t="s">
        <v>583</v>
      </c>
    </row>
    <row r="706" spans="1:12" ht="24.75" customHeight="1">
      <c r="A706" s="748" t="s">
        <v>131</v>
      </c>
      <c r="B706" s="751" t="s">
        <v>343</v>
      </c>
      <c r="C706" s="751" t="s">
        <v>344</v>
      </c>
      <c r="D706" s="751" t="s">
        <v>345</v>
      </c>
      <c r="E706" s="751" t="s">
        <v>346</v>
      </c>
      <c r="F706" s="760">
        <v>0.45</v>
      </c>
      <c r="G706" s="252" t="s">
        <v>304</v>
      </c>
      <c r="H706" s="255" t="e">
        <f>+[2]INVERSIÓN!$CE$10</f>
        <v>#REF!</v>
      </c>
      <c r="I706" s="255">
        <v>0</v>
      </c>
      <c r="J706" s="255">
        <v>0</v>
      </c>
      <c r="K706" s="317" t="e">
        <f t="shared" si="22"/>
        <v>#DIV/0!</v>
      </c>
      <c r="L706" s="116" t="s">
        <v>592</v>
      </c>
    </row>
    <row r="707" spans="1:12" ht="24.75" customHeight="1">
      <c r="A707" s="749"/>
      <c r="B707" s="751"/>
      <c r="C707" s="751"/>
      <c r="D707" s="751"/>
      <c r="E707" s="751"/>
      <c r="F707" s="760"/>
      <c r="G707" s="252" t="s">
        <v>595</v>
      </c>
      <c r="H707" s="113" t="e">
        <f>+[2]INVERSIÓN!$CE$17</f>
        <v>#REF!</v>
      </c>
      <c r="I707" s="113">
        <v>0</v>
      </c>
      <c r="J707" s="113">
        <v>0</v>
      </c>
      <c r="K707" s="317" t="e">
        <f t="shared" si="22"/>
        <v>#DIV/0!</v>
      </c>
      <c r="L707" s="116" t="s">
        <v>593</v>
      </c>
    </row>
    <row r="708" spans="1:12" ht="24.75" customHeight="1">
      <c r="A708" s="749"/>
      <c r="B708" s="751"/>
      <c r="C708" s="751"/>
      <c r="D708" s="751"/>
      <c r="E708" s="751"/>
      <c r="F708" s="760"/>
      <c r="G708" s="252" t="s">
        <v>316</v>
      </c>
      <c r="H708" s="113" t="e">
        <f>+[2]INVERSIÓN!$CE$24</f>
        <v>#REF!</v>
      </c>
      <c r="I708" s="113">
        <v>0</v>
      </c>
      <c r="J708" s="113">
        <v>0</v>
      </c>
      <c r="K708" s="317" t="e">
        <f t="shared" si="22"/>
        <v>#DIV/0!</v>
      </c>
      <c r="L708" s="116">
        <v>0</v>
      </c>
    </row>
    <row r="709" spans="1:12" ht="24.75" customHeight="1">
      <c r="A709" s="749"/>
      <c r="B709" s="252" t="s">
        <v>350</v>
      </c>
      <c r="C709" s="252" t="s">
        <v>351</v>
      </c>
      <c r="D709" s="252" t="s">
        <v>352</v>
      </c>
      <c r="E709" s="252" t="s">
        <v>254</v>
      </c>
      <c r="F709" s="255">
        <v>0.15</v>
      </c>
      <c r="G709" s="252" t="s">
        <v>256</v>
      </c>
      <c r="H709" s="113" t="e">
        <f>+[2]INVERSIÓN!$CE$31</f>
        <v>#REF!</v>
      </c>
      <c r="I709" s="113">
        <v>0</v>
      </c>
      <c r="J709" s="113">
        <v>0</v>
      </c>
      <c r="K709" s="317" t="e">
        <f t="shared" si="22"/>
        <v>#DIV/0!</v>
      </c>
      <c r="L709" s="116" t="s">
        <v>590</v>
      </c>
    </row>
    <row r="710" spans="1:12" ht="24.75" customHeight="1">
      <c r="A710" s="749"/>
      <c r="B710" s="252" t="s">
        <v>354</v>
      </c>
      <c r="C710" s="252" t="s">
        <v>355</v>
      </c>
      <c r="D710" s="252" t="s">
        <v>356</v>
      </c>
      <c r="E710" s="252" t="s">
        <v>254</v>
      </c>
      <c r="F710" s="255">
        <v>0.15</v>
      </c>
      <c r="G710" s="252" t="s">
        <v>257</v>
      </c>
      <c r="H710" s="255" t="e">
        <f>+[2]INVERSIÓN!$CE$38</f>
        <v>#REF!</v>
      </c>
      <c r="I710" s="255">
        <v>0</v>
      </c>
      <c r="J710" s="255">
        <v>0</v>
      </c>
      <c r="K710" s="317" t="e">
        <f t="shared" si="22"/>
        <v>#DIV/0!</v>
      </c>
      <c r="L710" s="116" t="s">
        <v>591</v>
      </c>
    </row>
    <row r="711" spans="1:12" ht="24.75" customHeight="1">
      <c r="A711" s="749"/>
      <c r="B711" s="751" t="s">
        <v>358</v>
      </c>
      <c r="C711" s="751" t="s">
        <v>359</v>
      </c>
      <c r="D711" s="751" t="s">
        <v>360</v>
      </c>
      <c r="E711" s="751" t="s">
        <v>346</v>
      </c>
      <c r="F711" s="760">
        <v>0.25</v>
      </c>
      <c r="G711" s="252" t="s">
        <v>252</v>
      </c>
      <c r="H711" s="113" t="e">
        <f>+[2]INVERSIÓN!$CE$45</f>
        <v>#REF!</v>
      </c>
      <c r="I711" s="113">
        <v>0</v>
      </c>
      <c r="J711" s="113">
        <v>0</v>
      </c>
      <c r="K711" s="317" t="e">
        <f t="shared" si="22"/>
        <v>#DIV/0!</v>
      </c>
      <c r="L711" s="116" t="s">
        <v>589</v>
      </c>
    </row>
    <row r="712" spans="1:12" ht="24.75" customHeight="1">
      <c r="A712" s="750"/>
      <c r="B712" s="751"/>
      <c r="C712" s="751"/>
      <c r="D712" s="751"/>
      <c r="E712" s="751"/>
      <c r="F712" s="760"/>
      <c r="G712" s="252" t="s">
        <v>309</v>
      </c>
      <c r="H712" s="255" t="e">
        <f>+[2]INVERSIÓN!$CE$52</f>
        <v>#REF!</v>
      </c>
      <c r="I712" s="255">
        <v>0</v>
      </c>
      <c r="J712" s="255">
        <v>0</v>
      </c>
      <c r="K712" s="317" t="e">
        <f t="shared" si="22"/>
        <v>#DIV/0!</v>
      </c>
      <c r="L712" s="116" t="s">
        <v>594</v>
      </c>
    </row>
    <row r="713" spans="1:12" ht="24.75" customHeight="1">
      <c r="A713" s="748" t="s">
        <v>132</v>
      </c>
      <c r="B713" s="751" t="s">
        <v>343</v>
      </c>
      <c r="C713" s="751" t="s">
        <v>344</v>
      </c>
      <c r="D713" s="751" t="s">
        <v>345</v>
      </c>
      <c r="E713" s="751" t="s">
        <v>346</v>
      </c>
      <c r="F713" s="760">
        <v>0.45</v>
      </c>
      <c r="G713" s="252" t="s">
        <v>304</v>
      </c>
      <c r="H713" s="255" t="e">
        <f>+[2]INVERSIÓN!$CE$10</f>
        <v>#REF!</v>
      </c>
      <c r="I713" s="255">
        <v>0</v>
      </c>
      <c r="J713" s="255">
        <v>0</v>
      </c>
      <c r="K713" s="317" t="e">
        <f t="shared" si="22"/>
        <v>#DIV/0!</v>
      </c>
      <c r="L713" s="111" t="s">
        <v>600</v>
      </c>
    </row>
    <row r="714" spans="1:12" ht="24.75" customHeight="1">
      <c r="A714" s="749"/>
      <c r="B714" s="751"/>
      <c r="C714" s="751"/>
      <c r="D714" s="751"/>
      <c r="E714" s="751"/>
      <c r="F714" s="760"/>
      <c r="G714" s="252" t="s">
        <v>595</v>
      </c>
      <c r="H714" s="113" t="e">
        <f>+[2]INVERSIÓN!$CE$17</f>
        <v>#REF!</v>
      </c>
      <c r="I714" s="113">
        <v>0</v>
      </c>
      <c r="J714" s="113">
        <v>0</v>
      </c>
      <c r="K714" s="317" t="e">
        <f t="shared" si="22"/>
        <v>#DIV/0!</v>
      </c>
      <c r="L714" s="111" t="s">
        <v>602</v>
      </c>
    </row>
    <row r="715" spans="1:12" ht="24.75" customHeight="1">
      <c r="A715" s="749"/>
      <c r="B715" s="751"/>
      <c r="C715" s="751"/>
      <c r="D715" s="751"/>
      <c r="E715" s="751"/>
      <c r="F715" s="760"/>
      <c r="G715" s="252" t="s">
        <v>316</v>
      </c>
      <c r="H715" s="113" t="e">
        <f>+[2]INVERSIÓN!$CE$24</f>
        <v>#REF!</v>
      </c>
      <c r="I715" s="113">
        <v>0</v>
      </c>
      <c r="J715" s="113">
        <v>0</v>
      </c>
      <c r="K715" s="317" t="e">
        <f t="shared" si="22"/>
        <v>#DIV/0!</v>
      </c>
      <c r="L715" s="111" t="s">
        <v>603</v>
      </c>
    </row>
    <row r="716" spans="1:12" ht="24.75" customHeight="1">
      <c r="A716" s="749"/>
      <c r="B716" s="252" t="s">
        <v>350</v>
      </c>
      <c r="C716" s="252" t="s">
        <v>351</v>
      </c>
      <c r="D716" s="252" t="s">
        <v>352</v>
      </c>
      <c r="E716" s="252" t="s">
        <v>254</v>
      </c>
      <c r="F716" s="255">
        <v>0.15</v>
      </c>
      <c r="G716" s="252" t="s">
        <v>256</v>
      </c>
      <c r="H716" s="113" t="e">
        <f>+[2]INVERSIÓN!$CE$31</f>
        <v>#REF!</v>
      </c>
      <c r="I716" s="113">
        <v>0</v>
      </c>
      <c r="J716" s="113">
        <v>0</v>
      </c>
      <c r="K716" s="317" t="e">
        <f t="shared" si="22"/>
        <v>#DIV/0!</v>
      </c>
      <c r="L716" s="111" t="s">
        <v>596</v>
      </c>
    </row>
    <row r="717" spans="1:12" ht="24.75" customHeight="1">
      <c r="A717" s="749"/>
      <c r="B717" s="252" t="s">
        <v>354</v>
      </c>
      <c r="C717" s="252" t="s">
        <v>355</v>
      </c>
      <c r="D717" s="252" t="s">
        <v>356</v>
      </c>
      <c r="E717" s="252" t="s">
        <v>254</v>
      </c>
      <c r="F717" s="255">
        <v>0.15</v>
      </c>
      <c r="G717" s="252" t="s">
        <v>257</v>
      </c>
      <c r="H717" s="255" t="e">
        <f>+[2]INVERSIÓN!$CE$38</f>
        <v>#REF!</v>
      </c>
      <c r="I717" s="255">
        <v>0</v>
      </c>
      <c r="J717" s="255">
        <v>0</v>
      </c>
      <c r="K717" s="317" t="e">
        <f t="shared" si="22"/>
        <v>#DIV/0!</v>
      </c>
      <c r="L717" s="111" t="s">
        <v>598</v>
      </c>
    </row>
    <row r="718" spans="1:12" ht="24.75" customHeight="1">
      <c r="A718" s="749"/>
      <c r="B718" s="751" t="s">
        <v>358</v>
      </c>
      <c r="C718" s="751" t="s">
        <v>359</v>
      </c>
      <c r="D718" s="751" t="s">
        <v>360</v>
      </c>
      <c r="E718" s="751" t="s">
        <v>346</v>
      </c>
      <c r="F718" s="760">
        <v>0.25</v>
      </c>
      <c r="G718" s="252" t="s">
        <v>252</v>
      </c>
      <c r="H718" s="113" t="e">
        <f>+[2]INVERSIÓN!$CE$45</f>
        <v>#REF!</v>
      </c>
      <c r="I718" s="113">
        <v>0</v>
      </c>
      <c r="J718" s="113">
        <v>0</v>
      </c>
      <c r="K718" s="317" t="e">
        <f t="shared" si="22"/>
        <v>#DIV/0!</v>
      </c>
      <c r="L718" s="111" t="s">
        <v>597</v>
      </c>
    </row>
    <row r="719" spans="1:12" ht="24.75" customHeight="1">
      <c r="A719" s="750"/>
      <c r="B719" s="751"/>
      <c r="C719" s="751"/>
      <c r="D719" s="751"/>
      <c r="E719" s="751"/>
      <c r="F719" s="760"/>
      <c r="G719" s="252" t="s">
        <v>309</v>
      </c>
      <c r="H719" s="255" t="e">
        <f>+[2]INVERSIÓN!$CE$52</f>
        <v>#REF!</v>
      </c>
      <c r="I719" s="255">
        <v>0</v>
      </c>
      <c r="J719" s="255">
        <v>0</v>
      </c>
      <c r="K719" s="317" t="e">
        <f t="shared" si="22"/>
        <v>#DIV/0!</v>
      </c>
      <c r="L719" s="111" t="s">
        <v>599</v>
      </c>
    </row>
    <row r="720" spans="1:12" ht="24.75" customHeight="1">
      <c r="A720" s="748" t="s">
        <v>133</v>
      </c>
      <c r="B720" s="751" t="s">
        <v>343</v>
      </c>
      <c r="C720" s="751" t="s">
        <v>344</v>
      </c>
      <c r="D720" s="751" t="s">
        <v>345</v>
      </c>
      <c r="E720" s="751" t="s">
        <v>346</v>
      </c>
      <c r="F720" s="760">
        <v>0.45</v>
      </c>
      <c r="G720" s="252" t="s">
        <v>304</v>
      </c>
      <c r="H720" s="255" t="e">
        <f>+[2]INVERSIÓN!$CE$10</f>
        <v>#REF!</v>
      </c>
      <c r="I720" s="255">
        <v>0</v>
      </c>
      <c r="J720" s="255">
        <v>0</v>
      </c>
      <c r="K720" s="317" t="e">
        <f t="shared" si="22"/>
        <v>#DIV/0!</v>
      </c>
      <c r="L720" s="111" t="s">
        <v>610</v>
      </c>
    </row>
    <row r="721" spans="1:12" ht="24.75" customHeight="1">
      <c r="A721" s="749"/>
      <c r="B721" s="751"/>
      <c r="C721" s="751"/>
      <c r="D721" s="751"/>
      <c r="E721" s="751"/>
      <c r="F721" s="760"/>
      <c r="G721" s="252" t="s">
        <v>595</v>
      </c>
      <c r="H721" s="113" t="e">
        <f>+[2]INVERSIÓN!$CE$17</f>
        <v>#REF!</v>
      </c>
      <c r="I721" s="113">
        <v>0</v>
      </c>
      <c r="J721" s="113">
        <v>0</v>
      </c>
      <c r="K721" s="317" t="e">
        <f t="shared" si="22"/>
        <v>#DIV/0!</v>
      </c>
      <c r="L721" s="111" t="s">
        <v>608</v>
      </c>
    </row>
    <row r="722" spans="1:12" ht="24.75" customHeight="1">
      <c r="A722" s="749"/>
      <c r="B722" s="751"/>
      <c r="C722" s="751"/>
      <c r="D722" s="751"/>
      <c r="E722" s="751"/>
      <c r="F722" s="760"/>
      <c r="G722" s="252" t="s">
        <v>316</v>
      </c>
      <c r="H722" s="113" t="e">
        <f>+[2]INVERSIÓN!$CE$24</f>
        <v>#REF!</v>
      </c>
      <c r="I722" s="113">
        <v>0</v>
      </c>
      <c r="J722" s="113">
        <v>0</v>
      </c>
      <c r="K722" s="317" t="e">
        <f t="shared" ref="K722:K726" si="23">J722/I722</f>
        <v>#DIV/0!</v>
      </c>
      <c r="L722" s="111" t="s">
        <v>604</v>
      </c>
    </row>
    <row r="723" spans="1:12" ht="24.75" customHeight="1">
      <c r="A723" s="749"/>
      <c r="B723" s="252" t="s">
        <v>350</v>
      </c>
      <c r="C723" s="252" t="s">
        <v>351</v>
      </c>
      <c r="D723" s="252" t="s">
        <v>352</v>
      </c>
      <c r="E723" s="252" t="s">
        <v>254</v>
      </c>
      <c r="F723" s="255">
        <v>0.15</v>
      </c>
      <c r="G723" s="252" t="s">
        <v>256</v>
      </c>
      <c r="H723" s="113" t="e">
        <f>+[2]INVERSIÓN!$CE$31</f>
        <v>#REF!</v>
      </c>
      <c r="I723" s="113">
        <v>0</v>
      </c>
      <c r="J723" s="113">
        <v>0</v>
      </c>
      <c r="K723" s="317" t="e">
        <f t="shared" si="23"/>
        <v>#DIV/0!</v>
      </c>
      <c r="L723" s="111" t="s">
        <v>605</v>
      </c>
    </row>
    <row r="724" spans="1:12" ht="24.75" customHeight="1">
      <c r="A724" s="749"/>
      <c r="B724" s="252" t="s">
        <v>354</v>
      </c>
      <c r="C724" s="252" t="s">
        <v>355</v>
      </c>
      <c r="D724" s="252" t="s">
        <v>356</v>
      </c>
      <c r="E724" s="252" t="s">
        <v>254</v>
      </c>
      <c r="F724" s="255">
        <v>0.15</v>
      </c>
      <c r="G724" s="252" t="s">
        <v>257</v>
      </c>
      <c r="H724" s="255" t="e">
        <f>+[2]INVERSIÓN!$CE$38</f>
        <v>#REF!</v>
      </c>
      <c r="I724" s="255">
        <v>0</v>
      </c>
      <c r="J724" s="255">
        <v>0</v>
      </c>
      <c r="K724" s="317" t="e">
        <f t="shared" si="23"/>
        <v>#DIV/0!</v>
      </c>
      <c r="L724" s="111" t="s">
        <v>607</v>
      </c>
    </row>
    <row r="725" spans="1:12" ht="24.75" customHeight="1">
      <c r="A725" s="749"/>
      <c r="B725" s="751" t="s">
        <v>358</v>
      </c>
      <c r="C725" s="751" t="s">
        <v>359</v>
      </c>
      <c r="D725" s="751" t="s">
        <v>360</v>
      </c>
      <c r="E725" s="751" t="s">
        <v>346</v>
      </c>
      <c r="F725" s="760">
        <v>0.25</v>
      </c>
      <c r="G725" s="252" t="s">
        <v>252</v>
      </c>
      <c r="H725" s="113" t="e">
        <f>+[2]INVERSIÓN!$CE$45</f>
        <v>#REF!</v>
      </c>
      <c r="I725" s="113">
        <v>0</v>
      </c>
      <c r="J725" s="113">
        <v>0</v>
      </c>
      <c r="K725" s="317" t="e">
        <f t="shared" si="23"/>
        <v>#DIV/0!</v>
      </c>
      <c r="L725" s="111" t="s">
        <v>606</v>
      </c>
    </row>
    <row r="726" spans="1:12" ht="24.75" customHeight="1">
      <c r="A726" s="750"/>
      <c r="B726" s="751"/>
      <c r="C726" s="751"/>
      <c r="D726" s="751"/>
      <c r="E726" s="751"/>
      <c r="F726" s="760"/>
      <c r="G726" s="252" t="s">
        <v>309</v>
      </c>
      <c r="H726" s="255" t="e">
        <f>+[2]INVERSIÓN!$CE$52</f>
        <v>#REF!</v>
      </c>
      <c r="I726" s="255">
        <v>0</v>
      </c>
      <c r="J726" s="255">
        <v>0</v>
      </c>
      <c r="K726" s="317" t="e">
        <f t="shared" si="23"/>
        <v>#DIV/0!</v>
      </c>
      <c r="L726" s="111" t="s">
        <v>609</v>
      </c>
    </row>
    <row r="728" spans="1:12" ht="24.75" customHeight="1">
      <c r="A728" s="757" t="s">
        <v>160</v>
      </c>
      <c r="B728" s="758"/>
      <c r="C728" s="758"/>
      <c r="D728" s="758"/>
      <c r="E728" s="758"/>
      <c r="F728" s="758"/>
      <c r="G728" s="758"/>
      <c r="H728" s="758"/>
      <c r="I728" s="758"/>
      <c r="J728" s="758"/>
      <c r="K728" s="758"/>
      <c r="L728" s="759"/>
    </row>
    <row r="729" spans="1:12" ht="24.75" customHeight="1">
      <c r="A729" s="103" t="s">
        <v>62</v>
      </c>
      <c r="B729" s="30" t="s">
        <v>144</v>
      </c>
      <c r="C729" s="30" t="s">
        <v>145</v>
      </c>
      <c r="D729" s="30" t="s">
        <v>146</v>
      </c>
      <c r="E729" s="30" t="s">
        <v>147</v>
      </c>
      <c r="F729" s="30" t="s">
        <v>161</v>
      </c>
      <c r="G729" s="30" t="s">
        <v>149</v>
      </c>
      <c r="H729" s="30" t="s">
        <v>162</v>
      </c>
      <c r="I729" s="124" t="s">
        <v>151</v>
      </c>
      <c r="J729" s="30" t="s">
        <v>152</v>
      </c>
      <c r="K729" s="30" t="s">
        <v>153</v>
      </c>
      <c r="L729" s="30" t="s">
        <v>154</v>
      </c>
    </row>
    <row r="730" spans="1:12" ht="24.75" customHeight="1">
      <c r="A730" s="752" t="s">
        <v>135</v>
      </c>
      <c r="B730" s="755" t="s">
        <v>343</v>
      </c>
      <c r="C730" s="755" t="s">
        <v>344</v>
      </c>
      <c r="D730" s="755" t="s">
        <v>345</v>
      </c>
      <c r="E730" s="755" t="s">
        <v>346</v>
      </c>
      <c r="F730" s="761">
        <v>0.45</v>
      </c>
      <c r="G730" s="253" t="s">
        <v>304</v>
      </c>
      <c r="H730" s="256" t="e">
        <f>+[2]INVERSIÓN!$DI$10</f>
        <v>#REF!</v>
      </c>
      <c r="I730" s="256" t="e">
        <f>+[2]INVERSIÓN!$DI$13</f>
        <v>#REF!</v>
      </c>
      <c r="J730" s="256">
        <v>0</v>
      </c>
      <c r="K730" s="281" t="e">
        <f>J730/I730</f>
        <v>#REF!</v>
      </c>
      <c r="L730" s="321" t="s">
        <v>619</v>
      </c>
    </row>
    <row r="731" spans="1:12" ht="24.75" customHeight="1">
      <c r="A731" s="753"/>
      <c r="B731" s="755"/>
      <c r="C731" s="755"/>
      <c r="D731" s="755"/>
      <c r="E731" s="755"/>
      <c r="F731" s="761"/>
      <c r="G731" s="253" t="s">
        <v>595</v>
      </c>
      <c r="H731" s="412" t="e">
        <f>+[2]INVERSIÓN!$DI$17</f>
        <v>#REF!</v>
      </c>
      <c r="I731" s="412" t="e">
        <f>+[2]INVERSIÓN!$DI$20</f>
        <v>#REF!</v>
      </c>
      <c r="J731" s="413">
        <v>0</v>
      </c>
      <c r="K731" s="281" t="e">
        <f t="shared" ref="K731:K736" si="24">J731/I731</f>
        <v>#REF!</v>
      </c>
      <c r="L731" s="321" t="s">
        <v>648</v>
      </c>
    </row>
    <row r="732" spans="1:12" ht="24.75" customHeight="1">
      <c r="A732" s="753"/>
      <c r="B732" s="755"/>
      <c r="C732" s="755"/>
      <c r="D732" s="755"/>
      <c r="E732" s="755"/>
      <c r="F732" s="761"/>
      <c r="G732" s="253" t="s">
        <v>316</v>
      </c>
      <c r="H732" s="412" t="e">
        <f>+[2]INVERSIÓN!$DI$24</f>
        <v>#REF!</v>
      </c>
      <c r="I732" s="412" t="e">
        <f>+[2]INVERSIÓN!$DI$27</f>
        <v>#REF!</v>
      </c>
      <c r="J732" s="413">
        <v>0</v>
      </c>
      <c r="K732" s="281" t="e">
        <f t="shared" si="24"/>
        <v>#REF!</v>
      </c>
      <c r="L732" s="321" t="s">
        <v>649</v>
      </c>
    </row>
    <row r="733" spans="1:12" ht="24.75" customHeight="1">
      <c r="A733" s="753"/>
      <c r="B733" s="253" t="s">
        <v>350</v>
      </c>
      <c r="C733" s="253" t="s">
        <v>351</v>
      </c>
      <c r="D733" s="253" t="s">
        <v>352</v>
      </c>
      <c r="E733" s="253" t="s">
        <v>254</v>
      </c>
      <c r="F733" s="256">
        <v>0.15</v>
      </c>
      <c r="G733" s="253" t="s">
        <v>256</v>
      </c>
      <c r="H733" s="412" t="e">
        <f>+[2]INVERSIÓN!$DI$31</f>
        <v>#REF!</v>
      </c>
      <c r="I733" s="412" t="e">
        <f>+[2]INVERSIÓN!$DI$34</f>
        <v>#REF!</v>
      </c>
      <c r="J733" s="413">
        <v>0</v>
      </c>
      <c r="K733" s="281" t="e">
        <f t="shared" si="24"/>
        <v>#REF!</v>
      </c>
      <c r="L733" s="321" t="s">
        <v>616</v>
      </c>
    </row>
    <row r="734" spans="1:12" ht="24.75" customHeight="1">
      <c r="A734" s="753"/>
      <c r="B734" s="253" t="s">
        <v>354</v>
      </c>
      <c r="C734" s="253" t="s">
        <v>355</v>
      </c>
      <c r="D734" s="253" t="s">
        <v>356</v>
      </c>
      <c r="E734" s="253" t="s">
        <v>254</v>
      </c>
      <c r="F734" s="256">
        <v>0.15</v>
      </c>
      <c r="G734" s="253" t="s">
        <v>257</v>
      </c>
      <c r="H734" s="256" t="e">
        <f>+[2]INVERSIÓN!$DI$38</f>
        <v>#REF!</v>
      </c>
      <c r="I734" s="412" t="e">
        <f>+[2]INVERSIÓN!$DI$41</f>
        <v>#REF!</v>
      </c>
      <c r="J734" s="256">
        <v>0</v>
      </c>
      <c r="K734" s="281" t="e">
        <f t="shared" si="24"/>
        <v>#REF!</v>
      </c>
      <c r="L734" s="321" t="s">
        <v>618</v>
      </c>
    </row>
    <row r="735" spans="1:12" ht="24.75" customHeight="1">
      <c r="A735" s="753"/>
      <c r="B735" s="755" t="s">
        <v>358</v>
      </c>
      <c r="C735" s="755" t="s">
        <v>359</v>
      </c>
      <c r="D735" s="755" t="s">
        <v>360</v>
      </c>
      <c r="E735" s="755" t="s">
        <v>346</v>
      </c>
      <c r="F735" s="761">
        <v>0.25</v>
      </c>
      <c r="G735" s="253" t="s">
        <v>650</v>
      </c>
      <c r="H735" s="412" t="e">
        <f>+[2]INVERSIÓN!$DI$45</f>
        <v>#REF!</v>
      </c>
      <c r="I735" s="412" t="e">
        <f>+[2]INVERSIÓN!$DI$48</f>
        <v>#REF!</v>
      </c>
      <c r="J735" s="413">
        <v>0</v>
      </c>
      <c r="K735" s="281" t="e">
        <f t="shared" si="24"/>
        <v>#REF!</v>
      </c>
      <c r="L735" s="321" t="s">
        <v>615</v>
      </c>
    </row>
    <row r="736" spans="1:12" ht="24.75" customHeight="1">
      <c r="A736" s="754"/>
      <c r="B736" s="755"/>
      <c r="C736" s="755"/>
      <c r="D736" s="755"/>
      <c r="E736" s="755"/>
      <c r="F736" s="761"/>
      <c r="G736" s="253" t="s">
        <v>309</v>
      </c>
      <c r="H736" s="256" t="e">
        <f>+[2]INVERSIÓN!$DI$52</f>
        <v>#REF!</v>
      </c>
      <c r="I736" s="412" t="e">
        <f>+[2]INVERSIÓN!$DI$55</f>
        <v>#REF!</v>
      </c>
      <c r="J736" s="256">
        <v>0</v>
      </c>
      <c r="K736" s="281" t="e">
        <f t="shared" si="24"/>
        <v>#REF!</v>
      </c>
      <c r="L736" s="321" t="s">
        <v>620</v>
      </c>
    </row>
    <row r="737" spans="1:12" ht="24.75" customHeight="1">
      <c r="A737" s="752" t="s">
        <v>136</v>
      </c>
      <c r="B737" s="755" t="s">
        <v>343</v>
      </c>
      <c r="C737" s="755" t="s">
        <v>344</v>
      </c>
      <c r="D737" s="755" t="s">
        <v>345</v>
      </c>
      <c r="E737" s="755" t="s">
        <v>346</v>
      </c>
      <c r="F737" s="761">
        <v>0.45</v>
      </c>
      <c r="G737" s="253" t="s">
        <v>304</v>
      </c>
      <c r="H737" s="256" t="e">
        <f>+[2]INVERSIÓN!$DI$10</f>
        <v>#REF!</v>
      </c>
      <c r="I737" s="256" t="e">
        <f>+[2]INVERSIÓN!$DI$13</f>
        <v>#REF!</v>
      </c>
      <c r="J737" s="256">
        <v>0</v>
      </c>
      <c r="K737" s="281" t="e">
        <f>J737/I737</f>
        <v>#REF!</v>
      </c>
      <c r="L737" s="321" t="s">
        <v>652</v>
      </c>
    </row>
    <row r="738" spans="1:12" ht="24.75" customHeight="1">
      <c r="A738" s="753"/>
      <c r="B738" s="755"/>
      <c r="C738" s="755"/>
      <c r="D738" s="755"/>
      <c r="E738" s="755"/>
      <c r="F738" s="761"/>
      <c r="G738" s="253" t="s">
        <v>595</v>
      </c>
      <c r="H738" s="412" t="e">
        <f>+[2]INVERSIÓN!$DI$17</f>
        <v>#REF!</v>
      </c>
      <c r="I738" s="412" t="e">
        <f>+[2]INVERSIÓN!$DI$20</f>
        <v>#REF!</v>
      </c>
      <c r="J738" s="413">
        <v>0</v>
      </c>
      <c r="K738" s="281" t="e">
        <f t="shared" ref="K738:K743" si="25">J738/I738</f>
        <v>#REF!</v>
      </c>
      <c r="L738" s="321" t="s">
        <v>658</v>
      </c>
    </row>
    <row r="739" spans="1:12" ht="24.75" customHeight="1">
      <c r="A739" s="753"/>
      <c r="B739" s="755"/>
      <c r="C739" s="755"/>
      <c r="D739" s="755"/>
      <c r="E739" s="755"/>
      <c r="F739" s="761"/>
      <c r="G739" s="253" t="s">
        <v>316</v>
      </c>
      <c r="H739" s="412" t="e">
        <f>+[2]INVERSIÓN!$DI$24</f>
        <v>#REF!</v>
      </c>
      <c r="I739" s="412" t="e">
        <f>+[2]INVERSIÓN!$DI$27</f>
        <v>#REF!</v>
      </c>
      <c r="J739" s="413">
        <v>0</v>
      </c>
      <c r="K739" s="281" t="e">
        <f t="shared" si="25"/>
        <v>#REF!</v>
      </c>
      <c r="L739" s="321" t="s">
        <v>653</v>
      </c>
    </row>
    <row r="740" spans="1:12" ht="24.75" customHeight="1">
      <c r="A740" s="753"/>
      <c r="B740" s="253" t="s">
        <v>350</v>
      </c>
      <c r="C740" s="253" t="s">
        <v>351</v>
      </c>
      <c r="D740" s="253" t="s">
        <v>352</v>
      </c>
      <c r="E740" s="253" t="s">
        <v>254</v>
      </c>
      <c r="F740" s="256">
        <v>0.15</v>
      </c>
      <c r="G740" s="253" t="s">
        <v>256</v>
      </c>
      <c r="H740" s="412" t="e">
        <f>+[2]INVERSIÓN!$DI$31</f>
        <v>#REF!</v>
      </c>
      <c r="I740" s="412" t="e">
        <f>+[2]INVERSIÓN!$DI$34</f>
        <v>#REF!</v>
      </c>
      <c r="J740" s="413">
        <v>0</v>
      </c>
      <c r="K740" s="281" t="e">
        <f t="shared" si="25"/>
        <v>#REF!</v>
      </c>
      <c r="L740" s="321" t="s">
        <v>651</v>
      </c>
    </row>
    <row r="741" spans="1:12" ht="24.75" customHeight="1">
      <c r="A741" s="753"/>
      <c r="B741" s="253" t="s">
        <v>354</v>
      </c>
      <c r="C741" s="253" t="s">
        <v>355</v>
      </c>
      <c r="D741" s="253" t="s">
        <v>356</v>
      </c>
      <c r="E741" s="253" t="s">
        <v>254</v>
      </c>
      <c r="F741" s="256">
        <v>0.15</v>
      </c>
      <c r="G741" s="253" t="s">
        <v>257</v>
      </c>
      <c r="H741" s="256" t="e">
        <f>+[2]INVERSIÓN!$DI$38</f>
        <v>#REF!</v>
      </c>
      <c r="I741" s="412" t="e">
        <f>+[2]INVERSIÓN!$DI$41</f>
        <v>#REF!</v>
      </c>
      <c r="J741" s="256">
        <v>0</v>
      </c>
      <c r="K741" s="281" t="e">
        <f t="shared" si="25"/>
        <v>#REF!</v>
      </c>
      <c r="L741" s="321" t="s">
        <v>656</v>
      </c>
    </row>
    <row r="742" spans="1:12" ht="24.75" customHeight="1">
      <c r="A742" s="753"/>
      <c r="B742" s="755" t="s">
        <v>358</v>
      </c>
      <c r="C742" s="755" t="s">
        <v>359</v>
      </c>
      <c r="D742" s="755" t="s">
        <v>360</v>
      </c>
      <c r="E742" s="755" t="s">
        <v>346</v>
      </c>
      <c r="F742" s="761">
        <v>0.25</v>
      </c>
      <c r="G742" s="253" t="s">
        <v>650</v>
      </c>
      <c r="H742" s="412" t="e">
        <f>+[2]INVERSIÓN!$DI$45</f>
        <v>#REF!</v>
      </c>
      <c r="I742" s="412" t="e">
        <f>+[2]INVERSIÓN!$DI$48</f>
        <v>#REF!</v>
      </c>
      <c r="J742" s="413">
        <v>0</v>
      </c>
      <c r="K742" s="281" t="e">
        <f t="shared" si="25"/>
        <v>#REF!</v>
      </c>
      <c r="L742" s="321" t="s">
        <v>655</v>
      </c>
    </row>
    <row r="743" spans="1:12" ht="24.75" customHeight="1">
      <c r="A743" s="754"/>
      <c r="B743" s="755"/>
      <c r="C743" s="755"/>
      <c r="D743" s="755"/>
      <c r="E743" s="755"/>
      <c r="F743" s="761"/>
      <c r="G743" s="253" t="s">
        <v>309</v>
      </c>
      <c r="H743" s="256" t="e">
        <f>+[2]INVERSIÓN!$DI$52</f>
        <v>#REF!</v>
      </c>
      <c r="I743" s="412" t="e">
        <f>+[2]INVERSIÓN!$DI$55</f>
        <v>#REF!</v>
      </c>
      <c r="J743" s="256">
        <v>0</v>
      </c>
      <c r="K743" s="281" t="e">
        <f t="shared" si="25"/>
        <v>#REF!</v>
      </c>
      <c r="L743" s="321" t="s">
        <v>657</v>
      </c>
    </row>
    <row r="744" spans="1:12" ht="24.75" customHeight="1">
      <c r="A744" s="752" t="s">
        <v>137</v>
      </c>
      <c r="B744" s="755" t="s">
        <v>343</v>
      </c>
      <c r="C744" s="755" t="s">
        <v>344</v>
      </c>
      <c r="D744" s="755" t="s">
        <v>345</v>
      </c>
      <c r="E744" s="755" t="s">
        <v>346</v>
      </c>
      <c r="F744" s="761">
        <v>0.45</v>
      </c>
      <c r="G744" s="253" t="s">
        <v>304</v>
      </c>
      <c r="H744" s="256" t="e">
        <f>+[2]INVERSIÓN!$DI$10</f>
        <v>#REF!</v>
      </c>
      <c r="I744" s="256" t="e">
        <f>+[2]INVERSIÓN!$DI$13</f>
        <v>#REF!</v>
      </c>
      <c r="J744" s="256">
        <v>0</v>
      </c>
      <c r="K744" s="281" t="e">
        <f>J744/I744</f>
        <v>#REF!</v>
      </c>
      <c r="L744" s="321" t="s">
        <v>662</v>
      </c>
    </row>
    <row r="745" spans="1:12" ht="24.75" customHeight="1">
      <c r="A745" s="753"/>
      <c r="B745" s="755"/>
      <c r="C745" s="755"/>
      <c r="D745" s="755"/>
      <c r="E745" s="755"/>
      <c r="F745" s="761"/>
      <c r="G745" s="253" t="s">
        <v>595</v>
      </c>
      <c r="H745" s="412" t="e">
        <f>+[2]INVERSIÓN!$DI$17</f>
        <v>#REF!</v>
      </c>
      <c r="I745" s="412" t="e">
        <f>+[2]INVERSIÓN!$DI$20</f>
        <v>#REF!</v>
      </c>
      <c r="J745" s="413">
        <v>0</v>
      </c>
      <c r="K745" s="281" t="e">
        <f t="shared" ref="K745:K750" si="26">J745/I745</f>
        <v>#REF!</v>
      </c>
      <c r="L745" s="321" t="s">
        <v>663</v>
      </c>
    </row>
    <row r="746" spans="1:12" ht="24.75" customHeight="1">
      <c r="A746" s="753"/>
      <c r="B746" s="755"/>
      <c r="C746" s="755"/>
      <c r="D746" s="755"/>
      <c r="E746" s="755"/>
      <c r="F746" s="761"/>
      <c r="G746" s="253" t="s">
        <v>316</v>
      </c>
      <c r="H746" s="412" t="e">
        <f>+[2]INVERSIÓN!$DI$24</f>
        <v>#REF!</v>
      </c>
      <c r="I746" s="412" t="e">
        <f>+[2]INVERSIÓN!$DI$27</f>
        <v>#REF!</v>
      </c>
      <c r="J746" s="413">
        <v>0</v>
      </c>
      <c r="K746" s="281" t="e">
        <f t="shared" si="26"/>
        <v>#REF!</v>
      </c>
      <c r="L746" s="321" t="s">
        <v>664</v>
      </c>
    </row>
    <row r="747" spans="1:12" ht="24.75" customHeight="1">
      <c r="A747" s="753"/>
      <c r="B747" s="253" t="s">
        <v>350</v>
      </c>
      <c r="C747" s="253" t="s">
        <v>351</v>
      </c>
      <c r="D747" s="253" t="s">
        <v>352</v>
      </c>
      <c r="E747" s="253" t="s">
        <v>254</v>
      </c>
      <c r="F747" s="256">
        <v>0.15</v>
      </c>
      <c r="G747" s="253" t="s">
        <v>256</v>
      </c>
      <c r="H747" s="412" t="e">
        <f>+[2]INVERSIÓN!$DI$31</f>
        <v>#REF!</v>
      </c>
      <c r="I747" s="412" t="e">
        <f>+[2]INVERSIÓN!$DI$34</f>
        <v>#REF!</v>
      </c>
      <c r="J747" s="413">
        <v>0</v>
      </c>
      <c r="K747" s="281" t="e">
        <f t="shared" si="26"/>
        <v>#REF!</v>
      </c>
      <c r="L747" s="321" t="s">
        <v>660</v>
      </c>
    </row>
    <row r="748" spans="1:12" ht="24.75" customHeight="1">
      <c r="A748" s="753"/>
      <c r="B748" s="253" t="s">
        <v>354</v>
      </c>
      <c r="C748" s="253" t="s">
        <v>355</v>
      </c>
      <c r="D748" s="253" t="s">
        <v>356</v>
      </c>
      <c r="E748" s="253" t="s">
        <v>254</v>
      </c>
      <c r="F748" s="256">
        <v>0.15</v>
      </c>
      <c r="G748" s="253" t="s">
        <v>257</v>
      </c>
      <c r="H748" s="256" t="e">
        <f>+[2]INVERSIÓN!$DI$38</f>
        <v>#REF!</v>
      </c>
      <c r="I748" s="412" t="e">
        <f>+[2]INVERSIÓN!$DI$41</f>
        <v>#REF!</v>
      </c>
      <c r="J748" s="256">
        <v>0</v>
      </c>
      <c r="K748" s="281" t="e">
        <f t="shared" si="26"/>
        <v>#REF!</v>
      </c>
      <c r="L748" s="321" t="s">
        <v>661</v>
      </c>
    </row>
    <row r="749" spans="1:12" ht="24.75" customHeight="1">
      <c r="A749" s="753"/>
      <c r="B749" s="755" t="s">
        <v>358</v>
      </c>
      <c r="C749" s="755" t="s">
        <v>359</v>
      </c>
      <c r="D749" s="755" t="s">
        <v>360</v>
      </c>
      <c r="E749" s="755" t="s">
        <v>346</v>
      </c>
      <c r="F749" s="761">
        <v>0.25</v>
      </c>
      <c r="G749" s="253" t="s">
        <v>650</v>
      </c>
      <c r="H749" s="412" t="e">
        <f>+[2]INVERSIÓN!$DI$45</f>
        <v>#REF!</v>
      </c>
      <c r="I749" s="412" t="e">
        <f>+[2]INVERSIÓN!$DI$48</f>
        <v>#REF!</v>
      </c>
      <c r="J749" s="413">
        <v>0</v>
      </c>
      <c r="K749" s="281" t="e">
        <f t="shared" si="26"/>
        <v>#REF!</v>
      </c>
      <c r="L749" s="321" t="s">
        <v>659</v>
      </c>
    </row>
    <row r="750" spans="1:12" ht="24.75" customHeight="1">
      <c r="A750" s="754"/>
      <c r="B750" s="755"/>
      <c r="C750" s="755"/>
      <c r="D750" s="755"/>
      <c r="E750" s="755"/>
      <c r="F750" s="761"/>
      <c r="G750" s="253" t="s">
        <v>309</v>
      </c>
      <c r="H750" s="256" t="e">
        <f>+[2]INVERSIÓN!$DI$52</f>
        <v>#REF!</v>
      </c>
      <c r="I750" s="412" t="e">
        <f>+[2]INVERSIÓN!$DI$55</f>
        <v>#REF!</v>
      </c>
      <c r="J750" s="256">
        <v>0</v>
      </c>
      <c r="K750" s="281" t="e">
        <f t="shared" si="26"/>
        <v>#REF!</v>
      </c>
      <c r="L750" s="321" t="s">
        <v>665</v>
      </c>
    </row>
    <row r="751" spans="1:12" ht="24.75" customHeight="1">
      <c r="A751" s="752" t="s">
        <v>138</v>
      </c>
      <c r="B751" s="755" t="s">
        <v>343</v>
      </c>
      <c r="C751" s="755" t="s">
        <v>344</v>
      </c>
      <c r="D751" s="755" t="s">
        <v>345</v>
      </c>
      <c r="E751" s="755" t="s">
        <v>346</v>
      </c>
      <c r="F751" s="761">
        <v>0.45</v>
      </c>
      <c r="G751" s="253" t="s">
        <v>304</v>
      </c>
      <c r="H751" s="256" t="e">
        <f>+[2]INVERSIÓN!$DI$10</f>
        <v>#REF!</v>
      </c>
      <c r="I751" s="256" t="e">
        <f>+[2]INVERSIÓN!$DI$13</f>
        <v>#REF!</v>
      </c>
      <c r="J751" s="256">
        <v>0</v>
      </c>
      <c r="K751" s="281" t="e">
        <f>J751/I751</f>
        <v>#REF!</v>
      </c>
      <c r="L751" s="321" t="s">
        <v>669</v>
      </c>
    </row>
    <row r="752" spans="1:12" ht="24.75" customHeight="1">
      <c r="A752" s="753"/>
      <c r="B752" s="755"/>
      <c r="C752" s="755"/>
      <c r="D752" s="755"/>
      <c r="E752" s="755"/>
      <c r="F752" s="761"/>
      <c r="G752" s="253" t="s">
        <v>595</v>
      </c>
      <c r="H752" s="412" t="e">
        <f>+[2]INVERSIÓN!$DI$17</f>
        <v>#REF!</v>
      </c>
      <c r="I752" s="412" t="e">
        <f>+[2]INVERSIÓN!$DI$20</f>
        <v>#REF!</v>
      </c>
      <c r="J752" s="413">
        <v>0</v>
      </c>
      <c r="K752" s="281" t="e">
        <f t="shared" ref="K752:K757" si="27">J752/I752</f>
        <v>#REF!</v>
      </c>
      <c r="L752" s="321" t="s">
        <v>670</v>
      </c>
    </row>
    <row r="753" spans="1:12" ht="24.75" customHeight="1">
      <c r="A753" s="753"/>
      <c r="B753" s="755"/>
      <c r="C753" s="755"/>
      <c r="D753" s="755"/>
      <c r="E753" s="755"/>
      <c r="F753" s="761"/>
      <c r="G753" s="253" t="s">
        <v>316</v>
      </c>
      <c r="H753" s="412" t="e">
        <f>+[2]INVERSIÓN!$DI$24</f>
        <v>#REF!</v>
      </c>
      <c r="I753" s="412" t="e">
        <f>+[2]INVERSIÓN!$DI$27</f>
        <v>#REF!</v>
      </c>
      <c r="J753" s="413">
        <v>0</v>
      </c>
      <c r="K753" s="281" t="e">
        <f t="shared" si="27"/>
        <v>#REF!</v>
      </c>
      <c r="L753" s="321" t="s">
        <v>671</v>
      </c>
    </row>
    <row r="754" spans="1:12" ht="24.75" customHeight="1">
      <c r="A754" s="753"/>
      <c r="B754" s="253" t="s">
        <v>350</v>
      </c>
      <c r="C754" s="253" t="s">
        <v>351</v>
      </c>
      <c r="D754" s="253" t="s">
        <v>352</v>
      </c>
      <c r="E754" s="253" t="s">
        <v>254</v>
      </c>
      <c r="F754" s="256">
        <v>0.15</v>
      </c>
      <c r="G754" s="253" t="s">
        <v>256</v>
      </c>
      <c r="H754" s="412" t="e">
        <f>+[2]INVERSIÓN!$DI$31</f>
        <v>#REF!</v>
      </c>
      <c r="I754" s="412" t="e">
        <f>+[2]INVERSIÓN!$DI$34</f>
        <v>#REF!</v>
      </c>
      <c r="J754" s="413">
        <v>0</v>
      </c>
      <c r="K754" s="281" t="e">
        <f t="shared" si="27"/>
        <v>#REF!</v>
      </c>
      <c r="L754" s="321" t="s">
        <v>668</v>
      </c>
    </row>
    <row r="755" spans="1:12" ht="24.75" customHeight="1">
      <c r="A755" s="753"/>
      <c r="B755" s="253" t="s">
        <v>354</v>
      </c>
      <c r="C755" s="253" t="s">
        <v>355</v>
      </c>
      <c r="D755" s="253" t="s">
        <v>356</v>
      </c>
      <c r="E755" s="253" t="s">
        <v>254</v>
      </c>
      <c r="F755" s="256">
        <v>0.15</v>
      </c>
      <c r="G755" s="253" t="s">
        <v>257</v>
      </c>
      <c r="H755" s="256" t="e">
        <f>+[2]INVERSIÓN!$DI$38</f>
        <v>#REF!</v>
      </c>
      <c r="I755" s="412" t="e">
        <f>+[2]INVERSIÓN!$DI$41</f>
        <v>#REF!</v>
      </c>
      <c r="J755" s="256">
        <v>0</v>
      </c>
      <c r="K755" s="281" t="e">
        <f t="shared" si="27"/>
        <v>#REF!</v>
      </c>
      <c r="L755" s="321" t="s">
        <v>666</v>
      </c>
    </row>
    <row r="756" spans="1:12" ht="24.75" customHeight="1">
      <c r="A756" s="753"/>
      <c r="B756" s="755" t="s">
        <v>358</v>
      </c>
      <c r="C756" s="755" t="s">
        <v>359</v>
      </c>
      <c r="D756" s="755" t="s">
        <v>360</v>
      </c>
      <c r="E756" s="755" t="s">
        <v>346</v>
      </c>
      <c r="F756" s="761">
        <v>0.25</v>
      </c>
      <c r="G756" s="253" t="s">
        <v>650</v>
      </c>
      <c r="H756" s="412" t="e">
        <f>+[2]INVERSIÓN!$DI$45</f>
        <v>#REF!</v>
      </c>
      <c r="I756" s="412" t="e">
        <f>+[2]INVERSIÓN!$DI$48</f>
        <v>#REF!</v>
      </c>
      <c r="J756" s="413">
        <v>0</v>
      </c>
      <c r="K756" s="281" t="e">
        <f t="shared" si="27"/>
        <v>#REF!</v>
      </c>
      <c r="L756" s="321" t="s">
        <v>667</v>
      </c>
    </row>
    <row r="757" spans="1:12" ht="24.75" customHeight="1">
      <c r="A757" s="754"/>
      <c r="B757" s="755"/>
      <c r="C757" s="755"/>
      <c r="D757" s="755"/>
      <c r="E757" s="755"/>
      <c r="F757" s="761"/>
      <c r="G757" s="253" t="s">
        <v>309</v>
      </c>
      <c r="H757" s="256" t="e">
        <f>+[2]INVERSIÓN!$DI$52</f>
        <v>#REF!</v>
      </c>
      <c r="I757" s="412" t="e">
        <f>+[2]INVERSIÓN!$DI$55</f>
        <v>#REF!</v>
      </c>
      <c r="J757" s="256">
        <v>0</v>
      </c>
      <c r="K757" s="281" t="e">
        <f t="shared" si="27"/>
        <v>#REF!</v>
      </c>
      <c r="L757" s="321" t="s">
        <v>672</v>
      </c>
    </row>
    <row r="758" spans="1:12" ht="24.75" customHeight="1">
      <c r="A758" s="752" t="s">
        <v>139</v>
      </c>
      <c r="B758" s="755" t="s">
        <v>343</v>
      </c>
      <c r="C758" s="755" t="s">
        <v>344</v>
      </c>
      <c r="D758" s="755" t="s">
        <v>345</v>
      </c>
      <c r="E758" s="755" t="s">
        <v>346</v>
      </c>
      <c r="F758" s="761">
        <v>0.45</v>
      </c>
      <c r="G758" s="253" t="s">
        <v>304</v>
      </c>
      <c r="H758" s="256" t="e">
        <f>+[2]INVERSIÓN!$DI$10</f>
        <v>#REF!</v>
      </c>
      <c r="I758" s="256" t="e">
        <f>+[2]INVERSIÓN!$DI$13</f>
        <v>#REF!</v>
      </c>
      <c r="J758" s="256">
        <v>0</v>
      </c>
      <c r="K758" s="281" t="e">
        <f>J758/I758</f>
        <v>#REF!</v>
      </c>
      <c r="L758" s="321" t="s">
        <v>673</v>
      </c>
    </row>
    <row r="759" spans="1:12" ht="24.75" customHeight="1">
      <c r="A759" s="753"/>
      <c r="B759" s="755"/>
      <c r="C759" s="755"/>
      <c r="D759" s="755"/>
      <c r="E759" s="755"/>
      <c r="F759" s="761"/>
      <c r="G759" s="253" t="s">
        <v>595</v>
      </c>
      <c r="H759" s="412" t="e">
        <f>+[2]INVERSIÓN!$DI$17</f>
        <v>#REF!</v>
      </c>
      <c r="I759" s="412" t="e">
        <f>+[2]INVERSIÓN!$DI$20</f>
        <v>#REF!</v>
      </c>
      <c r="J759" s="413">
        <v>0</v>
      </c>
      <c r="K759" s="281" t="e">
        <f t="shared" ref="K759:K764" si="28">J759/I759</f>
        <v>#REF!</v>
      </c>
      <c r="L759" s="321" t="s">
        <v>691</v>
      </c>
    </row>
    <row r="760" spans="1:12" ht="24.75" customHeight="1">
      <c r="A760" s="753"/>
      <c r="B760" s="755"/>
      <c r="C760" s="755"/>
      <c r="D760" s="755"/>
      <c r="E760" s="755"/>
      <c r="F760" s="761"/>
      <c r="G760" s="253" t="s">
        <v>316</v>
      </c>
      <c r="H760" s="412" t="e">
        <f>+[2]INVERSIÓN!$DI$24</f>
        <v>#REF!</v>
      </c>
      <c r="I760" s="412" t="e">
        <f>+[2]INVERSIÓN!$DI$27</f>
        <v>#REF!</v>
      </c>
      <c r="J760" s="413">
        <v>0</v>
      </c>
      <c r="K760" s="281" t="e">
        <f t="shared" si="28"/>
        <v>#REF!</v>
      </c>
      <c r="L760" s="321" t="s">
        <v>690</v>
      </c>
    </row>
    <row r="761" spans="1:12" ht="24.75" customHeight="1">
      <c r="A761" s="753"/>
      <c r="B761" s="253" t="s">
        <v>350</v>
      </c>
      <c r="C761" s="253" t="s">
        <v>351</v>
      </c>
      <c r="D761" s="253" t="s">
        <v>352</v>
      </c>
      <c r="E761" s="253" t="s">
        <v>254</v>
      </c>
      <c r="F761" s="256">
        <v>0.15</v>
      </c>
      <c r="G761" s="253" t="s">
        <v>256</v>
      </c>
      <c r="H761" s="412" t="e">
        <f>+[2]INVERSIÓN!$DI$31</f>
        <v>#REF!</v>
      </c>
      <c r="I761" s="412" t="e">
        <f>+[2]INVERSIÓN!$DI$34</f>
        <v>#REF!</v>
      </c>
      <c r="J761" s="413">
        <v>0</v>
      </c>
      <c r="K761" s="281" t="e">
        <f t="shared" si="28"/>
        <v>#REF!</v>
      </c>
      <c r="L761" s="321" t="s">
        <v>689</v>
      </c>
    </row>
    <row r="762" spans="1:12" ht="24.75" customHeight="1">
      <c r="A762" s="753"/>
      <c r="B762" s="253" t="s">
        <v>354</v>
      </c>
      <c r="C762" s="253" t="s">
        <v>355</v>
      </c>
      <c r="D762" s="253" t="s">
        <v>356</v>
      </c>
      <c r="E762" s="253" t="s">
        <v>254</v>
      </c>
      <c r="F762" s="256">
        <v>0.15</v>
      </c>
      <c r="G762" s="253" t="s">
        <v>257</v>
      </c>
      <c r="H762" s="256" t="e">
        <f>+[2]INVERSIÓN!$DI$38</f>
        <v>#REF!</v>
      </c>
      <c r="I762" s="412" t="e">
        <f>+[2]INVERSIÓN!$DI$41</f>
        <v>#REF!</v>
      </c>
      <c r="J762" s="256">
        <v>0</v>
      </c>
      <c r="K762" s="281" t="e">
        <f t="shared" si="28"/>
        <v>#REF!</v>
      </c>
      <c r="L762" s="321" t="s">
        <v>692</v>
      </c>
    </row>
    <row r="763" spans="1:12" ht="24.75" customHeight="1">
      <c r="A763" s="753"/>
      <c r="B763" s="755" t="s">
        <v>358</v>
      </c>
      <c r="C763" s="755" t="s">
        <v>359</v>
      </c>
      <c r="D763" s="755" t="s">
        <v>360</v>
      </c>
      <c r="E763" s="755" t="s">
        <v>346</v>
      </c>
      <c r="F763" s="761">
        <v>0.25</v>
      </c>
      <c r="G763" s="253" t="s">
        <v>650</v>
      </c>
      <c r="H763" s="412" t="e">
        <f>+[2]INVERSIÓN!$DI$45</f>
        <v>#REF!</v>
      </c>
      <c r="I763" s="412" t="e">
        <f>+[2]INVERSIÓN!$DI$48</f>
        <v>#REF!</v>
      </c>
      <c r="J763" s="413">
        <v>0</v>
      </c>
      <c r="K763" s="281" t="e">
        <f t="shared" si="28"/>
        <v>#REF!</v>
      </c>
      <c r="L763" s="321" t="s">
        <v>688</v>
      </c>
    </row>
    <row r="764" spans="1:12" ht="24.75" customHeight="1">
      <c r="A764" s="754"/>
      <c r="B764" s="755"/>
      <c r="C764" s="755"/>
      <c r="D764" s="755"/>
      <c r="E764" s="755"/>
      <c r="F764" s="761"/>
      <c r="G764" s="253" t="s">
        <v>309</v>
      </c>
      <c r="H764" s="256" t="e">
        <f>+[2]INVERSIÓN!$DI$52</f>
        <v>#REF!</v>
      </c>
      <c r="I764" s="412" t="e">
        <f>+[2]INVERSIÓN!$DI$55</f>
        <v>#REF!</v>
      </c>
      <c r="J764" s="256">
        <v>0</v>
      </c>
      <c r="K764" s="281" t="e">
        <f t="shared" si="28"/>
        <v>#REF!</v>
      </c>
      <c r="L764" s="321" t="s">
        <v>693</v>
      </c>
    </row>
    <row r="765" spans="1:12" ht="24.75" customHeight="1">
      <c r="A765" s="752" t="s">
        <v>707</v>
      </c>
      <c r="B765" s="755" t="s">
        <v>343</v>
      </c>
      <c r="C765" s="755" t="s">
        <v>344</v>
      </c>
      <c r="D765" s="755" t="s">
        <v>345</v>
      </c>
      <c r="E765" s="755" t="s">
        <v>346</v>
      </c>
      <c r="F765" s="761">
        <v>0.45</v>
      </c>
      <c r="G765" s="253" t="s">
        <v>304</v>
      </c>
      <c r="H765" s="256">
        <f>+INVERSIÓN!$DI$10</f>
        <v>1</v>
      </c>
      <c r="I765" s="256">
        <f>+INVERSIÓN!$DL$13</f>
        <v>0</v>
      </c>
      <c r="J765" s="256">
        <v>0</v>
      </c>
      <c r="K765" s="281" t="e">
        <f>J765/I765</f>
        <v>#DIV/0!</v>
      </c>
      <c r="L765" s="321" t="str">
        <f>+INVERSIÓN!$EW$10</f>
        <v>Durante la vigencia 2023, el avance acumulado corresponde al 100%; se han reportado los mantenimientos preventivos y correctivos realizados. De igual manera, se realizó la validación diaria de los datos de concentraciones de contaminantes criterio y parámetros meteorológicos monitoreados por la Red de Monitoreo y Calidad de Aire de Bogotá - RMCAB. El indicador acumulado corresponde al 100% de cumplimiento.</v>
      </c>
    </row>
    <row r="766" spans="1:12" ht="24.75" customHeight="1">
      <c r="A766" s="753"/>
      <c r="B766" s="755"/>
      <c r="C766" s="755"/>
      <c r="D766" s="755"/>
      <c r="E766" s="755"/>
      <c r="F766" s="761"/>
      <c r="G766" s="253" t="s">
        <v>595</v>
      </c>
      <c r="H766" s="378">
        <f>+INVERSIÓN!$DI$17</f>
        <v>7</v>
      </c>
      <c r="I766" s="378">
        <f>+INVERSIÓN!$DL$20</f>
        <v>1</v>
      </c>
      <c r="J766" s="413">
        <v>0</v>
      </c>
      <c r="K766" s="281">
        <f t="shared" ref="K766:K771" si="29">J766/I766</f>
        <v>0</v>
      </c>
      <c r="L766" s="321" t="str">
        <f>+INVERSIÓN!$EW$17</f>
        <v>En el marco de la gestión integral de la calidad del aire de Bogotá, para el año 2023 se realizó la entrega de ocho (8) documentos técnicos, así:
1.	Plan Aire
Aporte Vigencia: 3 Documentos
Aporte MPDD : (1) documento. Informe semestral de Seguimiento al Plan Estratégico para la Gestión Integral de la Calidad del Aire – Plan Aire 2030 (2023-I). (1) Informe de plusvalía con la información de la intervención de 15 segmentos viales ubicados en la localidad de Ciudad Bolívar. (1) Informe semestral de Seguimiento al Plan Estratégico para la Gestión Integral de la Calidad del Aire – Plan Aire 2030 (2023-II).
2.	Alertas
Aporte Vigencia: 3 Documentos
Aporte MPDD: (1) Informe de gestión del Sistema de Alertas Tempranas Ambientales en su componente aire 2023-I. (2) documento Avance Informe de gestión del Sistema de Alertas Tempranas Ambientales en su componente aire 2023-II.
3.	Modelo
Aporte Vigencia: 2 Documentos
Aporte MPDD: (1) Inventario de Emisiones Atmosféricas de Bogotá correspondiente al 2022. (1) documento. Avance Acumulado INFORME DE MODELACIÓN DE CALIDAD DE AIRE SOBRE BOGOTÁ 2022. Anual 2022.
Con lo anterior se alcanza un acumulado al PDD de 26 documentos técnicos, correspondientes al 86,97% de avance acumulado.</v>
      </c>
    </row>
    <row r="767" spans="1:12" ht="24.75" customHeight="1">
      <c r="A767" s="753"/>
      <c r="B767" s="755"/>
      <c r="C767" s="755"/>
      <c r="D767" s="755"/>
      <c r="E767" s="755"/>
      <c r="F767" s="761"/>
      <c r="G767" s="253" t="s">
        <v>316</v>
      </c>
      <c r="H767" s="378">
        <f>+INVERSIÓN!$DI$24</f>
        <v>1.9999999999999996</v>
      </c>
      <c r="I767" s="378">
        <f>+INVERSIÓN!$DL$27</f>
        <v>0</v>
      </c>
      <c r="J767" s="413">
        <v>0</v>
      </c>
      <c r="K767" s="281" t="e">
        <f t="shared" si="29"/>
        <v>#DIV/0!</v>
      </c>
      <c r="L767" s="321" t="str">
        <f>+INVERSIÓN!$EW$24</f>
        <v>El avance acumulado del 2023  es del  2 informes de los dos (02) informes de gestión programados para la vigencia 2023; con lo cual se reporta un avance del 100%, así;
1.	Primer Informe Semestral de Seguimiento 2023 - I, Terminado a junio 30 de 2023. Cantidad Uno (01)
2.	Segundo Informe Semestral de Seguimiento 2023 - II; Avance Acumulado a 1,0. 
Lo anterior con base en las actividades de recolección de información de las acciones de evaluación, control y seguimiento de los grupos de fuentes fijas y fuentes móviles.
También se tienen en cuenta la intervención mediante actuaciones técnicas, visitas de control y seguimiento, acompañamientos, monitoreos, pruebas de emisión a vehículos que transitan  en el Distrito Capital, que se requieren en el Centro de Revisión Vehicular - CRV, vinculaciones al PAA y concesionarios, así visitas técnicas de auditoría a los equipos de medición en los Centros de Diagnóstico Automotor CDA'S, con esta información se construyó el informe de acciones de evaluación, control y seguimiento a las fuentes de emisión.
El avance acumulado del cuatrienio, son 6,84 informes (85%) de los 8 informes programados.</v>
      </c>
    </row>
    <row r="768" spans="1:12" ht="24.75" customHeight="1">
      <c r="A768" s="753"/>
      <c r="B768" s="253" t="s">
        <v>350</v>
      </c>
      <c r="C768" s="253" t="s">
        <v>351</v>
      </c>
      <c r="D768" s="253" t="s">
        <v>352</v>
      </c>
      <c r="E768" s="253" t="s">
        <v>254</v>
      </c>
      <c r="F768" s="256">
        <v>0.15</v>
      </c>
      <c r="G768" s="253" t="s">
        <v>256</v>
      </c>
      <c r="H768" s="378">
        <f>+INVERSIÓN!$DI$31</f>
        <v>1585</v>
      </c>
      <c r="I768" s="378">
        <f>+INVERSIÓN!$DL$34</f>
        <v>0</v>
      </c>
      <c r="J768" s="413">
        <v>0</v>
      </c>
      <c r="K768" s="281" t="e">
        <f t="shared" si="29"/>
        <v>#DIV/0!</v>
      </c>
      <c r="L768" s="321" t="str">
        <f>+INVERSIÓN!$EW$31</f>
        <v>"En cumplimiento de la meta, el acumulado PDD es 4287 acciones así:
• IV Trimestre 2023: 423 acciones, 376 visitas y 47 otras acciones de gestión
• III Trimestre 2023: 427 acciones, 362 visitas y 65 otras acciones de gestión
• II Trimestre 2023: 390 acciones, 326 visitas y 64 otras acciones de gestión
• I Trimestre 2023: 241 acciones, 195 vistas y 46 otras acciones de gestión
• Vigencia 2022: 1418 acciones, entre 1202 visitas y 216 otras acciones de gestión
• Vigencia 2021: 897 acciones, entre 761 visitas y 136 otras acciones de gestión
• Vigencia 2020: 491 acciones, entre 374 visitas y 117 otras acciones de gestión."</v>
      </c>
    </row>
    <row r="769" spans="1:12" ht="24.75" customHeight="1">
      <c r="A769" s="753"/>
      <c r="B769" s="253" t="s">
        <v>354</v>
      </c>
      <c r="C769" s="253" t="s">
        <v>355</v>
      </c>
      <c r="D769" s="253" t="s">
        <v>356</v>
      </c>
      <c r="E769" s="253" t="s">
        <v>254</v>
      </c>
      <c r="F769" s="256">
        <v>0.15</v>
      </c>
      <c r="G769" s="253" t="s">
        <v>257</v>
      </c>
      <c r="H769" s="256">
        <f>+INVERSIÓN!$DI$38</f>
        <v>1</v>
      </c>
      <c r="I769" s="256">
        <f>+INVERSIÓN!$DL$41</f>
        <v>0</v>
      </c>
      <c r="J769" s="256">
        <v>0</v>
      </c>
      <c r="K769" s="281" t="e">
        <f t="shared" si="29"/>
        <v>#DIV/0!</v>
      </c>
      <c r="L769" s="321" t="str">
        <f>+INVERSIÓN!$EW$38</f>
        <v>Con la finalidad de realizar el 100% de las actividades para gestionar, estructurar y ampliar la Red de Monitoreo de Ruido Ambiental se realizaron actividades de mantenimiento, actualización de cartas control, análisis de los datos obtenidos de la red, avance del informe técnico semestral e informe de laboratorio, medición del Festival Cordillera para la modelación del evento y determinación del impacto acústico en vecindades, actualización de los Mapas Estratégicos de Ruido (MER) del Distrito, instalación de tres (3) estaciones de monitoreo de ruido ambiental bajo criterios de la Organización de Aviación Civil Internacional – OACI y la instalación y puesta en marcha de las estaciones meteorológicas de la RMRAB para la acreditación de la red en la metodología de medición y análisis de ruido ambiental según la normativa internacional ISO 1996.
Con lo anterior, se realiza el reporte del 100% de cumplimiento de la meta para la vigencia 2023.</v>
      </c>
    </row>
    <row r="770" spans="1:12" ht="24.75" customHeight="1">
      <c r="A770" s="753"/>
      <c r="B770" s="755" t="s">
        <v>358</v>
      </c>
      <c r="C770" s="755" t="s">
        <v>359</v>
      </c>
      <c r="D770" s="755" t="s">
        <v>360</v>
      </c>
      <c r="E770" s="755" t="s">
        <v>346</v>
      </c>
      <c r="F770" s="761">
        <v>0.25</v>
      </c>
      <c r="G770" s="253" t="s">
        <v>650</v>
      </c>
      <c r="H770" s="378">
        <f>+INVERSIÓN!$DI$45</f>
        <v>1193</v>
      </c>
      <c r="I770" s="378">
        <f>+INVERSIÓN!$DL$48</f>
        <v>0</v>
      </c>
      <c r="J770" s="413">
        <v>0</v>
      </c>
      <c r="K770" s="281" t="e">
        <f t="shared" si="29"/>
        <v>#DIV/0!</v>
      </c>
      <c r="L770" s="321" t="str">
        <f>+INVERSIÓN!$EW$45</f>
        <v>El avance acumulado en la vigencia 2023 es de (1.193) acciones de evaluación, control y seguimiento realizadas. 
- (52) operativos de control a zonas de Resto del Distrito. 
- (130) visitas de evaluación a elementos mayores.
- (605) documentos técnicos firmados para el resto del Distrito.
- (12) cargues de información a la plataforma SIIPEV.
- (394) evaluaciones a solicitudes de elementos de publicidad exterior visual.
Con lo anterior, se tiene un avance para el cuatrienio de 8.618 acciones de evaluación, control y seguimiento. así:
Vigencia 2020: 1,292 Acciones.
Vigencia 2021: 4.950 Acciones.
Vigencia 2022: 1.183 Acciones.
Vigencia 2023: 1.193acciones.</v>
      </c>
    </row>
    <row r="771" spans="1:12" ht="24.75" customHeight="1">
      <c r="A771" s="754"/>
      <c r="B771" s="755"/>
      <c r="C771" s="755"/>
      <c r="D771" s="755"/>
      <c r="E771" s="755"/>
      <c r="F771" s="761"/>
      <c r="G771" s="253" t="s">
        <v>309</v>
      </c>
      <c r="H771" s="256">
        <f>+INVERSIÓN!$DI$52</f>
        <v>1</v>
      </c>
      <c r="I771" s="256">
        <f>+INVERSIÓN!$DL$55</f>
        <v>0</v>
      </c>
      <c r="J771" s="256">
        <v>0</v>
      </c>
      <c r="K771" s="281" t="e">
        <f t="shared" si="29"/>
        <v>#DIV/0!</v>
      </c>
      <c r="L771" s="321" t="str">
        <f>+INVERSIÓN!$EW$52</f>
        <v>En el periodo comprendido entre el 1 de enero al 31 de Diciembre de 2023 fueron acogidos 1.827 conceptos técnicos que recomienden una actuación administrativa sancionatoria.  Lo anterior genera un cumplimiento del 100% de atenciones de conceptos técnicos.</v>
      </c>
    </row>
    <row r="772" spans="1:12" ht="24.75" customHeight="1">
      <c r="A772" s="752" t="s">
        <v>710</v>
      </c>
      <c r="B772" s="755" t="s">
        <v>343</v>
      </c>
      <c r="C772" s="755" t="s">
        <v>344</v>
      </c>
      <c r="D772" s="755" t="s">
        <v>345</v>
      </c>
      <c r="E772" s="755" t="s">
        <v>346</v>
      </c>
      <c r="F772" s="761">
        <v>0.45</v>
      </c>
      <c r="G772" s="253" t="s">
        <v>304</v>
      </c>
      <c r="H772" s="256">
        <f>+INVERSIÓN!$DI$10</f>
        <v>1</v>
      </c>
      <c r="I772" s="256">
        <f>+INVERSIÓN!$DL$13</f>
        <v>0</v>
      </c>
      <c r="J772" s="256">
        <v>0</v>
      </c>
      <c r="K772" s="281" t="e">
        <f>J772/I772</f>
        <v>#DIV/0!</v>
      </c>
      <c r="L772" s="342" t="str">
        <f>+INVERSIÓN!$EW$10</f>
        <v>Durante la vigencia 2023, el avance acumulado corresponde al 100%; se han reportado los mantenimientos preventivos y correctivos realizados. De igual manera, se realizó la validación diaria de los datos de concentraciones de contaminantes criterio y parámetros meteorológicos monitoreados por la Red de Monitoreo y Calidad de Aire de Bogotá - RMCAB. El indicador acumulado corresponde al 100% de cumplimiento.</v>
      </c>
    </row>
    <row r="773" spans="1:12" ht="24.75" customHeight="1">
      <c r="A773" s="753"/>
      <c r="B773" s="755"/>
      <c r="C773" s="755"/>
      <c r="D773" s="755"/>
      <c r="E773" s="755"/>
      <c r="F773" s="761"/>
      <c r="G773" s="253" t="s">
        <v>595</v>
      </c>
      <c r="H773" s="378">
        <f>+INVERSIÓN!$DI$17</f>
        <v>7</v>
      </c>
      <c r="I773" s="378">
        <f>+INVERSIÓN!$DL$20</f>
        <v>1</v>
      </c>
      <c r="J773" s="413">
        <v>0</v>
      </c>
      <c r="K773" s="281">
        <f t="shared" ref="K773:K778" si="30">J773/I773</f>
        <v>0</v>
      </c>
      <c r="L773" s="342" t="str">
        <f>+INVERSIÓN!$EW$17</f>
        <v>En el marco de la gestión integral de la calidad del aire de Bogotá, para el año 2023 se realizó la entrega de ocho (8) documentos técnicos, así:
1.	Plan Aire
Aporte Vigencia: 3 Documentos
Aporte MPDD : (1) documento. Informe semestral de Seguimiento al Plan Estratégico para la Gestión Integral de la Calidad del Aire – Plan Aire 2030 (2023-I). (1) Informe de plusvalía con la información de la intervención de 15 segmentos viales ubicados en la localidad de Ciudad Bolívar. (1) Informe semestral de Seguimiento al Plan Estratégico para la Gestión Integral de la Calidad del Aire – Plan Aire 2030 (2023-II).
2.	Alertas
Aporte Vigencia: 3 Documentos
Aporte MPDD: (1) Informe de gestión del Sistema de Alertas Tempranas Ambientales en su componente aire 2023-I. (2) documento Avance Informe de gestión del Sistema de Alertas Tempranas Ambientales en su componente aire 2023-II.
3.	Modelo
Aporte Vigencia: 2 Documentos
Aporte MPDD: (1) Inventario de Emisiones Atmosféricas de Bogotá correspondiente al 2022. (1) documento. Avance Acumulado INFORME DE MODELACIÓN DE CALIDAD DE AIRE SOBRE BOGOTÁ 2022. Anual 2022.
Con lo anterior se alcanza un acumulado al PDD de 26 documentos técnicos, correspondientes al 86,97% de avance acumulado.</v>
      </c>
    </row>
    <row r="774" spans="1:12" ht="24.75" customHeight="1">
      <c r="A774" s="753"/>
      <c r="B774" s="755"/>
      <c r="C774" s="755"/>
      <c r="D774" s="755"/>
      <c r="E774" s="755"/>
      <c r="F774" s="761"/>
      <c r="G774" s="253" t="s">
        <v>316</v>
      </c>
      <c r="H774" s="378">
        <f>+INVERSIÓN!$DI$24</f>
        <v>1.9999999999999996</v>
      </c>
      <c r="I774" s="378">
        <f>+INVERSIÓN!$DL$27</f>
        <v>0</v>
      </c>
      <c r="J774" s="413">
        <v>0</v>
      </c>
      <c r="K774" s="281" t="e">
        <f t="shared" si="30"/>
        <v>#DIV/0!</v>
      </c>
      <c r="L774" s="342" t="str">
        <f>+INVERSIÓN!$EW$24</f>
        <v>El avance acumulado del 2023  es del  2 informes de los dos (02) informes de gestión programados para la vigencia 2023; con lo cual se reporta un avance del 100%, así;
1.	Primer Informe Semestral de Seguimiento 2023 - I, Terminado a junio 30 de 2023. Cantidad Uno (01)
2.	Segundo Informe Semestral de Seguimiento 2023 - II; Avance Acumulado a 1,0. 
Lo anterior con base en las actividades de recolección de información de las acciones de evaluación, control y seguimiento de los grupos de fuentes fijas y fuentes móviles.
También se tienen en cuenta la intervención mediante actuaciones técnicas, visitas de control y seguimiento, acompañamientos, monitoreos, pruebas de emisión a vehículos que transitan  en el Distrito Capital, que se requieren en el Centro de Revisión Vehicular - CRV, vinculaciones al PAA y concesionarios, así visitas técnicas de auditoría a los equipos de medición en los Centros de Diagnóstico Automotor CDA'S, con esta información se construyó el informe de acciones de evaluación, control y seguimiento a las fuentes de emisión.
El avance acumulado del cuatrienio, son 6,84 informes (85%) de los 8 informes programados.</v>
      </c>
    </row>
    <row r="775" spans="1:12" ht="24.75" customHeight="1">
      <c r="A775" s="753"/>
      <c r="B775" s="253" t="s">
        <v>350</v>
      </c>
      <c r="C775" s="253" t="s">
        <v>351</v>
      </c>
      <c r="D775" s="253" t="s">
        <v>352</v>
      </c>
      <c r="E775" s="253" t="s">
        <v>254</v>
      </c>
      <c r="F775" s="256">
        <v>0.15</v>
      </c>
      <c r="G775" s="253" t="s">
        <v>256</v>
      </c>
      <c r="H775" s="378">
        <f>+INVERSIÓN!$DI$31</f>
        <v>1585</v>
      </c>
      <c r="I775" s="378">
        <f>+INVERSIÓN!$DL$34</f>
        <v>0</v>
      </c>
      <c r="J775" s="413">
        <v>0</v>
      </c>
      <c r="K775" s="281" t="e">
        <f t="shared" si="30"/>
        <v>#DIV/0!</v>
      </c>
      <c r="L775" s="342" t="str">
        <f>+INVERSIÓN!$EW$31</f>
        <v>"En cumplimiento de la meta, el acumulado PDD es 4287 acciones así:
• IV Trimestre 2023: 423 acciones, 376 visitas y 47 otras acciones de gestión
• III Trimestre 2023: 427 acciones, 362 visitas y 65 otras acciones de gestión
• II Trimestre 2023: 390 acciones, 326 visitas y 64 otras acciones de gestión
• I Trimestre 2023: 241 acciones, 195 vistas y 46 otras acciones de gestión
• Vigencia 2022: 1418 acciones, entre 1202 visitas y 216 otras acciones de gestión
• Vigencia 2021: 897 acciones, entre 761 visitas y 136 otras acciones de gestión
• Vigencia 2020: 491 acciones, entre 374 visitas y 117 otras acciones de gestión."</v>
      </c>
    </row>
    <row r="776" spans="1:12" ht="24.75" customHeight="1">
      <c r="A776" s="753"/>
      <c r="B776" s="253" t="s">
        <v>354</v>
      </c>
      <c r="C776" s="253" t="s">
        <v>355</v>
      </c>
      <c r="D776" s="253" t="s">
        <v>356</v>
      </c>
      <c r="E776" s="253" t="s">
        <v>254</v>
      </c>
      <c r="F776" s="256">
        <v>0.15</v>
      </c>
      <c r="G776" s="253" t="s">
        <v>257</v>
      </c>
      <c r="H776" s="256">
        <f>+INVERSIÓN!$DI$38</f>
        <v>1</v>
      </c>
      <c r="I776" s="256">
        <f>+INVERSIÓN!$DL$41</f>
        <v>0</v>
      </c>
      <c r="J776" s="256">
        <v>0</v>
      </c>
      <c r="K776" s="281" t="e">
        <f t="shared" si="30"/>
        <v>#DIV/0!</v>
      </c>
      <c r="L776" s="342" t="str">
        <f>+INVERSIÓN!$EW$38</f>
        <v>Con la finalidad de realizar el 100% de las actividades para gestionar, estructurar y ampliar la Red de Monitoreo de Ruido Ambiental se realizaron actividades de mantenimiento, actualización de cartas control, análisis de los datos obtenidos de la red, avance del informe técnico semestral e informe de laboratorio, medición del Festival Cordillera para la modelación del evento y determinación del impacto acústico en vecindades, actualización de los Mapas Estratégicos de Ruido (MER) del Distrito, instalación de tres (3) estaciones de monitoreo de ruido ambiental bajo criterios de la Organización de Aviación Civil Internacional – OACI y la instalación y puesta en marcha de las estaciones meteorológicas de la RMRAB para la acreditación de la red en la metodología de medición y análisis de ruido ambiental según la normativa internacional ISO 1996.
Con lo anterior, se realiza el reporte del 100% de cumplimiento de la meta para la vigencia 2023.</v>
      </c>
    </row>
    <row r="777" spans="1:12" ht="24.75" customHeight="1">
      <c r="A777" s="753"/>
      <c r="B777" s="755" t="s">
        <v>358</v>
      </c>
      <c r="C777" s="755" t="s">
        <v>359</v>
      </c>
      <c r="D777" s="755" t="s">
        <v>360</v>
      </c>
      <c r="E777" s="755" t="s">
        <v>346</v>
      </c>
      <c r="F777" s="761">
        <v>0.25</v>
      </c>
      <c r="G777" s="253" t="s">
        <v>650</v>
      </c>
      <c r="H777" s="378">
        <f>+INVERSIÓN!$DI$45</f>
        <v>1193</v>
      </c>
      <c r="I777" s="378">
        <f>+INVERSIÓN!$DL$48</f>
        <v>0</v>
      </c>
      <c r="J777" s="413">
        <v>0</v>
      </c>
      <c r="K777" s="281" t="e">
        <f t="shared" si="30"/>
        <v>#DIV/0!</v>
      </c>
      <c r="L777" s="342" t="str">
        <f>+INVERSIÓN!$EW$45</f>
        <v>El avance acumulado en la vigencia 2023 es de (1.193) acciones de evaluación, control y seguimiento realizadas. 
- (52) operativos de control a zonas de Resto del Distrito. 
- (130) visitas de evaluación a elementos mayores.
- (605) documentos técnicos firmados para el resto del Distrito.
- (12) cargues de información a la plataforma SIIPEV.
- (394) evaluaciones a solicitudes de elementos de publicidad exterior visual.
Con lo anterior, se tiene un avance para el cuatrienio de 8.618 acciones de evaluación, control y seguimiento. así:
Vigencia 2020: 1,292 Acciones.
Vigencia 2021: 4.950 Acciones.
Vigencia 2022: 1.183 Acciones.
Vigencia 2023: 1.193acciones.</v>
      </c>
    </row>
    <row r="778" spans="1:12" ht="24.75" customHeight="1">
      <c r="A778" s="754"/>
      <c r="B778" s="755"/>
      <c r="C778" s="755"/>
      <c r="D778" s="755"/>
      <c r="E778" s="755"/>
      <c r="F778" s="761"/>
      <c r="G778" s="253" t="s">
        <v>309</v>
      </c>
      <c r="H778" s="256">
        <f>+INVERSIÓN!$DI$52</f>
        <v>1</v>
      </c>
      <c r="I778" s="256">
        <f>+INVERSIÓN!$DL$55</f>
        <v>0</v>
      </c>
      <c r="J778" s="256">
        <v>0</v>
      </c>
      <c r="K778" s="281" t="e">
        <f t="shared" si="30"/>
        <v>#DIV/0!</v>
      </c>
      <c r="L778" s="342" t="str">
        <f>+INVERSIÓN!$EW$52</f>
        <v>En el periodo comprendido entre el 1 de enero al 31 de Diciembre de 2023 fueron acogidos 1.827 conceptos técnicos que recomienden una actuación administrativa sancionatoria.  Lo anterior genera un cumplimiento del 100% de atenciones de conceptos técnicos.</v>
      </c>
    </row>
    <row r="779" spans="1:12" ht="24.75" customHeight="1">
      <c r="A779" s="752" t="s">
        <v>712</v>
      </c>
      <c r="B779" s="755" t="s">
        <v>343</v>
      </c>
      <c r="C779" s="755" t="s">
        <v>344</v>
      </c>
      <c r="D779" s="755" t="s">
        <v>345</v>
      </c>
      <c r="E779" s="755" t="s">
        <v>346</v>
      </c>
      <c r="F779" s="761">
        <v>0.45</v>
      </c>
      <c r="G779" s="253" t="s">
        <v>304</v>
      </c>
      <c r="H779" s="256">
        <f>+INVERSIÓN!$DI$10</f>
        <v>1</v>
      </c>
      <c r="I779" s="256">
        <f>+INVERSIÓN!$DL$13</f>
        <v>0</v>
      </c>
      <c r="J779" s="256">
        <f>+INVERSIÓN!$DM$13</f>
        <v>0</v>
      </c>
      <c r="K779" s="281" t="e">
        <f>J779/I779</f>
        <v>#DIV/0!</v>
      </c>
      <c r="L779" s="342" t="s">
        <v>717</v>
      </c>
    </row>
    <row r="780" spans="1:12" ht="24.75" customHeight="1">
      <c r="A780" s="753"/>
      <c r="B780" s="755"/>
      <c r="C780" s="755"/>
      <c r="D780" s="755"/>
      <c r="E780" s="755"/>
      <c r="F780" s="761"/>
      <c r="G780" s="253" t="s">
        <v>595</v>
      </c>
      <c r="H780" s="378">
        <f>+INVERSIÓN!$DI$17</f>
        <v>7</v>
      </c>
      <c r="I780" s="378">
        <f>+INVERSIÓN!$DL$20</f>
        <v>1</v>
      </c>
      <c r="J780" s="378">
        <f>+INVERSIÓN!$DM$20</f>
        <v>1</v>
      </c>
      <c r="K780" s="281">
        <f t="shared" ref="K780:K785" si="31">J780/I780</f>
        <v>1</v>
      </c>
      <c r="L780" s="342" t="s">
        <v>718</v>
      </c>
    </row>
    <row r="781" spans="1:12" ht="24.75" customHeight="1">
      <c r="A781" s="753"/>
      <c r="B781" s="755"/>
      <c r="C781" s="755"/>
      <c r="D781" s="755"/>
      <c r="E781" s="755"/>
      <c r="F781" s="761"/>
      <c r="G781" s="253" t="s">
        <v>316</v>
      </c>
      <c r="H781" s="378">
        <f>+INVERSIÓN!$DI$24</f>
        <v>1.9999999999999996</v>
      </c>
      <c r="I781" s="378">
        <f>+INVERSIÓN!$DL$27</f>
        <v>0</v>
      </c>
      <c r="J781" s="378">
        <f>+INVERSIÓN!$DM$27</f>
        <v>0</v>
      </c>
      <c r="K781" s="281" t="e">
        <f t="shared" si="31"/>
        <v>#DIV/0!</v>
      </c>
      <c r="L781" s="342" t="s">
        <v>713</v>
      </c>
    </row>
    <row r="782" spans="1:12" ht="24.75" customHeight="1">
      <c r="A782" s="753"/>
      <c r="B782" s="253" t="s">
        <v>350</v>
      </c>
      <c r="C782" s="253" t="s">
        <v>351</v>
      </c>
      <c r="D782" s="253" t="s">
        <v>352</v>
      </c>
      <c r="E782" s="253" t="s">
        <v>254</v>
      </c>
      <c r="F782" s="256">
        <v>0.15</v>
      </c>
      <c r="G782" s="253" t="s">
        <v>256</v>
      </c>
      <c r="H782" s="378">
        <f>+INVERSIÓN!$DI$31</f>
        <v>1585</v>
      </c>
      <c r="I782" s="378">
        <f>+INVERSIÓN!$DL$34</f>
        <v>0</v>
      </c>
      <c r="J782" s="378">
        <f>+INVERSIÓN!$DM$34</f>
        <v>0</v>
      </c>
      <c r="K782" s="281" t="e">
        <f t="shared" si="31"/>
        <v>#DIV/0!</v>
      </c>
      <c r="L782" s="342" t="s">
        <v>714</v>
      </c>
    </row>
    <row r="783" spans="1:12" ht="24.75" customHeight="1">
      <c r="A783" s="753"/>
      <c r="B783" s="253" t="s">
        <v>354</v>
      </c>
      <c r="C783" s="253" t="s">
        <v>355</v>
      </c>
      <c r="D783" s="253" t="s">
        <v>356</v>
      </c>
      <c r="E783" s="253" t="s">
        <v>254</v>
      </c>
      <c r="F783" s="256">
        <v>0.15</v>
      </c>
      <c r="G783" s="253" t="s">
        <v>257</v>
      </c>
      <c r="H783" s="256">
        <f>+INVERSIÓN!$DI$38</f>
        <v>1</v>
      </c>
      <c r="I783" s="256">
        <f>+INVERSIÓN!$DL$41</f>
        <v>0</v>
      </c>
      <c r="J783" s="256">
        <f>+INVERSIÓN!$DM$41</f>
        <v>0</v>
      </c>
      <c r="K783" s="281" t="e">
        <f t="shared" si="31"/>
        <v>#DIV/0!</v>
      </c>
      <c r="L783" s="342" t="s">
        <v>711</v>
      </c>
    </row>
    <row r="784" spans="1:12" ht="24.75" customHeight="1">
      <c r="A784" s="753"/>
      <c r="B784" s="755" t="s">
        <v>358</v>
      </c>
      <c r="C784" s="755" t="s">
        <v>359</v>
      </c>
      <c r="D784" s="755" t="s">
        <v>360</v>
      </c>
      <c r="E784" s="755" t="s">
        <v>346</v>
      </c>
      <c r="F784" s="761">
        <v>0.25</v>
      </c>
      <c r="G784" s="253" t="s">
        <v>720</v>
      </c>
      <c r="H784" s="378">
        <f>+INVERSIÓN!$DI$45</f>
        <v>1193</v>
      </c>
      <c r="I784" s="378">
        <f>+INVERSIÓN!$DL$48</f>
        <v>0</v>
      </c>
      <c r="J784" s="378">
        <f>+INVERSIÓN!$DM$48</f>
        <v>0</v>
      </c>
      <c r="K784" s="281" t="e">
        <f t="shared" si="31"/>
        <v>#DIV/0!</v>
      </c>
      <c r="L784" s="342" t="s">
        <v>716</v>
      </c>
    </row>
    <row r="785" spans="1:12" ht="24.75" customHeight="1">
      <c r="A785" s="754"/>
      <c r="B785" s="755"/>
      <c r="C785" s="755"/>
      <c r="D785" s="755"/>
      <c r="E785" s="755"/>
      <c r="F785" s="761"/>
      <c r="G785" s="253" t="s">
        <v>309</v>
      </c>
      <c r="H785" s="256">
        <f>+INVERSIÓN!$DI$52</f>
        <v>1</v>
      </c>
      <c r="I785" s="256">
        <f>+INVERSIÓN!$DL$55</f>
        <v>0</v>
      </c>
      <c r="J785" s="256">
        <f>+INVERSIÓN!$DM$55</f>
        <v>0</v>
      </c>
      <c r="K785" s="281" t="e">
        <f t="shared" si="31"/>
        <v>#DIV/0!</v>
      </c>
      <c r="L785" s="342" t="s">
        <v>715</v>
      </c>
    </row>
    <row r="786" spans="1:12" ht="24.75" customHeight="1">
      <c r="A786" s="752" t="s">
        <v>721</v>
      </c>
      <c r="B786" s="755" t="s">
        <v>343</v>
      </c>
      <c r="C786" s="755" t="s">
        <v>344</v>
      </c>
      <c r="D786" s="755" t="s">
        <v>345</v>
      </c>
      <c r="E786" s="755" t="s">
        <v>346</v>
      </c>
      <c r="F786" s="761">
        <v>0.45</v>
      </c>
      <c r="G786" s="253" t="s">
        <v>304</v>
      </c>
      <c r="H786" s="256">
        <f>+INVERSIÓN!$DI$10</f>
        <v>1</v>
      </c>
      <c r="I786" s="256">
        <f>+INVERSIÓN!$DL$13</f>
        <v>0</v>
      </c>
      <c r="J786" s="256">
        <f>+INVERSIÓN!$DM$13</f>
        <v>0</v>
      </c>
      <c r="K786" s="281" t="e">
        <f>J786/I786</f>
        <v>#DIV/0!</v>
      </c>
      <c r="L786" s="342" t="s">
        <v>722</v>
      </c>
    </row>
    <row r="787" spans="1:12" ht="24.75" customHeight="1">
      <c r="A787" s="753"/>
      <c r="B787" s="755"/>
      <c r="C787" s="755"/>
      <c r="D787" s="755"/>
      <c r="E787" s="755"/>
      <c r="F787" s="761"/>
      <c r="G787" s="253" t="s">
        <v>595</v>
      </c>
      <c r="H787" s="378">
        <f>+INVERSIÓN!$DI$17</f>
        <v>7</v>
      </c>
      <c r="I787" s="378">
        <f>+INVERSIÓN!$DL$20</f>
        <v>1</v>
      </c>
      <c r="J787" s="378">
        <f>+INVERSIÓN!$DM$20</f>
        <v>1</v>
      </c>
      <c r="K787" s="281">
        <f t="shared" ref="K787:K792" si="32">J787/I787</f>
        <v>1</v>
      </c>
      <c r="L787" s="342" t="s">
        <v>723</v>
      </c>
    </row>
    <row r="788" spans="1:12" ht="24.75" customHeight="1">
      <c r="A788" s="753"/>
      <c r="B788" s="755"/>
      <c r="C788" s="755"/>
      <c r="D788" s="755"/>
      <c r="E788" s="755"/>
      <c r="F788" s="761"/>
      <c r="G788" s="253" t="s">
        <v>316</v>
      </c>
      <c r="H788" s="378">
        <f>+INVERSIÓN!$DI$24</f>
        <v>1.9999999999999996</v>
      </c>
      <c r="I788" s="378">
        <f>+INVERSIÓN!$DL$27</f>
        <v>0</v>
      </c>
      <c r="J788" s="378">
        <f>+INVERSIÓN!$DM$27</f>
        <v>0</v>
      </c>
      <c r="K788" s="281" t="e">
        <f t="shared" si="32"/>
        <v>#DIV/0!</v>
      </c>
      <c r="L788" s="342" t="s">
        <v>724</v>
      </c>
    </row>
    <row r="789" spans="1:12" ht="24.75" customHeight="1">
      <c r="A789" s="753"/>
      <c r="B789" s="253" t="s">
        <v>350</v>
      </c>
      <c r="C789" s="253" t="s">
        <v>351</v>
      </c>
      <c r="D789" s="253" t="s">
        <v>352</v>
      </c>
      <c r="E789" s="253" t="s">
        <v>254</v>
      </c>
      <c r="F789" s="256">
        <v>0.15</v>
      </c>
      <c r="G789" s="253" t="s">
        <v>256</v>
      </c>
      <c r="H789" s="378">
        <f>+INVERSIÓN!$DI$31</f>
        <v>1585</v>
      </c>
      <c r="I789" s="378">
        <f>+INVERSIÓN!$DL$34</f>
        <v>0</v>
      </c>
      <c r="J789" s="378">
        <f>+INVERSIÓN!$DM$34</f>
        <v>0</v>
      </c>
      <c r="K789" s="281" t="e">
        <f t="shared" si="32"/>
        <v>#DIV/0!</v>
      </c>
      <c r="L789" s="342" t="s">
        <v>725</v>
      </c>
    </row>
    <row r="790" spans="1:12" ht="24.75" customHeight="1">
      <c r="A790" s="753"/>
      <c r="B790" s="253" t="s">
        <v>354</v>
      </c>
      <c r="C790" s="253" t="s">
        <v>355</v>
      </c>
      <c r="D790" s="253" t="s">
        <v>356</v>
      </c>
      <c r="E790" s="253" t="s">
        <v>254</v>
      </c>
      <c r="F790" s="256">
        <v>0.15</v>
      </c>
      <c r="G790" s="253" t="s">
        <v>257</v>
      </c>
      <c r="H790" s="256">
        <f>+INVERSIÓN!$DI$38</f>
        <v>1</v>
      </c>
      <c r="I790" s="256">
        <f>+INVERSIÓN!$DL$41</f>
        <v>0</v>
      </c>
      <c r="J790" s="256">
        <f>+INVERSIÓN!$DM$41</f>
        <v>0</v>
      </c>
      <c r="K790" s="281" t="e">
        <f t="shared" si="32"/>
        <v>#DIV/0!</v>
      </c>
      <c r="L790" s="342" t="s">
        <v>726</v>
      </c>
    </row>
    <row r="791" spans="1:12" ht="24.75" customHeight="1">
      <c r="A791" s="753"/>
      <c r="B791" s="755" t="s">
        <v>358</v>
      </c>
      <c r="C791" s="755" t="s">
        <v>359</v>
      </c>
      <c r="D791" s="755" t="s">
        <v>360</v>
      </c>
      <c r="E791" s="755" t="s">
        <v>346</v>
      </c>
      <c r="F791" s="761">
        <v>0.25</v>
      </c>
      <c r="G791" s="253" t="s">
        <v>720</v>
      </c>
      <c r="H791" s="378">
        <f>+INVERSIÓN!$DI$45</f>
        <v>1193</v>
      </c>
      <c r="I791" s="378">
        <f>+INVERSIÓN!$DL$48</f>
        <v>0</v>
      </c>
      <c r="J791" s="378">
        <f>+INVERSIÓN!$DM$48</f>
        <v>0</v>
      </c>
      <c r="K791" s="281" t="e">
        <f t="shared" si="32"/>
        <v>#DIV/0!</v>
      </c>
      <c r="L791" s="342" t="s">
        <v>727</v>
      </c>
    </row>
    <row r="792" spans="1:12" ht="24.75" customHeight="1">
      <c r="A792" s="754"/>
      <c r="B792" s="755"/>
      <c r="C792" s="755"/>
      <c r="D792" s="755"/>
      <c r="E792" s="755"/>
      <c r="F792" s="761"/>
      <c r="G792" s="253" t="s">
        <v>309</v>
      </c>
      <c r="H792" s="256">
        <f>+INVERSIÓN!$DI$52</f>
        <v>1</v>
      </c>
      <c r="I792" s="256">
        <f>+INVERSIÓN!$DL$55</f>
        <v>0</v>
      </c>
      <c r="J792" s="256">
        <f>+INVERSIÓN!$DM$55</f>
        <v>0</v>
      </c>
      <c r="K792" s="281" t="e">
        <f t="shared" si="32"/>
        <v>#DIV/0!</v>
      </c>
      <c r="L792" s="342" t="s">
        <v>728</v>
      </c>
    </row>
    <row r="793" spans="1:12" ht="24.75" customHeight="1">
      <c r="A793" s="752" t="s">
        <v>738</v>
      </c>
      <c r="B793" s="755" t="s">
        <v>343</v>
      </c>
      <c r="C793" s="755" t="s">
        <v>344</v>
      </c>
      <c r="D793" s="755" t="s">
        <v>345</v>
      </c>
      <c r="E793" s="755" t="s">
        <v>346</v>
      </c>
      <c r="F793" s="761">
        <v>0.45</v>
      </c>
      <c r="G793" s="253" t="s">
        <v>304</v>
      </c>
      <c r="H793" s="256">
        <v>1</v>
      </c>
      <c r="I793" s="256">
        <v>0</v>
      </c>
      <c r="J793" s="256">
        <v>0</v>
      </c>
      <c r="K793" s="281" t="e">
        <f>J793/I793</f>
        <v>#DIV/0!</v>
      </c>
      <c r="L793" s="342" t="s">
        <v>730</v>
      </c>
    </row>
    <row r="794" spans="1:12" ht="24.75" customHeight="1">
      <c r="A794" s="753"/>
      <c r="B794" s="755"/>
      <c r="C794" s="755"/>
      <c r="D794" s="755"/>
      <c r="E794" s="755"/>
      <c r="F794" s="761"/>
      <c r="G794" s="253" t="s">
        <v>595</v>
      </c>
      <c r="H794" s="378">
        <v>7</v>
      </c>
      <c r="I794" s="378">
        <v>1</v>
      </c>
      <c r="J794" s="378">
        <v>1</v>
      </c>
      <c r="K794" s="281">
        <f t="shared" ref="K794:K799" si="33">J794/I794</f>
        <v>1</v>
      </c>
      <c r="L794" s="342" t="s">
        <v>731</v>
      </c>
    </row>
    <row r="795" spans="1:12" ht="24.75" customHeight="1">
      <c r="A795" s="753"/>
      <c r="B795" s="755"/>
      <c r="C795" s="755"/>
      <c r="D795" s="755"/>
      <c r="E795" s="755"/>
      <c r="F795" s="761"/>
      <c r="G795" s="253" t="s">
        <v>316</v>
      </c>
      <c r="H795" s="378">
        <v>1.9999999999999996</v>
      </c>
      <c r="I795" s="378">
        <v>0</v>
      </c>
      <c r="J795" s="378">
        <v>0</v>
      </c>
      <c r="K795" s="281" t="e">
        <f t="shared" si="33"/>
        <v>#DIV/0!</v>
      </c>
      <c r="L795" s="342" t="s">
        <v>732</v>
      </c>
    </row>
    <row r="796" spans="1:12" ht="24.75" customHeight="1">
      <c r="A796" s="753"/>
      <c r="B796" s="253" t="s">
        <v>350</v>
      </c>
      <c r="C796" s="253" t="s">
        <v>351</v>
      </c>
      <c r="D796" s="253" t="s">
        <v>352</v>
      </c>
      <c r="E796" s="253" t="s">
        <v>254</v>
      </c>
      <c r="F796" s="256">
        <v>0.15</v>
      </c>
      <c r="G796" s="253" t="s">
        <v>256</v>
      </c>
      <c r="H796" s="378">
        <v>1585</v>
      </c>
      <c r="I796" s="378">
        <v>0</v>
      </c>
      <c r="J796" s="378">
        <v>0</v>
      </c>
      <c r="K796" s="281" t="e">
        <f t="shared" si="33"/>
        <v>#DIV/0!</v>
      </c>
      <c r="L796" s="342" t="s">
        <v>733</v>
      </c>
    </row>
    <row r="797" spans="1:12" ht="24.75" customHeight="1">
      <c r="A797" s="753"/>
      <c r="B797" s="253" t="s">
        <v>354</v>
      </c>
      <c r="C797" s="253" t="s">
        <v>355</v>
      </c>
      <c r="D797" s="253" t="s">
        <v>356</v>
      </c>
      <c r="E797" s="253" t="s">
        <v>254</v>
      </c>
      <c r="F797" s="256">
        <v>0.15</v>
      </c>
      <c r="G797" s="253" t="s">
        <v>257</v>
      </c>
      <c r="H797" s="256">
        <v>1</v>
      </c>
      <c r="I797" s="256">
        <v>0</v>
      </c>
      <c r="J797" s="256">
        <v>0</v>
      </c>
      <c r="K797" s="281" t="e">
        <f t="shared" si="33"/>
        <v>#DIV/0!</v>
      </c>
      <c r="L797" s="342" t="s">
        <v>734</v>
      </c>
    </row>
    <row r="798" spans="1:12" ht="24.75" customHeight="1">
      <c r="A798" s="753"/>
      <c r="B798" s="755" t="s">
        <v>358</v>
      </c>
      <c r="C798" s="755" t="s">
        <v>359</v>
      </c>
      <c r="D798" s="755" t="s">
        <v>360</v>
      </c>
      <c r="E798" s="755" t="s">
        <v>346</v>
      </c>
      <c r="F798" s="761">
        <v>0.25</v>
      </c>
      <c r="G798" s="253" t="s">
        <v>720</v>
      </c>
      <c r="H798" s="378">
        <v>902</v>
      </c>
      <c r="I798" s="378">
        <v>0</v>
      </c>
      <c r="J798" s="378">
        <v>0</v>
      </c>
      <c r="K798" s="281" t="e">
        <f t="shared" si="33"/>
        <v>#DIV/0!</v>
      </c>
      <c r="L798" s="342" t="s">
        <v>735</v>
      </c>
    </row>
    <row r="799" spans="1:12" ht="24.75" customHeight="1">
      <c r="A799" s="754"/>
      <c r="B799" s="755"/>
      <c r="C799" s="755"/>
      <c r="D799" s="755"/>
      <c r="E799" s="755"/>
      <c r="F799" s="761"/>
      <c r="G799" s="253" t="s">
        <v>309</v>
      </c>
      <c r="H799" s="256">
        <v>1</v>
      </c>
      <c r="I799" s="256">
        <v>0</v>
      </c>
      <c r="J799" s="256">
        <v>0</v>
      </c>
      <c r="K799" s="281" t="e">
        <f t="shared" si="33"/>
        <v>#DIV/0!</v>
      </c>
      <c r="L799" s="342" t="s">
        <v>736</v>
      </c>
    </row>
    <row r="800" spans="1:12" ht="24.75" customHeight="1">
      <c r="A800" s="752" t="s">
        <v>739</v>
      </c>
      <c r="B800" s="755" t="s">
        <v>343</v>
      </c>
      <c r="C800" s="755" t="s">
        <v>344</v>
      </c>
      <c r="D800" s="755" t="s">
        <v>345</v>
      </c>
      <c r="E800" s="755" t="s">
        <v>346</v>
      </c>
      <c r="F800" s="761">
        <v>0.45</v>
      </c>
      <c r="G800" s="253" t="s">
        <v>304</v>
      </c>
      <c r="H800" s="256">
        <f>+INVERSIÓN!$DI$10</f>
        <v>1</v>
      </c>
      <c r="I800" s="256">
        <f>+INVERSIÓN!$DL$13</f>
        <v>0</v>
      </c>
      <c r="J800" s="256">
        <f>+INVERSIÓN!$DM$13</f>
        <v>0</v>
      </c>
      <c r="K800" s="281" t="e">
        <f>J800/I800</f>
        <v>#DIV/0!</v>
      </c>
      <c r="L800" s="342" t="s">
        <v>740</v>
      </c>
    </row>
    <row r="801" spans="1:12" ht="24.75" customHeight="1">
      <c r="A801" s="753"/>
      <c r="B801" s="755"/>
      <c r="C801" s="755"/>
      <c r="D801" s="755"/>
      <c r="E801" s="755"/>
      <c r="F801" s="761"/>
      <c r="G801" s="253" t="s">
        <v>595</v>
      </c>
      <c r="H801" s="378">
        <f>+INVERSIÓN!$DI$17</f>
        <v>7</v>
      </c>
      <c r="I801" s="378">
        <f>+INVERSIÓN!$DL$20</f>
        <v>1</v>
      </c>
      <c r="J801" s="378">
        <f>+INVERSIÓN!$DM$20</f>
        <v>1</v>
      </c>
      <c r="K801" s="281">
        <f t="shared" ref="K801:K806" si="34">J801/I801</f>
        <v>1</v>
      </c>
      <c r="L801" s="342" t="s">
        <v>741</v>
      </c>
    </row>
    <row r="802" spans="1:12" ht="24.75" customHeight="1">
      <c r="A802" s="753"/>
      <c r="B802" s="755"/>
      <c r="C802" s="755"/>
      <c r="D802" s="755"/>
      <c r="E802" s="755"/>
      <c r="F802" s="761"/>
      <c r="G802" s="253" t="s">
        <v>316</v>
      </c>
      <c r="H802" s="378">
        <f>+INVERSIÓN!$DI$24</f>
        <v>1.9999999999999996</v>
      </c>
      <c r="I802" s="378">
        <f>+INVERSIÓN!$DL$27</f>
        <v>0</v>
      </c>
      <c r="J802" s="378">
        <f>+INVERSIÓN!$DM$27</f>
        <v>0</v>
      </c>
      <c r="K802" s="281" t="e">
        <f t="shared" si="34"/>
        <v>#DIV/0!</v>
      </c>
      <c r="L802" s="342" t="s">
        <v>742</v>
      </c>
    </row>
    <row r="803" spans="1:12" ht="24.75" customHeight="1">
      <c r="A803" s="753"/>
      <c r="B803" s="253" t="s">
        <v>350</v>
      </c>
      <c r="C803" s="253" t="s">
        <v>351</v>
      </c>
      <c r="D803" s="253" t="s">
        <v>352</v>
      </c>
      <c r="E803" s="253" t="s">
        <v>254</v>
      </c>
      <c r="F803" s="256">
        <v>0.15</v>
      </c>
      <c r="G803" s="253" t="s">
        <v>256</v>
      </c>
      <c r="H803" s="378">
        <f>+INVERSIÓN!$DI$31</f>
        <v>1585</v>
      </c>
      <c r="I803" s="378">
        <f>+INVERSIÓN!$DL$34</f>
        <v>0</v>
      </c>
      <c r="J803" s="378">
        <f>+INVERSIÓN!$DM$34</f>
        <v>0</v>
      </c>
      <c r="K803" s="281" t="e">
        <f t="shared" si="34"/>
        <v>#DIV/0!</v>
      </c>
      <c r="L803" s="342" t="s">
        <v>743</v>
      </c>
    </row>
    <row r="804" spans="1:12" ht="24.75" customHeight="1">
      <c r="A804" s="753"/>
      <c r="B804" s="253" t="s">
        <v>354</v>
      </c>
      <c r="C804" s="253" t="s">
        <v>355</v>
      </c>
      <c r="D804" s="253" t="s">
        <v>356</v>
      </c>
      <c r="E804" s="253" t="s">
        <v>254</v>
      </c>
      <c r="F804" s="256">
        <v>0.15</v>
      </c>
      <c r="G804" s="253" t="s">
        <v>257</v>
      </c>
      <c r="H804" s="256">
        <f>+INVERSIÓN!$DI$38</f>
        <v>1</v>
      </c>
      <c r="I804" s="256">
        <f>+INVERSIÓN!$DL$41</f>
        <v>0</v>
      </c>
      <c r="J804" s="256">
        <f>+INVERSIÓN!$DM$41</f>
        <v>0</v>
      </c>
      <c r="K804" s="281" t="e">
        <f t="shared" si="34"/>
        <v>#DIV/0!</v>
      </c>
      <c r="L804" s="342" t="s">
        <v>744</v>
      </c>
    </row>
    <row r="805" spans="1:12" ht="24.75" customHeight="1">
      <c r="A805" s="753"/>
      <c r="B805" s="755" t="s">
        <v>358</v>
      </c>
      <c r="C805" s="755" t="s">
        <v>359</v>
      </c>
      <c r="D805" s="755" t="s">
        <v>360</v>
      </c>
      <c r="E805" s="755" t="s">
        <v>346</v>
      </c>
      <c r="F805" s="761">
        <v>0.25</v>
      </c>
      <c r="G805" s="253" t="s">
        <v>720</v>
      </c>
      <c r="H805" s="378">
        <f>+INVERSIÓN!$DI$45</f>
        <v>1193</v>
      </c>
      <c r="I805" s="378">
        <f>+INVERSIÓN!$DL$48</f>
        <v>0</v>
      </c>
      <c r="J805" s="378">
        <f>+INVERSIÓN!$DM$48</f>
        <v>0</v>
      </c>
      <c r="K805" s="281" t="e">
        <f t="shared" si="34"/>
        <v>#DIV/0!</v>
      </c>
      <c r="L805" s="342" t="s">
        <v>745</v>
      </c>
    </row>
    <row r="806" spans="1:12" ht="24.75" customHeight="1">
      <c r="A806" s="754"/>
      <c r="B806" s="755"/>
      <c r="C806" s="755"/>
      <c r="D806" s="755"/>
      <c r="E806" s="755"/>
      <c r="F806" s="761"/>
      <c r="G806" s="253" t="s">
        <v>309</v>
      </c>
      <c r="H806" s="256">
        <f>+INVERSIÓN!$DI$52</f>
        <v>1</v>
      </c>
      <c r="I806" s="256">
        <f>+INVERSIÓN!$DL$55</f>
        <v>0</v>
      </c>
      <c r="J806" s="256">
        <f>+INVERSIÓN!$DM$55</f>
        <v>0</v>
      </c>
      <c r="K806" s="281" t="e">
        <f t="shared" si="34"/>
        <v>#DIV/0!</v>
      </c>
      <c r="L806" s="342" t="s">
        <v>746</v>
      </c>
    </row>
    <row r="807" spans="1:12" ht="24.75" customHeight="1">
      <c r="A807" s="809" t="s">
        <v>774</v>
      </c>
      <c r="B807" s="803" t="s">
        <v>343</v>
      </c>
      <c r="C807" s="803" t="s">
        <v>344</v>
      </c>
      <c r="D807" s="803" t="s">
        <v>345</v>
      </c>
      <c r="E807" s="803" t="s">
        <v>346</v>
      </c>
      <c r="F807" s="804">
        <v>0.45</v>
      </c>
      <c r="G807" s="470" t="s">
        <v>304</v>
      </c>
      <c r="H807" s="471">
        <f>+INVERSIÓN!$DI$10</f>
        <v>1</v>
      </c>
      <c r="I807" s="471">
        <f>+INVERSIÓN!$DL$13</f>
        <v>0</v>
      </c>
      <c r="J807" s="471">
        <f>+INVERSIÓN!$DM$13</f>
        <v>0</v>
      </c>
      <c r="K807" s="472">
        <f>IFERROR(J807/I807,0)</f>
        <v>0</v>
      </c>
      <c r="L807" s="473" t="str">
        <f>+INVERSIÓN!EW10</f>
        <v>Durante la vigencia 2023, el avance acumulado corresponde al 100%; se han reportado los mantenimientos preventivos y correctivos realizados. De igual manera, se realizó la validación diaria de los datos de concentraciones de contaminantes criterio y parámetros meteorológicos monitoreados por la Red de Monitoreo y Calidad de Aire de Bogotá - RMCAB. El indicador acumulado corresponde al 100% de cumplimiento.</v>
      </c>
    </row>
    <row r="808" spans="1:12" ht="24.75" customHeight="1">
      <c r="A808" s="810"/>
      <c r="B808" s="803"/>
      <c r="C808" s="803"/>
      <c r="D808" s="803"/>
      <c r="E808" s="803"/>
      <c r="F808" s="804"/>
      <c r="G808" s="470" t="s">
        <v>595</v>
      </c>
      <c r="H808" s="474">
        <f>+INVERSIÓN!$DI$17</f>
        <v>7</v>
      </c>
      <c r="I808" s="474">
        <f>+INVERSIÓN!$DL$20</f>
        <v>1</v>
      </c>
      <c r="J808" s="474">
        <f>+INVERSIÓN!$DM$20</f>
        <v>1</v>
      </c>
      <c r="K808" s="472">
        <f t="shared" ref="K808" si="35">J808/I808</f>
        <v>1</v>
      </c>
      <c r="L808" s="473" t="str">
        <f>+INVERSIÓN!EW17</f>
        <v>En el marco de la gestión integral de la calidad del aire de Bogotá, para el año 2023 se realizó la entrega de ocho (8) documentos técnicos, así:
1.	Plan Aire
Aporte Vigencia: 3 Documentos
Aporte MPDD : (1) documento. Informe semestral de Seguimiento al Plan Estratégico para la Gestión Integral de la Calidad del Aire – Plan Aire 2030 (2023-I). (1) Informe de plusvalía con la información de la intervención de 15 segmentos viales ubicados en la localidad de Ciudad Bolívar. (1) Informe semestral de Seguimiento al Plan Estratégico para la Gestión Integral de la Calidad del Aire – Plan Aire 2030 (2023-II).
2.	Alertas
Aporte Vigencia: 3 Documentos
Aporte MPDD: (1) Informe de gestión del Sistema de Alertas Tempranas Ambientales en su componente aire 2023-I. (2) documento Avance Informe de gestión del Sistema de Alertas Tempranas Ambientales en su componente aire 2023-II.
3.	Modelo
Aporte Vigencia: 2 Documentos
Aporte MPDD: (1) Inventario de Emisiones Atmosféricas de Bogotá correspondiente al 2022. (1) documento. Avance Acumulado INFORME DE MODELACIÓN DE CALIDAD DE AIRE SOBRE BOGOTÁ 2022. Anual 2022.
Con lo anterior se alcanza un acumulado al PDD de 26 documentos técnicos, correspondientes al 86,97% de avance acumulado.</v>
      </c>
    </row>
    <row r="809" spans="1:12" ht="24.75" customHeight="1">
      <c r="A809" s="810"/>
      <c r="B809" s="803"/>
      <c r="C809" s="803"/>
      <c r="D809" s="803"/>
      <c r="E809" s="803"/>
      <c r="F809" s="804"/>
      <c r="G809" s="470" t="s">
        <v>316</v>
      </c>
      <c r="H809" s="474">
        <f>+INVERSIÓN!$DI$24</f>
        <v>1.9999999999999996</v>
      </c>
      <c r="I809" s="474">
        <f>+INVERSIÓN!$DL$27</f>
        <v>0</v>
      </c>
      <c r="J809" s="474">
        <f>+INVERSIÓN!$DM$27</f>
        <v>0</v>
      </c>
      <c r="K809" s="472">
        <f>IFERROR(J809/I809,0)</f>
        <v>0</v>
      </c>
      <c r="L809" s="473" t="str">
        <f>+INVERSIÓN!EW24</f>
        <v>El avance acumulado del 2023  es del  2 informes de los dos (02) informes de gestión programados para la vigencia 2023; con lo cual se reporta un avance del 100%, así;
1.	Primer Informe Semestral de Seguimiento 2023 - I, Terminado a junio 30 de 2023. Cantidad Uno (01)
2.	Segundo Informe Semestral de Seguimiento 2023 - II; Avance Acumulado a 1,0. 
Lo anterior con base en las actividades de recolección de información de las acciones de evaluación, control y seguimiento de los grupos de fuentes fijas y fuentes móviles.
También se tienen en cuenta la intervención mediante actuaciones técnicas, visitas de control y seguimiento, acompañamientos, monitoreos, pruebas de emisión a vehículos que transitan  en el Distrito Capital, que se requieren en el Centro de Revisión Vehicular - CRV, vinculaciones al PAA y concesionarios, así visitas técnicas de auditoría a los equipos de medición en los Centros de Diagnóstico Automotor CDA'S, con esta información se construyó el informe de acciones de evaluación, control y seguimiento a las fuentes de emisión.
El avance acumulado del cuatrienio, son 6,84 informes (85%) de los 8 informes programados.</v>
      </c>
    </row>
    <row r="810" spans="1:12" ht="24.75" customHeight="1">
      <c r="A810" s="810"/>
      <c r="B810" s="470" t="s">
        <v>350</v>
      </c>
      <c r="C810" s="470" t="s">
        <v>351</v>
      </c>
      <c r="D810" s="470" t="s">
        <v>352</v>
      </c>
      <c r="E810" s="470" t="s">
        <v>254</v>
      </c>
      <c r="F810" s="471">
        <v>0.15</v>
      </c>
      <c r="G810" s="470" t="s">
        <v>256</v>
      </c>
      <c r="H810" s="474">
        <f>+INVERSIÓN!$DI$31</f>
        <v>1585</v>
      </c>
      <c r="I810" s="474">
        <f>+INVERSIÓN!$DL$34</f>
        <v>0</v>
      </c>
      <c r="J810" s="474">
        <f>+INVERSIÓN!$DM$34</f>
        <v>0</v>
      </c>
      <c r="K810" s="472">
        <f>IFERROR(J810/I810,0)</f>
        <v>0</v>
      </c>
      <c r="L810" s="473" t="str">
        <f>+INVERSIÓN!EW31</f>
        <v>"En cumplimiento de la meta, el acumulado PDD es 4287 acciones así:
• IV Trimestre 2023: 423 acciones, 376 visitas y 47 otras acciones de gestión
• III Trimestre 2023: 427 acciones, 362 visitas y 65 otras acciones de gestión
• II Trimestre 2023: 390 acciones, 326 visitas y 64 otras acciones de gestión
• I Trimestre 2023: 241 acciones, 195 vistas y 46 otras acciones de gestión
• Vigencia 2022: 1418 acciones, entre 1202 visitas y 216 otras acciones de gestión
• Vigencia 2021: 897 acciones, entre 761 visitas y 136 otras acciones de gestión
• Vigencia 2020: 491 acciones, entre 374 visitas y 117 otras acciones de gestión."</v>
      </c>
    </row>
    <row r="811" spans="1:12" ht="24.75" customHeight="1">
      <c r="A811" s="810"/>
      <c r="B811" s="470" t="s">
        <v>354</v>
      </c>
      <c r="C811" s="470" t="s">
        <v>355</v>
      </c>
      <c r="D811" s="470" t="s">
        <v>356</v>
      </c>
      <c r="E811" s="470" t="s">
        <v>254</v>
      </c>
      <c r="F811" s="471">
        <v>0.15</v>
      </c>
      <c r="G811" s="470" t="s">
        <v>257</v>
      </c>
      <c r="H811" s="471">
        <f>+INVERSIÓN!$DI$38</f>
        <v>1</v>
      </c>
      <c r="I811" s="471">
        <f>+INVERSIÓN!$DL$41</f>
        <v>0</v>
      </c>
      <c r="J811" s="471">
        <f>+INVERSIÓN!$DM$41</f>
        <v>0</v>
      </c>
      <c r="K811" s="472">
        <f>IFERROR(J811/I811,0)</f>
        <v>0</v>
      </c>
      <c r="L811" s="473" t="str">
        <f>+INVERSIÓN!EW38</f>
        <v>Con la finalidad de realizar el 100% de las actividades para gestionar, estructurar y ampliar la Red de Monitoreo de Ruido Ambiental se realizaron actividades de mantenimiento, actualización de cartas control, análisis de los datos obtenidos de la red, avance del informe técnico semestral e informe de laboratorio, medición del Festival Cordillera para la modelación del evento y determinación del impacto acústico en vecindades, actualización de los Mapas Estratégicos de Ruido (MER) del Distrito, instalación de tres (3) estaciones de monitoreo de ruido ambiental bajo criterios de la Organización de Aviación Civil Internacional – OACI y la instalación y puesta en marcha de las estaciones meteorológicas de la RMRAB para la acreditación de la red en la metodología de medición y análisis de ruido ambiental según la normativa internacional ISO 1996.
Con lo anterior, se realiza el reporte del 100% de cumplimiento de la meta para la vigencia 2023.</v>
      </c>
    </row>
    <row r="812" spans="1:12" ht="24.75" customHeight="1">
      <c r="A812" s="810"/>
      <c r="B812" s="803" t="s">
        <v>358</v>
      </c>
      <c r="C812" s="803" t="s">
        <v>359</v>
      </c>
      <c r="D812" s="803" t="s">
        <v>360</v>
      </c>
      <c r="E812" s="803" t="s">
        <v>346</v>
      </c>
      <c r="F812" s="804">
        <v>0.25</v>
      </c>
      <c r="G812" s="470" t="s">
        <v>720</v>
      </c>
      <c r="H812" s="474">
        <f>+INVERSIÓN!$DI$45</f>
        <v>1193</v>
      </c>
      <c r="I812" s="474">
        <f>+INVERSIÓN!$DL$48</f>
        <v>0</v>
      </c>
      <c r="J812" s="474">
        <f>+INVERSIÓN!$DM$48</f>
        <v>0</v>
      </c>
      <c r="K812" s="472">
        <f>IFERROR(J812/I812,0)</f>
        <v>0</v>
      </c>
      <c r="L812" s="473" t="str">
        <f>+INVERSIÓN!EW45</f>
        <v>El avance acumulado en la vigencia 2023 es de (1.193) acciones de evaluación, control y seguimiento realizadas. 
- (52) operativos de control a zonas de Resto del Distrito. 
- (130) visitas de evaluación a elementos mayores.
- (605) documentos técnicos firmados para el resto del Distrito.
- (12) cargues de información a la plataforma SIIPEV.
- (394) evaluaciones a solicitudes de elementos de publicidad exterior visual.
Con lo anterior, se tiene un avance para el cuatrienio de 8.618 acciones de evaluación, control y seguimiento. así:
Vigencia 2020: 1,292 Acciones.
Vigencia 2021: 4.950 Acciones.
Vigencia 2022: 1.183 Acciones.
Vigencia 2023: 1.193acciones.</v>
      </c>
    </row>
    <row r="813" spans="1:12" ht="24.75" customHeight="1">
      <c r="A813" s="811"/>
      <c r="B813" s="803"/>
      <c r="C813" s="803"/>
      <c r="D813" s="803"/>
      <c r="E813" s="803"/>
      <c r="F813" s="804"/>
      <c r="G813" s="470" t="s">
        <v>309</v>
      </c>
      <c r="H813" s="471">
        <f>+INVERSIÓN!$DI$52</f>
        <v>1</v>
      </c>
      <c r="I813" s="471">
        <f>+INVERSIÓN!$DL$55</f>
        <v>0</v>
      </c>
      <c r="J813" s="471">
        <f>+INVERSIÓN!$DM$55</f>
        <v>0</v>
      </c>
      <c r="K813" s="472">
        <f>IFERROR(J813/I813,0)</f>
        <v>0</v>
      </c>
      <c r="L813" s="473" t="str">
        <f>+INVERSIÓN!EW52</f>
        <v>En el periodo comprendido entre el 1 de enero al 31 de Diciembre de 2023 fueron acogidos 1.827 conceptos técnicos que recomienden una actuación administrativa sancionatoria.  Lo anterior genera un cumplimiento del 100% de atenciones de conceptos técnicos.</v>
      </c>
    </row>
    <row r="814" spans="1:12" ht="24.75" customHeight="1">
      <c r="A814" s="322"/>
      <c r="B814" s="322"/>
      <c r="C814" s="322"/>
      <c r="D814" s="322"/>
      <c r="E814" s="322"/>
      <c r="F814" s="322"/>
      <c r="G814" s="322"/>
      <c r="I814" s="323"/>
    </row>
    <row r="815" spans="1:12" ht="24.75" customHeight="1">
      <c r="A815" s="779" t="s">
        <v>163</v>
      </c>
      <c r="B815" s="780"/>
      <c r="C815" s="780"/>
      <c r="D815" s="780"/>
      <c r="E815" s="780"/>
      <c r="F815" s="780"/>
      <c r="G815" s="781"/>
    </row>
    <row r="816" spans="1:12" ht="24.75" customHeight="1">
      <c r="A816" s="103" t="s">
        <v>48</v>
      </c>
      <c r="B816" s="30" t="s">
        <v>144</v>
      </c>
      <c r="C816" s="30" t="s">
        <v>145</v>
      </c>
      <c r="D816" s="30" t="s">
        <v>164</v>
      </c>
      <c r="E816" s="30" t="s">
        <v>165</v>
      </c>
      <c r="F816" s="30" t="s">
        <v>166</v>
      </c>
      <c r="G816" s="30" t="s">
        <v>167</v>
      </c>
    </row>
    <row r="817" spans="1:9" s="106" customFormat="1" ht="24.75" customHeight="1">
      <c r="A817" s="749" t="s">
        <v>128</v>
      </c>
      <c r="B817" s="762" t="s">
        <v>343</v>
      </c>
      <c r="C817" s="762" t="s">
        <v>412</v>
      </c>
      <c r="D817" s="252" t="s">
        <v>304</v>
      </c>
      <c r="E817" s="105">
        <v>775545944</v>
      </c>
      <c r="F817" s="105">
        <v>56548312</v>
      </c>
      <c r="G817" s="252" t="s">
        <v>413</v>
      </c>
      <c r="I817" s="123"/>
    </row>
    <row r="818" spans="1:9" s="106" customFormat="1" ht="24.75" customHeight="1">
      <c r="A818" s="749"/>
      <c r="B818" s="763"/>
      <c r="C818" s="763"/>
      <c r="D818" s="252" t="s">
        <v>315</v>
      </c>
      <c r="E818" s="105">
        <v>613840322</v>
      </c>
      <c r="F818" s="105">
        <v>0</v>
      </c>
      <c r="G818" s="252" t="s">
        <v>414</v>
      </c>
      <c r="I818" s="123"/>
    </row>
    <row r="819" spans="1:9" s="106" customFormat="1" ht="24.75" customHeight="1">
      <c r="A819" s="749"/>
      <c r="B819" s="764"/>
      <c r="C819" s="764"/>
      <c r="D819" s="252" t="s">
        <v>415</v>
      </c>
      <c r="E819" s="105">
        <v>1412790000</v>
      </c>
      <c r="F819" s="105">
        <v>79976000</v>
      </c>
      <c r="G819" s="252" t="s">
        <v>413</v>
      </c>
      <c r="I819" s="123"/>
    </row>
    <row r="820" spans="1:9" s="106" customFormat="1" ht="24.75" customHeight="1">
      <c r="A820" s="749"/>
      <c r="B820" s="252" t="s">
        <v>350</v>
      </c>
      <c r="C820" s="252" t="s">
        <v>416</v>
      </c>
      <c r="D820" s="252" t="s">
        <v>417</v>
      </c>
      <c r="E820" s="105">
        <v>621054131</v>
      </c>
      <c r="F820" s="105">
        <v>0</v>
      </c>
      <c r="G820" s="252" t="s">
        <v>414</v>
      </c>
      <c r="I820" s="123"/>
    </row>
    <row r="821" spans="1:9" s="106" customFormat="1" ht="24.75" customHeight="1">
      <c r="A821" s="749"/>
      <c r="B821" s="252" t="s">
        <v>354</v>
      </c>
      <c r="C821" s="252" t="s">
        <v>418</v>
      </c>
      <c r="D821" s="252" t="s">
        <v>419</v>
      </c>
      <c r="E821" s="105">
        <v>403410000</v>
      </c>
      <c r="F821" s="105">
        <v>10000000</v>
      </c>
      <c r="G821" s="252" t="s">
        <v>413</v>
      </c>
      <c r="I821" s="123"/>
    </row>
    <row r="822" spans="1:9" s="106" customFormat="1" ht="24.75" customHeight="1">
      <c r="A822" s="749"/>
      <c r="B822" s="762" t="s">
        <v>358</v>
      </c>
      <c r="C822" s="762" t="s">
        <v>420</v>
      </c>
      <c r="D822" s="252" t="s">
        <v>421</v>
      </c>
      <c r="E822" s="105">
        <v>658814131</v>
      </c>
      <c r="F822" s="105">
        <v>0</v>
      </c>
      <c r="G822" s="252" t="s">
        <v>414</v>
      </c>
      <c r="I822" s="123"/>
    </row>
    <row r="823" spans="1:9" s="106" customFormat="1" ht="24.75" customHeight="1">
      <c r="A823" s="749"/>
      <c r="B823" s="764"/>
      <c r="C823" s="764"/>
      <c r="D823" s="252" t="s">
        <v>309</v>
      </c>
      <c r="E823" s="105">
        <v>450000000</v>
      </c>
      <c r="F823" s="105">
        <v>0</v>
      </c>
      <c r="G823" s="252" t="s">
        <v>414</v>
      </c>
      <c r="I823" s="123"/>
    </row>
    <row r="824" spans="1:9" s="106" customFormat="1" ht="24.75" customHeight="1">
      <c r="A824" s="748" t="s">
        <v>129</v>
      </c>
      <c r="B824" s="762" t="s">
        <v>343</v>
      </c>
      <c r="C824" s="762" t="s">
        <v>412</v>
      </c>
      <c r="D824" s="252" t="s">
        <v>304</v>
      </c>
      <c r="E824" s="105">
        <v>775545944</v>
      </c>
      <c r="F824" s="105">
        <v>404965456</v>
      </c>
      <c r="G824" s="252" t="s">
        <v>422</v>
      </c>
      <c r="I824" s="123"/>
    </row>
    <row r="825" spans="1:9" s="106" customFormat="1" ht="24.75" customHeight="1">
      <c r="A825" s="749"/>
      <c r="B825" s="763"/>
      <c r="C825" s="763"/>
      <c r="D825" s="252" t="s">
        <v>315</v>
      </c>
      <c r="E825" s="105">
        <v>613840322</v>
      </c>
      <c r="F825" s="105">
        <v>465500000</v>
      </c>
      <c r="G825" s="252" t="s">
        <v>422</v>
      </c>
      <c r="I825" s="123"/>
    </row>
    <row r="826" spans="1:9" s="106" customFormat="1" ht="24.75" customHeight="1">
      <c r="A826" s="749"/>
      <c r="B826" s="764"/>
      <c r="C826" s="764"/>
      <c r="D826" s="252" t="s">
        <v>415</v>
      </c>
      <c r="E826" s="105">
        <v>1412790000</v>
      </c>
      <c r="F826" s="105">
        <v>835107984</v>
      </c>
      <c r="G826" s="252" t="s">
        <v>422</v>
      </c>
      <c r="I826" s="123"/>
    </row>
    <row r="827" spans="1:9" s="106" customFormat="1" ht="24.75" customHeight="1">
      <c r="A827" s="749"/>
      <c r="B827" s="252" t="s">
        <v>350</v>
      </c>
      <c r="C827" s="252" t="s">
        <v>416</v>
      </c>
      <c r="D827" s="252" t="s">
        <v>417</v>
      </c>
      <c r="E827" s="105">
        <v>621054131</v>
      </c>
      <c r="F827" s="105">
        <v>433428000</v>
      </c>
      <c r="G827" s="252" t="s">
        <v>422</v>
      </c>
      <c r="I827" s="123"/>
    </row>
    <row r="828" spans="1:9" s="106" customFormat="1" ht="24.75" customHeight="1">
      <c r="A828" s="749"/>
      <c r="B828" s="252" t="s">
        <v>354</v>
      </c>
      <c r="C828" s="252" t="s">
        <v>418</v>
      </c>
      <c r="D828" s="252" t="s">
        <v>419</v>
      </c>
      <c r="E828" s="105">
        <v>403410000</v>
      </c>
      <c r="F828" s="105">
        <v>92564000</v>
      </c>
      <c r="G828" s="252" t="s">
        <v>422</v>
      </c>
      <c r="I828" s="123"/>
    </row>
    <row r="829" spans="1:9" s="106" customFormat="1" ht="24.75" customHeight="1">
      <c r="A829" s="749"/>
      <c r="B829" s="762" t="s">
        <v>358</v>
      </c>
      <c r="C829" s="762" t="s">
        <v>420</v>
      </c>
      <c r="D829" s="252" t="s">
        <v>421</v>
      </c>
      <c r="E829" s="105">
        <v>658814131</v>
      </c>
      <c r="F829" s="105">
        <v>451588000</v>
      </c>
      <c r="G829" s="252" t="s">
        <v>422</v>
      </c>
      <c r="I829" s="123"/>
    </row>
    <row r="830" spans="1:9" s="106" customFormat="1" ht="24.75" customHeight="1">
      <c r="A830" s="749"/>
      <c r="B830" s="764"/>
      <c r="C830" s="764"/>
      <c r="D830" s="252" t="s">
        <v>309</v>
      </c>
      <c r="E830" s="105">
        <v>450000000</v>
      </c>
      <c r="F830" s="105">
        <v>373112000</v>
      </c>
      <c r="G830" s="252" t="s">
        <v>422</v>
      </c>
      <c r="I830" s="123"/>
    </row>
    <row r="831" spans="1:9" s="106" customFormat="1" ht="24.75" customHeight="1">
      <c r="A831" s="748" t="s">
        <v>130</v>
      </c>
      <c r="B831" s="762" t="s">
        <v>343</v>
      </c>
      <c r="C831" s="762" t="s">
        <v>412</v>
      </c>
      <c r="D831" s="252" t="s">
        <v>304</v>
      </c>
      <c r="E831" s="105">
        <v>775545944</v>
      </c>
      <c r="F831" s="105">
        <v>433527167</v>
      </c>
      <c r="G831" s="252" t="s">
        <v>422</v>
      </c>
      <c r="I831" s="123"/>
    </row>
    <row r="832" spans="1:9" s="106" customFormat="1" ht="24.75" customHeight="1">
      <c r="A832" s="749"/>
      <c r="B832" s="763"/>
      <c r="C832" s="763"/>
      <c r="D832" s="252" t="s">
        <v>315</v>
      </c>
      <c r="E832" s="105">
        <v>613840322</v>
      </c>
      <c r="F832" s="105">
        <v>465500000</v>
      </c>
      <c r="G832" s="252" t="s">
        <v>422</v>
      </c>
      <c r="I832" s="123"/>
    </row>
    <row r="833" spans="1:9" s="106" customFormat="1" ht="24.75" customHeight="1">
      <c r="A833" s="749"/>
      <c r="B833" s="764"/>
      <c r="C833" s="764"/>
      <c r="D833" s="252" t="s">
        <v>415</v>
      </c>
      <c r="E833" s="105">
        <v>1412790000</v>
      </c>
      <c r="F833" s="105">
        <v>860130666</v>
      </c>
      <c r="G833" s="252" t="s">
        <v>422</v>
      </c>
      <c r="I833" s="123"/>
    </row>
    <row r="834" spans="1:9" s="106" customFormat="1" ht="24.75" customHeight="1">
      <c r="A834" s="749"/>
      <c r="B834" s="252" t="s">
        <v>350</v>
      </c>
      <c r="C834" s="252" t="s">
        <v>416</v>
      </c>
      <c r="D834" s="252" t="s">
        <v>417</v>
      </c>
      <c r="E834" s="105">
        <v>621054131</v>
      </c>
      <c r="F834" s="105">
        <v>433428000</v>
      </c>
      <c r="G834" s="252" t="s">
        <v>422</v>
      </c>
      <c r="I834" s="123"/>
    </row>
    <row r="835" spans="1:9" s="106" customFormat="1" ht="24.75" customHeight="1">
      <c r="A835" s="749"/>
      <c r="B835" s="252" t="s">
        <v>354</v>
      </c>
      <c r="C835" s="252" t="s">
        <v>418</v>
      </c>
      <c r="D835" s="252" t="s">
        <v>419</v>
      </c>
      <c r="E835" s="105">
        <v>403410000</v>
      </c>
      <c r="F835" s="105">
        <v>164519000</v>
      </c>
      <c r="G835" s="252" t="s">
        <v>422</v>
      </c>
      <c r="I835" s="123"/>
    </row>
    <row r="836" spans="1:9" s="106" customFormat="1" ht="24.75" customHeight="1">
      <c r="A836" s="749"/>
      <c r="B836" s="762" t="s">
        <v>358</v>
      </c>
      <c r="C836" s="762" t="s">
        <v>420</v>
      </c>
      <c r="D836" s="252" t="s">
        <v>421</v>
      </c>
      <c r="E836" s="105">
        <v>658814131</v>
      </c>
      <c r="F836" s="105">
        <v>472900000</v>
      </c>
      <c r="G836" s="252" t="s">
        <v>422</v>
      </c>
      <c r="I836" s="123"/>
    </row>
    <row r="837" spans="1:9" s="106" customFormat="1" ht="24.75" customHeight="1">
      <c r="A837" s="749"/>
      <c r="B837" s="764"/>
      <c r="C837" s="764"/>
      <c r="D837" s="252" t="s">
        <v>309</v>
      </c>
      <c r="E837" s="105">
        <v>450000000</v>
      </c>
      <c r="F837" s="105">
        <v>373112000</v>
      </c>
      <c r="G837" s="252" t="s">
        <v>422</v>
      </c>
      <c r="I837" s="123"/>
    </row>
    <row r="838" spans="1:9" s="106" customFormat="1" ht="24.75" customHeight="1">
      <c r="A838" s="756" t="s">
        <v>131</v>
      </c>
      <c r="B838" s="751" t="s">
        <v>343</v>
      </c>
      <c r="C838" s="751" t="s">
        <v>412</v>
      </c>
      <c r="D838" s="252" t="s">
        <v>304</v>
      </c>
      <c r="E838" s="105">
        <v>790545944</v>
      </c>
      <c r="F838" s="105">
        <v>458874846</v>
      </c>
      <c r="G838" s="252" t="s">
        <v>422</v>
      </c>
      <c r="I838" s="123"/>
    </row>
    <row r="839" spans="1:9" s="106" customFormat="1" ht="24.75" customHeight="1">
      <c r="A839" s="756"/>
      <c r="B839" s="751"/>
      <c r="C839" s="751"/>
      <c r="D839" s="252" t="s">
        <v>315</v>
      </c>
      <c r="E839" s="105">
        <v>816840322</v>
      </c>
      <c r="F839" s="105">
        <v>519098750</v>
      </c>
      <c r="G839" s="252" t="s">
        <v>422</v>
      </c>
      <c r="I839" s="123"/>
    </row>
    <row r="840" spans="1:9" s="106" customFormat="1" ht="24.75" customHeight="1">
      <c r="A840" s="756"/>
      <c r="B840" s="751"/>
      <c r="C840" s="751"/>
      <c r="D840" s="252" t="s">
        <v>415</v>
      </c>
      <c r="E840" s="105">
        <v>1399790000</v>
      </c>
      <c r="F840" s="105">
        <v>892349267</v>
      </c>
      <c r="G840" s="252" t="s">
        <v>422</v>
      </c>
      <c r="I840" s="123"/>
    </row>
    <row r="841" spans="1:9" s="106" customFormat="1" ht="24.75" customHeight="1">
      <c r="A841" s="756"/>
      <c r="B841" s="252" t="s">
        <v>350</v>
      </c>
      <c r="C841" s="252" t="s">
        <v>416</v>
      </c>
      <c r="D841" s="252" t="s">
        <v>417</v>
      </c>
      <c r="E841" s="105">
        <v>556054131</v>
      </c>
      <c r="F841" s="105">
        <v>433428000</v>
      </c>
      <c r="G841" s="252" t="s">
        <v>422</v>
      </c>
      <c r="I841" s="123"/>
    </row>
    <row r="842" spans="1:9" s="106" customFormat="1" ht="24.75" customHeight="1">
      <c r="A842" s="756"/>
      <c r="B842" s="252" t="s">
        <v>354</v>
      </c>
      <c r="C842" s="252" t="s">
        <v>418</v>
      </c>
      <c r="D842" s="252" t="s">
        <v>419</v>
      </c>
      <c r="E842" s="105">
        <v>263410000</v>
      </c>
      <c r="F842" s="105">
        <v>164519000</v>
      </c>
      <c r="G842" s="252" t="s">
        <v>422</v>
      </c>
      <c r="I842" s="123"/>
    </row>
    <row r="843" spans="1:9" s="106" customFormat="1" ht="24.75" customHeight="1">
      <c r="A843" s="756"/>
      <c r="B843" s="751" t="s">
        <v>358</v>
      </c>
      <c r="C843" s="751" t="s">
        <v>420</v>
      </c>
      <c r="D843" s="252" t="s">
        <v>421</v>
      </c>
      <c r="E843" s="105">
        <v>658814131</v>
      </c>
      <c r="F843" s="105">
        <v>516280000</v>
      </c>
      <c r="G843" s="252" t="s">
        <v>422</v>
      </c>
      <c r="I843" s="123"/>
    </row>
    <row r="844" spans="1:9" s="106" customFormat="1" ht="24.75" customHeight="1">
      <c r="A844" s="756"/>
      <c r="B844" s="751"/>
      <c r="C844" s="751"/>
      <c r="D844" s="252" t="s">
        <v>309</v>
      </c>
      <c r="E844" s="105">
        <v>450000000</v>
      </c>
      <c r="F844" s="105">
        <v>373112000</v>
      </c>
      <c r="G844" s="252" t="s">
        <v>422</v>
      </c>
      <c r="I844" s="123"/>
    </row>
    <row r="845" spans="1:9" s="106" customFormat="1" ht="24.75" customHeight="1">
      <c r="A845" s="756" t="s">
        <v>132</v>
      </c>
      <c r="B845" s="751" t="s">
        <v>343</v>
      </c>
      <c r="C845" s="751" t="s">
        <v>412</v>
      </c>
      <c r="D845" s="252" t="s">
        <v>304</v>
      </c>
      <c r="E845" s="105">
        <v>780545944</v>
      </c>
      <c r="F845" s="105">
        <v>488375819</v>
      </c>
      <c r="G845" s="252" t="s">
        <v>422</v>
      </c>
      <c r="I845" s="123"/>
    </row>
    <row r="846" spans="1:9" s="106" customFormat="1" ht="24.75" customHeight="1">
      <c r="A846" s="756"/>
      <c r="B846" s="751"/>
      <c r="C846" s="751"/>
      <c r="D846" s="252" t="s">
        <v>315</v>
      </c>
      <c r="E846" s="105">
        <v>826840322</v>
      </c>
      <c r="F846" s="105">
        <v>542938322</v>
      </c>
      <c r="G846" s="252" t="s">
        <v>422</v>
      </c>
      <c r="I846" s="123"/>
    </row>
    <row r="847" spans="1:9" s="106" customFormat="1" ht="24.75" customHeight="1">
      <c r="A847" s="756"/>
      <c r="B847" s="751"/>
      <c r="C847" s="751"/>
      <c r="D847" s="252" t="s">
        <v>415</v>
      </c>
      <c r="E847" s="105">
        <v>1399790000</v>
      </c>
      <c r="F847" s="105">
        <v>905631416</v>
      </c>
      <c r="G847" s="252" t="s">
        <v>422</v>
      </c>
      <c r="I847" s="123"/>
    </row>
    <row r="848" spans="1:9" s="106" customFormat="1" ht="24.75" customHeight="1">
      <c r="A848" s="756"/>
      <c r="B848" s="252" t="s">
        <v>350</v>
      </c>
      <c r="C848" s="252" t="s">
        <v>416</v>
      </c>
      <c r="D848" s="252" t="s">
        <v>417</v>
      </c>
      <c r="E848" s="105">
        <v>556054131</v>
      </c>
      <c r="F848" s="105">
        <v>437787131</v>
      </c>
      <c r="G848" s="252" t="s">
        <v>422</v>
      </c>
      <c r="I848" s="123"/>
    </row>
    <row r="849" spans="1:9" s="106" customFormat="1" ht="24.75" customHeight="1">
      <c r="A849" s="756"/>
      <c r="B849" s="252" t="s">
        <v>354</v>
      </c>
      <c r="C849" s="252" t="s">
        <v>418</v>
      </c>
      <c r="D849" s="252" t="s">
        <v>419</v>
      </c>
      <c r="E849" s="105">
        <v>263410000</v>
      </c>
      <c r="F849" s="105">
        <v>191691000</v>
      </c>
      <c r="G849" s="252" t="s">
        <v>422</v>
      </c>
      <c r="I849" s="123"/>
    </row>
    <row r="850" spans="1:9" s="106" customFormat="1" ht="24.75" customHeight="1">
      <c r="A850" s="756"/>
      <c r="B850" s="751" t="s">
        <v>358</v>
      </c>
      <c r="C850" s="751" t="s">
        <v>420</v>
      </c>
      <c r="D850" s="252" t="s">
        <v>421</v>
      </c>
      <c r="E850" s="105">
        <v>658814131</v>
      </c>
      <c r="F850" s="105">
        <v>545531000</v>
      </c>
      <c r="G850" s="252" t="s">
        <v>422</v>
      </c>
      <c r="I850" s="123"/>
    </row>
    <row r="851" spans="1:9" s="106" customFormat="1" ht="24.75" customHeight="1">
      <c r="A851" s="756"/>
      <c r="B851" s="751"/>
      <c r="C851" s="751"/>
      <c r="D851" s="252" t="s">
        <v>309</v>
      </c>
      <c r="E851" s="105">
        <v>450000000</v>
      </c>
      <c r="F851" s="105">
        <v>377292000</v>
      </c>
      <c r="G851" s="252" t="s">
        <v>422</v>
      </c>
      <c r="I851" s="123"/>
    </row>
    <row r="852" spans="1:9" s="106" customFormat="1" ht="24.75" customHeight="1">
      <c r="A852" s="748" t="s">
        <v>133</v>
      </c>
      <c r="B852" s="751" t="s">
        <v>343</v>
      </c>
      <c r="C852" s="751" t="s">
        <v>412</v>
      </c>
      <c r="D852" s="252" t="s">
        <v>304</v>
      </c>
      <c r="E852" s="105">
        <v>780545944</v>
      </c>
      <c r="F852" s="105">
        <v>731213017</v>
      </c>
      <c r="G852" s="252" t="s">
        <v>422</v>
      </c>
      <c r="I852" s="123"/>
    </row>
    <row r="853" spans="1:9" s="106" customFormat="1" ht="24.75" customHeight="1">
      <c r="A853" s="749"/>
      <c r="B853" s="751"/>
      <c r="C853" s="751"/>
      <c r="D853" s="252" t="s">
        <v>315</v>
      </c>
      <c r="E853" s="105">
        <v>826840322</v>
      </c>
      <c r="F853" s="105">
        <v>670473105</v>
      </c>
      <c r="G853" s="252" t="s">
        <v>422</v>
      </c>
      <c r="I853" s="123"/>
    </row>
    <row r="854" spans="1:9" s="106" customFormat="1" ht="24.75" customHeight="1">
      <c r="A854" s="749"/>
      <c r="B854" s="751"/>
      <c r="C854" s="751"/>
      <c r="D854" s="252" t="s">
        <v>415</v>
      </c>
      <c r="E854" s="105">
        <v>1399790000</v>
      </c>
      <c r="F854" s="105">
        <v>1326141063</v>
      </c>
      <c r="G854" s="252" t="s">
        <v>422</v>
      </c>
      <c r="I854" s="123"/>
    </row>
    <row r="855" spans="1:9" s="106" customFormat="1" ht="24.75" customHeight="1">
      <c r="A855" s="749"/>
      <c r="B855" s="252" t="s">
        <v>350</v>
      </c>
      <c r="C855" s="252" t="s">
        <v>416</v>
      </c>
      <c r="D855" s="252" t="s">
        <v>417</v>
      </c>
      <c r="E855" s="105">
        <v>556054131</v>
      </c>
      <c r="F855" s="105">
        <v>535986131</v>
      </c>
      <c r="G855" s="252" t="s">
        <v>422</v>
      </c>
      <c r="I855" s="123"/>
    </row>
    <row r="856" spans="1:9" s="106" customFormat="1" ht="24.75" customHeight="1">
      <c r="A856" s="749"/>
      <c r="B856" s="252" t="s">
        <v>354</v>
      </c>
      <c r="C856" s="252" t="s">
        <v>418</v>
      </c>
      <c r="D856" s="252" t="s">
        <v>419</v>
      </c>
      <c r="E856" s="105">
        <v>263410000</v>
      </c>
      <c r="F856" s="105">
        <v>232617000</v>
      </c>
      <c r="G856" s="252" t="s">
        <v>422</v>
      </c>
      <c r="I856" s="123"/>
    </row>
    <row r="857" spans="1:9" s="106" customFormat="1" ht="24.75" customHeight="1">
      <c r="A857" s="749"/>
      <c r="B857" s="751" t="s">
        <v>358</v>
      </c>
      <c r="C857" s="751" t="s">
        <v>420</v>
      </c>
      <c r="D857" s="252" t="s">
        <v>421</v>
      </c>
      <c r="E857" s="105">
        <v>658814131</v>
      </c>
      <c r="F857" s="105">
        <v>644978000</v>
      </c>
      <c r="G857" s="252" t="s">
        <v>422</v>
      </c>
      <c r="I857" s="123"/>
    </row>
    <row r="858" spans="1:9" s="106" customFormat="1" ht="24.75" customHeight="1">
      <c r="A858" s="750"/>
      <c r="B858" s="751"/>
      <c r="C858" s="751"/>
      <c r="D858" s="252" t="s">
        <v>309</v>
      </c>
      <c r="E858" s="105">
        <v>450000000</v>
      </c>
      <c r="F858" s="105">
        <v>447516000</v>
      </c>
      <c r="G858" s="252" t="s">
        <v>422</v>
      </c>
      <c r="I858" s="123"/>
    </row>
    <row r="859" spans="1:9" ht="24.75" customHeight="1" collapsed="1"/>
    <row r="860" spans="1:9" ht="24.75" customHeight="1">
      <c r="A860" s="779" t="s">
        <v>168</v>
      </c>
      <c r="B860" s="780"/>
      <c r="C860" s="780"/>
      <c r="D860" s="780"/>
      <c r="E860" s="780"/>
      <c r="F860" s="780"/>
      <c r="G860" s="781"/>
    </row>
    <row r="861" spans="1:9" ht="24.75" customHeight="1">
      <c r="A861" s="103" t="s">
        <v>49</v>
      </c>
      <c r="B861" s="30" t="s">
        <v>144</v>
      </c>
      <c r="C861" s="30" t="s">
        <v>145</v>
      </c>
      <c r="D861" s="30" t="s">
        <v>164</v>
      </c>
      <c r="E861" s="30" t="s">
        <v>169</v>
      </c>
      <c r="F861" s="30" t="s">
        <v>170</v>
      </c>
      <c r="G861" s="30" t="s">
        <v>167</v>
      </c>
    </row>
    <row r="862" spans="1:9" ht="24.75" customHeight="1">
      <c r="A862" s="748" t="s">
        <v>135</v>
      </c>
      <c r="B862" s="751" t="s">
        <v>343</v>
      </c>
      <c r="C862" s="751" t="s">
        <v>412</v>
      </c>
      <c r="D862" s="252" t="s">
        <v>304</v>
      </c>
      <c r="E862" s="105">
        <v>1564678000</v>
      </c>
      <c r="F862" s="105">
        <v>0</v>
      </c>
      <c r="G862" s="252" t="s">
        <v>422</v>
      </c>
    </row>
    <row r="863" spans="1:9" ht="24.75" customHeight="1">
      <c r="A863" s="749"/>
      <c r="B863" s="751"/>
      <c r="C863" s="751"/>
      <c r="D863" s="252" t="s">
        <v>315</v>
      </c>
      <c r="E863" s="105">
        <v>1374057000</v>
      </c>
      <c r="F863" s="105">
        <v>0</v>
      </c>
      <c r="G863" s="252" t="s">
        <v>422</v>
      </c>
    </row>
    <row r="864" spans="1:9" ht="24.75" customHeight="1">
      <c r="A864" s="749"/>
      <c r="B864" s="751"/>
      <c r="C864" s="751"/>
      <c r="D864" s="252" t="s">
        <v>415</v>
      </c>
      <c r="E864" s="105">
        <v>2973776000</v>
      </c>
      <c r="F864" s="105">
        <v>0</v>
      </c>
      <c r="G864" s="252" t="s">
        <v>422</v>
      </c>
    </row>
    <row r="865" spans="1:7" ht="24.75" customHeight="1">
      <c r="A865" s="749"/>
      <c r="B865" s="252" t="s">
        <v>350</v>
      </c>
      <c r="C865" s="252" t="s">
        <v>416</v>
      </c>
      <c r="D865" s="252" t="s">
        <v>417</v>
      </c>
      <c r="E865" s="105">
        <v>1480481000</v>
      </c>
      <c r="F865" s="105">
        <v>0</v>
      </c>
      <c r="G865" s="252" t="s">
        <v>422</v>
      </c>
    </row>
    <row r="866" spans="1:7" ht="24.75" customHeight="1">
      <c r="A866" s="749"/>
      <c r="B866" s="252" t="s">
        <v>354</v>
      </c>
      <c r="C866" s="252" t="s">
        <v>418</v>
      </c>
      <c r="D866" s="252" t="s">
        <v>419</v>
      </c>
      <c r="E866" s="105">
        <v>689070000</v>
      </c>
      <c r="F866" s="105">
        <v>0</v>
      </c>
      <c r="G866" s="252" t="s">
        <v>422</v>
      </c>
    </row>
    <row r="867" spans="1:7" ht="24.75" customHeight="1">
      <c r="A867" s="749"/>
      <c r="B867" s="751" t="s">
        <v>358</v>
      </c>
      <c r="C867" s="751" t="s">
        <v>420</v>
      </c>
      <c r="D867" s="252" t="s">
        <v>421</v>
      </c>
      <c r="E867" s="105">
        <v>1294148000</v>
      </c>
      <c r="F867" s="105">
        <v>0</v>
      </c>
      <c r="G867" s="252" t="s">
        <v>422</v>
      </c>
    </row>
    <row r="868" spans="1:7" ht="24.75" customHeight="1">
      <c r="A868" s="750"/>
      <c r="B868" s="751"/>
      <c r="C868" s="751"/>
      <c r="D868" s="252" t="s">
        <v>309</v>
      </c>
      <c r="E868" s="105">
        <v>691670000</v>
      </c>
      <c r="F868" s="105">
        <v>0</v>
      </c>
      <c r="G868" s="252" t="s">
        <v>422</v>
      </c>
    </row>
    <row r="869" spans="1:7" ht="24.75" customHeight="1">
      <c r="A869" s="748" t="s">
        <v>136</v>
      </c>
      <c r="B869" s="751" t="s">
        <v>343</v>
      </c>
      <c r="C869" s="751" t="s">
        <v>412</v>
      </c>
      <c r="D869" s="252" t="s">
        <v>304</v>
      </c>
      <c r="E869" s="105">
        <v>1564678000</v>
      </c>
      <c r="F869" s="105">
        <v>188232000</v>
      </c>
      <c r="G869" s="252" t="s">
        <v>422</v>
      </c>
    </row>
    <row r="870" spans="1:7" ht="24.75" customHeight="1">
      <c r="A870" s="749"/>
      <c r="B870" s="751"/>
      <c r="C870" s="751"/>
      <c r="D870" s="252" t="s">
        <v>315</v>
      </c>
      <c r="E870" s="105">
        <v>1374057000</v>
      </c>
      <c r="F870" s="105">
        <v>582050000</v>
      </c>
      <c r="G870" s="252" t="s">
        <v>422</v>
      </c>
    </row>
    <row r="871" spans="1:7" ht="24.75" customHeight="1">
      <c r="A871" s="749"/>
      <c r="B871" s="751"/>
      <c r="C871" s="751"/>
      <c r="D871" s="252" t="s">
        <v>415</v>
      </c>
      <c r="E871" s="105">
        <v>2973776000</v>
      </c>
      <c r="F871" s="105">
        <v>408790000</v>
      </c>
      <c r="G871" s="252" t="s">
        <v>422</v>
      </c>
    </row>
    <row r="872" spans="1:7" ht="24.75" customHeight="1">
      <c r="A872" s="749"/>
      <c r="B872" s="252" t="s">
        <v>350</v>
      </c>
      <c r="C872" s="252" t="s">
        <v>416</v>
      </c>
      <c r="D872" s="252" t="s">
        <v>417</v>
      </c>
      <c r="E872" s="105">
        <v>1480481000</v>
      </c>
      <c r="F872" s="105">
        <v>740287000</v>
      </c>
      <c r="G872" s="252" t="s">
        <v>422</v>
      </c>
    </row>
    <row r="873" spans="1:7" ht="24.75" customHeight="1">
      <c r="A873" s="749"/>
      <c r="B873" s="252" t="s">
        <v>354</v>
      </c>
      <c r="C873" s="252" t="s">
        <v>418</v>
      </c>
      <c r="D873" s="252" t="s">
        <v>419</v>
      </c>
      <c r="E873" s="105">
        <v>689070000</v>
      </c>
      <c r="F873" s="105">
        <v>34584000</v>
      </c>
      <c r="G873" s="252" t="s">
        <v>422</v>
      </c>
    </row>
    <row r="874" spans="1:7" ht="24.75" customHeight="1">
      <c r="A874" s="749"/>
      <c r="B874" s="751" t="s">
        <v>358</v>
      </c>
      <c r="C874" s="751" t="s">
        <v>420</v>
      </c>
      <c r="D874" s="252" t="s">
        <v>421</v>
      </c>
      <c r="E874" s="105">
        <v>1294148000</v>
      </c>
      <c r="F874" s="105">
        <v>385283000</v>
      </c>
      <c r="G874" s="252" t="s">
        <v>422</v>
      </c>
    </row>
    <row r="875" spans="1:7" ht="24.75" customHeight="1">
      <c r="A875" s="750"/>
      <c r="B875" s="751"/>
      <c r="C875" s="751"/>
      <c r="D875" s="252" t="s">
        <v>309</v>
      </c>
      <c r="E875" s="105">
        <v>691670000</v>
      </c>
      <c r="F875" s="105">
        <v>326043000</v>
      </c>
      <c r="G875" s="252" t="s">
        <v>422</v>
      </c>
    </row>
    <row r="876" spans="1:7" ht="24.75" customHeight="1">
      <c r="A876" s="748" t="s">
        <v>137</v>
      </c>
      <c r="B876" s="751" t="s">
        <v>343</v>
      </c>
      <c r="C876" s="751" t="s">
        <v>412</v>
      </c>
      <c r="D876" s="252" t="s">
        <v>304</v>
      </c>
      <c r="E876" s="105">
        <v>1564678000</v>
      </c>
      <c r="F876" s="105">
        <v>537224000</v>
      </c>
      <c r="G876" s="252" t="s">
        <v>422</v>
      </c>
    </row>
    <row r="877" spans="1:7" ht="24.75" customHeight="1">
      <c r="A877" s="749"/>
      <c r="B877" s="751"/>
      <c r="C877" s="751"/>
      <c r="D877" s="252" t="s">
        <v>315</v>
      </c>
      <c r="E877" s="105">
        <v>1374057000</v>
      </c>
      <c r="F877" s="105">
        <v>1121617000</v>
      </c>
      <c r="G877" s="252" t="s">
        <v>422</v>
      </c>
    </row>
    <row r="878" spans="1:7" ht="24.75" customHeight="1">
      <c r="A878" s="749"/>
      <c r="B878" s="751"/>
      <c r="C878" s="751"/>
      <c r="D878" s="252" t="s">
        <v>415</v>
      </c>
      <c r="E878" s="105">
        <v>2973776000</v>
      </c>
      <c r="F878" s="105">
        <v>1793944150</v>
      </c>
      <c r="G878" s="252" t="s">
        <v>422</v>
      </c>
    </row>
    <row r="879" spans="1:7" ht="24.75" customHeight="1">
      <c r="A879" s="749"/>
      <c r="B879" s="252" t="s">
        <v>350</v>
      </c>
      <c r="C879" s="252" t="s">
        <v>416</v>
      </c>
      <c r="D879" s="252" t="s">
        <v>417</v>
      </c>
      <c r="E879" s="105">
        <v>1480481000</v>
      </c>
      <c r="F879" s="105">
        <v>1001575000</v>
      </c>
      <c r="G879" s="252" t="s">
        <v>422</v>
      </c>
    </row>
    <row r="880" spans="1:7" ht="24.75" customHeight="1">
      <c r="A880" s="749"/>
      <c r="B880" s="252" t="s">
        <v>354</v>
      </c>
      <c r="C880" s="252" t="s">
        <v>418</v>
      </c>
      <c r="D880" s="252" t="s">
        <v>419</v>
      </c>
      <c r="E880" s="105">
        <v>689070000</v>
      </c>
      <c r="F880" s="105">
        <v>343006000</v>
      </c>
      <c r="G880" s="252" t="s">
        <v>422</v>
      </c>
    </row>
    <row r="881" spans="1:7" ht="24.75" customHeight="1">
      <c r="A881" s="749"/>
      <c r="B881" s="751" t="s">
        <v>358</v>
      </c>
      <c r="C881" s="751" t="s">
        <v>420</v>
      </c>
      <c r="D881" s="252" t="s">
        <v>421</v>
      </c>
      <c r="E881" s="105">
        <v>1294148000</v>
      </c>
      <c r="F881" s="105">
        <v>1137979000</v>
      </c>
      <c r="G881" s="252" t="s">
        <v>422</v>
      </c>
    </row>
    <row r="882" spans="1:7" ht="24.75" customHeight="1">
      <c r="A882" s="750"/>
      <c r="B882" s="751"/>
      <c r="C882" s="751"/>
      <c r="D882" s="252" t="s">
        <v>309</v>
      </c>
      <c r="E882" s="105">
        <v>691670000</v>
      </c>
      <c r="F882" s="105">
        <v>415638000</v>
      </c>
      <c r="G882" s="252" t="s">
        <v>422</v>
      </c>
    </row>
    <row r="883" spans="1:7" ht="24.75" customHeight="1">
      <c r="A883" s="748" t="s">
        <v>138</v>
      </c>
      <c r="B883" s="751" t="s">
        <v>343</v>
      </c>
      <c r="C883" s="751" t="s">
        <v>412</v>
      </c>
      <c r="D883" s="252" t="s">
        <v>304</v>
      </c>
      <c r="E883" s="105">
        <v>837335614</v>
      </c>
      <c r="F883" s="105">
        <v>664703857</v>
      </c>
      <c r="G883" s="252" t="s">
        <v>422</v>
      </c>
    </row>
    <row r="884" spans="1:7" ht="24.75" customHeight="1">
      <c r="A884" s="749"/>
      <c r="B884" s="751"/>
      <c r="C884" s="751"/>
      <c r="D884" s="252" t="s">
        <v>315</v>
      </c>
      <c r="E884" s="105">
        <v>1262994000</v>
      </c>
      <c r="F884" s="105">
        <v>1215729000</v>
      </c>
      <c r="G884" s="252" t="s">
        <v>422</v>
      </c>
    </row>
    <row r="885" spans="1:7" ht="24.75" customHeight="1">
      <c r="A885" s="749"/>
      <c r="B885" s="751"/>
      <c r="C885" s="751"/>
      <c r="D885" s="252" t="s">
        <v>415</v>
      </c>
      <c r="E885" s="105">
        <v>2636043000</v>
      </c>
      <c r="F885" s="105">
        <v>1942784150</v>
      </c>
      <c r="G885" s="252" t="s">
        <v>422</v>
      </c>
    </row>
    <row r="886" spans="1:7" ht="24.75" customHeight="1">
      <c r="A886" s="749"/>
      <c r="B886" s="252" t="s">
        <v>350</v>
      </c>
      <c r="C886" s="252" t="s">
        <v>416</v>
      </c>
      <c r="D886" s="252" t="s">
        <v>417</v>
      </c>
      <c r="E886" s="105">
        <v>1453575000</v>
      </c>
      <c r="F886" s="105">
        <v>1001575000</v>
      </c>
      <c r="G886" s="252" t="s">
        <v>422</v>
      </c>
    </row>
    <row r="887" spans="1:7" ht="24.75" customHeight="1">
      <c r="A887" s="749"/>
      <c r="B887" s="252" t="s">
        <v>354</v>
      </c>
      <c r="C887" s="252" t="s">
        <v>418</v>
      </c>
      <c r="D887" s="252" t="s">
        <v>419</v>
      </c>
      <c r="E887" s="105">
        <v>483246000</v>
      </c>
      <c r="F887" s="105">
        <v>344744634</v>
      </c>
      <c r="G887" s="252" t="s">
        <v>422</v>
      </c>
    </row>
    <row r="888" spans="1:7" ht="24.75" customHeight="1">
      <c r="A888" s="749"/>
      <c r="B888" s="751" t="s">
        <v>358</v>
      </c>
      <c r="C888" s="751" t="s">
        <v>420</v>
      </c>
      <c r="D888" s="252" t="s">
        <v>421</v>
      </c>
      <c r="E888" s="105">
        <v>1294148000</v>
      </c>
      <c r="F888" s="105">
        <v>1137979000</v>
      </c>
      <c r="G888" s="252" t="s">
        <v>422</v>
      </c>
    </row>
    <row r="889" spans="1:7" ht="24.75" customHeight="1">
      <c r="A889" s="750"/>
      <c r="B889" s="751"/>
      <c r="C889" s="751"/>
      <c r="D889" s="252" t="s">
        <v>309</v>
      </c>
      <c r="E889" s="105">
        <v>528678000</v>
      </c>
      <c r="F889" s="105">
        <v>516118000</v>
      </c>
      <c r="G889" s="252" t="s">
        <v>422</v>
      </c>
    </row>
    <row r="890" spans="1:7" ht="24.75" customHeight="1">
      <c r="A890" s="748" t="s">
        <v>139</v>
      </c>
      <c r="B890" s="751" t="s">
        <v>343</v>
      </c>
      <c r="C890" s="751" t="s">
        <v>412</v>
      </c>
      <c r="D890" s="252" t="s">
        <v>304</v>
      </c>
      <c r="E890" s="105">
        <v>837335614</v>
      </c>
      <c r="F890" s="105">
        <v>664703857</v>
      </c>
      <c r="G890" s="252" t="s">
        <v>422</v>
      </c>
    </row>
    <row r="891" spans="1:7" ht="24.75" customHeight="1">
      <c r="A891" s="749"/>
      <c r="B891" s="751"/>
      <c r="C891" s="751"/>
      <c r="D891" s="252" t="s">
        <v>315</v>
      </c>
      <c r="E891" s="105">
        <v>1262994000</v>
      </c>
      <c r="F891" s="105">
        <v>1215729000</v>
      </c>
      <c r="G891" s="252" t="s">
        <v>422</v>
      </c>
    </row>
    <row r="892" spans="1:7" ht="24.75" customHeight="1">
      <c r="A892" s="749"/>
      <c r="B892" s="751"/>
      <c r="C892" s="751"/>
      <c r="D892" s="252" t="s">
        <v>415</v>
      </c>
      <c r="E892" s="105">
        <v>2636043000</v>
      </c>
      <c r="F892" s="105">
        <v>1947784150</v>
      </c>
      <c r="G892" s="252" t="s">
        <v>422</v>
      </c>
    </row>
    <row r="893" spans="1:7" ht="24.75" customHeight="1">
      <c r="A893" s="749"/>
      <c r="B893" s="252" t="s">
        <v>350</v>
      </c>
      <c r="C893" s="252" t="s">
        <v>416</v>
      </c>
      <c r="D893" s="252" t="s">
        <v>417</v>
      </c>
      <c r="E893" s="105">
        <v>1453575000</v>
      </c>
      <c r="F893" s="105">
        <v>1001575000</v>
      </c>
      <c r="G893" s="252" t="s">
        <v>422</v>
      </c>
    </row>
    <row r="894" spans="1:7" ht="24.75" customHeight="1">
      <c r="A894" s="749"/>
      <c r="B894" s="252" t="s">
        <v>354</v>
      </c>
      <c r="C894" s="252" t="s">
        <v>418</v>
      </c>
      <c r="D894" s="252" t="s">
        <v>419</v>
      </c>
      <c r="E894" s="105">
        <v>483246000</v>
      </c>
      <c r="F894" s="105">
        <v>353986578</v>
      </c>
      <c r="G894" s="252" t="s">
        <v>422</v>
      </c>
    </row>
    <row r="895" spans="1:7" ht="24.75" customHeight="1">
      <c r="A895" s="749"/>
      <c r="B895" s="751" t="s">
        <v>358</v>
      </c>
      <c r="C895" s="751" t="s">
        <v>420</v>
      </c>
      <c r="D895" s="252" t="s">
        <v>421</v>
      </c>
      <c r="E895" s="105">
        <v>1294148000</v>
      </c>
      <c r="F895" s="105">
        <v>1162045000</v>
      </c>
      <c r="G895" s="252" t="s">
        <v>422</v>
      </c>
    </row>
    <row r="896" spans="1:7" ht="24.75" customHeight="1">
      <c r="A896" s="750"/>
      <c r="B896" s="751"/>
      <c r="C896" s="751"/>
      <c r="D896" s="252" t="s">
        <v>309</v>
      </c>
      <c r="E896" s="105">
        <v>528678000</v>
      </c>
      <c r="F896" s="105">
        <v>516118000</v>
      </c>
      <c r="G896" s="252" t="s">
        <v>422</v>
      </c>
    </row>
    <row r="897" spans="1:7" ht="24.75" customHeight="1">
      <c r="A897" s="748" t="s">
        <v>140</v>
      </c>
      <c r="B897" s="751" t="s">
        <v>343</v>
      </c>
      <c r="C897" s="751" t="s">
        <v>412</v>
      </c>
      <c r="D897" s="252" t="s">
        <v>304</v>
      </c>
      <c r="E897" s="105">
        <v>837335614</v>
      </c>
      <c r="F897" s="105">
        <v>871181753</v>
      </c>
      <c r="G897" s="252" t="s">
        <v>422</v>
      </c>
    </row>
    <row r="898" spans="1:7" ht="24.75" customHeight="1">
      <c r="A898" s="749"/>
      <c r="B898" s="751"/>
      <c r="C898" s="751"/>
      <c r="D898" s="252" t="s">
        <v>315</v>
      </c>
      <c r="E898" s="105">
        <v>1262994000</v>
      </c>
      <c r="F898" s="105">
        <v>1215729000</v>
      </c>
      <c r="G898" s="252" t="s">
        <v>422</v>
      </c>
    </row>
    <row r="899" spans="1:7" ht="24.75" customHeight="1">
      <c r="A899" s="749"/>
      <c r="B899" s="751"/>
      <c r="C899" s="751"/>
      <c r="D899" s="252" t="s">
        <v>415</v>
      </c>
      <c r="E899" s="105">
        <v>2636043000</v>
      </c>
      <c r="F899" s="105">
        <v>2192515714</v>
      </c>
      <c r="G899" s="252" t="s">
        <v>422</v>
      </c>
    </row>
    <row r="900" spans="1:7" ht="24.75" customHeight="1">
      <c r="A900" s="749"/>
      <c r="B900" s="252" t="s">
        <v>350</v>
      </c>
      <c r="C900" s="252" t="s">
        <v>416</v>
      </c>
      <c r="D900" s="252" t="s">
        <v>417</v>
      </c>
      <c r="E900" s="105">
        <v>1453575000</v>
      </c>
      <c r="F900" s="105">
        <v>1151575000</v>
      </c>
      <c r="G900" s="252" t="s">
        <v>422</v>
      </c>
    </row>
    <row r="901" spans="1:7" ht="24.75" customHeight="1">
      <c r="A901" s="749"/>
      <c r="B901" s="252" t="s">
        <v>354</v>
      </c>
      <c r="C901" s="252" t="s">
        <v>418</v>
      </c>
      <c r="D901" s="252" t="s">
        <v>419</v>
      </c>
      <c r="E901" s="105">
        <v>483246000</v>
      </c>
      <c r="F901" s="105">
        <v>455766292</v>
      </c>
      <c r="G901" s="252" t="s">
        <v>422</v>
      </c>
    </row>
    <row r="902" spans="1:7" ht="24.75" customHeight="1">
      <c r="A902" s="749"/>
      <c r="B902" s="751" t="s">
        <v>358</v>
      </c>
      <c r="C902" s="751" t="s">
        <v>420</v>
      </c>
      <c r="D902" s="252" t="s">
        <v>421</v>
      </c>
      <c r="E902" s="105">
        <v>1294148000</v>
      </c>
      <c r="F902" s="105">
        <v>1162045000</v>
      </c>
      <c r="G902" s="252" t="s">
        <v>422</v>
      </c>
    </row>
    <row r="903" spans="1:7" ht="24.75" customHeight="1">
      <c r="A903" s="750"/>
      <c r="B903" s="751"/>
      <c r="C903" s="751"/>
      <c r="D903" s="252" t="s">
        <v>309</v>
      </c>
      <c r="E903" s="105">
        <v>528678000</v>
      </c>
      <c r="F903" s="105">
        <v>516118000</v>
      </c>
      <c r="G903" s="252" t="s">
        <v>422</v>
      </c>
    </row>
    <row r="904" spans="1:7" ht="24.75" customHeight="1">
      <c r="A904" s="748" t="s">
        <v>128</v>
      </c>
      <c r="B904" s="751" t="s">
        <v>343</v>
      </c>
      <c r="C904" s="751" t="s">
        <v>412</v>
      </c>
      <c r="D904" s="252" t="s">
        <v>304</v>
      </c>
      <c r="E904" s="105">
        <v>837335614</v>
      </c>
      <c r="F904" s="105" t="e">
        <f>+[2]INVERSIÓN!BE11</f>
        <v>#REF!</v>
      </c>
      <c r="G904" s="252" t="s">
        <v>422</v>
      </c>
    </row>
    <row r="905" spans="1:7" ht="24.75" customHeight="1">
      <c r="A905" s="749"/>
      <c r="B905" s="751"/>
      <c r="C905" s="751"/>
      <c r="D905" s="252" t="s">
        <v>315</v>
      </c>
      <c r="E905" s="105">
        <v>1262994000</v>
      </c>
      <c r="F905" s="105" t="e">
        <f>+[2]INVERSIÓN!BE18</f>
        <v>#REF!</v>
      </c>
      <c r="G905" s="252" t="s">
        <v>422</v>
      </c>
    </row>
    <row r="906" spans="1:7" ht="24.75" customHeight="1">
      <c r="A906" s="749"/>
      <c r="B906" s="751"/>
      <c r="C906" s="751"/>
      <c r="D906" s="252" t="s">
        <v>415</v>
      </c>
      <c r="E906" s="105">
        <v>2636043000</v>
      </c>
      <c r="F906" s="105" t="e">
        <f>+[2]INVERSIÓN!BE25</f>
        <v>#REF!</v>
      </c>
      <c r="G906" s="252" t="s">
        <v>422</v>
      </c>
    </row>
    <row r="907" spans="1:7" ht="24.75" customHeight="1">
      <c r="A907" s="749"/>
      <c r="B907" s="252" t="s">
        <v>350</v>
      </c>
      <c r="C907" s="252" t="s">
        <v>416</v>
      </c>
      <c r="D907" s="252" t="s">
        <v>417</v>
      </c>
      <c r="E907" s="105">
        <v>1453575000</v>
      </c>
      <c r="F907" s="105" t="e">
        <f>+[2]INVERSIÓN!BE32</f>
        <v>#REF!</v>
      </c>
      <c r="G907" s="252" t="s">
        <v>422</v>
      </c>
    </row>
    <row r="908" spans="1:7" ht="24.75" customHeight="1">
      <c r="A908" s="749"/>
      <c r="B908" s="252" t="s">
        <v>354</v>
      </c>
      <c r="C908" s="252" t="s">
        <v>418</v>
      </c>
      <c r="D908" s="252" t="s">
        <v>419</v>
      </c>
      <c r="E908" s="105">
        <v>483246000</v>
      </c>
      <c r="F908" s="105" t="e">
        <f>+[2]INVERSIÓN!BE39</f>
        <v>#REF!</v>
      </c>
      <c r="G908" s="252" t="s">
        <v>422</v>
      </c>
    </row>
    <row r="909" spans="1:7" ht="24.75" customHeight="1">
      <c r="A909" s="749"/>
      <c r="B909" s="751" t="s">
        <v>358</v>
      </c>
      <c r="C909" s="751" t="s">
        <v>420</v>
      </c>
      <c r="D909" s="252" t="s">
        <v>421</v>
      </c>
      <c r="E909" s="105">
        <v>1294148000</v>
      </c>
      <c r="F909" s="105" t="e">
        <f>+[2]INVERSIÓN!BE46</f>
        <v>#REF!</v>
      </c>
      <c r="G909" s="252" t="s">
        <v>422</v>
      </c>
    </row>
    <row r="910" spans="1:7" ht="24.75" customHeight="1">
      <c r="A910" s="750"/>
      <c r="B910" s="751"/>
      <c r="C910" s="751"/>
      <c r="D910" s="252" t="s">
        <v>309</v>
      </c>
      <c r="E910" s="105">
        <v>528678000</v>
      </c>
      <c r="F910" s="105" t="e">
        <f>+[2]INVERSIÓN!BE53</f>
        <v>#REF!</v>
      </c>
      <c r="G910" s="252" t="s">
        <v>422</v>
      </c>
    </row>
    <row r="911" spans="1:7" ht="24.75" customHeight="1">
      <c r="A911" s="748" t="s">
        <v>129</v>
      </c>
      <c r="B911" s="751" t="s">
        <v>343</v>
      </c>
      <c r="C911" s="751" t="s">
        <v>412</v>
      </c>
      <c r="D911" s="252" t="s">
        <v>304</v>
      </c>
      <c r="E911" s="105">
        <v>1534521300</v>
      </c>
      <c r="F911" s="105">
        <v>898822087</v>
      </c>
      <c r="G911" s="252" t="s">
        <v>422</v>
      </c>
    </row>
    <row r="912" spans="1:7" ht="24.75" customHeight="1">
      <c r="A912" s="749"/>
      <c r="B912" s="751"/>
      <c r="C912" s="751"/>
      <c r="D912" s="252" t="s">
        <v>315</v>
      </c>
      <c r="E912" s="105">
        <v>1389997314</v>
      </c>
      <c r="F912" s="105">
        <v>1256382667</v>
      </c>
      <c r="G912" s="252" t="s">
        <v>422</v>
      </c>
    </row>
    <row r="913" spans="1:7" ht="24.75" customHeight="1">
      <c r="A913" s="749"/>
      <c r="B913" s="751"/>
      <c r="C913" s="751"/>
      <c r="D913" s="252" t="s">
        <v>415</v>
      </c>
      <c r="E913" s="105">
        <v>2930900316</v>
      </c>
      <c r="F913" s="105">
        <v>2205742548</v>
      </c>
      <c r="G913" s="252" t="s">
        <v>422</v>
      </c>
    </row>
    <row r="914" spans="1:7" ht="24.75" customHeight="1">
      <c r="A914" s="749"/>
      <c r="B914" s="252" t="s">
        <v>350</v>
      </c>
      <c r="C914" s="252" t="s">
        <v>416</v>
      </c>
      <c r="D914" s="252" t="s">
        <v>417</v>
      </c>
      <c r="E914" s="105">
        <v>1587481000.0000007</v>
      </c>
      <c r="F914" s="105">
        <v>1151575000</v>
      </c>
      <c r="G914" s="252" t="s">
        <v>422</v>
      </c>
    </row>
    <row r="915" spans="1:7" ht="24.75" customHeight="1">
      <c r="A915" s="749"/>
      <c r="B915" s="252" t="s">
        <v>354</v>
      </c>
      <c r="C915" s="252" t="s">
        <v>418</v>
      </c>
      <c r="D915" s="252" t="s">
        <v>419</v>
      </c>
      <c r="E915" s="105">
        <v>749389999.99999988</v>
      </c>
      <c r="F915" s="105">
        <v>492530292</v>
      </c>
      <c r="G915" s="252" t="s">
        <v>422</v>
      </c>
    </row>
    <row r="916" spans="1:7" ht="24.75" customHeight="1">
      <c r="A916" s="749"/>
      <c r="B916" s="751" t="s">
        <v>358</v>
      </c>
      <c r="C916" s="751" t="s">
        <v>420</v>
      </c>
      <c r="D916" s="252" t="s">
        <v>421</v>
      </c>
      <c r="E916" s="105">
        <v>1294147999.9999998</v>
      </c>
      <c r="F916" s="105">
        <v>1186640500</v>
      </c>
      <c r="G916" s="252" t="s">
        <v>422</v>
      </c>
    </row>
    <row r="917" spans="1:7" ht="24.75" customHeight="1">
      <c r="A917" s="750"/>
      <c r="B917" s="751"/>
      <c r="C917" s="751"/>
      <c r="D917" s="252" t="s">
        <v>309</v>
      </c>
      <c r="E917" s="105">
        <v>557942070</v>
      </c>
      <c r="F917" s="105">
        <v>516118000</v>
      </c>
      <c r="G917" s="252" t="s">
        <v>422</v>
      </c>
    </row>
    <row r="918" spans="1:7" ht="24.75" customHeight="1">
      <c r="A918" s="748" t="s">
        <v>130</v>
      </c>
      <c r="B918" s="751" t="s">
        <v>343</v>
      </c>
      <c r="C918" s="751" t="s">
        <v>412</v>
      </c>
      <c r="D918" s="252" t="s">
        <v>304</v>
      </c>
      <c r="E918" s="105">
        <v>1534521300</v>
      </c>
      <c r="F918" s="105">
        <v>898822087</v>
      </c>
      <c r="G918" s="252" t="s">
        <v>422</v>
      </c>
    </row>
    <row r="919" spans="1:7" ht="24.75" customHeight="1">
      <c r="A919" s="749"/>
      <c r="B919" s="751"/>
      <c r="C919" s="751"/>
      <c r="D919" s="252" t="s">
        <v>315</v>
      </c>
      <c r="E919" s="105">
        <v>1389997314</v>
      </c>
      <c r="F919" s="105">
        <v>1256382667</v>
      </c>
      <c r="G919" s="252" t="s">
        <v>422</v>
      </c>
    </row>
    <row r="920" spans="1:7" ht="24.75" customHeight="1">
      <c r="A920" s="749"/>
      <c r="B920" s="751"/>
      <c r="C920" s="751"/>
      <c r="D920" s="252" t="s">
        <v>415</v>
      </c>
      <c r="E920" s="105">
        <v>2930900316</v>
      </c>
      <c r="F920" s="105">
        <v>2205742548</v>
      </c>
      <c r="G920" s="252" t="s">
        <v>422</v>
      </c>
    </row>
    <row r="921" spans="1:7" ht="24.75" customHeight="1">
      <c r="A921" s="749"/>
      <c r="B921" s="252" t="s">
        <v>350</v>
      </c>
      <c r="C921" s="252" t="s">
        <v>416</v>
      </c>
      <c r="D921" s="252" t="s">
        <v>417</v>
      </c>
      <c r="E921" s="105">
        <v>1587481000.0000007</v>
      </c>
      <c r="F921" s="105">
        <v>1151575000</v>
      </c>
      <c r="G921" s="252" t="s">
        <v>422</v>
      </c>
    </row>
    <row r="922" spans="1:7" ht="24.75" customHeight="1">
      <c r="A922" s="749"/>
      <c r="B922" s="252" t="s">
        <v>354</v>
      </c>
      <c r="C922" s="252" t="s">
        <v>418</v>
      </c>
      <c r="D922" s="252" t="s">
        <v>419</v>
      </c>
      <c r="E922" s="105">
        <v>749389999.99999988</v>
      </c>
      <c r="F922" s="105">
        <v>492530292</v>
      </c>
      <c r="G922" s="252" t="s">
        <v>422</v>
      </c>
    </row>
    <row r="923" spans="1:7" ht="24.75" customHeight="1">
      <c r="A923" s="749"/>
      <c r="B923" s="751" t="s">
        <v>358</v>
      </c>
      <c r="C923" s="751" t="s">
        <v>420</v>
      </c>
      <c r="D923" s="252" t="s">
        <v>421</v>
      </c>
      <c r="E923" s="105">
        <v>1294147999.9999998</v>
      </c>
      <c r="F923" s="105">
        <v>1186640500</v>
      </c>
      <c r="G923" s="252" t="s">
        <v>422</v>
      </c>
    </row>
    <row r="924" spans="1:7" ht="24.75" customHeight="1">
      <c r="A924" s="750"/>
      <c r="B924" s="751"/>
      <c r="C924" s="751"/>
      <c r="D924" s="252" t="s">
        <v>309</v>
      </c>
      <c r="E924" s="105">
        <v>557942070</v>
      </c>
      <c r="F924" s="105">
        <v>516118000</v>
      </c>
      <c r="G924" s="252" t="s">
        <v>422</v>
      </c>
    </row>
    <row r="925" spans="1:7" ht="24.75" customHeight="1">
      <c r="A925" s="762" t="s">
        <v>131</v>
      </c>
      <c r="B925" s="751" t="s">
        <v>343</v>
      </c>
      <c r="C925" s="751" t="s">
        <v>412</v>
      </c>
      <c r="D925" s="252" t="s">
        <v>304</v>
      </c>
      <c r="E925" s="105">
        <v>1534521300</v>
      </c>
      <c r="F925" s="105" t="e">
        <f>+[2]INVERSIÓN!BC11</f>
        <v>#REF!</v>
      </c>
      <c r="G925" s="252" t="s">
        <v>422</v>
      </c>
    </row>
    <row r="926" spans="1:7" ht="24.75" customHeight="1">
      <c r="A926" s="763"/>
      <c r="B926" s="751"/>
      <c r="C926" s="751"/>
      <c r="D926" s="252" t="s">
        <v>315</v>
      </c>
      <c r="E926" s="105">
        <v>1389997314</v>
      </c>
      <c r="F926" s="105" t="e">
        <f>+[2]INVERSIÓN!BC18</f>
        <v>#REF!</v>
      </c>
      <c r="G926" s="252" t="s">
        <v>422</v>
      </c>
    </row>
    <row r="927" spans="1:7" ht="24.75" customHeight="1">
      <c r="A927" s="763"/>
      <c r="B927" s="751"/>
      <c r="C927" s="751"/>
      <c r="D927" s="252" t="s">
        <v>415</v>
      </c>
      <c r="E927" s="105">
        <v>2930900316</v>
      </c>
      <c r="F927" s="105" t="e">
        <f>+[2]INVERSIÓN!BC25</f>
        <v>#REF!</v>
      </c>
      <c r="G927" s="252" t="s">
        <v>422</v>
      </c>
    </row>
    <row r="928" spans="1:7" ht="24.75" customHeight="1">
      <c r="A928" s="763"/>
      <c r="B928" s="252" t="s">
        <v>350</v>
      </c>
      <c r="C928" s="252" t="s">
        <v>416</v>
      </c>
      <c r="D928" s="252" t="s">
        <v>417</v>
      </c>
      <c r="E928" s="105">
        <v>1587481000.0000007</v>
      </c>
      <c r="F928" s="105" t="e">
        <f>+[2]INVERSIÓN!BC32</f>
        <v>#REF!</v>
      </c>
      <c r="G928" s="252" t="s">
        <v>422</v>
      </c>
    </row>
    <row r="929" spans="1:7" ht="24.75" customHeight="1">
      <c r="A929" s="763"/>
      <c r="B929" s="252" t="s">
        <v>354</v>
      </c>
      <c r="C929" s="252" t="s">
        <v>418</v>
      </c>
      <c r="D929" s="252" t="s">
        <v>419</v>
      </c>
      <c r="E929" s="105">
        <v>749389999.99999988</v>
      </c>
      <c r="F929" s="105" t="e">
        <f>+[2]INVERSIÓN!BC39</f>
        <v>#REF!</v>
      </c>
      <c r="G929" s="252" t="s">
        <v>422</v>
      </c>
    </row>
    <row r="930" spans="1:7" ht="24.75" customHeight="1">
      <c r="A930" s="763"/>
      <c r="B930" s="751" t="s">
        <v>358</v>
      </c>
      <c r="C930" s="751" t="s">
        <v>420</v>
      </c>
      <c r="D930" s="252" t="s">
        <v>421</v>
      </c>
      <c r="E930" s="105">
        <v>1294147999.9999998</v>
      </c>
      <c r="F930" s="105" t="e">
        <f>+[2]INVERSIÓN!BC46</f>
        <v>#REF!</v>
      </c>
      <c r="G930" s="252" t="s">
        <v>422</v>
      </c>
    </row>
    <row r="931" spans="1:7" ht="24.75" customHeight="1">
      <c r="A931" s="764"/>
      <c r="B931" s="751"/>
      <c r="C931" s="751"/>
      <c r="D931" s="252" t="s">
        <v>309</v>
      </c>
      <c r="E931" s="105">
        <v>557942070</v>
      </c>
      <c r="F931" s="105" t="e">
        <f>+[2]INVERSIÓN!BC53</f>
        <v>#REF!</v>
      </c>
      <c r="G931" s="252" t="s">
        <v>422</v>
      </c>
    </row>
    <row r="932" spans="1:7" ht="24.75" customHeight="1">
      <c r="A932" s="748" t="s">
        <v>132</v>
      </c>
      <c r="B932" s="751" t="s">
        <v>343</v>
      </c>
      <c r="C932" s="751" t="s">
        <v>412</v>
      </c>
      <c r="D932" s="252" t="s">
        <v>304</v>
      </c>
      <c r="E932" s="105" t="e">
        <f>+[2]INVERSIÓN!BA11</f>
        <v>#REF!</v>
      </c>
      <c r="F932" s="105" t="e">
        <f>+[2]INVERSIÓN!BC11</f>
        <v>#REF!</v>
      </c>
      <c r="G932" s="252" t="s">
        <v>422</v>
      </c>
    </row>
    <row r="933" spans="1:7" ht="24.75" customHeight="1">
      <c r="A933" s="749"/>
      <c r="B933" s="751"/>
      <c r="C933" s="751"/>
      <c r="D933" s="252" t="s">
        <v>315</v>
      </c>
      <c r="E933" s="105" t="e">
        <f>+[2]INVERSIÓN!BA18</f>
        <v>#REF!</v>
      </c>
      <c r="F933" s="105" t="e">
        <f>+[2]INVERSIÓN!BC18</f>
        <v>#REF!</v>
      </c>
      <c r="G933" s="252" t="s">
        <v>422</v>
      </c>
    </row>
    <row r="934" spans="1:7" ht="24.75" customHeight="1">
      <c r="A934" s="749"/>
      <c r="B934" s="751"/>
      <c r="C934" s="751"/>
      <c r="D934" s="252" t="s">
        <v>415</v>
      </c>
      <c r="E934" s="105" t="e">
        <f>+[2]INVERSIÓN!BA25</f>
        <v>#REF!</v>
      </c>
      <c r="F934" s="105" t="e">
        <f>+[2]INVERSIÓN!BC25</f>
        <v>#REF!</v>
      </c>
      <c r="G934" s="252" t="s">
        <v>422</v>
      </c>
    </row>
    <row r="935" spans="1:7" ht="24.75" customHeight="1">
      <c r="A935" s="749"/>
      <c r="B935" s="252" t="s">
        <v>350</v>
      </c>
      <c r="C935" s="252" t="s">
        <v>416</v>
      </c>
      <c r="D935" s="252" t="s">
        <v>417</v>
      </c>
      <c r="E935" s="105" t="e">
        <f>+[2]INVERSIÓN!BA32</f>
        <v>#REF!</v>
      </c>
      <c r="F935" s="105" t="e">
        <f>+[2]INVERSIÓN!BC32</f>
        <v>#REF!</v>
      </c>
      <c r="G935" s="252" t="s">
        <v>422</v>
      </c>
    </row>
    <row r="936" spans="1:7" ht="24.75" customHeight="1">
      <c r="A936" s="749"/>
      <c r="B936" s="252" t="s">
        <v>354</v>
      </c>
      <c r="C936" s="252" t="s">
        <v>418</v>
      </c>
      <c r="D936" s="252" t="s">
        <v>419</v>
      </c>
      <c r="E936" s="105" t="e">
        <f>+[2]INVERSIÓN!BA39</f>
        <v>#REF!</v>
      </c>
      <c r="F936" s="105" t="e">
        <f>+[2]INVERSIÓN!BC39</f>
        <v>#REF!</v>
      </c>
      <c r="G936" s="252" t="s">
        <v>422</v>
      </c>
    </row>
    <row r="937" spans="1:7" ht="24.75" customHeight="1">
      <c r="A937" s="749"/>
      <c r="B937" s="751" t="s">
        <v>358</v>
      </c>
      <c r="C937" s="751" t="s">
        <v>420</v>
      </c>
      <c r="D937" s="252" t="s">
        <v>421</v>
      </c>
      <c r="E937" s="105" t="e">
        <f>+[2]INVERSIÓN!BA46</f>
        <v>#REF!</v>
      </c>
      <c r="F937" s="105" t="e">
        <f>+[2]INVERSIÓN!BC46</f>
        <v>#REF!</v>
      </c>
      <c r="G937" s="252" t="s">
        <v>422</v>
      </c>
    </row>
    <row r="938" spans="1:7" ht="24.75" customHeight="1">
      <c r="A938" s="750"/>
      <c r="B938" s="751"/>
      <c r="C938" s="751"/>
      <c r="D938" s="252" t="s">
        <v>309</v>
      </c>
      <c r="E938" s="105" t="e">
        <f>+[2]INVERSIÓN!BA53</f>
        <v>#REF!</v>
      </c>
      <c r="F938" s="105" t="e">
        <f>+[2]INVERSIÓN!BC53</f>
        <v>#REF!</v>
      </c>
      <c r="G938" s="252" t="s">
        <v>422</v>
      </c>
    </row>
    <row r="939" spans="1:7" ht="24.75" customHeight="1">
      <c r="A939" s="748" t="s">
        <v>133</v>
      </c>
      <c r="B939" s="751" t="s">
        <v>343</v>
      </c>
      <c r="C939" s="751" t="s">
        <v>412</v>
      </c>
      <c r="D939" s="252" t="s">
        <v>304</v>
      </c>
      <c r="E939" s="142" t="e">
        <f>+[2]INVERSIÓN!BA11</f>
        <v>#REF!</v>
      </c>
      <c r="F939" s="142" t="e">
        <f>+[2]INVERSIÓN!BC11</f>
        <v>#REF!</v>
      </c>
      <c r="G939" s="252" t="s">
        <v>422</v>
      </c>
    </row>
    <row r="940" spans="1:7" ht="24.75" customHeight="1">
      <c r="A940" s="749"/>
      <c r="B940" s="751"/>
      <c r="C940" s="751"/>
      <c r="D940" s="252" t="s">
        <v>315</v>
      </c>
      <c r="E940" s="142" t="e">
        <f>+[2]INVERSIÓN!BA18</f>
        <v>#REF!</v>
      </c>
      <c r="F940" s="142" t="e">
        <f>+[2]INVERSIÓN!BC18</f>
        <v>#REF!</v>
      </c>
      <c r="G940" s="252" t="s">
        <v>422</v>
      </c>
    </row>
    <row r="941" spans="1:7" ht="24.75" customHeight="1">
      <c r="A941" s="749"/>
      <c r="B941" s="751"/>
      <c r="C941" s="751"/>
      <c r="D941" s="252" t="s">
        <v>415</v>
      </c>
      <c r="E941" s="142" t="e">
        <f>+[2]INVERSIÓN!BA25</f>
        <v>#REF!</v>
      </c>
      <c r="F941" s="142" t="e">
        <f>+[2]INVERSIÓN!BC25</f>
        <v>#REF!</v>
      </c>
      <c r="G941" s="252" t="s">
        <v>422</v>
      </c>
    </row>
    <row r="942" spans="1:7" ht="24.75" customHeight="1">
      <c r="A942" s="749"/>
      <c r="B942" s="252" t="s">
        <v>350</v>
      </c>
      <c r="C942" s="252" t="s">
        <v>416</v>
      </c>
      <c r="D942" s="252" t="s">
        <v>417</v>
      </c>
      <c r="E942" s="142" t="e">
        <f>+[2]INVERSIÓN!BA32</f>
        <v>#REF!</v>
      </c>
      <c r="F942" s="142" t="e">
        <f>+[2]INVERSIÓN!BC32</f>
        <v>#REF!</v>
      </c>
      <c r="G942" s="252" t="s">
        <v>422</v>
      </c>
    </row>
    <row r="943" spans="1:7" ht="24.75" customHeight="1">
      <c r="A943" s="749"/>
      <c r="B943" s="252" t="s">
        <v>354</v>
      </c>
      <c r="C943" s="252" t="s">
        <v>418</v>
      </c>
      <c r="D943" s="252" t="s">
        <v>419</v>
      </c>
      <c r="E943" s="142" t="e">
        <f>+[2]INVERSIÓN!BA39</f>
        <v>#REF!</v>
      </c>
      <c r="F943" s="142" t="e">
        <f>+[2]INVERSIÓN!BC39</f>
        <v>#REF!</v>
      </c>
      <c r="G943" s="252" t="s">
        <v>422</v>
      </c>
    </row>
    <row r="944" spans="1:7" ht="24.75" customHeight="1">
      <c r="A944" s="749"/>
      <c r="B944" s="751" t="s">
        <v>358</v>
      </c>
      <c r="C944" s="751" t="s">
        <v>420</v>
      </c>
      <c r="D944" s="252" t="s">
        <v>421</v>
      </c>
      <c r="E944" s="142" t="e">
        <f>+[2]INVERSIÓN!BA46</f>
        <v>#REF!</v>
      </c>
      <c r="F944" s="142" t="e">
        <f>+[2]INVERSIÓN!BC46</f>
        <v>#REF!</v>
      </c>
      <c r="G944" s="252" t="s">
        <v>422</v>
      </c>
    </row>
    <row r="945" spans="1:7" ht="24.75" customHeight="1">
      <c r="A945" s="750"/>
      <c r="B945" s="751"/>
      <c r="C945" s="751"/>
      <c r="D945" s="252" t="s">
        <v>309</v>
      </c>
      <c r="E945" s="142" t="e">
        <f>+[2]INVERSIÓN!BA53</f>
        <v>#REF!</v>
      </c>
      <c r="F945" s="142" t="e">
        <f>+[2]INVERSIÓN!BC53</f>
        <v>#REF!</v>
      </c>
      <c r="G945" s="252" t="s">
        <v>422</v>
      </c>
    </row>
    <row r="946" spans="1:7" ht="24.75" customHeight="1">
      <c r="A946" s="324"/>
    </row>
    <row r="947" spans="1:7" ht="24.75" customHeight="1">
      <c r="A947" s="779" t="s">
        <v>423</v>
      </c>
      <c r="B947" s="780"/>
      <c r="C947" s="780"/>
      <c r="D947" s="780"/>
      <c r="E947" s="780"/>
      <c r="F947" s="780"/>
      <c r="G947" s="781"/>
    </row>
    <row r="948" spans="1:7" ht="24.75" customHeight="1">
      <c r="A948" s="103" t="s">
        <v>61</v>
      </c>
      <c r="B948" s="30" t="s">
        <v>144</v>
      </c>
      <c r="C948" s="30" t="s">
        <v>145</v>
      </c>
      <c r="D948" s="30" t="s">
        <v>164</v>
      </c>
      <c r="E948" s="30" t="s">
        <v>424</v>
      </c>
      <c r="F948" s="30" t="s">
        <v>425</v>
      </c>
      <c r="G948" s="30" t="s">
        <v>167</v>
      </c>
    </row>
    <row r="949" spans="1:7" ht="24.75" customHeight="1">
      <c r="A949" s="748" t="s">
        <v>135</v>
      </c>
      <c r="B949" s="751" t="s">
        <v>343</v>
      </c>
      <c r="C949" s="751" t="s">
        <v>412</v>
      </c>
      <c r="D949" s="252" t="s">
        <v>304</v>
      </c>
      <c r="E949" s="105" t="e">
        <f>+[2]INVERSIÓN!$BF$11</f>
        <v>#REF!</v>
      </c>
      <c r="F949" s="105" t="e">
        <f>+[2]INVERSIÓN!BH11</f>
        <v>#REF!</v>
      </c>
      <c r="G949" s="252" t="s">
        <v>422</v>
      </c>
    </row>
    <row r="950" spans="1:7" ht="24.75" customHeight="1">
      <c r="A950" s="749"/>
      <c r="B950" s="751"/>
      <c r="C950" s="751"/>
      <c r="D950" s="252" t="s">
        <v>315</v>
      </c>
      <c r="E950" s="105" t="e">
        <f>+[2]INVERSIÓN!$BF$18</f>
        <v>#REF!</v>
      </c>
      <c r="F950" s="105" t="e">
        <f>+[2]INVERSIÓN!BH18</f>
        <v>#REF!</v>
      </c>
      <c r="G950" s="252" t="s">
        <v>422</v>
      </c>
    </row>
    <row r="951" spans="1:7" ht="24.75" customHeight="1">
      <c r="A951" s="749"/>
      <c r="B951" s="751"/>
      <c r="C951" s="751"/>
      <c r="D951" s="252" t="s">
        <v>415</v>
      </c>
      <c r="E951" s="105" t="e">
        <f>+[2]INVERSIÓN!$BF$25</f>
        <v>#REF!</v>
      </c>
      <c r="F951" s="105" t="e">
        <f>+[2]INVERSIÓN!BH25</f>
        <v>#REF!</v>
      </c>
      <c r="G951" s="252" t="s">
        <v>422</v>
      </c>
    </row>
    <row r="952" spans="1:7" ht="24.75" customHeight="1">
      <c r="A952" s="749"/>
      <c r="B952" s="252" t="s">
        <v>350</v>
      </c>
      <c r="C952" s="252" t="s">
        <v>416</v>
      </c>
      <c r="D952" s="252" t="s">
        <v>417</v>
      </c>
      <c r="E952" s="105" t="e">
        <f>+[2]INVERSIÓN!$BF$32</f>
        <v>#REF!</v>
      </c>
      <c r="F952" s="105" t="e">
        <f>+[2]INVERSIÓN!BH32</f>
        <v>#REF!</v>
      </c>
      <c r="G952" s="252" t="s">
        <v>422</v>
      </c>
    </row>
    <row r="953" spans="1:7" ht="24.75" customHeight="1">
      <c r="A953" s="749"/>
      <c r="B953" s="252" t="s">
        <v>354</v>
      </c>
      <c r="C953" s="252" t="s">
        <v>418</v>
      </c>
      <c r="D953" s="252" t="s">
        <v>419</v>
      </c>
      <c r="E953" s="105" t="e">
        <f>+[2]INVERSIÓN!$BF$39</f>
        <v>#REF!</v>
      </c>
      <c r="F953" s="105" t="e">
        <f>+[2]INVERSIÓN!BH39</f>
        <v>#REF!</v>
      </c>
      <c r="G953" s="252" t="s">
        <v>422</v>
      </c>
    </row>
    <row r="954" spans="1:7" ht="24.75" customHeight="1">
      <c r="A954" s="749"/>
      <c r="B954" s="751" t="s">
        <v>358</v>
      </c>
      <c r="C954" s="751" t="s">
        <v>420</v>
      </c>
      <c r="D954" s="252" t="s">
        <v>421</v>
      </c>
      <c r="E954" s="105" t="e">
        <f>+[2]INVERSIÓN!$BF$46</f>
        <v>#REF!</v>
      </c>
      <c r="F954" s="105" t="e">
        <f>+[2]INVERSIÓN!BH46</f>
        <v>#REF!</v>
      </c>
      <c r="G954" s="252" t="s">
        <v>422</v>
      </c>
    </row>
    <row r="955" spans="1:7" ht="24.75" customHeight="1">
      <c r="A955" s="750"/>
      <c r="B955" s="751"/>
      <c r="C955" s="751"/>
      <c r="D955" s="252" t="s">
        <v>309</v>
      </c>
      <c r="E955" s="105" t="e">
        <f>+[2]INVERSIÓN!$BF$53</f>
        <v>#REF!</v>
      </c>
      <c r="F955" s="105" t="e">
        <f>+[2]INVERSIÓN!BH53</f>
        <v>#REF!</v>
      </c>
      <c r="G955" s="252" t="s">
        <v>422</v>
      </c>
    </row>
    <row r="956" spans="1:7" ht="24.75" customHeight="1">
      <c r="A956" s="748" t="s">
        <v>136</v>
      </c>
      <c r="B956" s="751" t="s">
        <v>343</v>
      </c>
      <c r="C956" s="751" t="s">
        <v>412</v>
      </c>
      <c r="D956" s="252" t="s">
        <v>304</v>
      </c>
      <c r="E956" s="105" t="e">
        <f>+[2]INVERSIÓN!$BF$11</f>
        <v>#REF!</v>
      </c>
      <c r="F956" s="142" t="e">
        <f>+[2]INVERSIÓN!BJ11</f>
        <v>#REF!</v>
      </c>
      <c r="G956" s="252" t="s">
        <v>422</v>
      </c>
    </row>
    <row r="957" spans="1:7" ht="24.75" customHeight="1">
      <c r="A957" s="749"/>
      <c r="B957" s="751"/>
      <c r="C957" s="751"/>
      <c r="D957" s="252" t="s">
        <v>315</v>
      </c>
      <c r="E957" s="105" t="e">
        <f>+[2]INVERSIÓN!$BF$18</f>
        <v>#REF!</v>
      </c>
      <c r="F957" s="142" t="e">
        <f>+[2]INVERSIÓN!BJ18</f>
        <v>#REF!</v>
      </c>
      <c r="G957" s="252" t="s">
        <v>422</v>
      </c>
    </row>
    <row r="958" spans="1:7" ht="24.75" customHeight="1">
      <c r="A958" s="749"/>
      <c r="B958" s="751"/>
      <c r="C958" s="751"/>
      <c r="D958" s="252" t="s">
        <v>415</v>
      </c>
      <c r="E958" s="105" t="e">
        <f>+[2]INVERSIÓN!$BF$25</f>
        <v>#REF!</v>
      </c>
      <c r="F958" s="142" t="e">
        <f>+[2]INVERSIÓN!BJ25</f>
        <v>#REF!</v>
      </c>
      <c r="G958" s="252" t="s">
        <v>422</v>
      </c>
    </row>
    <row r="959" spans="1:7" ht="24.75" customHeight="1">
      <c r="A959" s="749"/>
      <c r="B959" s="252" t="s">
        <v>350</v>
      </c>
      <c r="C959" s="252" t="s">
        <v>416</v>
      </c>
      <c r="D959" s="252" t="s">
        <v>417</v>
      </c>
      <c r="E959" s="105" t="e">
        <f>+[2]INVERSIÓN!$BF$32</f>
        <v>#REF!</v>
      </c>
      <c r="F959" s="142" t="e">
        <f>+[2]INVERSIÓN!BJ32</f>
        <v>#REF!</v>
      </c>
      <c r="G959" s="252" t="s">
        <v>422</v>
      </c>
    </row>
    <row r="960" spans="1:7" ht="24.75" customHeight="1">
      <c r="A960" s="749"/>
      <c r="B960" s="252" t="s">
        <v>354</v>
      </c>
      <c r="C960" s="252" t="s">
        <v>418</v>
      </c>
      <c r="D960" s="252" t="s">
        <v>419</v>
      </c>
      <c r="E960" s="105" t="e">
        <f>+[2]INVERSIÓN!$BF$39</f>
        <v>#REF!</v>
      </c>
      <c r="F960" s="142" t="e">
        <f>+[2]INVERSIÓN!BJ39</f>
        <v>#REF!</v>
      </c>
      <c r="G960" s="252" t="s">
        <v>422</v>
      </c>
    </row>
    <row r="961" spans="1:7" ht="24.75" customHeight="1">
      <c r="A961" s="749"/>
      <c r="B961" s="751" t="s">
        <v>358</v>
      </c>
      <c r="C961" s="751" t="s">
        <v>420</v>
      </c>
      <c r="D961" s="252" t="s">
        <v>421</v>
      </c>
      <c r="E961" s="105" t="e">
        <f>+[2]INVERSIÓN!$BF$46</f>
        <v>#REF!</v>
      </c>
      <c r="F961" s="142" t="e">
        <f>+[2]INVERSIÓN!BJ46</f>
        <v>#REF!</v>
      </c>
      <c r="G961" s="252" t="s">
        <v>422</v>
      </c>
    </row>
    <row r="962" spans="1:7" ht="24.75" customHeight="1">
      <c r="A962" s="750"/>
      <c r="B962" s="751"/>
      <c r="C962" s="751"/>
      <c r="D962" s="252" t="s">
        <v>309</v>
      </c>
      <c r="E962" s="105" t="e">
        <f>+[2]INVERSIÓN!$BF$53</f>
        <v>#REF!</v>
      </c>
      <c r="F962" s="142" t="e">
        <f>+[2]INVERSIÓN!BJ53</f>
        <v>#REF!</v>
      </c>
      <c r="G962" s="252" t="s">
        <v>422</v>
      </c>
    </row>
    <row r="963" spans="1:7" ht="24.75" customHeight="1">
      <c r="A963" s="748" t="s">
        <v>137</v>
      </c>
      <c r="B963" s="751" t="s">
        <v>343</v>
      </c>
      <c r="C963" s="751" t="s">
        <v>412</v>
      </c>
      <c r="D963" s="252" t="s">
        <v>304</v>
      </c>
      <c r="E963" s="105" t="e">
        <f>+[2]INVERSIÓN!$CE$11</f>
        <v>#REF!</v>
      </c>
      <c r="F963" s="142" t="e">
        <f>+[2]INVERSIÓN!$BL$11</f>
        <v>#REF!</v>
      </c>
      <c r="G963" s="252" t="s">
        <v>422</v>
      </c>
    </row>
    <row r="964" spans="1:7" ht="24.75" customHeight="1">
      <c r="A964" s="749"/>
      <c r="B964" s="751"/>
      <c r="C964" s="751"/>
      <c r="D964" s="252" t="s">
        <v>315</v>
      </c>
      <c r="E964" s="105" t="e">
        <f>+[2]INVERSIÓN!$CE$18</f>
        <v>#REF!</v>
      </c>
      <c r="F964" s="142" t="e">
        <f>+[2]INVERSIÓN!$BL$18</f>
        <v>#REF!</v>
      </c>
      <c r="G964" s="252" t="s">
        <v>422</v>
      </c>
    </row>
    <row r="965" spans="1:7" ht="24.75" customHeight="1">
      <c r="A965" s="749"/>
      <c r="B965" s="751"/>
      <c r="C965" s="751"/>
      <c r="D965" s="252" t="s">
        <v>415</v>
      </c>
      <c r="E965" s="105" t="e">
        <f>+[2]INVERSIÓN!$CE$25</f>
        <v>#REF!</v>
      </c>
      <c r="F965" s="142" t="e">
        <f>+[2]INVERSIÓN!$BL$25</f>
        <v>#REF!</v>
      </c>
      <c r="G965" s="252" t="s">
        <v>422</v>
      </c>
    </row>
    <row r="966" spans="1:7" ht="24.75" customHeight="1">
      <c r="A966" s="749"/>
      <c r="B966" s="252" t="s">
        <v>350</v>
      </c>
      <c r="C966" s="252" t="s">
        <v>416</v>
      </c>
      <c r="D966" s="252" t="s">
        <v>417</v>
      </c>
      <c r="E966" s="105" t="e">
        <f>+[2]INVERSIÓN!$CE$32</f>
        <v>#REF!</v>
      </c>
      <c r="F966" s="142" t="e">
        <f>+[2]INVERSIÓN!$BL$32</f>
        <v>#REF!</v>
      </c>
      <c r="G966" s="252" t="s">
        <v>422</v>
      </c>
    </row>
    <row r="967" spans="1:7" ht="24.75" customHeight="1">
      <c r="A967" s="749"/>
      <c r="B967" s="252" t="s">
        <v>354</v>
      </c>
      <c r="C967" s="252" t="s">
        <v>418</v>
      </c>
      <c r="D967" s="252" t="s">
        <v>419</v>
      </c>
      <c r="E967" s="105" t="e">
        <f>+[2]INVERSIÓN!$CE$39</f>
        <v>#REF!</v>
      </c>
      <c r="F967" s="142" t="e">
        <f>+[2]INVERSIÓN!$BL$39</f>
        <v>#REF!</v>
      </c>
      <c r="G967" s="252" t="s">
        <v>422</v>
      </c>
    </row>
    <row r="968" spans="1:7" ht="24.75" customHeight="1">
      <c r="A968" s="749"/>
      <c r="B968" s="751" t="s">
        <v>358</v>
      </c>
      <c r="C968" s="751" t="s">
        <v>420</v>
      </c>
      <c r="D968" s="252" t="s">
        <v>421</v>
      </c>
      <c r="E968" s="105" t="e">
        <f>+[2]INVERSIÓN!$CE$46</f>
        <v>#REF!</v>
      </c>
      <c r="F968" s="142" t="e">
        <f>+[2]INVERSIÓN!$BL$46</f>
        <v>#REF!</v>
      </c>
      <c r="G968" s="252" t="s">
        <v>422</v>
      </c>
    </row>
    <row r="969" spans="1:7" ht="24.75" customHeight="1">
      <c r="A969" s="750"/>
      <c r="B969" s="751"/>
      <c r="C969" s="751"/>
      <c r="D969" s="252" t="s">
        <v>309</v>
      </c>
      <c r="E969" s="105" t="e">
        <f>+[2]INVERSIÓN!$CE$53</f>
        <v>#REF!</v>
      </c>
      <c r="F969" s="142" t="e">
        <f>+[2]INVERSIÓN!$BL$53</f>
        <v>#REF!</v>
      </c>
      <c r="G969" s="252" t="s">
        <v>422</v>
      </c>
    </row>
    <row r="970" spans="1:7" ht="24.75" customHeight="1">
      <c r="A970" s="748" t="s">
        <v>138</v>
      </c>
      <c r="B970" s="751" t="s">
        <v>343</v>
      </c>
      <c r="C970" s="751" t="s">
        <v>412</v>
      </c>
      <c r="D970" s="252" t="s">
        <v>304</v>
      </c>
      <c r="E970" s="105" t="e">
        <f>+[2]INVERSIÓN!$CE$11</f>
        <v>#REF!</v>
      </c>
      <c r="F970" s="105" t="e">
        <f>+[2]INVERSIÓN!$BN$11</f>
        <v>#REF!</v>
      </c>
      <c r="G970" s="252" t="s">
        <v>422</v>
      </c>
    </row>
    <row r="971" spans="1:7" ht="24.75" customHeight="1">
      <c r="A971" s="749"/>
      <c r="B971" s="751"/>
      <c r="C971" s="751"/>
      <c r="D971" s="252" t="s">
        <v>315</v>
      </c>
      <c r="E971" s="105" t="e">
        <f>+[2]INVERSIÓN!$CE$18</f>
        <v>#REF!</v>
      </c>
      <c r="F971" s="105" t="e">
        <f>+[2]INVERSIÓN!$BN$18</f>
        <v>#REF!</v>
      </c>
      <c r="G971" s="252" t="s">
        <v>422</v>
      </c>
    </row>
    <row r="972" spans="1:7" ht="24.75" customHeight="1">
      <c r="A972" s="749"/>
      <c r="B972" s="751"/>
      <c r="C972" s="751"/>
      <c r="D972" s="252" t="s">
        <v>415</v>
      </c>
      <c r="E972" s="105" t="e">
        <f>+[2]INVERSIÓN!$CE$25</f>
        <v>#REF!</v>
      </c>
      <c r="F972" s="105" t="e">
        <f>+[2]INVERSIÓN!$BN$25</f>
        <v>#REF!</v>
      </c>
      <c r="G972" s="252" t="s">
        <v>422</v>
      </c>
    </row>
    <row r="973" spans="1:7" ht="24.75" customHeight="1">
      <c r="A973" s="749"/>
      <c r="B973" s="252" t="s">
        <v>350</v>
      </c>
      <c r="C973" s="252" t="s">
        <v>416</v>
      </c>
      <c r="D973" s="252" t="s">
        <v>417</v>
      </c>
      <c r="E973" s="105" t="e">
        <f>+[2]INVERSIÓN!$CE$32</f>
        <v>#REF!</v>
      </c>
      <c r="F973" s="105" t="e">
        <f>+[2]INVERSIÓN!$BN$32</f>
        <v>#REF!</v>
      </c>
      <c r="G973" s="252" t="s">
        <v>422</v>
      </c>
    </row>
    <row r="974" spans="1:7" ht="24.75" customHeight="1">
      <c r="A974" s="749"/>
      <c r="B974" s="252" t="s">
        <v>354</v>
      </c>
      <c r="C974" s="252" t="s">
        <v>418</v>
      </c>
      <c r="D974" s="252" t="s">
        <v>419</v>
      </c>
      <c r="E974" s="105" t="e">
        <f>+[2]INVERSIÓN!$CE$39</f>
        <v>#REF!</v>
      </c>
      <c r="F974" s="105" t="e">
        <f>+[2]INVERSIÓN!$BN$39</f>
        <v>#REF!</v>
      </c>
      <c r="G974" s="252" t="s">
        <v>422</v>
      </c>
    </row>
    <row r="975" spans="1:7" ht="24.75" customHeight="1">
      <c r="A975" s="749"/>
      <c r="B975" s="751" t="s">
        <v>358</v>
      </c>
      <c r="C975" s="751" t="s">
        <v>420</v>
      </c>
      <c r="D975" s="252" t="s">
        <v>421</v>
      </c>
      <c r="E975" s="105" t="e">
        <f>+[2]INVERSIÓN!$CE$46</f>
        <v>#REF!</v>
      </c>
      <c r="F975" s="105" t="e">
        <f>+[2]INVERSIÓN!$BN$46</f>
        <v>#REF!</v>
      </c>
      <c r="G975" s="252" t="s">
        <v>422</v>
      </c>
    </row>
    <row r="976" spans="1:7" ht="24.75" customHeight="1">
      <c r="A976" s="749"/>
      <c r="B976" s="751"/>
      <c r="C976" s="751"/>
      <c r="D976" s="252" t="s">
        <v>309</v>
      </c>
      <c r="E976" s="105" t="e">
        <f>+[2]INVERSIÓN!$CE$53</f>
        <v>#REF!</v>
      </c>
      <c r="F976" s="105" t="e">
        <f>+[2]INVERSIÓN!$BN$53</f>
        <v>#REF!</v>
      </c>
      <c r="G976" s="252" t="s">
        <v>422</v>
      </c>
    </row>
    <row r="977" spans="1:7" ht="24.75" customHeight="1">
      <c r="A977" s="748" t="s">
        <v>139</v>
      </c>
      <c r="B977" s="751" t="s">
        <v>343</v>
      </c>
      <c r="C977" s="751" t="s">
        <v>412</v>
      </c>
      <c r="D977" s="252" t="s">
        <v>304</v>
      </c>
      <c r="E977" s="105" t="e">
        <f>+[2]INVERSIÓN!$CE$11</f>
        <v>#REF!</v>
      </c>
      <c r="F977" s="105" t="e">
        <f>+[2]INVERSIÓN!$BP$11</f>
        <v>#REF!</v>
      </c>
      <c r="G977" s="252" t="s">
        <v>422</v>
      </c>
    </row>
    <row r="978" spans="1:7" ht="24.75" customHeight="1">
      <c r="A978" s="749"/>
      <c r="B978" s="751"/>
      <c r="C978" s="751"/>
      <c r="D978" s="252" t="s">
        <v>315</v>
      </c>
      <c r="E978" s="105" t="e">
        <f>+[2]INVERSIÓN!$CE$18</f>
        <v>#REF!</v>
      </c>
      <c r="F978" s="105" t="e">
        <f>+[2]INVERSIÓN!$BP$18</f>
        <v>#REF!</v>
      </c>
      <c r="G978" s="252" t="s">
        <v>422</v>
      </c>
    </row>
    <row r="979" spans="1:7" ht="24.75" customHeight="1">
      <c r="A979" s="749"/>
      <c r="B979" s="751"/>
      <c r="C979" s="751"/>
      <c r="D979" s="252" t="s">
        <v>415</v>
      </c>
      <c r="E979" s="105" t="e">
        <f>+[2]INVERSIÓN!$CE$25</f>
        <v>#REF!</v>
      </c>
      <c r="F979" s="105" t="e">
        <f>+[2]INVERSIÓN!$BP$25</f>
        <v>#REF!</v>
      </c>
      <c r="G979" s="252" t="s">
        <v>422</v>
      </c>
    </row>
    <row r="980" spans="1:7" ht="24.75" customHeight="1">
      <c r="A980" s="749"/>
      <c r="B980" s="252" t="s">
        <v>350</v>
      </c>
      <c r="C980" s="252" t="s">
        <v>416</v>
      </c>
      <c r="D980" s="252" t="s">
        <v>417</v>
      </c>
      <c r="E980" s="105" t="e">
        <f>+[2]INVERSIÓN!$CE$32</f>
        <v>#REF!</v>
      </c>
      <c r="F980" s="105" t="e">
        <f>+[2]INVERSIÓN!$BP$32</f>
        <v>#REF!</v>
      </c>
      <c r="G980" s="252" t="s">
        <v>422</v>
      </c>
    </row>
    <row r="981" spans="1:7" ht="24.75" customHeight="1">
      <c r="A981" s="749"/>
      <c r="B981" s="252" t="s">
        <v>354</v>
      </c>
      <c r="C981" s="252" t="s">
        <v>418</v>
      </c>
      <c r="D981" s="252" t="s">
        <v>419</v>
      </c>
      <c r="E981" s="105" t="e">
        <f>+[2]INVERSIÓN!$CE$39</f>
        <v>#REF!</v>
      </c>
      <c r="F981" s="105" t="e">
        <f>+[2]INVERSIÓN!$BP$39</f>
        <v>#REF!</v>
      </c>
      <c r="G981" s="252" t="s">
        <v>422</v>
      </c>
    </row>
    <row r="982" spans="1:7" ht="24.75" customHeight="1">
      <c r="A982" s="749"/>
      <c r="B982" s="751" t="s">
        <v>358</v>
      </c>
      <c r="C982" s="751" t="s">
        <v>420</v>
      </c>
      <c r="D982" s="252" t="s">
        <v>421</v>
      </c>
      <c r="E982" s="105" t="e">
        <f>+[2]INVERSIÓN!$CE$46</f>
        <v>#REF!</v>
      </c>
      <c r="F982" s="105" t="e">
        <f>+[2]INVERSIÓN!$BP$46</f>
        <v>#REF!</v>
      </c>
      <c r="G982" s="252" t="s">
        <v>422</v>
      </c>
    </row>
    <row r="983" spans="1:7" ht="24.75" customHeight="1">
      <c r="A983" s="750"/>
      <c r="B983" s="751"/>
      <c r="C983" s="751"/>
      <c r="D983" s="252" t="s">
        <v>309</v>
      </c>
      <c r="E983" s="105" t="e">
        <f>+[2]INVERSIÓN!$CE$53</f>
        <v>#REF!</v>
      </c>
      <c r="F983" s="105" t="e">
        <f>+[2]INVERSIÓN!$BP$53</f>
        <v>#REF!</v>
      </c>
      <c r="G983" s="252" t="s">
        <v>422</v>
      </c>
    </row>
    <row r="984" spans="1:7" ht="24.75" customHeight="1">
      <c r="A984" s="748" t="s">
        <v>140</v>
      </c>
      <c r="B984" s="751" t="s">
        <v>343</v>
      </c>
      <c r="C984" s="751" t="s">
        <v>412</v>
      </c>
      <c r="D984" s="252" t="s">
        <v>304</v>
      </c>
      <c r="E984" s="105" t="e">
        <f>+[2]INVERSIÓN!$CE$11</f>
        <v>#REF!</v>
      </c>
      <c r="F984" s="105" t="e">
        <f>+[2]INVERSIÓN!$BR$11</f>
        <v>#REF!</v>
      </c>
      <c r="G984" s="252" t="s">
        <v>422</v>
      </c>
    </row>
    <row r="985" spans="1:7" ht="24.75" customHeight="1">
      <c r="A985" s="749"/>
      <c r="B985" s="751"/>
      <c r="C985" s="751"/>
      <c r="D985" s="252" t="s">
        <v>315</v>
      </c>
      <c r="E985" s="105" t="e">
        <f>+[2]INVERSIÓN!$CE$18</f>
        <v>#REF!</v>
      </c>
      <c r="F985" s="105" t="e">
        <f>+[2]INVERSIÓN!$BR$18</f>
        <v>#REF!</v>
      </c>
      <c r="G985" s="252" t="s">
        <v>422</v>
      </c>
    </row>
    <row r="986" spans="1:7" ht="24.75" customHeight="1">
      <c r="A986" s="749"/>
      <c r="B986" s="751"/>
      <c r="C986" s="751"/>
      <c r="D986" s="252" t="s">
        <v>415</v>
      </c>
      <c r="E986" s="105" t="e">
        <f>+[2]INVERSIÓN!$CE$25</f>
        <v>#REF!</v>
      </c>
      <c r="F986" s="105" t="e">
        <f>+[2]INVERSIÓN!$BR$25</f>
        <v>#REF!</v>
      </c>
      <c r="G986" s="252" t="s">
        <v>422</v>
      </c>
    </row>
    <row r="987" spans="1:7" ht="24.75" customHeight="1">
      <c r="A987" s="749"/>
      <c r="B987" s="252" t="s">
        <v>350</v>
      </c>
      <c r="C987" s="252" t="s">
        <v>416</v>
      </c>
      <c r="D987" s="252" t="s">
        <v>417</v>
      </c>
      <c r="E987" s="105" t="e">
        <f>+[2]INVERSIÓN!$CE$32</f>
        <v>#REF!</v>
      </c>
      <c r="F987" s="105" t="e">
        <f>+[2]INVERSIÓN!$BR$32</f>
        <v>#REF!</v>
      </c>
      <c r="G987" s="252" t="s">
        <v>422</v>
      </c>
    </row>
    <row r="988" spans="1:7" ht="24.75" customHeight="1">
      <c r="A988" s="749"/>
      <c r="B988" s="252" t="s">
        <v>354</v>
      </c>
      <c r="C988" s="252" t="s">
        <v>418</v>
      </c>
      <c r="D988" s="252" t="s">
        <v>419</v>
      </c>
      <c r="E988" s="105" t="e">
        <f>+[2]INVERSIÓN!$CE$39</f>
        <v>#REF!</v>
      </c>
      <c r="F988" s="105" t="e">
        <f>+[2]INVERSIÓN!$BR$39</f>
        <v>#REF!</v>
      </c>
      <c r="G988" s="252" t="s">
        <v>422</v>
      </c>
    </row>
    <row r="989" spans="1:7" ht="24.75" customHeight="1">
      <c r="A989" s="749"/>
      <c r="B989" s="751" t="s">
        <v>358</v>
      </c>
      <c r="C989" s="751" t="s">
        <v>420</v>
      </c>
      <c r="D989" s="252" t="s">
        <v>421</v>
      </c>
      <c r="E989" s="105" t="e">
        <f>+[2]INVERSIÓN!$CE$46</f>
        <v>#REF!</v>
      </c>
      <c r="F989" s="105" t="e">
        <f>+[2]INVERSIÓN!$BR$46</f>
        <v>#REF!</v>
      </c>
      <c r="G989" s="252" t="s">
        <v>422</v>
      </c>
    </row>
    <row r="990" spans="1:7" ht="24.75" customHeight="1">
      <c r="A990" s="750"/>
      <c r="B990" s="751"/>
      <c r="C990" s="751"/>
      <c r="D990" s="252" t="s">
        <v>309</v>
      </c>
      <c r="E990" s="105" t="e">
        <f>+[2]INVERSIÓN!$CE$53</f>
        <v>#REF!</v>
      </c>
      <c r="F990" s="105" t="e">
        <f>+[2]INVERSIÓN!$BR$53</f>
        <v>#REF!</v>
      </c>
      <c r="G990" s="252" t="s">
        <v>422</v>
      </c>
    </row>
    <row r="991" spans="1:7" ht="24.75" customHeight="1">
      <c r="A991" s="748" t="s">
        <v>128</v>
      </c>
      <c r="B991" s="751" t="s">
        <v>343</v>
      </c>
      <c r="C991" s="751" t="s">
        <v>412</v>
      </c>
      <c r="D991" s="252" t="s">
        <v>304</v>
      </c>
      <c r="E991" s="105" t="e">
        <f>+[2]INVERSIÓN!$CE$11</f>
        <v>#REF!</v>
      </c>
      <c r="F991" s="105" t="e">
        <f>+[2]INVERSIÓN!$BT$11</f>
        <v>#REF!</v>
      </c>
      <c r="G991" s="252" t="s">
        <v>422</v>
      </c>
    </row>
    <row r="992" spans="1:7" ht="24.75" customHeight="1">
      <c r="A992" s="749"/>
      <c r="B992" s="751"/>
      <c r="C992" s="751"/>
      <c r="D992" s="252" t="s">
        <v>315</v>
      </c>
      <c r="E992" s="105" t="e">
        <f>+[2]INVERSIÓN!$CE$18</f>
        <v>#REF!</v>
      </c>
      <c r="F992" s="105" t="e">
        <f>+[2]INVERSIÓN!$BT$18</f>
        <v>#REF!</v>
      </c>
      <c r="G992" s="252" t="s">
        <v>422</v>
      </c>
    </row>
    <row r="993" spans="1:7" ht="24.75" customHeight="1">
      <c r="A993" s="749"/>
      <c r="B993" s="751"/>
      <c r="C993" s="751"/>
      <c r="D993" s="252" t="s">
        <v>415</v>
      </c>
      <c r="E993" s="105" t="e">
        <f>+[2]INVERSIÓN!$CE$25</f>
        <v>#REF!</v>
      </c>
      <c r="F993" s="105" t="e">
        <f>+[2]INVERSIÓN!$BT$25</f>
        <v>#REF!</v>
      </c>
      <c r="G993" s="252" t="s">
        <v>422</v>
      </c>
    </row>
    <row r="994" spans="1:7" ht="24.75" customHeight="1">
      <c r="A994" s="749"/>
      <c r="B994" s="252" t="s">
        <v>350</v>
      </c>
      <c r="C994" s="252" t="s">
        <v>416</v>
      </c>
      <c r="D994" s="252" t="s">
        <v>417</v>
      </c>
      <c r="E994" s="105" t="e">
        <f>+[2]INVERSIÓN!$CE$32</f>
        <v>#REF!</v>
      </c>
      <c r="F994" s="105" t="e">
        <f>+[2]INVERSIÓN!$BT$32</f>
        <v>#REF!</v>
      </c>
      <c r="G994" s="252" t="s">
        <v>422</v>
      </c>
    </row>
    <row r="995" spans="1:7" ht="24.75" customHeight="1">
      <c r="A995" s="749"/>
      <c r="B995" s="252" t="s">
        <v>354</v>
      </c>
      <c r="C995" s="252" t="s">
        <v>418</v>
      </c>
      <c r="D995" s="252" t="s">
        <v>419</v>
      </c>
      <c r="E995" s="105" t="e">
        <f>+[2]INVERSIÓN!$CE$39</f>
        <v>#REF!</v>
      </c>
      <c r="F995" s="105" t="e">
        <f>+[2]INVERSIÓN!$BT$39</f>
        <v>#REF!</v>
      </c>
      <c r="G995" s="252" t="s">
        <v>422</v>
      </c>
    </row>
    <row r="996" spans="1:7" ht="24.75" customHeight="1">
      <c r="A996" s="749"/>
      <c r="B996" s="751" t="s">
        <v>358</v>
      </c>
      <c r="C996" s="751" t="s">
        <v>420</v>
      </c>
      <c r="D996" s="252" t="s">
        <v>421</v>
      </c>
      <c r="E996" s="105" t="e">
        <f>+[2]INVERSIÓN!$CE$46</f>
        <v>#REF!</v>
      </c>
      <c r="F996" s="105" t="e">
        <f>+[2]INVERSIÓN!$BT$46</f>
        <v>#REF!</v>
      </c>
      <c r="G996" s="252" t="s">
        <v>422</v>
      </c>
    </row>
    <row r="997" spans="1:7" ht="24.75" customHeight="1">
      <c r="A997" s="750"/>
      <c r="B997" s="751"/>
      <c r="C997" s="751"/>
      <c r="D997" s="252" t="s">
        <v>309</v>
      </c>
      <c r="E997" s="105" t="e">
        <f>+[2]INVERSIÓN!$CE$53</f>
        <v>#REF!</v>
      </c>
      <c r="F997" s="105" t="e">
        <f>+[2]INVERSIÓN!$BT$53</f>
        <v>#REF!</v>
      </c>
      <c r="G997" s="252" t="s">
        <v>422</v>
      </c>
    </row>
    <row r="998" spans="1:7" ht="24.75" customHeight="1">
      <c r="A998" s="748" t="s">
        <v>129</v>
      </c>
      <c r="B998" s="751" t="s">
        <v>343</v>
      </c>
      <c r="C998" s="751" t="s">
        <v>412</v>
      </c>
      <c r="D998" s="252" t="s">
        <v>304</v>
      </c>
      <c r="E998" s="105" t="e">
        <f>+[2]INVERSIÓN!$CE$11</f>
        <v>#REF!</v>
      </c>
      <c r="F998" s="105" t="e">
        <f>+[2]INVERSIÓN!$BV$11</f>
        <v>#REF!</v>
      </c>
      <c r="G998" s="252" t="s">
        <v>422</v>
      </c>
    </row>
    <row r="999" spans="1:7" ht="24.75" customHeight="1">
      <c r="A999" s="749"/>
      <c r="B999" s="751"/>
      <c r="C999" s="751"/>
      <c r="D999" s="252" t="s">
        <v>315</v>
      </c>
      <c r="E999" s="105" t="e">
        <f>+[2]INVERSIÓN!$CE$18</f>
        <v>#REF!</v>
      </c>
      <c r="F999" s="105" t="e">
        <f>+[2]INVERSIÓN!$BV$18</f>
        <v>#REF!</v>
      </c>
      <c r="G999" s="252" t="s">
        <v>422</v>
      </c>
    </row>
    <row r="1000" spans="1:7" ht="24.75" customHeight="1">
      <c r="A1000" s="749"/>
      <c r="B1000" s="751"/>
      <c r="C1000" s="751"/>
      <c r="D1000" s="252" t="s">
        <v>415</v>
      </c>
      <c r="E1000" s="105" t="e">
        <f>+[2]INVERSIÓN!$CE$25</f>
        <v>#REF!</v>
      </c>
      <c r="F1000" s="105" t="e">
        <f>+[2]INVERSIÓN!$BV$25</f>
        <v>#REF!</v>
      </c>
      <c r="G1000" s="252" t="s">
        <v>422</v>
      </c>
    </row>
    <row r="1001" spans="1:7" ht="24.75" customHeight="1">
      <c r="A1001" s="749"/>
      <c r="B1001" s="252" t="s">
        <v>350</v>
      </c>
      <c r="C1001" s="252" t="s">
        <v>416</v>
      </c>
      <c r="D1001" s="252" t="s">
        <v>417</v>
      </c>
      <c r="E1001" s="105" t="e">
        <f>+[2]INVERSIÓN!$CE$32</f>
        <v>#REF!</v>
      </c>
      <c r="F1001" s="105" t="e">
        <f>+[2]INVERSIÓN!$BV$32</f>
        <v>#REF!</v>
      </c>
      <c r="G1001" s="252" t="s">
        <v>422</v>
      </c>
    </row>
    <row r="1002" spans="1:7" ht="24.75" customHeight="1">
      <c r="A1002" s="749"/>
      <c r="B1002" s="252" t="s">
        <v>354</v>
      </c>
      <c r="C1002" s="252" t="s">
        <v>418</v>
      </c>
      <c r="D1002" s="252" t="s">
        <v>419</v>
      </c>
      <c r="E1002" s="105" t="e">
        <f>+[2]INVERSIÓN!$CE$39</f>
        <v>#REF!</v>
      </c>
      <c r="F1002" s="105" t="e">
        <f>+[2]INVERSIÓN!$BV$39</f>
        <v>#REF!</v>
      </c>
      <c r="G1002" s="252" t="s">
        <v>422</v>
      </c>
    </row>
    <row r="1003" spans="1:7" ht="24.75" customHeight="1">
      <c r="A1003" s="749"/>
      <c r="B1003" s="751" t="s">
        <v>358</v>
      </c>
      <c r="C1003" s="751" t="s">
        <v>420</v>
      </c>
      <c r="D1003" s="252" t="s">
        <v>421</v>
      </c>
      <c r="E1003" s="105" t="e">
        <f>+[2]INVERSIÓN!$CE$46</f>
        <v>#REF!</v>
      </c>
      <c r="F1003" s="105" t="e">
        <f>+[2]INVERSIÓN!$BV$46</f>
        <v>#REF!</v>
      </c>
      <c r="G1003" s="252" t="s">
        <v>422</v>
      </c>
    </row>
    <row r="1004" spans="1:7" ht="24.75" customHeight="1">
      <c r="A1004" s="750"/>
      <c r="B1004" s="751"/>
      <c r="C1004" s="751"/>
      <c r="D1004" s="252" t="s">
        <v>309</v>
      </c>
      <c r="E1004" s="105" t="e">
        <f>+[2]INVERSIÓN!$CE$53</f>
        <v>#REF!</v>
      </c>
      <c r="F1004" s="105" t="e">
        <f>+[2]INVERSIÓN!$BV$53</f>
        <v>#REF!</v>
      </c>
      <c r="G1004" s="252" t="s">
        <v>422</v>
      </c>
    </row>
    <row r="1005" spans="1:7" ht="24.75" customHeight="1">
      <c r="A1005" s="748" t="s">
        <v>130</v>
      </c>
      <c r="B1005" s="751" t="s">
        <v>343</v>
      </c>
      <c r="C1005" s="751" t="s">
        <v>412</v>
      </c>
      <c r="D1005" s="252" t="s">
        <v>304</v>
      </c>
      <c r="E1005" s="105" t="e">
        <f>+[2]INVERSIÓN!$CE$11</f>
        <v>#REF!</v>
      </c>
      <c r="F1005" s="105" t="e">
        <f>+[2]INVERSIÓN!$CG$11</f>
        <v>#REF!</v>
      </c>
      <c r="G1005" s="252" t="s">
        <v>422</v>
      </c>
    </row>
    <row r="1006" spans="1:7" ht="24.75" customHeight="1">
      <c r="A1006" s="749"/>
      <c r="B1006" s="751"/>
      <c r="C1006" s="751"/>
      <c r="D1006" s="252" t="s">
        <v>315</v>
      </c>
      <c r="E1006" s="105" t="e">
        <f>+[2]INVERSIÓN!$CE$18</f>
        <v>#REF!</v>
      </c>
      <c r="F1006" s="105" t="e">
        <f>+[2]INVERSIÓN!$CG$18</f>
        <v>#REF!</v>
      </c>
      <c r="G1006" s="252" t="s">
        <v>422</v>
      </c>
    </row>
    <row r="1007" spans="1:7" ht="24.75" customHeight="1">
      <c r="A1007" s="749"/>
      <c r="B1007" s="751"/>
      <c r="C1007" s="751"/>
      <c r="D1007" s="252" t="s">
        <v>415</v>
      </c>
      <c r="E1007" s="105" t="e">
        <f>+[2]INVERSIÓN!$CE$25</f>
        <v>#REF!</v>
      </c>
      <c r="F1007" s="105" t="e">
        <f>+[2]INVERSIÓN!$CG$25</f>
        <v>#REF!</v>
      </c>
      <c r="G1007" s="252" t="s">
        <v>422</v>
      </c>
    </row>
    <row r="1008" spans="1:7" ht="24.75" customHeight="1">
      <c r="A1008" s="749"/>
      <c r="B1008" s="252" t="s">
        <v>350</v>
      </c>
      <c r="C1008" s="252" t="s">
        <v>416</v>
      </c>
      <c r="D1008" s="252" t="s">
        <v>417</v>
      </c>
      <c r="E1008" s="105" t="e">
        <f>+[2]INVERSIÓN!$CE$32</f>
        <v>#REF!</v>
      </c>
      <c r="F1008" s="105" t="e">
        <f>+[2]INVERSIÓN!$CG$32</f>
        <v>#REF!</v>
      </c>
      <c r="G1008" s="252" t="s">
        <v>422</v>
      </c>
    </row>
    <row r="1009" spans="1:7" ht="24.75" customHeight="1">
      <c r="A1009" s="749"/>
      <c r="B1009" s="252" t="s">
        <v>354</v>
      </c>
      <c r="C1009" s="252" t="s">
        <v>418</v>
      </c>
      <c r="D1009" s="252" t="s">
        <v>419</v>
      </c>
      <c r="E1009" s="105" t="e">
        <f>+[2]INVERSIÓN!$CE$39</f>
        <v>#REF!</v>
      </c>
      <c r="F1009" s="105" t="e">
        <f>+[2]INVERSIÓN!$CG$39</f>
        <v>#REF!</v>
      </c>
      <c r="G1009" s="252" t="s">
        <v>422</v>
      </c>
    </row>
    <row r="1010" spans="1:7" ht="24.75" customHeight="1">
      <c r="A1010" s="749"/>
      <c r="B1010" s="751" t="s">
        <v>358</v>
      </c>
      <c r="C1010" s="751" t="s">
        <v>420</v>
      </c>
      <c r="D1010" s="252" t="s">
        <v>421</v>
      </c>
      <c r="E1010" s="105" t="e">
        <f>+[2]INVERSIÓN!$CE$46</f>
        <v>#REF!</v>
      </c>
      <c r="F1010" s="105" t="e">
        <f>+[2]INVERSIÓN!$CG$46</f>
        <v>#REF!</v>
      </c>
      <c r="G1010" s="252" t="s">
        <v>422</v>
      </c>
    </row>
    <row r="1011" spans="1:7" ht="24.75" customHeight="1">
      <c r="A1011" s="750"/>
      <c r="B1011" s="751"/>
      <c r="C1011" s="751"/>
      <c r="D1011" s="252" t="s">
        <v>309</v>
      </c>
      <c r="E1011" s="105" t="e">
        <f>+[2]INVERSIÓN!$CE$53</f>
        <v>#REF!</v>
      </c>
      <c r="F1011" s="105" t="e">
        <f>+[2]INVERSIÓN!$CG$53</f>
        <v>#REF!</v>
      </c>
      <c r="G1011" s="252" t="s">
        <v>422</v>
      </c>
    </row>
    <row r="1012" spans="1:7" ht="24.75" customHeight="1">
      <c r="A1012" s="748" t="s">
        <v>131</v>
      </c>
      <c r="B1012" s="751" t="s">
        <v>343</v>
      </c>
      <c r="C1012" s="751" t="s">
        <v>412</v>
      </c>
      <c r="D1012" s="252" t="s">
        <v>304</v>
      </c>
      <c r="E1012" s="105" t="e">
        <f>+[2]INVERSIÓN!$CE$11</f>
        <v>#REF!</v>
      </c>
      <c r="F1012" s="105" t="e">
        <f>+[2]INVERSIÓN!$CG$11</f>
        <v>#REF!</v>
      </c>
      <c r="G1012" s="252" t="s">
        <v>422</v>
      </c>
    </row>
    <row r="1013" spans="1:7" ht="24.75" customHeight="1">
      <c r="A1013" s="749"/>
      <c r="B1013" s="751"/>
      <c r="C1013" s="751"/>
      <c r="D1013" s="252" t="s">
        <v>315</v>
      </c>
      <c r="E1013" s="105" t="e">
        <f>+[2]INVERSIÓN!$CE$18</f>
        <v>#REF!</v>
      </c>
      <c r="F1013" s="105" t="e">
        <f>+[2]INVERSIÓN!$CG$18</f>
        <v>#REF!</v>
      </c>
      <c r="G1013" s="252" t="s">
        <v>422</v>
      </c>
    </row>
    <row r="1014" spans="1:7" ht="24.75" customHeight="1">
      <c r="A1014" s="749"/>
      <c r="B1014" s="751"/>
      <c r="C1014" s="751"/>
      <c r="D1014" s="252" t="s">
        <v>415</v>
      </c>
      <c r="E1014" s="105" t="e">
        <f>+[2]INVERSIÓN!$CE$25</f>
        <v>#REF!</v>
      </c>
      <c r="F1014" s="105" t="e">
        <f>+[2]INVERSIÓN!$CG$25</f>
        <v>#REF!</v>
      </c>
      <c r="G1014" s="252" t="s">
        <v>422</v>
      </c>
    </row>
    <row r="1015" spans="1:7" ht="24.75" customHeight="1">
      <c r="A1015" s="749"/>
      <c r="B1015" s="252" t="s">
        <v>350</v>
      </c>
      <c r="C1015" s="252" t="s">
        <v>416</v>
      </c>
      <c r="D1015" s="252" t="s">
        <v>417</v>
      </c>
      <c r="E1015" s="105" t="e">
        <f>+[2]INVERSIÓN!$CE$32</f>
        <v>#REF!</v>
      </c>
      <c r="F1015" s="105" t="e">
        <f>+[2]INVERSIÓN!$CG$32</f>
        <v>#REF!</v>
      </c>
      <c r="G1015" s="252" t="s">
        <v>422</v>
      </c>
    </row>
    <row r="1016" spans="1:7" ht="24.75" customHeight="1">
      <c r="A1016" s="749"/>
      <c r="B1016" s="252" t="s">
        <v>354</v>
      </c>
      <c r="C1016" s="252" t="s">
        <v>418</v>
      </c>
      <c r="D1016" s="252" t="s">
        <v>419</v>
      </c>
      <c r="E1016" s="105" t="e">
        <f>+[2]INVERSIÓN!$CE$39</f>
        <v>#REF!</v>
      </c>
      <c r="F1016" s="105" t="e">
        <f>+[2]INVERSIÓN!$CG$39</f>
        <v>#REF!</v>
      </c>
      <c r="G1016" s="252" t="s">
        <v>422</v>
      </c>
    </row>
    <row r="1017" spans="1:7" ht="24.75" customHeight="1">
      <c r="A1017" s="749"/>
      <c r="B1017" s="751" t="s">
        <v>358</v>
      </c>
      <c r="C1017" s="751" t="s">
        <v>420</v>
      </c>
      <c r="D1017" s="252" t="s">
        <v>421</v>
      </c>
      <c r="E1017" s="105" t="e">
        <f>+[2]INVERSIÓN!$CE$46</f>
        <v>#REF!</v>
      </c>
      <c r="F1017" s="105" t="e">
        <f>+[2]INVERSIÓN!$CG$46</f>
        <v>#REF!</v>
      </c>
      <c r="G1017" s="252" t="s">
        <v>422</v>
      </c>
    </row>
    <row r="1018" spans="1:7" ht="24.75" customHeight="1">
      <c r="A1018" s="750"/>
      <c r="B1018" s="751"/>
      <c r="C1018" s="751"/>
      <c r="D1018" s="252" t="s">
        <v>309</v>
      </c>
      <c r="E1018" s="105" t="e">
        <f>+[2]INVERSIÓN!$CE$53</f>
        <v>#REF!</v>
      </c>
      <c r="F1018" s="105" t="e">
        <f>+[2]INVERSIÓN!$CG$53</f>
        <v>#REF!</v>
      </c>
      <c r="G1018" s="252" t="s">
        <v>422</v>
      </c>
    </row>
    <row r="1019" spans="1:7" ht="24.75" customHeight="1">
      <c r="A1019" s="748" t="s">
        <v>132</v>
      </c>
      <c r="B1019" s="751" t="s">
        <v>343</v>
      </c>
      <c r="C1019" s="751" t="s">
        <v>412</v>
      </c>
      <c r="D1019" s="252" t="s">
        <v>304</v>
      </c>
      <c r="E1019" s="105" t="e">
        <f>+[2]INVERSIÓN!$CE$11</f>
        <v>#REF!</v>
      </c>
      <c r="F1019" s="105" t="e">
        <f>+[2]INVERSIÓN!$CG$11</f>
        <v>#REF!</v>
      </c>
      <c r="G1019" s="252" t="s">
        <v>422</v>
      </c>
    </row>
    <row r="1020" spans="1:7" ht="24.75" customHeight="1">
      <c r="A1020" s="749"/>
      <c r="B1020" s="751"/>
      <c r="C1020" s="751"/>
      <c r="D1020" s="252" t="s">
        <v>315</v>
      </c>
      <c r="E1020" s="105" t="e">
        <f>+[2]INVERSIÓN!$CE$18</f>
        <v>#REF!</v>
      </c>
      <c r="F1020" s="105" t="e">
        <f>+[2]INVERSIÓN!$CG$18</f>
        <v>#REF!</v>
      </c>
      <c r="G1020" s="252" t="s">
        <v>422</v>
      </c>
    </row>
    <row r="1021" spans="1:7" ht="24.75" customHeight="1">
      <c r="A1021" s="749"/>
      <c r="B1021" s="751"/>
      <c r="C1021" s="751"/>
      <c r="D1021" s="252" t="s">
        <v>415</v>
      </c>
      <c r="E1021" s="105" t="e">
        <f>+[2]INVERSIÓN!$CE$25</f>
        <v>#REF!</v>
      </c>
      <c r="F1021" s="105" t="e">
        <f>+[2]INVERSIÓN!$CG$25</f>
        <v>#REF!</v>
      </c>
      <c r="G1021" s="252" t="s">
        <v>422</v>
      </c>
    </row>
    <row r="1022" spans="1:7" ht="24.75" customHeight="1">
      <c r="A1022" s="749"/>
      <c r="B1022" s="252" t="s">
        <v>350</v>
      </c>
      <c r="C1022" s="252" t="s">
        <v>416</v>
      </c>
      <c r="D1022" s="252" t="s">
        <v>417</v>
      </c>
      <c r="E1022" s="105" t="e">
        <f>+[2]INVERSIÓN!$CE$32</f>
        <v>#REF!</v>
      </c>
      <c r="F1022" s="105" t="e">
        <f>+[2]INVERSIÓN!$CG$32</f>
        <v>#REF!</v>
      </c>
      <c r="G1022" s="252" t="s">
        <v>422</v>
      </c>
    </row>
    <row r="1023" spans="1:7" ht="24.75" customHeight="1">
      <c r="A1023" s="749"/>
      <c r="B1023" s="252" t="s">
        <v>354</v>
      </c>
      <c r="C1023" s="252" t="s">
        <v>418</v>
      </c>
      <c r="D1023" s="252" t="s">
        <v>419</v>
      </c>
      <c r="E1023" s="105" t="e">
        <f>+[2]INVERSIÓN!$CE$39</f>
        <v>#REF!</v>
      </c>
      <c r="F1023" s="105" t="e">
        <f>+[2]INVERSIÓN!$CG$39</f>
        <v>#REF!</v>
      </c>
      <c r="G1023" s="252" t="s">
        <v>422</v>
      </c>
    </row>
    <row r="1024" spans="1:7" ht="24.75" customHeight="1">
      <c r="A1024" s="749"/>
      <c r="B1024" s="751" t="s">
        <v>358</v>
      </c>
      <c r="C1024" s="751" t="s">
        <v>420</v>
      </c>
      <c r="D1024" s="252" t="s">
        <v>421</v>
      </c>
      <c r="E1024" s="105" t="e">
        <f>+[2]INVERSIÓN!$CE$46</f>
        <v>#REF!</v>
      </c>
      <c r="F1024" s="105" t="e">
        <f>+[2]INVERSIÓN!$CG$46</f>
        <v>#REF!</v>
      </c>
      <c r="G1024" s="252" t="s">
        <v>422</v>
      </c>
    </row>
    <row r="1025" spans="1:7" ht="24.75" customHeight="1">
      <c r="A1025" s="750"/>
      <c r="B1025" s="751"/>
      <c r="C1025" s="751"/>
      <c r="D1025" s="252" t="s">
        <v>309</v>
      </c>
      <c r="E1025" s="105" t="e">
        <f>+[2]INVERSIÓN!$CE$53</f>
        <v>#REF!</v>
      </c>
      <c r="F1025" s="105" t="e">
        <f>+[2]INVERSIÓN!$CG$53</f>
        <v>#REF!</v>
      </c>
      <c r="G1025" s="252" t="s">
        <v>422</v>
      </c>
    </row>
    <row r="1026" spans="1:7" ht="24.75" customHeight="1">
      <c r="A1026" s="748" t="s">
        <v>133</v>
      </c>
      <c r="B1026" s="751" t="s">
        <v>343</v>
      </c>
      <c r="C1026" s="751" t="s">
        <v>412</v>
      </c>
      <c r="D1026" s="252" t="s">
        <v>304</v>
      </c>
      <c r="E1026" s="142" t="e">
        <f>+[2]INVERSIÓN!$CE$11</f>
        <v>#REF!</v>
      </c>
      <c r="F1026" s="142" t="e">
        <f>+[2]INVERSIÓN!$CG$11</f>
        <v>#REF!</v>
      </c>
      <c r="G1026" s="252" t="s">
        <v>422</v>
      </c>
    </row>
    <row r="1027" spans="1:7" ht="24.75" customHeight="1">
      <c r="A1027" s="749"/>
      <c r="B1027" s="751"/>
      <c r="C1027" s="751"/>
      <c r="D1027" s="252" t="s">
        <v>315</v>
      </c>
      <c r="E1027" s="142" t="e">
        <f>+[2]INVERSIÓN!$CE$18</f>
        <v>#REF!</v>
      </c>
      <c r="F1027" s="142" t="e">
        <f>+[2]INVERSIÓN!$CG$18</f>
        <v>#REF!</v>
      </c>
      <c r="G1027" s="252" t="s">
        <v>422</v>
      </c>
    </row>
    <row r="1028" spans="1:7" ht="24.75" customHeight="1">
      <c r="A1028" s="749"/>
      <c r="B1028" s="751"/>
      <c r="C1028" s="751"/>
      <c r="D1028" s="252" t="s">
        <v>415</v>
      </c>
      <c r="E1028" s="142" t="e">
        <f>+[2]INVERSIÓN!$CE$25</f>
        <v>#REF!</v>
      </c>
      <c r="F1028" s="142" t="e">
        <f>+[2]INVERSIÓN!$CG$25</f>
        <v>#REF!</v>
      </c>
      <c r="G1028" s="252" t="s">
        <v>422</v>
      </c>
    </row>
    <row r="1029" spans="1:7" ht="24.75" customHeight="1">
      <c r="A1029" s="749"/>
      <c r="B1029" s="252" t="s">
        <v>350</v>
      </c>
      <c r="C1029" s="252" t="s">
        <v>416</v>
      </c>
      <c r="D1029" s="252" t="s">
        <v>417</v>
      </c>
      <c r="E1029" s="142" t="e">
        <f>+[2]INVERSIÓN!$CE$32</f>
        <v>#REF!</v>
      </c>
      <c r="F1029" s="142" t="e">
        <f>+[2]INVERSIÓN!$CG$32</f>
        <v>#REF!</v>
      </c>
      <c r="G1029" s="252" t="s">
        <v>422</v>
      </c>
    </row>
    <row r="1030" spans="1:7" ht="24.75" customHeight="1">
      <c r="A1030" s="749"/>
      <c r="B1030" s="252" t="s">
        <v>354</v>
      </c>
      <c r="C1030" s="252" t="s">
        <v>418</v>
      </c>
      <c r="D1030" s="252" t="s">
        <v>419</v>
      </c>
      <c r="E1030" s="142" t="e">
        <f>+[2]INVERSIÓN!$CE$39</f>
        <v>#REF!</v>
      </c>
      <c r="F1030" s="142" t="e">
        <f>+[2]INVERSIÓN!$CG$39</f>
        <v>#REF!</v>
      </c>
      <c r="G1030" s="252" t="s">
        <v>422</v>
      </c>
    </row>
    <row r="1031" spans="1:7" ht="24.75" customHeight="1">
      <c r="A1031" s="749"/>
      <c r="B1031" s="751" t="s">
        <v>358</v>
      </c>
      <c r="C1031" s="751" t="s">
        <v>420</v>
      </c>
      <c r="D1031" s="252" t="s">
        <v>421</v>
      </c>
      <c r="E1031" s="142" t="e">
        <f>+[2]INVERSIÓN!$CE$46</f>
        <v>#REF!</v>
      </c>
      <c r="F1031" s="142" t="e">
        <f>+[2]INVERSIÓN!$CG$46</f>
        <v>#REF!</v>
      </c>
      <c r="G1031" s="252" t="s">
        <v>422</v>
      </c>
    </row>
    <row r="1032" spans="1:7" ht="24.75" customHeight="1">
      <c r="A1032" s="750"/>
      <c r="B1032" s="751"/>
      <c r="C1032" s="751"/>
      <c r="D1032" s="252" t="s">
        <v>309</v>
      </c>
      <c r="E1032" s="142" t="e">
        <f>+[2]INVERSIÓN!$CE$53</f>
        <v>#REF!</v>
      </c>
      <c r="F1032" s="142" t="e">
        <f>+[2]INVERSIÓN!$CG$53</f>
        <v>#REF!</v>
      </c>
      <c r="G1032" s="252" t="s">
        <v>422</v>
      </c>
    </row>
    <row r="1033" spans="1:7" ht="24.75" customHeight="1">
      <c r="A1033" s="324"/>
      <c r="G1033" s="325"/>
    </row>
    <row r="1034" spans="1:7" ht="24.75" customHeight="1">
      <c r="A1034" s="779" t="s">
        <v>171</v>
      </c>
      <c r="B1034" s="780"/>
      <c r="C1034" s="780"/>
      <c r="D1034" s="780"/>
      <c r="E1034" s="780"/>
      <c r="F1034" s="780"/>
      <c r="G1034" s="781"/>
    </row>
    <row r="1035" spans="1:7" ht="24.75" customHeight="1">
      <c r="A1035" s="103" t="s">
        <v>62</v>
      </c>
      <c r="B1035" s="30" t="s">
        <v>144</v>
      </c>
      <c r="C1035" s="30" t="s">
        <v>145</v>
      </c>
      <c r="D1035" s="30" t="s">
        <v>164</v>
      </c>
      <c r="E1035" s="30" t="s">
        <v>172</v>
      </c>
      <c r="F1035" s="30" t="s">
        <v>173</v>
      </c>
      <c r="G1035" s="30" t="s">
        <v>167</v>
      </c>
    </row>
    <row r="1036" spans="1:7" ht="24.75" customHeight="1">
      <c r="A1036" s="748" t="s">
        <v>135</v>
      </c>
      <c r="B1036" s="751" t="s">
        <v>343</v>
      </c>
      <c r="C1036" s="751" t="s">
        <v>412</v>
      </c>
      <c r="D1036" s="252" t="s">
        <v>304</v>
      </c>
      <c r="E1036" s="142" t="e">
        <f>+[2]INVERSIÓN!$DI$11</f>
        <v>#REF!</v>
      </c>
      <c r="F1036" s="142" t="e">
        <f>+[2]INVERSIÓN!$DK$11</f>
        <v>#REF!</v>
      </c>
      <c r="G1036" s="252" t="s">
        <v>422</v>
      </c>
    </row>
    <row r="1037" spans="1:7" ht="24.75" customHeight="1">
      <c r="A1037" s="749"/>
      <c r="B1037" s="751"/>
      <c r="C1037" s="751"/>
      <c r="D1037" s="252" t="s">
        <v>595</v>
      </c>
      <c r="E1037" s="142" t="e">
        <f>+[2]INVERSIÓN!$DI$18</f>
        <v>#REF!</v>
      </c>
      <c r="F1037" s="142" t="e">
        <f>+[2]INVERSIÓN!$DK$18</f>
        <v>#REF!</v>
      </c>
      <c r="G1037" s="252" t="s">
        <v>422</v>
      </c>
    </row>
    <row r="1038" spans="1:7" ht="24.75" customHeight="1">
      <c r="A1038" s="749"/>
      <c r="B1038" s="751"/>
      <c r="C1038" s="751"/>
      <c r="D1038" s="252" t="s">
        <v>415</v>
      </c>
      <c r="E1038" s="142" t="e">
        <f>+[2]INVERSIÓN!$DI$25</f>
        <v>#REF!</v>
      </c>
      <c r="F1038" s="142" t="e">
        <f>+[2]INVERSIÓN!$DK$25</f>
        <v>#REF!</v>
      </c>
      <c r="G1038" s="252" t="s">
        <v>422</v>
      </c>
    </row>
    <row r="1039" spans="1:7" ht="24.75" customHeight="1">
      <c r="A1039" s="749"/>
      <c r="B1039" s="252" t="s">
        <v>350</v>
      </c>
      <c r="C1039" s="252" t="s">
        <v>416</v>
      </c>
      <c r="D1039" s="252" t="s">
        <v>417</v>
      </c>
      <c r="E1039" s="142" t="e">
        <f>+[2]INVERSIÓN!$DI$32</f>
        <v>#REF!</v>
      </c>
      <c r="F1039" s="142" t="e">
        <f>+[2]INVERSIÓN!$DK$32</f>
        <v>#REF!</v>
      </c>
      <c r="G1039" s="252" t="s">
        <v>422</v>
      </c>
    </row>
    <row r="1040" spans="1:7" ht="24.75" customHeight="1">
      <c r="A1040" s="749"/>
      <c r="B1040" s="252" t="s">
        <v>354</v>
      </c>
      <c r="C1040" s="252" t="s">
        <v>418</v>
      </c>
      <c r="D1040" s="252" t="s">
        <v>419</v>
      </c>
      <c r="E1040" s="142" t="e">
        <f>+[2]INVERSIÓN!$DI$39</f>
        <v>#REF!</v>
      </c>
      <c r="F1040" s="142" t="e">
        <f>+[2]INVERSIÓN!$DK$39</f>
        <v>#REF!</v>
      </c>
      <c r="G1040" s="252" t="s">
        <v>422</v>
      </c>
    </row>
    <row r="1041" spans="1:7" ht="24.75" customHeight="1">
      <c r="A1041" s="749"/>
      <c r="B1041" s="751" t="s">
        <v>358</v>
      </c>
      <c r="C1041" s="751" t="s">
        <v>420</v>
      </c>
      <c r="D1041" s="252" t="s">
        <v>421</v>
      </c>
      <c r="E1041" s="142" t="e">
        <f>+[2]INVERSIÓN!$DI$46</f>
        <v>#REF!</v>
      </c>
      <c r="F1041" s="142" t="e">
        <f>+[2]INVERSIÓN!$DK$46</f>
        <v>#REF!</v>
      </c>
      <c r="G1041" s="252" t="s">
        <v>422</v>
      </c>
    </row>
    <row r="1042" spans="1:7" ht="24.75" customHeight="1">
      <c r="A1042" s="750"/>
      <c r="B1042" s="751"/>
      <c r="C1042" s="751"/>
      <c r="D1042" s="252" t="s">
        <v>309</v>
      </c>
      <c r="E1042" s="142" t="e">
        <f>+[2]INVERSIÓN!$DI$53</f>
        <v>#REF!</v>
      </c>
      <c r="F1042" s="142" t="e">
        <f>+[2]INVERSIÓN!$DK$53</f>
        <v>#REF!</v>
      </c>
      <c r="G1042" s="252" t="s">
        <v>422</v>
      </c>
    </row>
    <row r="1043" spans="1:7" ht="24.75" customHeight="1">
      <c r="A1043" s="748" t="s">
        <v>136</v>
      </c>
      <c r="B1043" s="751" t="s">
        <v>343</v>
      </c>
      <c r="C1043" s="751" t="s">
        <v>412</v>
      </c>
      <c r="D1043" s="252" t="s">
        <v>304</v>
      </c>
      <c r="E1043" s="142" t="e">
        <f>+[2]INVERSIÓN!$DI$11</f>
        <v>#REF!</v>
      </c>
      <c r="F1043" s="142" t="e">
        <f>+[2]INVERSIÓN!$DK$11</f>
        <v>#REF!</v>
      </c>
      <c r="G1043" s="252" t="s">
        <v>422</v>
      </c>
    </row>
    <row r="1044" spans="1:7" ht="24.75" customHeight="1">
      <c r="A1044" s="749"/>
      <c r="B1044" s="751"/>
      <c r="C1044" s="751"/>
      <c r="D1044" s="252" t="s">
        <v>595</v>
      </c>
      <c r="E1044" s="142" t="e">
        <f>+[2]INVERSIÓN!$DI$18</f>
        <v>#REF!</v>
      </c>
      <c r="F1044" s="142" t="e">
        <f>+[2]INVERSIÓN!$DK$18</f>
        <v>#REF!</v>
      </c>
      <c r="G1044" s="252" t="s">
        <v>422</v>
      </c>
    </row>
    <row r="1045" spans="1:7" ht="24.75" customHeight="1">
      <c r="A1045" s="749"/>
      <c r="B1045" s="751"/>
      <c r="C1045" s="751"/>
      <c r="D1045" s="252" t="s">
        <v>415</v>
      </c>
      <c r="E1045" s="142" t="e">
        <f>+[2]INVERSIÓN!$DI$25</f>
        <v>#REF!</v>
      </c>
      <c r="F1045" s="142" t="e">
        <f>+[2]INVERSIÓN!$DK$25</f>
        <v>#REF!</v>
      </c>
      <c r="G1045" s="252" t="s">
        <v>422</v>
      </c>
    </row>
    <row r="1046" spans="1:7" ht="24.75" customHeight="1">
      <c r="A1046" s="749"/>
      <c r="B1046" s="252" t="s">
        <v>350</v>
      </c>
      <c r="C1046" s="252" t="s">
        <v>416</v>
      </c>
      <c r="D1046" s="252" t="s">
        <v>417</v>
      </c>
      <c r="E1046" s="142" t="e">
        <f>+[2]INVERSIÓN!$DI$32</f>
        <v>#REF!</v>
      </c>
      <c r="F1046" s="142" t="e">
        <f>+[2]INVERSIÓN!$DK$32</f>
        <v>#REF!</v>
      </c>
      <c r="G1046" s="252" t="s">
        <v>422</v>
      </c>
    </row>
    <row r="1047" spans="1:7" ht="24.75" customHeight="1">
      <c r="A1047" s="749"/>
      <c r="B1047" s="252" t="s">
        <v>354</v>
      </c>
      <c r="C1047" s="252" t="s">
        <v>418</v>
      </c>
      <c r="D1047" s="252" t="s">
        <v>419</v>
      </c>
      <c r="E1047" s="142" t="e">
        <f>+[2]INVERSIÓN!$DI$39</f>
        <v>#REF!</v>
      </c>
      <c r="F1047" s="142" t="e">
        <f>+[2]INVERSIÓN!$DK$39</f>
        <v>#REF!</v>
      </c>
      <c r="G1047" s="252" t="s">
        <v>422</v>
      </c>
    </row>
    <row r="1048" spans="1:7" ht="24.75" customHeight="1">
      <c r="A1048" s="749"/>
      <c r="B1048" s="751" t="s">
        <v>358</v>
      </c>
      <c r="C1048" s="751" t="s">
        <v>420</v>
      </c>
      <c r="D1048" s="252" t="s">
        <v>421</v>
      </c>
      <c r="E1048" s="142" t="e">
        <f>+[2]INVERSIÓN!$DI$46</f>
        <v>#REF!</v>
      </c>
      <c r="F1048" s="142" t="e">
        <f>+[2]INVERSIÓN!$DK$46</f>
        <v>#REF!</v>
      </c>
      <c r="G1048" s="252" t="s">
        <v>422</v>
      </c>
    </row>
    <row r="1049" spans="1:7" ht="24.75" customHeight="1">
      <c r="A1049" s="750"/>
      <c r="B1049" s="751"/>
      <c r="C1049" s="751"/>
      <c r="D1049" s="252" t="s">
        <v>309</v>
      </c>
      <c r="E1049" s="142" t="e">
        <f>+[2]INVERSIÓN!$DI$53</f>
        <v>#REF!</v>
      </c>
      <c r="F1049" s="142" t="e">
        <f>+[2]INVERSIÓN!$DK$53</f>
        <v>#REF!</v>
      </c>
      <c r="G1049" s="252" t="s">
        <v>422</v>
      </c>
    </row>
    <row r="1050" spans="1:7" ht="24.75" customHeight="1">
      <c r="A1050" s="748" t="s">
        <v>137</v>
      </c>
      <c r="B1050" s="751" t="s">
        <v>343</v>
      </c>
      <c r="C1050" s="751" t="s">
        <v>412</v>
      </c>
      <c r="D1050" s="252" t="s">
        <v>304</v>
      </c>
      <c r="E1050" s="142" t="e">
        <f>+[2]INVERSIÓN!$DI$11</f>
        <v>#REF!</v>
      </c>
      <c r="F1050" s="142" t="e">
        <f>+[2]INVERSIÓN!$DK$11</f>
        <v>#REF!</v>
      </c>
      <c r="G1050" s="252" t="s">
        <v>422</v>
      </c>
    </row>
    <row r="1051" spans="1:7" ht="24.75" customHeight="1">
      <c r="A1051" s="749"/>
      <c r="B1051" s="751"/>
      <c r="C1051" s="751"/>
      <c r="D1051" s="252" t="s">
        <v>595</v>
      </c>
      <c r="E1051" s="142" t="e">
        <f>+[2]INVERSIÓN!$DI$18</f>
        <v>#REF!</v>
      </c>
      <c r="F1051" s="142" t="e">
        <f>+[2]INVERSIÓN!$DK$18</f>
        <v>#REF!</v>
      </c>
      <c r="G1051" s="252" t="s">
        <v>422</v>
      </c>
    </row>
    <row r="1052" spans="1:7" ht="24.75" customHeight="1">
      <c r="A1052" s="749"/>
      <c r="B1052" s="751"/>
      <c r="C1052" s="751"/>
      <c r="D1052" s="252" t="s">
        <v>415</v>
      </c>
      <c r="E1052" s="142" t="e">
        <f>+[2]INVERSIÓN!$DI$25</f>
        <v>#REF!</v>
      </c>
      <c r="F1052" s="142" t="e">
        <f>+[2]INVERSIÓN!$DK$25</f>
        <v>#REF!</v>
      </c>
      <c r="G1052" s="252" t="s">
        <v>422</v>
      </c>
    </row>
    <row r="1053" spans="1:7" ht="24.75" customHeight="1">
      <c r="A1053" s="749"/>
      <c r="B1053" s="252" t="s">
        <v>350</v>
      </c>
      <c r="C1053" s="252" t="s">
        <v>416</v>
      </c>
      <c r="D1053" s="252" t="s">
        <v>417</v>
      </c>
      <c r="E1053" s="142" t="e">
        <f>+[2]INVERSIÓN!$DI$32</f>
        <v>#REF!</v>
      </c>
      <c r="F1053" s="142" t="e">
        <f>+[2]INVERSIÓN!$DK$32</f>
        <v>#REF!</v>
      </c>
      <c r="G1053" s="252" t="s">
        <v>422</v>
      </c>
    </row>
    <row r="1054" spans="1:7" ht="24.75" customHeight="1">
      <c r="A1054" s="749"/>
      <c r="B1054" s="252" t="s">
        <v>354</v>
      </c>
      <c r="C1054" s="252" t="s">
        <v>418</v>
      </c>
      <c r="D1054" s="252" t="s">
        <v>419</v>
      </c>
      <c r="E1054" s="142" t="e">
        <f>+[2]INVERSIÓN!$DI$39</f>
        <v>#REF!</v>
      </c>
      <c r="F1054" s="142" t="e">
        <f>+[2]INVERSIÓN!$DK$39</f>
        <v>#REF!</v>
      </c>
      <c r="G1054" s="252" t="s">
        <v>422</v>
      </c>
    </row>
    <row r="1055" spans="1:7" ht="24.75" customHeight="1">
      <c r="A1055" s="749"/>
      <c r="B1055" s="751" t="s">
        <v>358</v>
      </c>
      <c r="C1055" s="751" t="s">
        <v>420</v>
      </c>
      <c r="D1055" s="252" t="s">
        <v>421</v>
      </c>
      <c r="E1055" s="142" t="e">
        <f>+[2]INVERSIÓN!$DI$46</f>
        <v>#REF!</v>
      </c>
      <c r="F1055" s="142" t="e">
        <f>+[2]INVERSIÓN!$DK$46</f>
        <v>#REF!</v>
      </c>
      <c r="G1055" s="252" t="s">
        <v>422</v>
      </c>
    </row>
    <row r="1056" spans="1:7" ht="24.75" customHeight="1">
      <c r="A1056" s="750"/>
      <c r="B1056" s="751"/>
      <c r="C1056" s="751"/>
      <c r="D1056" s="252" t="s">
        <v>309</v>
      </c>
      <c r="E1056" s="142" t="e">
        <f>+[2]INVERSIÓN!$DI$53</f>
        <v>#REF!</v>
      </c>
      <c r="F1056" s="142" t="e">
        <f>+[2]INVERSIÓN!$DK$53</f>
        <v>#REF!</v>
      </c>
      <c r="G1056" s="252" t="s">
        <v>422</v>
      </c>
    </row>
    <row r="1057" spans="1:7" ht="24.75" customHeight="1">
      <c r="A1057" s="748" t="s">
        <v>138</v>
      </c>
      <c r="B1057" s="751" t="s">
        <v>343</v>
      </c>
      <c r="C1057" s="751" t="s">
        <v>412</v>
      </c>
      <c r="D1057" s="252" t="s">
        <v>304</v>
      </c>
      <c r="E1057" s="142" t="e">
        <f>+[2]INVERSIÓN!$DI$11</f>
        <v>#REF!</v>
      </c>
      <c r="F1057" s="142" t="e">
        <f>+[2]INVERSIÓN!$DK$11</f>
        <v>#REF!</v>
      </c>
      <c r="G1057" s="252" t="s">
        <v>422</v>
      </c>
    </row>
    <row r="1058" spans="1:7" ht="24.75" customHeight="1">
      <c r="A1058" s="749"/>
      <c r="B1058" s="751"/>
      <c r="C1058" s="751"/>
      <c r="D1058" s="252" t="s">
        <v>595</v>
      </c>
      <c r="E1058" s="142" t="e">
        <f>+[2]INVERSIÓN!$DI$18</f>
        <v>#REF!</v>
      </c>
      <c r="F1058" s="142" t="e">
        <f>+[2]INVERSIÓN!$DK$18</f>
        <v>#REF!</v>
      </c>
      <c r="G1058" s="252" t="s">
        <v>422</v>
      </c>
    </row>
    <row r="1059" spans="1:7" ht="24.75" customHeight="1">
      <c r="A1059" s="749"/>
      <c r="B1059" s="751"/>
      <c r="C1059" s="751"/>
      <c r="D1059" s="252" t="s">
        <v>415</v>
      </c>
      <c r="E1059" s="142" t="e">
        <f>+[2]INVERSIÓN!$DI$25</f>
        <v>#REF!</v>
      </c>
      <c r="F1059" s="142" t="e">
        <f>+[2]INVERSIÓN!$DK$25</f>
        <v>#REF!</v>
      </c>
      <c r="G1059" s="252" t="s">
        <v>422</v>
      </c>
    </row>
    <row r="1060" spans="1:7" ht="24.75" customHeight="1">
      <c r="A1060" s="749"/>
      <c r="B1060" s="252" t="s">
        <v>350</v>
      </c>
      <c r="C1060" s="252" t="s">
        <v>416</v>
      </c>
      <c r="D1060" s="252" t="s">
        <v>417</v>
      </c>
      <c r="E1060" s="142" t="e">
        <f>+[2]INVERSIÓN!$DI$32</f>
        <v>#REF!</v>
      </c>
      <c r="F1060" s="142" t="e">
        <f>+[2]INVERSIÓN!$DK$32</f>
        <v>#REF!</v>
      </c>
      <c r="G1060" s="252" t="s">
        <v>422</v>
      </c>
    </row>
    <row r="1061" spans="1:7" ht="24.75" customHeight="1">
      <c r="A1061" s="749"/>
      <c r="B1061" s="252" t="s">
        <v>354</v>
      </c>
      <c r="C1061" s="252" t="s">
        <v>418</v>
      </c>
      <c r="D1061" s="252" t="s">
        <v>419</v>
      </c>
      <c r="E1061" s="142" t="e">
        <f>+[2]INVERSIÓN!$DI$39</f>
        <v>#REF!</v>
      </c>
      <c r="F1061" s="142" t="e">
        <f>+[2]INVERSIÓN!$DK$39</f>
        <v>#REF!</v>
      </c>
      <c r="G1061" s="252" t="s">
        <v>422</v>
      </c>
    </row>
    <row r="1062" spans="1:7" ht="24.75" customHeight="1">
      <c r="A1062" s="749"/>
      <c r="B1062" s="751" t="s">
        <v>358</v>
      </c>
      <c r="C1062" s="751" t="s">
        <v>420</v>
      </c>
      <c r="D1062" s="252" t="s">
        <v>421</v>
      </c>
      <c r="E1062" s="142" t="e">
        <f>+[2]INVERSIÓN!$DI$46</f>
        <v>#REF!</v>
      </c>
      <c r="F1062" s="142" t="e">
        <f>+[2]INVERSIÓN!$DK$46</f>
        <v>#REF!</v>
      </c>
      <c r="G1062" s="252" t="s">
        <v>422</v>
      </c>
    </row>
    <row r="1063" spans="1:7" ht="24.75" customHeight="1">
      <c r="A1063" s="750"/>
      <c r="B1063" s="751"/>
      <c r="C1063" s="751"/>
      <c r="D1063" s="252" t="s">
        <v>309</v>
      </c>
      <c r="E1063" s="142" t="e">
        <f>+[2]INVERSIÓN!$DI$53</f>
        <v>#REF!</v>
      </c>
      <c r="F1063" s="142" t="e">
        <f>+[2]INVERSIÓN!$DK$53</f>
        <v>#REF!</v>
      </c>
      <c r="G1063" s="252" t="s">
        <v>422</v>
      </c>
    </row>
    <row r="1064" spans="1:7" ht="24.75" customHeight="1">
      <c r="A1064" s="748" t="s">
        <v>139</v>
      </c>
      <c r="B1064" s="751" t="s">
        <v>343</v>
      </c>
      <c r="C1064" s="751" t="s">
        <v>412</v>
      </c>
      <c r="D1064" s="252" t="s">
        <v>304</v>
      </c>
      <c r="E1064" s="142" t="e">
        <f>+[2]INVERSIÓN!$DI$11</f>
        <v>#REF!</v>
      </c>
      <c r="F1064" s="142" t="e">
        <f>+[2]INVERSIÓN!$DK$11</f>
        <v>#REF!</v>
      </c>
      <c r="G1064" s="252" t="s">
        <v>422</v>
      </c>
    </row>
    <row r="1065" spans="1:7" ht="24.75" customHeight="1">
      <c r="A1065" s="749"/>
      <c r="B1065" s="751"/>
      <c r="C1065" s="751"/>
      <c r="D1065" s="252" t="s">
        <v>595</v>
      </c>
      <c r="E1065" s="142" t="e">
        <f>+[2]INVERSIÓN!$DI$18</f>
        <v>#REF!</v>
      </c>
      <c r="F1065" s="142" t="e">
        <f>+[2]INVERSIÓN!$DK$18</f>
        <v>#REF!</v>
      </c>
      <c r="G1065" s="252" t="s">
        <v>422</v>
      </c>
    </row>
    <row r="1066" spans="1:7" ht="24.75" customHeight="1">
      <c r="A1066" s="749"/>
      <c r="B1066" s="751"/>
      <c r="C1066" s="751"/>
      <c r="D1066" s="252" t="s">
        <v>415</v>
      </c>
      <c r="E1066" s="142" t="e">
        <f>+[2]INVERSIÓN!$DI$25</f>
        <v>#REF!</v>
      </c>
      <c r="F1066" s="142" t="e">
        <f>+[2]INVERSIÓN!$DK$25</f>
        <v>#REF!</v>
      </c>
      <c r="G1066" s="252" t="s">
        <v>422</v>
      </c>
    </row>
    <row r="1067" spans="1:7" ht="24.75" customHeight="1">
      <c r="A1067" s="749"/>
      <c r="B1067" s="252" t="s">
        <v>350</v>
      </c>
      <c r="C1067" s="252" t="s">
        <v>416</v>
      </c>
      <c r="D1067" s="252" t="s">
        <v>417</v>
      </c>
      <c r="E1067" s="142" t="e">
        <f>+[2]INVERSIÓN!$DI$32</f>
        <v>#REF!</v>
      </c>
      <c r="F1067" s="142" t="e">
        <f>+[2]INVERSIÓN!$DK$32</f>
        <v>#REF!</v>
      </c>
      <c r="G1067" s="252" t="s">
        <v>422</v>
      </c>
    </row>
    <row r="1068" spans="1:7" ht="24.75" customHeight="1">
      <c r="A1068" s="749"/>
      <c r="B1068" s="252" t="s">
        <v>354</v>
      </c>
      <c r="C1068" s="252" t="s">
        <v>418</v>
      </c>
      <c r="D1068" s="252" t="s">
        <v>419</v>
      </c>
      <c r="E1068" s="142" t="e">
        <f>+[2]INVERSIÓN!$DI$39</f>
        <v>#REF!</v>
      </c>
      <c r="F1068" s="142" t="e">
        <f>+[2]INVERSIÓN!$DK$39</f>
        <v>#REF!</v>
      </c>
      <c r="G1068" s="252" t="s">
        <v>422</v>
      </c>
    </row>
    <row r="1069" spans="1:7" ht="24.75" customHeight="1">
      <c r="A1069" s="749"/>
      <c r="B1069" s="751" t="s">
        <v>358</v>
      </c>
      <c r="C1069" s="751" t="s">
        <v>420</v>
      </c>
      <c r="D1069" s="252" t="s">
        <v>421</v>
      </c>
      <c r="E1069" s="142" t="e">
        <f>+[2]INVERSIÓN!$DI$46</f>
        <v>#REF!</v>
      </c>
      <c r="F1069" s="142" t="e">
        <f>+[2]INVERSIÓN!$DK$46</f>
        <v>#REF!</v>
      </c>
      <c r="G1069" s="252" t="s">
        <v>422</v>
      </c>
    </row>
    <row r="1070" spans="1:7" ht="24.75" customHeight="1">
      <c r="A1070" s="750"/>
      <c r="B1070" s="751"/>
      <c r="C1070" s="751"/>
      <c r="D1070" s="252" t="s">
        <v>309</v>
      </c>
      <c r="E1070" s="142" t="e">
        <f>+[2]INVERSIÓN!$DI$53</f>
        <v>#REF!</v>
      </c>
      <c r="F1070" s="142" t="e">
        <f>+[2]INVERSIÓN!$DK$53</f>
        <v>#REF!</v>
      </c>
      <c r="G1070" s="252" t="s">
        <v>422</v>
      </c>
    </row>
    <row r="1071" spans="1:7" ht="24.75" customHeight="1">
      <c r="A1071" s="748" t="s">
        <v>706</v>
      </c>
      <c r="B1071" s="751" t="s">
        <v>343</v>
      </c>
      <c r="C1071" s="751" t="s">
        <v>412</v>
      </c>
      <c r="D1071" s="252" t="s">
        <v>304</v>
      </c>
      <c r="E1071" s="142" t="e">
        <f>+[2]INVERSIÓN!$DI$11</f>
        <v>#REF!</v>
      </c>
      <c r="F1071" s="142" t="e">
        <f>+[2]INVERSIÓN!$DK$11</f>
        <v>#REF!</v>
      </c>
      <c r="G1071" s="252" t="s">
        <v>422</v>
      </c>
    </row>
    <row r="1072" spans="1:7" ht="24.75" customHeight="1">
      <c r="A1072" s="749"/>
      <c r="B1072" s="751"/>
      <c r="C1072" s="751"/>
      <c r="D1072" s="252" t="s">
        <v>595</v>
      </c>
      <c r="E1072" s="142" t="e">
        <f>+[2]INVERSIÓN!$DI$18</f>
        <v>#REF!</v>
      </c>
      <c r="F1072" s="142" t="e">
        <f>+[2]INVERSIÓN!$DK$18</f>
        <v>#REF!</v>
      </c>
      <c r="G1072" s="252" t="s">
        <v>422</v>
      </c>
    </row>
    <row r="1073" spans="1:7" ht="24.75" customHeight="1">
      <c r="A1073" s="749"/>
      <c r="B1073" s="751"/>
      <c r="C1073" s="751"/>
      <c r="D1073" s="252" t="s">
        <v>415</v>
      </c>
      <c r="E1073" s="142" t="e">
        <f>+[2]INVERSIÓN!$DI$25</f>
        <v>#REF!</v>
      </c>
      <c r="F1073" s="142" t="e">
        <f>+[2]INVERSIÓN!$DK$25</f>
        <v>#REF!</v>
      </c>
      <c r="G1073" s="252" t="s">
        <v>422</v>
      </c>
    </row>
    <row r="1074" spans="1:7" ht="24.75" customHeight="1">
      <c r="A1074" s="749"/>
      <c r="B1074" s="252" t="s">
        <v>350</v>
      </c>
      <c r="C1074" s="252" t="s">
        <v>416</v>
      </c>
      <c r="D1074" s="252" t="s">
        <v>417</v>
      </c>
      <c r="E1074" s="142" t="e">
        <f>+[2]INVERSIÓN!$DI$32</f>
        <v>#REF!</v>
      </c>
      <c r="F1074" s="142" t="e">
        <f>+[2]INVERSIÓN!$DK$32</f>
        <v>#REF!</v>
      </c>
      <c r="G1074" s="252" t="s">
        <v>422</v>
      </c>
    </row>
    <row r="1075" spans="1:7" ht="24.75" customHeight="1">
      <c r="A1075" s="749"/>
      <c r="B1075" s="252" t="s">
        <v>354</v>
      </c>
      <c r="C1075" s="252" t="s">
        <v>418</v>
      </c>
      <c r="D1075" s="252" t="s">
        <v>419</v>
      </c>
      <c r="E1075" s="142" t="e">
        <f>+[2]INVERSIÓN!$DI$39</f>
        <v>#REF!</v>
      </c>
      <c r="F1075" s="142" t="e">
        <f>+[2]INVERSIÓN!$DK$39</f>
        <v>#REF!</v>
      </c>
      <c r="G1075" s="252" t="s">
        <v>422</v>
      </c>
    </row>
    <row r="1076" spans="1:7" ht="24.75" customHeight="1">
      <c r="A1076" s="749"/>
      <c r="B1076" s="751" t="s">
        <v>358</v>
      </c>
      <c r="C1076" s="751" t="s">
        <v>420</v>
      </c>
      <c r="D1076" s="252" t="s">
        <v>421</v>
      </c>
      <c r="E1076" s="142" t="e">
        <f>+[2]INVERSIÓN!$DI$46</f>
        <v>#REF!</v>
      </c>
      <c r="F1076" s="142" t="e">
        <f>+[2]INVERSIÓN!$DK$46</f>
        <v>#REF!</v>
      </c>
      <c r="G1076" s="252" t="s">
        <v>422</v>
      </c>
    </row>
    <row r="1077" spans="1:7" ht="24.75" customHeight="1">
      <c r="A1077" s="750"/>
      <c r="B1077" s="751"/>
      <c r="C1077" s="751"/>
      <c r="D1077" s="252" t="s">
        <v>309</v>
      </c>
      <c r="E1077" s="142" t="e">
        <f>+[2]INVERSIÓN!$DI$53</f>
        <v>#REF!</v>
      </c>
      <c r="F1077" s="142" t="e">
        <f>+[2]INVERSIÓN!$DK$53</f>
        <v>#REF!</v>
      </c>
      <c r="G1077" s="252" t="s">
        <v>422</v>
      </c>
    </row>
    <row r="1078" spans="1:7" ht="24.75" customHeight="1">
      <c r="A1078" s="748" t="s">
        <v>710</v>
      </c>
      <c r="B1078" s="751" t="s">
        <v>343</v>
      </c>
      <c r="C1078" s="751" t="s">
        <v>412</v>
      </c>
      <c r="D1078" s="252" t="s">
        <v>304</v>
      </c>
      <c r="E1078" s="142">
        <f>+INVERSIÓN!DL11</f>
        <v>1587830354</v>
      </c>
      <c r="F1078" s="142">
        <f>+INVERSIÓN!DM11</f>
        <v>1581509471</v>
      </c>
      <c r="G1078" s="252" t="s">
        <v>422</v>
      </c>
    </row>
    <row r="1079" spans="1:7" ht="24.75" customHeight="1">
      <c r="A1079" s="749"/>
      <c r="B1079" s="751"/>
      <c r="C1079" s="751"/>
      <c r="D1079" s="252" t="s">
        <v>595</v>
      </c>
      <c r="E1079" s="142">
        <f>+INVERSIÓN!DL18</f>
        <v>2943746700</v>
      </c>
      <c r="F1079" s="142">
        <f>+INVERSIÓN!DM18</f>
        <v>2316950923</v>
      </c>
      <c r="G1079" s="252" t="s">
        <v>422</v>
      </c>
    </row>
    <row r="1080" spans="1:7" ht="24.75" customHeight="1">
      <c r="A1080" s="749"/>
      <c r="B1080" s="751"/>
      <c r="C1080" s="751"/>
      <c r="D1080" s="252" t="s">
        <v>415</v>
      </c>
      <c r="E1080" s="142">
        <f>+INVERSIÓN!DL25</f>
        <v>3019226595</v>
      </c>
      <c r="F1080" s="142">
        <f>+INVERSIÓN!DM25</f>
        <v>3013503988</v>
      </c>
      <c r="G1080" s="252" t="s">
        <v>422</v>
      </c>
    </row>
    <row r="1081" spans="1:7" ht="24.75" customHeight="1">
      <c r="A1081" s="749"/>
      <c r="B1081" s="252" t="s">
        <v>350</v>
      </c>
      <c r="C1081" s="252" t="s">
        <v>416</v>
      </c>
      <c r="D1081" s="252" t="s">
        <v>417</v>
      </c>
      <c r="E1081" s="142">
        <f>+INVERSIÓN!DL32</f>
        <v>1223986699</v>
      </c>
      <c r="F1081" s="142">
        <f>+INVERSIÓN!DM32</f>
        <v>1222018466</v>
      </c>
      <c r="G1081" s="252" t="s">
        <v>422</v>
      </c>
    </row>
    <row r="1082" spans="1:7" ht="24.75" customHeight="1">
      <c r="A1082" s="749"/>
      <c r="B1082" s="252" t="s">
        <v>354</v>
      </c>
      <c r="C1082" s="252" t="s">
        <v>418</v>
      </c>
      <c r="D1082" s="252" t="s">
        <v>419</v>
      </c>
      <c r="E1082" s="142">
        <f>+INVERSIÓN!DL39</f>
        <v>550281167</v>
      </c>
      <c r="F1082" s="142">
        <f>+INVERSIÓN!DM39</f>
        <v>538000786</v>
      </c>
      <c r="G1082" s="252" t="s">
        <v>422</v>
      </c>
    </row>
    <row r="1083" spans="1:7" ht="24.75" customHeight="1">
      <c r="A1083" s="749"/>
      <c r="B1083" s="751" t="s">
        <v>358</v>
      </c>
      <c r="C1083" s="751" t="s">
        <v>420</v>
      </c>
      <c r="D1083" s="252" t="s">
        <v>421</v>
      </c>
      <c r="E1083" s="142">
        <f>+INVERSIÓN!DL46</f>
        <v>1625097832</v>
      </c>
      <c r="F1083" s="142">
        <f>+INVERSIÓN!DM46</f>
        <v>1616580500</v>
      </c>
      <c r="G1083" s="252" t="s">
        <v>422</v>
      </c>
    </row>
    <row r="1084" spans="1:7" ht="24.75" customHeight="1">
      <c r="A1084" s="750"/>
      <c r="B1084" s="751"/>
      <c r="C1084" s="751"/>
      <c r="D1084" s="252" t="s">
        <v>309</v>
      </c>
      <c r="E1084" s="142">
        <f>+INVERSIÓN!DL53</f>
        <v>785712653</v>
      </c>
      <c r="F1084" s="142">
        <f>+INVERSIÓN!DM53</f>
        <v>785712653</v>
      </c>
      <c r="G1084" s="252" t="s">
        <v>422</v>
      </c>
    </row>
    <row r="1085" spans="1:7" ht="24.75" customHeight="1">
      <c r="A1085" s="748" t="s">
        <v>712</v>
      </c>
      <c r="B1085" s="751" t="s">
        <v>343</v>
      </c>
      <c r="C1085" s="751" t="s">
        <v>412</v>
      </c>
      <c r="D1085" s="252" t="s">
        <v>304</v>
      </c>
      <c r="E1085" s="142">
        <v>1747076834</v>
      </c>
      <c r="F1085" s="142">
        <v>942907000</v>
      </c>
      <c r="G1085" s="252" t="s">
        <v>422</v>
      </c>
    </row>
    <row r="1086" spans="1:7" ht="24.75" customHeight="1">
      <c r="A1086" s="749"/>
      <c r="B1086" s="751"/>
      <c r="C1086" s="751"/>
      <c r="D1086" s="252" t="s">
        <v>595</v>
      </c>
      <c r="E1086" s="142">
        <v>3530156000</v>
      </c>
      <c r="F1086" s="142">
        <v>1778845958</v>
      </c>
      <c r="G1086" s="252" t="s">
        <v>422</v>
      </c>
    </row>
    <row r="1087" spans="1:7" ht="24.75" customHeight="1">
      <c r="A1087" s="749"/>
      <c r="B1087" s="751"/>
      <c r="C1087" s="751"/>
      <c r="D1087" s="252" t="s">
        <v>415</v>
      </c>
      <c r="E1087" s="142">
        <v>3037453000</v>
      </c>
      <c r="F1087" s="142">
        <v>2577120695</v>
      </c>
      <c r="G1087" s="252" t="s">
        <v>422</v>
      </c>
    </row>
    <row r="1088" spans="1:7" ht="24.75" customHeight="1">
      <c r="A1088" s="749"/>
      <c r="B1088" s="252" t="s">
        <v>350</v>
      </c>
      <c r="C1088" s="252" t="s">
        <v>416</v>
      </c>
      <c r="D1088" s="252" t="s">
        <v>417</v>
      </c>
      <c r="E1088" s="142">
        <v>1163612666</v>
      </c>
      <c r="F1088" s="142">
        <v>1066399666</v>
      </c>
      <c r="G1088" s="252" t="s">
        <v>422</v>
      </c>
    </row>
    <row r="1089" spans="1:7" ht="24.75" customHeight="1">
      <c r="A1089" s="749"/>
      <c r="B1089" s="252" t="s">
        <v>354</v>
      </c>
      <c r="C1089" s="252" t="s">
        <v>418</v>
      </c>
      <c r="D1089" s="252" t="s">
        <v>419</v>
      </c>
      <c r="E1089" s="142">
        <v>540599000</v>
      </c>
      <c r="F1089" s="142">
        <v>481666944</v>
      </c>
      <c r="G1089" s="252" t="s">
        <v>422</v>
      </c>
    </row>
    <row r="1090" spans="1:7" ht="24.75" customHeight="1">
      <c r="A1090" s="749"/>
      <c r="B1090" s="751" t="s">
        <v>358</v>
      </c>
      <c r="C1090" s="751" t="s">
        <v>420</v>
      </c>
      <c r="D1090" s="252" t="s">
        <v>720</v>
      </c>
      <c r="E1090" s="142">
        <v>1557344500</v>
      </c>
      <c r="F1090" s="142">
        <v>1517441500</v>
      </c>
      <c r="G1090" s="252" t="s">
        <v>422</v>
      </c>
    </row>
    <row r="1091" spans="1:7" ht="24.75" customHeight="1">
      <c r="A1091" s="750"/>
      <c r="B1091" s="751"/>
      <c r="C1091" s="751"/>
      <c r="D1091" s="252" t="s">
        <v>309</v>
      </c>
      <c r="E1091" s="142">
        <v>809640000</v>
      </c>
      <c r="F1091" s="142">
        <v>753209000</v>
      </c>
      <c r="G1091" s="252" t="s">
        <v>422</v>
      </c>
    </row>
    <row r="1092" spans="1:7" ht="24.75" customHeight="1">
      <c r="A1092" s="748" t="s">
        <v>721</v>
      </c>
      <c r="B1092" s="751" t="s">
        <v>343</v>
      </c>
      <c r="C1092" s="751" t="s">
        <v>412</v>
      </c>
      <c r="D1092" s="252" t="s">
        <v>304</v>
      </c>
      <c r="E1092" s="142">
        <f>+INVERSIÓN!$DL$11</f>
        <v>1587830354</v>
      </c>
      <c r="F1092" s="142">
        <f>+INVERSIÓN!$DM$11</f>
        <v>1581509471</v>
      </c>
      <c r="G1092" s="252" t="s">
        <v>422</v>
      </c>
    </row>
    <row r="1093" spans="1:7" ht="24.75" customHeight="1">
      <c r="A1093" s="749"/>
      <c r="B1093" s="751"/>
      <c r="C1093" s="751"/>
      <c r="D1093" s="252" t="s">
        <v>595</v>
      </c>
      <c r="E1093" s="142">
        <f>+INVERSIÓN!$DL$18</f>
        <v>2943746700</v>
      </c>
      <c r="F1093" s="142">
        <f>+INVERSIÓN!$DM$18</f>
        <v>2316950923</v>
      </c>
      <c r="G1093" s="252" t="s">
        <v>422</v>
      </c>
    </row>
    <row r="1094" spans="1:7" ht="24.75" customHeight="1">
      <c r="A1094" s="749"/>
      <c r="B1094" s="751"/>
      <c r="C1094" s="751"/>
      <c r="D1094" s="252" t="s">
        <v>415</v>
      </c>
      <c r="E1094" s="142">
        <f>+INVERSIÓN!$DL$25</f>
        <v>3019226595</v>
      </c>
      <c r="F1094" s="142">
        <f>+INVERSIÓN!$DM$25</f>
        <v>3013503988</v>
      </c>
      <c r="G1094" s="252" t="s">
        <v>422</v>
      </c>
    </row>
    <row r="1095" spans="1:7" ht="24.75" customHeight="1">
      <c r="A1095" s="749"/>
      <c r="B1095" s="252" t="s">
        <v>350</v>
      </c>
      <c r="C1095" s="252" t="s">
        <v>416</v>
      </c>
      <c r="D1095" s="252" t="s">
        <v>417</v>
      </c>
      <c r="E1095" s="142">
        <f>+INVERSIÓN!$DL$32</f>
        <v>1223986699</v>
      </c>
      <c r="F1095" s="142">
        <f>+INVERSIÓN!$DM$32</f>
        <v>1222018466</v>
      </c>
      <c r="G1095" s="252" t="s">
        <v>422</v>
      </c>
    </row>
    <row r="1096" spans="1:7" ht="24.75" customHeight="1">
      <c r="A1096" s="749"/>
      <c r="B1096" s="252" t="s">
        <v>354</v>
      </c>
      <c r="C1096" s="252" t="s">
        <v>418</v>
      </c>
      <c r="D1096" s="252" t="s">
        <v>419</v>
      </c>
      <c r="E1096" s="142">
        <f>+INVERSIÓN!$DL$39</f>
        <v>550281167</v>
      </c>
      <c r="F1096" s="142">
        <f>+INVERSIÓN!$DM$39</f>
        <v>538000786</v>
      </c>
      <c r="G1096" s="252" t="s">
        <v>422</v>
      </c>
    </row>
    <row r="1097" spans="1:7" ht="24.75" customHeight="1">
      <c r="A1097" s="749"/>
      <c r="B1097" s="751" t="s">
        <v>358</v>
      </c>
      <c r="C1097" s="751" t="s">
        <v>420</v>
      </c>
      <c r="D1097" s="252" t="s">
        <v>720</v>
      </c>
      <c r="E1097" s="142">
        <f>+INVERSIÓN!$DL$46</f>
        <v>1625097832</v>
      </c>
      <c r="F1097" s="142">
        <f>+INVERSIÓN!$DM$46</f>
        <v>1616580500</v>
      </c>
      <c r="G1097" s="252" t="s">
        <v>422</v>
      </c>
    </row>
    <row r="1098" spans="1:7" ht="24.75" customHeight="1">
      <c r="A1098" s="750"/>
      <c r="B1098" s="751"/>
      <c r="C1098" s="751"/>
      <c r="D1098" s="252" t="s">
        <v>309</v>
      </c>
      <c r="E1098" s="142">
        <f>+INVERSIÓN!$DL$53</f>
        <v>785712653</v>
      </c>
      <c r="F1098" s="142">
        <f>+INVERSIÓN!$DM$53</f>
        <v>785712653</v>
      </c>
      <c r="G1098" s="252" t="s">
        <v>422</v>
      </c>
    </row>
    <row r="1099" spans="1:7" ht="24.75" customHeight="1">
      <c r="A1099" s="748" t="s">
        <v>738</v>
      </c>
      <c r="B1099" s="751" t="s">
        <v>343</v>
      </c>
      <c r="C1099" s="751" t="s">
        <v>412</v>
      </c>
      <c r="D1099" s="252" t="s">
        <v>304</v>
      </c>
      <c r="E1099" s="142">
        <v>1616030154</v>
      </c>
      <c r="F1099" s="142">
        <v>1085607000</v>
      </c>
      <c r="G1099" s="252" t="s">
        <v>422</v>
      </c>
    </row>
    <row r="1100" spans="1:7" ht="24.75" customHeight="1">
      <c r="A1100" s="749"/>
      <c r="B1100" s="751"/>
      <c r="C1100" s="751"/>
      <c r="D1100" s="252" t="s">
        <v>595</v>
      </c>
      <c r="E1100" s="142">
        <v>3563658800</v>
      </c>
      <c r="F1100" s="142">
        <v>2098565644</v>
      </c>
      <c r="G1100" s="252" t="s">
        <v>422</v>
      </c>
    </row>
    <row r="1101" spans="1:7" ht="24.75" customHeight="1">
      <c r="A1101" s="749"/>
      <c r="B1101" s="751"/>
      <c r="C1101" s="751"/>
      <c r="D1101" s="252" t="s">
        <v>415</v>
      </c>
      <c r="E1101" s="142">
        <v>3053478695</v>
      </c>
      <c r="F1101" s="142">
        <v>2752134695</v>
      </c>
      <c r="G1101" s="252" t="s">
        <v>422</v>
      </c>
    </row>
    <row r="1102" spans="1:7" ht="24.75" customHeight="1">
      <c r="A1102" s="749"/>
      <c r="B1102" s="252" t="s">
        <v>350</v>
      </c>
      <c r="C1102" s="252" t="s">
        <v>416</v>
      </c>
      <c r="D1102" s="252" t="s">
        <v>417</v>
      </c>
      <c r="E1102" s="142">
        <v>1204899099</v>
      </c>
      <c r="F1102" s="142">
        <v>1066399666</v>
      </c>
      <c r="G1102" s="252" t="s">
        <v>422</v>
      </c>
    </row>
    <row r="1103" spans="1:7" ht="24.75" customHeight="1">
      <c r="A1103" s="749"/>
      <c r="B1103" s="252" t="s">
        <v>354</v>
      </c>
      <c r="C1103" s="252" t="s">
        <v>418</v>
      </c>
      <c r="D1103" s="252" t="s">
        <v>419</v>
      </c>
      <c r="E1103" s="142">
        <v>558846267</v>
      </c>
      <c r="F1103" s="142">
        <v>481666944</v>
      </c>
      <c r="G1103" s="252" t="s">
        <v>422</v>
      </c>
    </row>
    <row r="1104" spans="1:7" ht="24.75" customHeight="1">
      <c r="A1104" s="749"/>
      <c r="B1104" s="751" t="s">
        <v>358</v>
      </c>
      <c r="C1104" s="751" t="s">
        <v>420</v>
      </c>
      <c r="D1104" s="252" t="s">
        <v>720</v>
      </c>
      <c r="E1104" s="142">
        <v>1594881932</v>
      </c>
      <c r="F1104" s="142">
        <v>1517441500</v>
      </c>
      <c r="G1104" s="252" t="s">
        <v>422</v>
      </c>
    </row>
    <row r="1105" spans="1:7" ht="24.75" customHeight="1">
      <c r="A1105" s="750"/>
      <c r="B1105" s="751"/>
      <c r="C1105" s="751"/>
      <c r="D1105" s="252" t="s">
        <v>309</v>
      </c>
      <c r="E1105" s="142">
        <v>794087053</v>
      </c>
      <c r="F1105" s="142">
        <v>757691652</v>
      </c>
      <c r="G1105" s="252" t="s">
        <v>422</v>
      </c>
    </row>
    <row r="1106" spans="1:7" ht="24.75" customHeight="1">
      <c r="A1106" s="748" t="s">
        <v>739</v>
      </c>
      <c r="B1106" s="751" t="s">
        <v>343</v>
      </c>
      <c r="C1106" s="751" t="s">
        <v>412</v>
      </c>
      <c r="D1106" s="252" t="s">
        <v>304</v>
      </c>
      <c r="E1106" s="142">
        <v>1596594354</v>
      </c>
      <c r="F1106" s="142">
        <v>1129378400</v>
      </c>
      <c r="G1106" s="252" t="s">
        <v>422</v>
      </c>
    </row>
    <row r="1107" spans="1:7" ht="24.75" customHeight="1">
      <c r="A1107" s="749"/>
      <c r="B1107" s="751"/>
      <c r="C1107" s="751"/>
      <c r="D1107" s="252" t="s">
        <v>595</v>
      </c>
      <c r="E1107" s="142">
        <v>3572033200</v>
      </c>
      <c r="F1107" s="142">
        <v>2124540824</v>
      </c>
      <c r="G1107" s="252" t="s">
        <v>422</v>
      </c>
    </row>
    <row r="1108" spans="1:7" ht="24.75" customHeight="1">
      <c r="A1108" s="749"/>
      <c r="B1108" s="751"/>
      <c r="C1108" s="751"/>
      <c r="D1108" s="252" t="s">
        <v>415</v>
      </c>
      <c r="E1108" s="142">
        <v>3064957095</v>
      </c>
      <c r="F1108" s="142">
        <v>2796009795</v>
      </c>
      <c r="G1108" s="252" t="s">
        <v>422</v>
      </c>
    </row>
    <row r="1109" spans="1:7" ht="24.75" customHeight="1">
      <c r="A1109" s="749"/>
      <c r="B1109" s="252" t="s">
        <v>350</v>
      </c>
      <c r="C1109" s="252" t="s">
        <v>416</v>
      </c>
      <c r="D1109" s="252" t="s">
        <v>417</v>
      </c>
      <c r="E1109" s="142">
        <v>1208157599</v>
      </c>
      <c r="F1109" s="142">
        <v>1128719166</v>
      </c>
      <c r="G1109" s="252" t="s">
        <v>422</v>
      </c>
    </row>
    <row r="1110" spans="1:7" ht="24.75" customHeight="1">
      <c r="A1110" s="749"/>
      <c r="B1110" s="252" t="s">
        <v>354</v>
      </c>
      <c r="C1110" s="252" t="s">
        <v>418</v>
      </c>
      <c r="D1110" s="252" t="s">
        <v>419</v>
      </c>
      <c r="E1110" s="142">
        <v>558846267</v>
      </c>
      <c r="F1110" s="142">
        <v>513434344</v>
      </c>
      <c r="G1110" s="252" t="s">
        <v>422</v>
      </c>
    </row>
    <row r="1111" spans="1:7" ht="24.75" customHeight="1">
      <c r="A1111" s="749"/>
      <c r="B1111" s="751" t="s">
        <v>358</v>
      </c>
      <c r="C1111" s="751" t="s">
        <v>420</v>
      </c>
      <c r="D1111" s="252" t="s">
        <v>720</v>
      </c>
      <c r="E1111" s="142">
        <v>1599580832</v>
      </c>
      <c r="F1111" s="142">
        <v>1567170300</v>
      </c>
      <c r="G1111" s="252" t="s">
        <v>422</v>
      </c>
    </row>
    <row r="1112" spans="1:7" ht="24.75" customHeight="1">
      <c r="A1112" s="750"/>
      <c r="B1112" s="751"/>
      <c r="C1112" s="751"/>
      <c r="D1112" s="252" t="s">
        <v>309</v>
      </c>
      <c r="E1112" s="142">
        <v>785712653</v>
      </c>
      <c r="F1112" s="142">
        <v>785712653</v>
      </c>
      <c r="G1112" s="252" t="s">
        <v>422</v>
      </c>
    </row>
    <row r="1113" spans="1:7" ht="24.75" customHeight="1">
      <c r="A1113" s="805" t="s">
        <v>774</v>
      </c>
      <c r="B1113" s="808" t="s">
        <v>343</v>
      </c>
      <c r="C1113" s="808" t="s">
        <v>412</v>
      </c>
      <c r="D1113" s="475" t="s">
        <v>304</v>
      </c>
      <c r="E1113" s="142">
        <f>+INVERSIÓN!$DL$11</f>
        <v>1587830354</v>
      </c>
      <c r="F1113" s="142">
        <f>+INVERSIÓN!$DM$11</f>
        <v>1581509471</v>
      </c>
      <c r="G1113" s="475" t="s">
        <v>422</v>
      </c>
    </row>
    <row r="1114" spans="1:7" ht="24.75" customHeight="1">
      <c r="A1114" s="806"/>
      <c r="B1114" s="808"/>
      <c r="C1114" s="808"/>
      <c r="D1114" s="475" t="s">
        <v>595</v>
      </c>
      <c r="E1114" s="142">
        <f>+INVERSIÓN!$DL$18</f>
        <v>2943746700</v>
      </c>
      <c r="F1114" s="142">
        <f>+INVERSIÓN!$DM$18</f>
        <v>2316950923</v>
      </c>
      <c r="G1114" s="475" t="s">
        <v>422</v>
      </c>
    </row>
    <row r="1115" spans="1:7" ht="24.75" customHeight="1">
      <c r="A1115" s="806"/>
      <c r="B1115" s="808"/>
      <c r="C1115" s="808"/>
      <c r="D1115" s="475" t="s">
        <v>415</v>
      </c>
      <c r="E1115" s="142">
        <f>+INVERSIÓN!$DL$25</f>
        <v>3019226595</v>
      </c>
      <c r="F1115" s="142">
        <f>+INVERSIÓN!$DM$25</f>
        <v>3013503988</v>
      </c>
      <c r="G1115" s="475" t="s">
        <v>422</v>
      </c>
    </row>
    <row r="1116" spans="1:7" ht="24.75" customHeight="1">
      <c r="A1116" s="806"/>
      <c r="B1116" s="475" t="s">
        <v>350</v>
      </c>
      <c r="C1116" s="475" t="s">
        <v>416</v>
      </c>
      <c r="D1116" s="475" t="s">
        <v>417</v>
      </c>
      <c r="E1116" s="142">
        <f>+INVERSIÓN!$DL$32</f>
        <v>1223986699</v>
      </c>
      <c r="F1116" s="142">
        <f>+INVERSIÓN!$DM$32</f>
        <v>1222018466</v>
      </c>
      <c r="G1116" s="475" t="s">
        <v>422</v>
      </c>
    </row>
    <row r="1117" spans="1:7" ht="24.75" customHeight="1">
      <c r="A1117" s="806"/>
      <c r="B1117" s="475" t="s">
        <v>354</v>
      </c>
      <c r="C1117" s="475" t="s">
        <v>418</v>
      </c>
      <c r="D1117" s="475" t="s">
        <v>419</v>
      </c>
      <c r="E1117" s="142">
        <f>+INVERSIÓN!$DL$39</f>
        <v>550281167</v>
      </c>
      <c r="F1117" s="142">
        <f>+INVERSIÓN!$DM$39</f>
        <v>538000786</v>
      </c>
      <c r="G1117" s="475" t="s">
        <v>422</v>
      </c>
    </row>
    <row r="1118" spans="1:7" ht="24.75" customHeight="1">
      <c r="A1118" s="806"/>
      <c r="B1118" s="808" t="s">
        <v>358</v>
      </c>
      <c r="C1118" s="808" t="s">
        <v>420</v>
      </c>
      <c r="D1118" s="475" t="s">
        <v>720</v>
      </c>
      <c r="E1118" s="142">
        <f>+INVERSIÓN!$DL$46</f>
        <v>1625097832</v>
      </c>
      <c r="F1118" s="142">
        <f>+INVERSIÓN!$DM$46</f>
        <v>1616580500</v>
      </c>
      <c r="G1118" s="475" t="s">
        <v>422</v>
      </c>
    </row>
    <row r="1119" spans="1:7" ht="24.75" customHeight="1">
      <c r="A1119" s="807"/>
      <c r="B1119" s="808"/>
      <c r="C1119" s="808"/>
      <c r="D1119" s="475" t="s">
        <v>309</v>
      </c>
      <c r="E1119" s="142">
        <f>+INVERSIÓN!$DL$53</f>
        <v>785712653</v>
      </c>
      <c r="F1119" s="142">
        <f>+INVERSIÓN!$DM$53</f>
        <v>785712653</v>
      </c>
      <c r="G1119" s="475" t="s">
        <v>422</v>
      </c>
    </row>
    <row r="1121" spans="1:9" ht="24.75" customHeight="1">
      <c r="A1121" s="779" t="s">
        <v>174</v>
      </c>
      <c r="B1121" s="780"/>
      <c r="C1121" s="780"/>
      <c r="D1121" s="780"/>
      <c r="E1121" s="780"/>
      <c r="F1121" s="780"/>
      <c r="G1121" s="780"/>
      <c r="H1121" s="781"/>
    </row>
    <row r="1122" spans="1:9" ht="24.75" customHeight="1">
      <c r="A1122" s="103" t="s">
        <v>48</v>
      </c>
      <c r="B1122" s="30" t="s">
        <v>175</v>
      </c>
      <c r="C1122" s="310" t="s">
        <v>147</v>
      </c>
      <c r="D1122" s="310" t="s">
        <v>148</v>
      </c>
      <c r="E1122" s="310" t="s">
        <v>176</v>
      </c>
      <c r="F1122" s="310" t="s">
        <v>177</v>
      </c>
      <c r="G1122" s="310" t="s">
        <v>178</v>
      </c>
      <c r="H1122" s="30" t="s">
        <v>167</v>
      </c>
    </row>
    <row r="1123" spans="1:9" s="106" customFormat="1" ht="24.75" customHeight="1">
      <c r="A1123" s="795" t="s">
        <v>128</v>
      </c>
      <c r="B1123" s="250" t="s">
        <v>426</v>
      </c>
      <c r="C1123" s="35" t="s">
        <v>427</v>
      </c>
      <c r="D1123" s="117">
        <v>0.15</v>
      </c>
      <c r="E1123" s="251">
        <v>20</v>
      </c>
      <c r="F1123" s="251">
        <v>20</v>
      </c>
      <c r="G1123" s="107">
        <f>F1123/E1123</f>
        <v>1</v>
      </c>
      <c r="H1123" s="252" t="str">
        <f t="shared" ref="H1123:H1157" si="36">+L511</f>
        <v xml:space="preserve">Para el mes de julio de 2020, se remite el reporte de los mantenimientos preventivos y correctivos que se han realizado durante el mes, estos han sido ejecutados por los técnicos de campo. En el reporte se relaciona la fecha del mantenimiento, el No. de inventario, el nombre y la ubicación del equipo, la actividad que se realiza, el tipo de mantenimiento, el técnico responsable y la estación en la cual se realizó el mantenimiento. 
Por otro lado, se realizó la validación diaria de los datos de concentraciones de contaminantes criterio y parámetros meteorológicos que monitorea la RMCAB, se adjunta reporte de operatividad en el que se evidencia un 95,1% de los datos validos para el mes. 
Se realizó el análisis de datos del mes de junio de 2020 para plasmarlo en el informe de calidad del aire, se adjunta el documento de Excel en el que se evidencia el tratamiento de los datos. Asimismo, el equipo de la RMCAB en el mes de julio de 2020 elaboró y publicó el informe mensual de junio. Se adjunta copia de este.  </v>
      </c>
      <c r="I1123" s="123"/>
    </row>
    <row r="1124" spans="1:9" s="106" customFormat="1" ht="24.75" customHeight="1">
      <c r="A1124" s="796"/>
      <c r="B1124" s="250" t="s">
        <v>428</v>
      </c>
      <c r="C1124" s="35" t="s">
        <v>427</v>
      </c>
      <c r="D1124" s="117">
        <v>0.15</v>
      </c>
      <c r="E1124" s="118">
        <v>4</v>
      </c>
      <c r="F1124" s="118">
        <v>0</v>
      </c>
      <c r="G1124" s="107">
        <f>F1124/E1124</f>
        <v>0</v>
      </c>
      <c r="H1124" s="252" t="str">
        <f t="shared" si="36"/>
        <v xml:space="preserve">No fueron programados avances para el mes de julio, la ejecución respectiva se realizará desde el mes de agosto </v>
      </c>
      <c r="I1124" s="123"/>
    </row>
    <row r="1125" spans="1:9" s="106" customFormat="1" ht="24.75" customHeight="1">
      <c r="A1125" s="796"/>
      <c r="B1125" s="250" t="s">
        <v>429</v>
      </c>
      <c r="C1125" s="35" t="s">
        <v>427</v>
      </c>
      <c r="D1125" s="117">
        <v>0.15</v>
      </c>
      <c r="E1125" s="118">
        <v>1</v>
      </c>
      <c r="F1125" s="118">
        <v>0.1666</v>
      </c>
      <c r="G1125" s="107">
        <f>F1125/E1125</f>
        <v>0.1666</v>
      </c>
      <c r="H1125" s="252" t="str">
        <f t="shared" si="36"/>
        <v>Julio de 2020: Con el fin de construir el informe correspondiente al segundo semestre de 2020, se realizó intervención mediante actuaciones técnicas, atención a PQRs, visitas de control, acompañamientos entre otras actividades del sector de fuentes fijas, operativos de medición de seguimiento y control ambiental de emisiones a vehículos que transitan en el Distrito, visitas técnicas de auditoria  a centros de diagnóstico automotor del Distrito Capital y la caracterización de procedimientos vigentes correspondientes al control y seguimiento de fuentes móviles, con esta información se adelanta la construcción del informe de acciones de evaluación, control y seguimiento a las fuentes fijas y móviles.</v>
      </c>
      <c r="I1125" s="123"/>
    </row>
    <row r="1126" spans="1:9" s="106" customFormat="1" ht="24.75" customHeight="1">
      <c r="A1126" s="796"/>
      <c r="B1126" s="250" t="s">
        <v>430</v>
      </c>
      <c r="C1126" s="35" t="s">
        <v>427</v>
      </c>
      <c r="D1126" s="117">
        <v>0.15</v>
      </c>
      <c r="E1126" s="251">
        <v>362</v>
      </c>
      <c r="F1126" s="251">
        <v>5</v>
      </c>
      <c r="G1126" s="107">
        <f t="shared" ref="G1126:G1164" si="37">F1126/E1126</f>
        <v>1.3812154696132596E-2</v>
      </c>
      <c r="H1126" s="252" t="str">
        <f t="shared" si="36"/>
        <v>En cumplimiento a la meta plan de desarrollo planteada para el periodo de julio  2020, el área técnica de ruido realizó cinco (5) visitas técnicas, de las cuales una (1), corresponde a visita efectiva con medición, cuatro (4) visitas no efectivas por presencia de piso húmedo y/o presencia de lloviznas, las cuales, son objeto de reprogramación (articulo 20° Resolución 0627 de 2006) y tres (3) actuaciones técnicas correspondientes a otros documentos, dos (2) Conceptos Técnicos Aclaratorios y un (1) Concepto de Favorabilidad SUGA.  La Meta del proyecto de Inversión presenta avance en el mes de Julio, toda vez que las acciones realizadas se ejecutaron al comienzo del mes de Julio con personal contratado vigente desde el mes de marzo de 2020 y aun en el Plan de Desarrollo BMPT.</v>
      </c>
      <c r="I1126" s="123"/>
    </row>
    <row r="1127" spans="1:9" s="106" customFormat="1" ht="24.75" customHeight="1">
      <c r="A1127" s="796"/>
      <c r="B1127" s="250" t="s">
        <v>431</v>
      </c>
      <c r="C1127" s="35" t="s">
        <v>427</v>
      </c>
      <c r="D1127" s="117">
        <v>0.15</v>
      </c>
      <c r="E1127" s="118">
        <v>1</v>
      </c>
      <c r="F1127" s="118">
        <v>1</v>
      </c>
      <c r="G1127" s="107">
        <f t="shared" si="37"/>
        <v>1</v>
      </c>
      <c r="H1127" s="252" t="str">
        <f t="shared" si="36"/>
        <v xml:space="preserve">Para el presente periodo, se programaron y realizaron visitas técnicas con la Empresa de Telecomunicaciones de Bogotá (ETB), para la instalación de tendido, configuración y puesta en marcha de servicio de internet por canal dedicado de las estaciones de la Red de Monitoreo de Ruido Ambiental de Bogotá (RMRAB) ubicadas en el CAI Berna, Jardín Botánico JCM, Cruz Roja Avenida 68, CAI Quirigua, CAI Las Ferias y CAI Normandía. 
Durante el presente periodo se diligencia y envía por correo electrónico matriz Inventario de equipos/ patrones/ material de referencia y programa de mantenimiento, calibración y verificación. </v>
      </c>
      <c r="I1127" s="123"/>
    </row>
    <row r="1128" spans="1:9" s="106" customFormat="1" ht="24.75" customHeight="1">
      <c r="A1128" s="796"/>
      <c r="B1128" s="250" t="s">
        <v>432</v>
      </c>
      <c r="C1128" s="35" t="s">
        <v>427</v>
      </c>
      <c r="D1128" s="117">
        <v>0.15</v>
      </c>
      <c r="E1128" s="118">
        <v>234</v>
      </c>
      <c r="F1128" s="119">
        <v>28</v>
      </c>
      <c r="G1128" s="107">
        <f t="shared" si="37"/>
        <v>0.11965811965811966</v>
      </c>
      <c r="H1128" s="252" t="str">
        <f t="shared" si="36"/>
        <v>Se realizaron las siguientes actividades en cumplimiento de la meta
- Siete (7) operativos (5 Op. de sensibilización y 2 Op. de Control) - 87 establecimientos
- Cinco (5) visitas a elementos mayores (vallas tubulares): (3 visitas de evaluación y 2 visitas de control y seguimiento)
- Un (1) documento técnico: 1 Concepto técnico 
- Quince (15) visitas a elementos menores
- Cero (0) actuaciones técnicas de evaluación de elementos de publicidad de la vigencia.
La Meta del proyecto de Inversión presenta avance en el mes de Julio, toda vez que las acciones realizadas se ejecutaron al comienzo del mes de Julio con personal contratado vigente desde el mes de marzo de 2020 y aun en el Plan de Desarrollo BMPT.</v>
      </c>
      <c r="I1128" s="123"/>
    </row>
    <row r="1129" spans="1:9" s="106" customFormat="1" ht="24.75" customHeight="1">
      <c r="A1129" s="796"/>
      <c r="B1129" s="250" t="s">
        <v>433</v>
      </c>
      <c r="C1129" s="35" t="s">
        <v>427</v>
      </c>
      <c r="D1129" s="117">
        <v>0.1</v>
      </c>
      <c r="E1129" s="118">
        <v>1</v>
      </c>
      <c r="F1129" s="118">
        <v>1</v>
      </c>
      <c r="G1129" s="107">
        <f t="shared" si="37"/>
        <v>1</v>
      </c>
      <c r="H1129" s="252" t="str">
        <f t="shared" si="36"/>
        <v>Durante julio, se atendió el 100% de los conceptos técnicos que recomendaron actuación administrativa sancionatoria, obteniendo el siguiente avance: 
Julio 2020:
N° de Conceptos Técnicos que recomiendan actuaciones administrativas sancionatorias: 13
N° de Conceptos Técnicos atendidos jurídicamente: 13
Total, avance meta julio 2020: 100 % 
Es importante aclarar que los avances en la magnitud de la meta están sujetos a la demanda de conceptos técnicos que genere el área técnica para ser acogidos jurídicamente; por lo tanto, el porcentaje de la magnitud programada es a 100% de conformidad con el volumen de conceptos recibidos durante el periodo.
La Meta del proyecto de Inversión presenta avance en el mes de Julio, toda vez que las actuaciones realizadas se ejecutaron al comienzo del mes de Julio con personal contratado vigente desde el mes de marzo de 2020 y aun en el Plan de Desarrollo BMPT.</v>
      </c>
      <c r="I1129" s="123"/>
    </row>
    <row r="1130" spans="1:9" s="106" customFormat="1" ht="24.75" customHeight="1">
      <c r="A1130" s="795" t="s">
        <v>129</v>
      </c>
      <c r="B1130" s="250" t="s">
        <v>426</v>
      </c>
      <c r="C1130" s="35" t="s">
        <v>427</v>
      </c>
      <c r="D1130" s="117">
        <v>0.15</v>
      </c>
      <c r="E1130" s="251">
        <v>20</v>
      </c>
      <c r="F1130" s="251">
        <v>20</v>
      </c>
      <c r="G1130" s="107">
        <f t="shared" si="37"/>
        <v>1</v>
      </c>
      <c r="H1130" s="252" t="str">
        <f t="shared" si="36"/>
        <v xml:space="preserve">"Para el mes de julio, se realizó los mantenimientos preventivos y correctivos, se realizó la validación diaria de los datos de concentraciones de contaminantes criterio y parámetros meteorológicos que monitorea la RMCAB, el reporte de operatividad para el mes fue del 95,1%. Se realizó el análisis de datos del mes de junio para plasmarlo en el informe de calidad del aire. Asimismo, en el mes de julio de 2020 se elaboró y publicó el informe mensual de junio.
Para el mes de agosto, se realizó los mantenimientos preventivos y correctivos, se realizó la validación diaria de los datos de concentraciones de contaminantes criterio y parámetros meteorológicos que monitorea la RMCAB, el reporte de operatividad para el mes fue del 93,2%. Se realizó el análisis de datos del mes de julio para plasmarlo en el informe de calidad del aire, el informe mensual de julio se publicará a más tardar el 14 de septiembre, debido a los retrasos generados por la reducción de la capacidad operativa del personal durante la primera mitad de agosto."
</v>
      </c>
      <c r="I1130" s="123"/>
    </row>
    <row r="1131" spans="1:9" s="106" customFormat="1" ht="24.75" customHeight="1">
      <c r="A1131" s="796"/>
      <c r="B1131" s="250" t="s">
        <v>428</v>
      </c>
      <c r="C1131" s="35" t="s">
        <v>427</v>
      </c>
      <c r="D1131" s="117">
        <v>0.15</v>
      </c>
      <c r="E1131" s="118">
        <v>4</v>
      </c>
      <c r="F1131" s="118">
        <v>0.90500000000000003</v>
      </c>
      <c r="G1131" s="107">
        <f t="shared" si="37"/>
        <v>0.22625000000000001</v>
      </c>
      <c r="H1131" s="252" t="str">
        <f t="shared" si="36"/>
        <v>En el marco de la gestión integral de la calidad del aire de Bogotá, se ha avanzado en la estructuración del contenido de 3 informes, los cuales son: 1. contenido en el cual se encuentra el cierre del PDDAB con los resultados respectivos de su implementación de 2010 a 2020, así como el contenido del plan estratégico para la gestión integral de la calidad del aire; 2. Definición del plan de trabajo con sus alcances teniendo en cuenta los 5 temas estratégicos definidos, avanzando en la concertación de las acciones relacionadas con las mesas de trabajo para la actualización del IBOCA y los lineamientos de protocolos de actuación con la mesa de expertos de calidad del aire, entre otras acciones relacionadas con la gestión de la calidad del aire; 3. Validación de datos e información de inventarios realizada para el Informe Anual de Calidad del Aire Año 2019, como estructura general del documento.</v>
      </c>
      <c r="I1131" s="123"/>
    </row>
    <row r="1132" spans="1:9" s="106" customFormat="1" ht="24.75" customHeight="1">
      <c r="A1132" s="796"/>
      <c r="B1132" s="250" t="s">
        <v>429</v>
      </c>
      <c r="C1132" s="35" t="s">
        <v>427</v>
      </c>
      <c r="D1132" s="117">
        <v>0.15</v>
      </c>
      <c r="E1132" s="118">
        <v>1</v>
      </c>
      <c r="F1132" s="118">
        <v>0.1</v>
      </c>
      <c r="G1132" s="107">
        <f t="shared" si="37"/>
        <v>0.1</v>
      </c>
      <c r="H1132" s="252" t="str">
        <f t="shared" si="36"/>
        <v>Con el fin de construir el informe correspondiente al segundo semestre de 2020, se realizó intervención mediante la generación de actuaciones técnicas, producto de las visitas de Inspección Vigilancia, Control y Monitoreo generadas de la atención a PQRs,  y el ejercicio misional propio de la Entidad, mediante operativos internos, e interinstitucionales, acompañamientos a monitoreo de Fuentes Fijas de combustión externa y Fuentes Fijas de emisión por proceso así como operativos de medición en vía a vehículos que transitan en el Distrito Capital como parte del seguimiento y control ambiental a fuentes móviles, visitas técnicas de auditoria a Centros de Diagnóstico Automotor CDA'S  y la caracterización de procedimientos vigentes correspondientes al control y seguimiento de fuentes móviles.
Con esta información se adelanta la construcción del informe de acciones de evaluación, control y seguimiento a las fuentes fijas y móviles en el cual se reporta el avance de las actividades que desarrolla cada grupo, el cual habla de los objetivos la operatividad del grupo y los programas de autogestión aplicados durante la vigencia  semestre II 2020 teniendo en cuenta el control a los factores de deterioro ambiental  en pro de aportar a la meta plan de desarrollo de reducir en un 10% como promedio ponderado ciudad, la concentración de material partículado pm10 y pm2.5, mediante la implementación del plan de gestión integral de la calidad de aire. Alcanzando un 0.33% de la meta de gestión.</v>
      </c>
      <c r="I1132" s="123"/>
    </row>
    <row r="1133" spans="1:9" s="106" customFormat="1" ht="24.75" customHeight="1">
      <c r="A1133" s="796"/>
      <c r="B1133" s="250" t="s">
        <v>430</v>
      </c>
      <c r="C1133" s="35" t="s">
        <v>427</v>
      </c>
      <c r="D1133" s="117">
        <v>0.15</v>
      </c>
      <c r="E1133" s="251">
        <v>362</v>
      </c>
      <c r="F1133" s="251">
        <v>1</v>
      </c>
      <c r="G1133" s="107">
        <f t="shared" si="37"/>
        <v>2.7624309392265192E-3</v>
      </c>
      <c r="H1133" s="252" t="str">
        <f t="shared" si="36"/>
        <v>En cumplimiento a la meta plan de desarrollo planteada para el periodo de julio  2020, el área técnica de ruido realizó cinco (5) visitas técnicas, de las cuales una (1), corresponde a visita efectiva con medición, cuatro (4) visitas no efectivas por presencia de piso húmedo y/o presencia de lloviznas, las cuales, son objeto de reprogramación (articulo 20° Resolución 0627 de 2006) y tres (3) actuaciones técnicas correspondientes a otros documentos, dos (2) Conceptos Técnicos Aclaratorios y un (1) Concepto de Favorabilidad SUGA.  
Agosto 2020, el área técnica de ruido realizó un total de 1 visita técnica, correspondientes a visita no efectiva, la cual es objeto de reprogramación. 6 actuaciones técnicas correspondientes a otros documentos así; 1 comunicación oficial externa sin visita para finalizar el caso, 1 oficio relacionado con una petición en el marco del SUGA, 1 presentación en ppt para una socialización a realizar en la Cámara de Comercio de Bogotá y 3 documentos técnicos relacionados con informes mensuales de las Acciones Populares que cursan en materia de ruido para un sector de las localidades de Bosa, Antonio Nariño y Teusaquillo. 
Así, el acumulado para el II semestre del 2020 es de: 6 visitas técnicas; 1 visita efectiva con medición, 5 visitas no efectivas objeto de reprogramación. 9 actuaciones técnicas correspondientes a otros documentos, dos 2 conceptos técnicos aclaratorios, dos 2 documentos relacionados con SUGA, 1 comunicación oficial externa para finalizar caso de presunta afectación por emisión de ruido, 1 presentación técnica enviada, vía correo electrónico, dirigida a la Cámara de Comercio de Bogotá y 3 informes mensuales para las Acciones Populares mencionadas previamente.</v>
      </c>
      <c r="I1133" s="123"/>
    </row>
    <row r="1134" spans="1:9" s="106" customFormat="1" ht="24.75" customHeight="1">
      <c r="A1134" s="796"/>
      <c r="B1134" s="250" t="s">
        <v>431</v>
      </c>
      <c r="C1134" s="35" t="s">
        <v>427</v>
      </c>
      <c r="D1134" s="117">
        <v>0.15</v>
      </c>
      <c r="E1134" s="118">
        <v>1</v>
      </c>
      <c r="F1134" s="120">
        <v>1</v>
      </c>
      <c r="G1134" s="107">
        <f t="shared" si="37"/>
        <v>1</v>
      </c>
      <c r="H1134" s="252" t="str">
        <f t="shared" si="36"/>
        <v>Para el presente periodo, se programaron y realizaron visitas técnicas con la Empresa de Telecomunicaciones de Bogotá (ETB), para la instalación de tendido, configuración y puesta en marcha de servicio de internet por canal dedicado de las estaciones de la Red de Monitoreo de Ruido Ambiental de Bogotá (RMRAB) ubicadas en el CAI Las Ferias, CAI Quirigua y CAI Normandía. 
Asimismo, se participó en las reuniones de seguimiento programadas por los profesionales del laboratorio ambiental de la SDA – LABCIMAB, en donde se programa la presentación de plan de capacitaciones, proyección de matriz de equipos activos, cartas control y demás documentos necesarios para la acreditación en la matriz aire – ruido – ruido ambiental ante el IDEAM.</v>
      </c>
      <c r="I1134" s="123"/>
    </row>
    <row r="1135" spans="1:9" s="106" customFormat="1" ht="24.75" customHeight="1">
      <c r="A1135" s="796"/>
      <c r="B1135" s="250" t="s">
        <v>432</v>
      </c>
      <c r="C1135" s="35" t="s">
        <v>427</v>
      </c>
      <c r="D1135" s="117">
        <v>0.15</v>
      </c>
      <c r="E1135" s="119">
        <v>234</v>
      </c>
      <c r="F1135" s="119">
        <v>18</v>
      </c>
      <c r="G1135" s="107">
        <f t="shared" si="37"/>
        <v>7.6923076923076927E-2</v>
      </c>
      <c r="H1135" s="252" t="str">
        <f t="shared" si="36"/>
        <v>Para la vigencia del Proyecto de Inversión se han realizado (46) acciones de evaluación, control y seguimiento:
            Trece (13) operativos de control y seguimiento, Nueve (09) visitas a elementos mayores, Un (1) documento técnico, Veintitrés (23)  visitas a elementos menores.
JULIO: Se realizaron veintiocho (28) actividades en cumplimiento de la meta
- Siete (7) operativos (5 Op. de sensibilización y 2 Op. de Control) - 87 establecimientos
- Cinco (5) visitas a elementos mayores (vallas tubulares)
- Un (1) documento técnico: 1 Concepto técnico 
- Quince (15) visitas a elementos menores
AGOSTO: se realizaron dieciocho (18) acciones en cumplimiento de la meta
- Seis (06) operativos (03 Op. de control y 03 Op. de sensibilización) - 45 establecimientos.
- Cuatro (04) visitas a elementos mayores (vallas tubulares).
- Ocho (08) visitas a elementos menores de PEV.
Nota: La información de evaluación a elementos de Publicidad Exterior Visual se reporta trimestralmente</v>
      </c>
      <c r="I1135" s="123"/>
    </row>
    <row r="1136" spans="1:9" s="106" customFormat="1" ht="24.75" customHeight="1">
      <c r="A1136" s="796"/>
      <c r="B1136" s="250" t="s">
        <v>433</v>
      </c>
      <c r="C1136" s="35" t="s">
        <v>427</v>
      </c>
      <c r="D1136" s="117">
        <v>0.1</v>
      </c>
      <c r="E1136" s="118">
        <v>1</v>
      </c>
      <c r="F1136" s="120">
        <v>1</v>
      </c>
      <c r="G1136" s="107">
        <f t="shared" si="37"/>
        <v>1</v>
      </c>
      <c r="H1136" s="252" t="str">
        <f t="shared" si="36"/>
        <v>Para el cumplimiento de las regulaciones asociadas al control de los factores de deterioro de calidad del aire, acústica y visual del Distrito Capital, la Secretaría Distrital de Ambiente durante el mes de Agosto atendió el 100% de los conceptos técnicos que recomiendan una actuación administrativa sancionatoria, obteniendo el siguiente avance: 
Agosto 2020 
N° de Conceptos Técnicos que recomiendan actuaciones administrativas sancionatorias: 13 (Conceptos Técnicos No 6572, 7991, 569, 6322, 13400, 8356, 1360, 8126, 8784, 4927, 7458, 11323, 2092).  
N° de Conceptos Técnicos atendidos jurídicamente: 13 (AUTO N. AUTO DCA-02819-AUTO DCA-02820-AUTO DCA-02821-AUTO DCA-02822-AUTO DCA-02824-AUTO DCA-02861-AUTO DCA-02869-AUTO DCA 02878
AUTO DCA-02882-AUTO DCA-02883-AUTO DCA-02902-AUTO DCA-02903-AUTO DCA-02904)
Total, avance meta Agosto 2020: 100 % 
Por último, es importante tener presente que los avances en la magnitud de la meta están sujetos a la demanda de conceptos técnicos que remitan las áreas para ser acogidos jurídicamente; por lo tanto, el porcentaje de la magnitud programada corresponde al 100%.</v>
      </c>
      <c r="I1136" s="123"/>
    </row>
    <row r="1137" spans="1:9" s="106" customFormat="1" ht="24.75" customHeight="1">
      <c r="A1137" s="795" t="s">
        <v>130</v>
      </c>
      <c r="B1137" s="250" t="s">
        <v>426</v>
      </c>
      <c r="C1137" s="35" t="s">
        <v>427</v>
      </c>
      <c r="D1137" s="117">
        <v>0.15</v>
      </c>
      <c r="E1137" s="251">
        <v>20</v>
      </c>
      <c r="F1137" s="251">
        <v>20</v>
      </c>
      <c r="G1137" s="107">
        <f t="shared" si="37"/>
        <v>1</v>
      </c>
      <c r="H1137" s="252" t="str">
        <f t="shared" si="36"/>
        <v>Para el mes de septiembre el porcentaje de cumplimiento para este indicador es del 100%, basado en: se realizó el reporte de los mantenimientos preventivos y correctivos que se realizaron en el mes, se realizó la validación diaria de los datos de concentraciones de contaminantes criterio y parámetros meteorológicos que monitorea la RMCAB, el reporte de operatividad para el mes de septiembre fue del 95,7%. (el cual es promedio de los datos validos de todos los parámetros de la red  que se genera a través del software Envista).
Se realizó el análisis de datos del mes de agosto de 2020 y del Trimestre abr-jun 2020. Asimismo, el equipo de la RMCAB en el mes de septiembre elaboró y publicó el informe mensual de agosto y el informe Trimestral abr-jun 2020, adicionalmente se publico el informe mensual de julio que estaba retrasado. Se mantiene el proceso de validación de los datos generados por las nuevas estaciones y los equipos, se solicito la activación de las estaciones nuevas (El Jazmín, Usme y Bosa) en el Envista Web. 
De acuerdo con la tipología constante de la meta se presenta un avance acumulado del 100% para la vigencia.</v>
      </c>
      <c r="I1137" s="123"/>
    </row>
    <row r="1138" spans="1:9" s="106" customFormat="1" ht="24.75" customHeight="1">
      <c r="A1138" s="796"/>
      <c r="B1138" s="250" t="s">
        <v>428</v>
      </c>
      <c r="C1138" s="35" t="s">
        <v>427</v>
      </c>
      <c r="D1138" s="117">
        <v>0.15</v>
      </c>
      <c r="E1138" s="118">
        <v>4</v>
      </c>
      <c r="F1138" s="118">
        <v>0.9</v>
      </c>
      <c r="G1138" s="107">
        <f t="shared" si="37"/>
        <v>0.22500000000000001</v>
      </c>
      <c r="H1138" s="252" t="str">
        <f t="shared" si="36"/>
        <v>En el marco de la gestión integral de la calidad del aire de Bogotá, durante la vigencia en el Proyecto de Inversión se ha avanzado en la estructuración del contenido de 3 informes, los cuales son: 
1. Avance en el desarrollo del documento técnico el cual contiene los resultados y se evidencian las acciones realizadas en el marco del PDDAB de 2010 a 2019 con los indicadores de seguimiento, resultados de las medidas optimas y medidas complementarias. 
2. El documento con las metodologías utilizadas para la estimación de los inventarios de emisión que contemplan enfoques Top-Down y Bottom-Up. Mientras que el primer enfoque utiliza información en un rango de tiempo y zona específica (lo cual es ideal para tener un panorama general del estado de las emisiones a nivel ciudad); el segundo permite desagregar temporal y espacialmente las emisiones, útil para ejercicios de modelación detallada de la calidad del aire.  
3. El documento técnico que recopila las acciones orientados a la definición de los protocolos de actuaciones de alertas ambientales, adelantando además las etapas para la definición y adopción del nuevo IBOCA de acuerdo con lo estipulado por la Resolución 2254 de 2017, adicionalmente se ha nutrido diferentes espacios de gobernanza con temas de articulación entre la SDS y SDA, así como instancia de participación con mesas de expertos, entre otros.
Se presenta un avance acumulado del 25% de la meta para la vigencia 2020. Y del 3,45% para el Cuatrienio.</v>
      </c>
      <c r="I1138" s="123"/>
    </row>
    <row r="1139" spans="1:9" s="106" customFormat="1" ht="24.75" customHeight="1">
      <c r="A1139" s="796"/>
      <c r="B1139" s="250" t="s">
        <v>429</v>
      </c>
      <c r="C1139" s="35" t="s">
        <v>427</v>
      </c>
      <c r="D1139" s="117">
        <v>0.15</v>
      </c>
      <c r="E1139" s="118">
        <v>1</v>
      </c>
      <c r="F1139" s="118">
        <v>0.01</v>
      </c>
      <c r="G1139" s="107">
        <f t="shared" si="37"/>
        <v>0.01</v>
      </c>
      <c r="H1139" s="252" t="str">
        <f t="shared" si="36"/>
        <v>A este corte, se ha avanzado un 0.34% del informe programado en la vigencia, basado en las actividades de recolección de la información de las acciones de seguimiento y control de los grupos de fuentes fijas y fuentes móviles. Este documento  contendrá la presentación del estado del arte de los grupos competentes, descripción de la metodología desarrollada en las acciones de evaluación, seguimiento, control y monitoreo realizadas, con la cual se podrá determinar la toma de decisiones a nivel jurídico y la formulación de proyectos en el marco de la disminución los índices de contaminación ambiental.</v>
      </c>
      <c r="I1139" s="123"/>
    </row>
    <row r="1140" spans="1:9" s="106" customFormat="1" ht="24.75" customHeight="1">
      <c r="A1140" s="796"/>
      <c r="B1140" s="250" t="s">
        <v>430</v>
      </c>
      <c r="C1140" s="35" t="s">
        <v>427</v>
      </c>
      <c r="D1140" s="117">
        <v>0.15</v>
      </c>
      <c r="E1140" s="251">
        <v>362</v>
      </c>
      <c r="F1140" s="251">
        <v>65</v>
      </c>
      <c r="G1140" s="107">
        <f t="shared" si="37"/>
        <v>0.17955801104972377</v>
      </c>
      <c r="H1140" s="252" t="str">
        <f t="shared" si="36"/>
        <v>A 30 de septiembre, se han realizado 120 acciones, equivalentes a: 71 visitas técnicas (8 visitas efectivas con medición, 44 visitas efectivas para cerrar el caso y 19 visitas no efectivas objeto de reprogramación), así como 49 actuaciones técnicas de otros documentos (2 conceptos técnicos aclaratorios, 1 comunicación oficial externa para finalizar caso de presunta afectación por emisión de ruido, 1 presentación técnica enviada, dirigida a la Cámara de Comercio de Bogotá, 15 oficios SUGA, 6 Informes de acciones populares, 1 evaluación de estudio de ruido, 2 participaciones WEBINAR MADS, 19 capacitaciones a los gestores de la OPEL, 1 Socialización a la CAL Mártires, 1 informe para la CAL de Tunjuelito).
Acumulado de 120 equivalente al 28,17% de avance en la vigencia.</v>
      </c>
      <c r="I1140" s="123"/>
    </row>
    <row r="1141" spans="1:9" s="106" customFormat="1" ht="24.75" customHeight="1">
      <c r="A1141" s="796"/>
      <c r="B1141" s="250" t="s">
        <v>431</v>
      </c>
      <c r="C1141" s="35" t="s">
        <v>427</v>
      </c>
      <c r="D1141" s="117">
        <v>0.15</v>
      </c>
      <c r="E1141" s="118">
        <v>1</v>
      </c>
      <c r="F1141" s="120">
        <v>1</v>
      </c>
      <c r="G1141" s="107">
        <f t="shared" si="37"/>
        <v>1</v>
      </c>
      <c r="H1141" s="252" t="str">
        <f t="shared" si="36"/>
        <v>A este corte, se presenta un avance del 100%, que equivalen a: 1) Visitas técnicas de evaluación de daños a 11 de las estaciones de monitoreo de ruido ambiental que se vieron involucradas en los desmanes ocurridos en los CAI, los días 09 y 10 de septiembre de 2020, y 2) Visitas de mantenimiento preventivo a 20 de las estaciones que componen el sistema. (En caso que se tengan las cantidades de visitas, por favor enunciarlas).</v>
      </c>
      <c r="I1141" s="123"/>
    </row>
    <row r="1142" spans="1:9" s="106" customFormat="1" ht="24.75" customHeight="1">
      <c r="A1142" s="796"/>
      <c r="B1142" s="250" t="s">
        <v>432</v>
      </c>
      <c r="C1142" s="35" t="s">
        <v>427</v>
      </c>
      <c r="D1142" s="117">
        <v>0.15</v>
      </c>
      <c r="E1142" s="118">
        <v>234</v>
      </c>
      <c r="F1142" s="119">
        <v>146</v>
      </c>
      <c r="G1142" s="107">
        <f t="shared" si="37"/>
        <v>0.62393162393162394</v>
      </c>
      <c r="H1142" s="252" t="str">
        <f t="shared" si="36"/>
        <v>Para la vigencia del Proyecto de Inversión se han realizado (192) acciones de evaluación, control y seguimiento:
- Veintiocho (28) operativos de control y seguimiento
- Cincuenta y tres (53) visitas a elementos mayores
- Dos (02) documentos técnicos
- Un (01) cargue de información a la plataforma SIIPEV.
- Cincuenta y cinco (55) evaluaciones a solicitudes de elementos de publicidad exterior visual.
- Cincuenta y tres (53) visitas a elementos menores.
Correspondiente a un avance en la meta para la vigencia del 82,05%, y un avance en la meta del cuatrienio del 4,8%.</v>
      </c>
      <c r="I1142" s="123"/>
    </row>
    <row r="1143" spans="1:9" s="106" customFormat="1" ht="24.75" customHeight="1">
      <c r="A1143" s="796"/>
      <c r="B1143" s="250" t="s">
        <v>433</v>
      </c>
      <c r="C1143" s="35" t="s">
        <v>427</v>
      </c>
      <c r="D1143" s="117">
        <v>0.1</v>
      </c>
      <c r="E1143" s="118">
        <v>1</v>
      </c>
      <c r="F1143" s="120">
        <v>1</v>
      </c>
      <c r="G1143" s="107">
        <f t="shared" si="37"/>
        <v>1</v>
      </c>
      <c r="H1143" s="252" t="str">
        <f t="shared" si="36"/>
        <v>Para el cumplimiento de las regulaciones asociadas al control de los factores de deterioro de calidad del Aire, Auditiva y Visual del Distrito Capital, la Secretaría Distrital de Ambiente durante el trimestre, se atendió el 100% de los conceptos técnicos que recomiendan una actuación Administrativa Sancionatoria, obteniendo el siguiente avance: 
•	N° de Conceptos Técnicos que recomiendan actuaciones administrativas sancionatorias: 146 
•	N° de Conceptos Técnicos atendidos jurídicamente: 146
Por último, es importante tener presente que los avances en la magnitud de la meta están sujetos a la demanda de conceptos técnicos que remitan las áreas para ser acogidos jurídicamente.</v>
      </c>
      <c r="I1143" s="123"/>
    </row>
    <row r="1144" spans="1:9" s="106" customFormat="1" ht="24.75" customHeight="1">
      <c r="A1144" s="756" t="s">
        <v>131</v>
      </c>
      <c r="B1144" s="250" t="s">
        <v>426</v>
      </c>
      <c r="C1144" s="35" t="s">
        <v>427</v>
      </c>
      <c r="D1144" s="107">
        <v>0.15</v>
      </c>
      <c r="E1144" s="251">
        <v>20</v>
      </c>
      <c r="F1144" s="251">
        <v>20</v>
      </c>
      <c r="G1144" s="107">
        <f t="shared" si="37"/>
        <v>1</v>
      </c>
      <c r="H1144" s="252" t="str">
        <f t="shared" si="36"/>
        <v>Durante la ejecución 2021, se han realizado mantenimientos preventivos y correctivos, validación y análisis de datos, diaria de las concentraciones de contaminantes criterio y parámetros meteorológicos que monitorea la RMCAB incluyendo nuevas estaciones en la red (Bolivia, Usme, Ciudad Bolívar, Bosa, Jazmín, Colina y Móvil Fontibón), así como sus respectivos informes. Además, se realizó la validación diaria de los datos de concentraciones de contaminantes criterio y parámetros meteorológicos que monitorea la red en las estaciones antiguas. Se mantuvo el plan de prueba de sensores de bajo costo.
Se realizó el análisis de datos del mes de marzo de 2021. 
Como parte del proceso de colaboración entre la Red de Monitoreo de Calidad del Aire de Bogotá – RMCAB y los diferentes actores en el establecimiento de esta red colaborativa de sensores de bajo costo se mantuvo la operación de los sensores instalados en la estación de Las ferias por parte del Colectivo CanAir.io, La Universidad Central y La Universidad Nacional. Adicionalmente, se mantiene en operación los sensores de bajo costo del Colectivo CanAir.io en la estación Kennedy y en la estación del Tunal.
Para el mes de Abril se realizó el análisis de datos del mes de marzo de 2021. Asimismo, el equipo de la RMCAB en el mes de abril publicó los informes de diciembre 2020, enero, febrero 2021 y el informe trimestral oct-dic 2020 que estaba retrasado y se avanzo en la elaboración del informe de marzo de 2021.</v>
      </c>
      <c r="I1144" s="123"/>
    </row>
    <row r="1145" spans="1:9" s="106" customFormat="1" ht="24.75" customHeight="1">
      <c r="A1145" s="756"/>
      <c r="B1145" s="250" t="s">
        <v>428</v>
      </c>
      <c r="C1145" s="35" t="s">
        <v>427</v>
      </c>
      <c r="D1145" s="107">
        <v>0.15</v>
      </c>
      <c r="E1145" s="118">
        <v>4</v>
      </c>
      <c r="F1145" s="118">
        <v>1</v>
      </c>
      <c r="G1145" s="107">
        <f t="shared" si="37"/>
        <v>0.25</v>
      </c>
      <c r="H1145" s="252" t="str">
        <f t="shared" si="36"/>
        <v>En el marco de la gestión integral de la calidad del aire de Bogotá, hasta la fecha se ha venido trabajando en el desarrollo de 3 documentos técnicos, los cuales son: 
1.	Revisión y ajuste al documento técnico de Plan Aire, así mismo, su envió a las diferentes secretarias firmantes para su respectiva revisión y firma del Decreto Distrital del Plan Aire y posteriormente, remisión del documento técnico, anexos y Decreto del Plan aire a la alcaldía mayor de Bogotá.
2.	Suscripción entre la SDA y SDS de la Resolución por la cual se establece el nuevo “Índice Bogotano de Calidad del Aire y Riesgo en salud - IBOCA- para la gestión conjunta del riesgo de deterioro del ambiente y de salud humana”. Así mismo, en relación con el Plan de Contingencia y Emergencia Distrital por contaminación atmosférica para la atención de eventos por contaminación atmosférica fue remitido para su revisión al IDIGER.
3.	Adición de los resultados gráficos de modelación y calidad del aire al primer informe de modelación, de igual manera, se han enlistado las posibilidades de mejoras del Sistema Integrado de Modelación de Calidad de Aire.
Este avance de uno (1,6) en términos numéricos, corresponde a:
•	Enero 0,2.
•	Febrero 0,25.
•	Marzo 0,55 
•	Abril 0,60; de avance en el Informe de gestión de la vigencia 2021.</v>
      </c>
      <c r="I1145" s="123"/>
    </row>
    <row r="1146" spans="1:9" s="106" customFormat="1" ht="24.75" customHeight="1">
      <c r="A1146" s="756"/>
      <c r="B1146" s="250" t="s">
        <v>429</v>
      </c>
      <c r="C1146" s="35" t="s">
        <v>427</v>
      </c>
      <c r="D1146" s="107">
        <v>0.15</v>
      </c>
      <c r="E1146" s="118">
        <v>1</v>
      </c>
      <c r="F1146" s="118">
        <v>0.16819999999999999</v>
      </c>
      <c r="G1146" s="107">
        <f t="shared" si="37"/>
        <v>0.16819999999999999</v>
      </c>
      <c r="H1146" s="252" t="str">
        <f t="shared" si="36"/>
        <v>En el cumplimiento del (01) informes de gestión programados para la vigencia 2021; se ha alcanzado un avance acumulado en la ejecución de la meta del 0,51, equivalente a un 51% respecto a lo programado. 
Este avance está basado en las actividades de recolección de información de las acciones de evaluación, control y seguimiento de los grupos de fuentes fijas y fuentes móviles. También en la intervención mediante actuaciones técnicas, visitas de control y seguimiento, acompañamientos, monitoreos, operativos de medición en vía a vehículos que transitan en el Distrito Capital, visitas técnicas de auditoria a Centros de Diagnóstico Automotor CDA'S, con esta información se construyó el informe de acciones de evaluación, control y seguimiento a las fuentes de emisión.
El avance acumulado se registra, así:
•	Enero 0,15, de avance en la ejecución de la meta.
•	Febrero 0,11, de avance en la ejecución de la meta.
•	Marzo 0,10, de avance en la ejecución de la meta.
•Abril 0,15, de avance en la ejecución de la meta.</v>
      </c>
      <c r="I1146" s="123"/>
    </row>
    <row r="1147" spans="1:9" s="106" customFormat="1" ht="24.75" customHeight="1">
      <c r="A1147" s="756"/>
      <c r="B1147" s="250" t="s">
        <v>430</v>
      </c>
      <c r="C1147" s="35" t="s">
        <v>427</v>
      </c>
      <c r="D1147" s="107">
        <v>0.15</v>
      </c>
      <c r="E1147" s="251">
        <v>362</v>
      </c>
      <c r="F1147" s="251">
        <v>120</v>
      </c>
      <c r="G1147" s="107">
        <f t="shared" si="37"/>
        <v>0.33149171270718231</v>
      </c>
      <c r="H1147" s="252" t="str">
        <f t="shared" si="36"/>
        <v>Para la vigencia 2021, se han desarrollado 272 actuaciones técnicas que corresponde a un 30,46% respecto a lo programado, y a su vez, un avance del 16,23% durante el cuatrienio.
Este avance del 2021, se conforma de 205 visitas (25 efectivas con medición, 22 efectivas sin medición en cumplimiento a actos administrativos, 97 efectivas para cerrar el caso, 61 no efectivas para reprogramar) y 67 actuaciones técnicas correspondientes a otros documentos (8 informes de acciones populares, para las localidades de Antonio Nariño, Bosa y Teusaquillo, 1 concepto técnico aclaratorio, 52 oficios SUGA, 6 participaciones en reuniones interinstitucionales).</v>
      </c>
      <c r="I1147" s="123"/>
    </row>
    <row r="1148" spans="1:9" s="106" customFormat="1" ht="24.75" customHeight="1">
      <c r="A1148" s="756"/>
      <c r="B1148" s="250" t="s">
        <v>431</v>
      </c>
      <c r="C1148" s="35" t="s">
        <v>427</v>
      </c>
      <c r="D1148" s="107">
        <v>0.15</v>
      </c>
      <c r="E1148" s="118">
        <v>1</v>
      </c>
      <c r="F1148" s="118">
        <v>1</v>
      </c>
      <c r="G1148" s="107">
        <f t="shared" si="37"/>
        <v>1</v>
      </c>
      <c r="H1148" s="252" t="str">
        <f t="shared" si="36"/>
        <v>La meta presenta un avance del 100% para la vigencia, que corresponde a:
 *Enero 2021, se proyecta el informe relacionado con la operación de la Red de Monitoreo de Ruido Ambiental de Bogotá (RMRAB), en la cual, se reportan principalmente la realización de las actividades acreditación del procedimiento de monitoreo de ruido ambiental ante el IDEAM, actividades de soporte y mantenimiento realizado a las estaciones de monitoreo de ruido, espacialización de datos de emisión de ruido Colector - ESRI y se presentó el procedimiento interno de manejo de PQR´s a la secretaria de salud.
*Febrero: actividades, de soporte y mantenimiento realizado a las estaciones de monitoreo de ruido, y el avance en el proceso de instalación de las estaciones de la RMRAB afectadas durante protestas. contratación del personal para a la operación de la RMRAB.
*Marzo: Se genera informe de avance semestral del mes de marzo relacionado con la operación de la Red de Monitoreo de Ruido Ambiental de Bogotá (RMRAB) durante el primer trimestre del 2021 en la cual se reportan principalmente la realización de las actividades de soporte y mantenimiento realizado a las estaciones de monitoreo de ruido y el avance en el proceso de instalación de las estaciones de la RMRAB afectadas durante protestas, además se realizaron los estudios previos para la renovación de los contratos de arrendamiento y se realizó el análisis técnico de los datos reportados en el mes de enero en el visor WEB MAIGRAI, solicitudes de cotización pata la compra de software y solicitudes de cotizaciones para la calibración de equipos.   
                                                                                                                                                                                                                                          * Abril:  Se genera informe de avance semestral del mes de abril relacionado con la operación de la Red de Monitoreo de Ruido Ambiental de Bogotá (RMRAB) durante los cuatro primeros meses del 2021 en la cual se reportan principalmente la realización de las   actividades de soporte y mantenimiento  realizado a las estaciones de monitoreo de ruido y la instalación de las 10 estaciones de la RMRAB afectadas durante protestas, además se firmaron los estudios previos para la renovación de los contratos de arrendamiento y se realizó el análisis técnico de los datos reportados en el mes de enero en el visor MAIGRAI, e avanzo en la realización del estudio previo para la compra de un software de modelación acústica.</v>
      </c>
      <c r="I1148" s="123"/>
    </row>
    <row r="1149" spans="1:9" s="106" customFormat="1" ht="24.75" customHeight="1">
      <c r="A1149" s="756"/>
      <c r="B1149" s="250" t="s">
        <v>432</v>
      </c>
      <c r="C1149" s="35" t="s">
        <v>427</v>
      </c>
      <c r="D1149" s="107">
        <v>0.15</v>
      </c>
      <c r="E1149" s="118">
        <v>234</v>
      </c>
      <c r="F1149" s="118">
        <v>37</v>
      </c>
      <c r="G1149" s="107">
        <f t="shared" si="37"/>
        <v>0.15811965811965811</v>
      </c>
      <c r="H1149" s="252" t="str">
        <f t="shared" si="36"/>
        <v>Para la vigencia del Proyecto de Inversión del año 2021 se han realizado mil setecientas setenta y cuatro (1.501) acciones de evaluación, control y seguimiento:
Quince (15) operativos de control.
Cuarenta y ocho (48) visitas de evaluación a elementos mayores.
Uno (01) cargue de información a la plataforma SIIPEV.
Mil cuatrocientos treinta y siete(1.437) evaluaciones a solicitudes de elementos de publicidad exterior visual.
Lo anterior, dando un avance para el cuatrienio de (2.793)  acciones de evaluación, control y seguimiento 70 operativos de control y seguimiento,145 visitas a elementos mayores, 03 documentos técnicos, 05 cargues de información a la plataforma SIIPEV, 54 visitas a elementos menores, 2.516 evaluaciones a solicitudes de elementos de publicidad exterior visual.</v>
      </c>
      <c r="I1149" s="123"/>
    </row>
    <row r="1150" spans="1:9" s="106" customFormat="1" ht="24.75" customHeight="1">
      <c r="A1150" s="756"/>
      <c r="B1150" s="250" t="s">
        <v>433</v>
      </c>
      <c r="C1150" s="35" t="s">
        <v>427</v>
      </c>
      <c r="D1150" s="107">
        <v>0.1</v>
      </c>
      <c r="E1150" s="118">
        <v>1</v>
      </c>
      <c r="F1150" s="118">
        <v>1</v>
      </c>
      <c r="G1150" s="107">
        <f t="shared" si="37"/>
        <v>1</v>
      </c>
      <c r="H1150" s="252" t="str">
        <f t="shared" si="36"/>
        <v>La Secretaría Distrital de Ambiente del 01 de enero al 30 de abril de 2021 en ejercicio de su función sancionatoria acogió el 64% de los conceptos técnicos relacionados con el recurso ambiental aire, auditiva y visual y que recomiendan una actuación administrativa sancionatoria, como se relaciona a continuación: 
No de Conceptos Técnicos que recomiendan actuaciones administrativas sancionatorias: 108 Conceptos Técnicos.
No de Conceptos Técnicos atendidos jurídicamente: 69 Conceptos Técnicos acogidos
Avance total corte 30 de abril de 2021: 64%</v>
      </c>
      <c r="I1150" s="123"/>
    </row>
    <row r="1151" spans="1:9" s="106" customFormat="1" ht="24.75" customHeight="1">
      <c r="A1151" s="749" t="s">
        <v>132</v>
      </c>
      <c r="B1151" s="250" t="s">
        <v>426</v>
      </c>
      <c r="C1151" s="35" t="s">
        <v>427</v>
      </c>
      <c r="D1151" s="107">
        <v>0.15</v>
      </c>
      <c r="E1151" s="251">
        <v>20</v>
      </c>
      <c r="F1151" s="251">
        <v>20</v>
      </c>
      <c r="G1151" s="107">
        <f t="shared" si="37"/>
        <v>1</v>
      </c>
      <c r="H1151" s="254" t="str">
        <f t="shared" si="36"/>
        <v>De acuerdo con la tipología constante de la meta se presenta un avance acumulado del 100% para la vigencia 2020.  Se realizaron mantenimientos preventivos y correctivos, validación y análisis de datos, incluyendo nuevas estaciones en la RMCAB (Bolivia, Usme, Ciudad Bolívar, Bosa, Jazmín) se trabajó en integración SDA-CAR y en plan de prueba de sensores de bajo costo.
Para el mes de noviembre el porcentaje de cumplimiento para este indicador es del 98%, se realizó el reporte de los mantenimientos preventivos y correctivos que se realizaron en el mes, se realizó la validación diaria de los datos de concentraciones de contaminantes criterio y parámetros meteorológicos que monitorea la RMCAB, el reporte de operatividad para el mes de noviembre fue del 96,4%  el cual es promedio de los datos validos de todos los parámetros de la red  que se genera a través del software Envista. Se realizó el análisis de datos del mes de octubre de 2020. Asimismo, el equipo de la RMCAB en el mes de noviembre elaboró el informe mensual de octubre y lo publicó el 02 de diciembre. Se mantiene el proceso de validación de los datos generados por las nuevas estaciones y los equipos.
Avance acumulado en la ejecución de la meta 100%.</v>
      </c>
      <c r="I1151" s="123"/>
    </row>
    <row r="1152" spans="1:9" s="106" customFormat="1" ht="24.75" customHeight="1">
      <c r="A1152" s="749"/>
      <c r="B1152" s="250" t="s">
        <v>428</v>
      </c>
      <c r="C1152" s="35" t="s">
        <v>427</v>
      </c>
      <c r="D1152" s="107">
        <v>0.15</v>
      </c>
      <c r="E1152" s="118">
        <v>4</v>
      </c>
      <c r="F1152" s="118">
        <v>1</v>
      </c>
      <c r="G1152" s="107">
        <f t="shared" si="37"/>
        <v>0.25</v>
      </c>
      <c r="H1152" s="254" t="str">
        <f t="shared" si="36"/>
        <v>En el segundo semestre de 2020, con respecto a lo programado de la meta se tiene un avance del 75%, correspondiendo a 3 documentos técnicos para que al final del año se entreguen los 4 documentos totales, Con respecto al cuatrienio hay un avance del 10,3%, la descripción de las actividades realizadas para el mes de noviembre a continuación:
1.	se procedió a realizar la consolidación de la información de resultados logrados para cada uno de los proyectos, teniendo en cuenta el periodo de implementación definido para cada uno de estos en el marco de las reuniones y concertaciones realizadas, logrando capturar y consolidar la información y datos de los indicadores de resultados y gestión, específicamente lo relacionado con las estrategias sectoriales, ya que las mismas con identificadas como los sectores y fuentes que aportan en mayor proporción a las emisiones de material partículado en la ciudad.
Seguido, se realizó la descripción de la metodología de seguimiento y evaluación a cada uno de los proyectos, mencionada metodología será enfocada a aquellos proyectos que se encuentren en implementación, y mediante el cual se obtienen los resultados respectivos
2.	se realizó la consolidación de la información faltante del documento, en especial en los resultados de resuspendido, en donde se realiza el cálculo de las emisiones de este para el año 2018 y en el documento se realiza la explicación de este cálculo y los resultados encontrados para este año y sus impactos en la calidad de aire. Adicionalmente se realizan correcciones enviadas por el profesional a cargo de la revisión del documento para posteriormente ordenar el documento para la presentación del mes actual. En este documento las secciones que tendrá ejecución para el siguiente mes serán el resumen ejecutivo, conclusiones, y estética del documento, para su presentación final. 
3.	en el marco de la actualización normativa del IBOCA, se busca la armonización con la normatividad nacional, sin dejar a un lado el papel central en la gestión del riesgo que tiene este indicador. Con base en las discusiones y análisis adelantados entre la SDA y la SDS, se avanzó en el borrador del Documento Técnico de Soporte para la primera etapa de modificación normativa del IBOCA. Este documento se desarrolla con base en las justificaciones conceptuales, técnicas y jurídicas del borrador del articulado. En este documento se debe incluir el análisis retrospectivo de los nuevos niveles de alerta que sean definidos en dicha modificación normativa,
Seguidamente, y en el marco del proceso que debe surtir los protocolos de actuación frente a las alertas por calidad del aire, se están realizando las mesas de trabajo y concertación para los mismos, en ese sentido durante este mes de noviembre, se adelantaron diferentes espacios de trabajo para exponer los resultados de la modelación de restricciones para las fuentes fijas y fuentes móviles en la ciudad durante episodios de contaminación atmosférica. Uno de ellos es la articulación entre la Secretaria Distrital de Ambiente y la Secretaria Distrital de Movilidad, y también reuniones con la ANDI exponiendo los resultados de los escenarios de modelación para las fuentes fijas industriales en la ciudad.</v>
      </c>
      <c r="I1152" s="123"/>
    </row>
    <row r="1153" spans="1:9" s="106" customFormat="1" ht="24.75" customHeight="1">
      <c r="A1153" s="749"/>
      <c r="B1153" s="250" t="s">
        <v>429</v>
      </c>
      <c r="C1153" s="35" t="s">
        <v>427</v>
      </c>
      <c r="D1153" s="107">
        <v>0.15</v>
      </c>
      <c r="E1153" s="118">
        <v>1</v>
      </c>
      <c r="F1153" s="118">
        <v>0.20399999999999999</v>
      </c>
      <c r="G1153" s="107">
        <f t="shared" si="37"/>
        <v>0.20399999999999999</v>
      </c>
      <c r="H1153" s="254" t="str">
        <f t="shared" si="36"/>
        <v>El avance acumulado para la vigencia 2020 del cumplimiento en la ejecución de la meta es del 0.71% del informe programado esto basado en: las actividades de recolección de la información de las acciones de seguimiento y control de los grupos de fuentes fijas y fuentes móviles. 
El avance acumulado se registra, así:
•	Julio, 017% de avance en el Informe de gestión.
•	Agosto, 0,16% de avance en el Informe de gestión.
•	Septiembre, 0,01% de avance en el Informe de gestión.
•	Octubre, 0,17% de avance en el Informe de gestión.
Avance de Noviembre 0,20, basado en : Este documento contiene la presentación del estado del arte de los grupos competentes, descripción de la metodología desarrollada en las acciones de evaluación, seguimiento, control y monitoreo realizadas, con la cual se podrá determinar la toma de decisiones a nivel jurídico y la formulación de proyectos en el marco de la disminución los índices de contaminación ambiental.
Se registra el inicio de los monitoreos de fuentes fijas como laboratorio acreditado para la toma de muestras de los parámetros de NOx, SO2 y MP en las industrias objeto de control; se atienden las visitas de seguimiento de la autorización realizada por el IDEAM para cada uno de los programas de evaluación control y seguimiento de fuentes móviles. 
Así mismo, se realizan los seguimientos a empresas que son objeto de permiso de emisiones, operativos de medición en vía a vehículos que transitan en el Distrito Capital, visitas técnicas de auditoria a Centros de Diagnóstico Automotor CDA'S, vinculación de empresas al programa de autorregulación y requerimientos ambientales presentados por la ciudadanía.
Alcanzando un 71% del cumplimiento de la meta de inversión para la vigencia 2020.</v>
      </c>
      <c r="I1153" s="123"/>
    </row>
    <row r="1154" spans="1:9" s="106" customFormat="1" ht="24.75" customHeight="1">
      <c r="A1154" s="749"/>
      <c r="B1154" s="250" t="s">
        <v>430</v>
      </c>
      <c r="C1154" s="35" t="s">
        <v>427</v>
      </c>
      <c r="D1154" s="107">
        <v>0.15</v>
      </c>
      <c r="E1154" s="251">
        <v>362</v>
      </c>
      <c r="F1154" s="251">
        <v>120</v>
      </c>
      <c r="G1154" s="107">
        <f t="shared" si="37"/>
        <v>0.33149171270718231</v>
      </c>
      <c r="H1154" s="254" t="str">
        <f t="shared" si="36"/>
        <v>Para la vigencia 2020, se presenta un avance acumulado de la meta de cuatrocientas veintitrés (423) actuaciones, correspondientes al 99,30% de ejecución, es así: 
•	Julio; acciones de seguimiento y control de emisión de ruido; cinco (05) visitas y tres (03) documentos técnicos. Total, ocho (08) acciones.
•	Agosto; acciones de seguimiento y control de emisión de ruido; uno (01) visitas y seis (06) documentos técnicos. Total, siete (07) acciones.
•	Septiembre; acciones de seguimiento y control de emisión de ruido; sesenta y cinco (65) visitas y cuarenta (40) documentos técnicos. Total, ciento cinco (105) acciones.
•	Octubre; acciones de seguimiento y control de emisión de ruido; ciento veinte (120) visitas y veintiocho (28) documentos técnicos. Total, ciento cuarenta y ocho (148) acciones.
•	Noviembre; acciones de seguimiento y control de emisión de ruido; ciento veinte dos (122) visitas y treinta y tres (33) documentos técnicos. Total, ciento cincuenta y cinco acciones (155)
En general se distribuyen:
•	313 visitas técnicas (51 visitas efectivas con medición, 184 visitas efectivas para cerrar el caso y 78 visitas no efectivas (reprogramación).
•	110 actuaciones técnicas de otros documentos:
o	12 informes acciones populares
o	2 conceptos aclaratorios
o	1 presentación a la Cámara de Comercio de Bogotá
o	20 socializaciones OPEL
o	7 socializaciones CAL
o	1 socialización en mesa territorial
o	1 oficio de salida cerrando caso
o	3 estudios de ruido
o	2 WEBINAR con el MADS
o	1 informe CAL
o	60 oficios SUGA
Avance acumulado en la vigencia de 99,30%.</v>
      </c>
      <c r="I1154" s="123"/>
    </row>
    <row r="1155" spans="1:9" s="106" customFormat="1" ht="24.75" customHeight="1">
      <c r="A1155" s="749"/>
      <c r="B1155" s="250" t="s">
        <v>431</v>
      </c>
      <c r="C1155" s="35" t="s">
        <v>427</v>
      </c>
      <c r="D1155" s="107">
        <v>0.15</v>
      </c>
      <c r="E1155" s="118">
        <v>1</v>
      </c>
      <c r="F1155" s="118">
        <v>1</v>
      </c>
      <c r="G1155" s="107">
        <f t="shared" si="37"/>
        <v>1</v>
      </c>
      <c r="H1155" s="254" t="str">
        <f t="shared" si="36"/>
        <v>En cumplimiento la meta en la vigencia 2020, se presenta un avance del 100%, basado en el desarrollo de actividades así: (tipología de la Meta Constante)
Julio: se avanza en el informe técnico semestral en el cual se relacionan estadística y geográficamente, las empresas que tramitan reactivación económica ante la alcaldía mayor de Bogotá, a fin de clasificar y priorizar posibles establecimientos objeto de monitoreo de ruido, que sirvan de insumo para la identificación del %PUAR. Avance en el periodo 100%.
Agosto: Durante el presente periodo se avanza en la proyección del informe técnico semestral en el cual se incluyen los datos de las estaciones de la Red de Monitoreo de Ruido Ambiental de Bogotá (RMRAB) y los avances en la formulación de procedimiento de validación de los datos generados. Avance en el periodo 100%.
Septiembre: Para el presente periodo se avanza en la proyección del informe semestral de operación de la red de ruido del Distrito, dentro del cual se incluye reporte de siniestros en nueve (9) de las estaciones de monitoreo de ruido que fueron objeto de vandalismo durante las protestas ocurridas el 09 y 10 se septiembre. Avance en el periodo 100%.
Octubre: Durante el presente periodo se avanza con la proyección del informe semestral de operación de la Red de Monitoreo de Ruido Ambiental de Bogotá (RMRAB) en el cual se destacan la realización de las siguientes actividades: reporte de empresas que solicitaron reactivación económica por COVID 19, acreditación del procedimiento de monitoreo de ruido ambiental ante el IDEAM, soporte y mantenimiento a las estaciones de monitoreo de ruido, actualización del visor monitor web MAIGRAI. Avance en el periodo 100%.
Noviembre:  Para el presente mes, se avanza con la proyección del informe semestral de operación de la Red de Monitoreo de Ruido Ambiental de Bogotá (RMRAB) en el cual se reportan principalmente  la realización de las siguientes actividades: reporte de empresas que solicitaron reactivación económica por COVID 19, acreditación del procedimiento de monitoreo de ruido ambiental ante el IDEAM, actividades de soporte y mantenimiento  realizado a las estaciones de monitoreo de ruido, actualización del visor monitor web MAIGRAI , reporte de estaciones de la RMRAB afectadas durante protestas y espacialización de datos de emisión de ruido Colector-ESRI. 
Avance acumulado según la tipología de la meta es del 100% para la vigencia 2020.</v>
      </c>
      <c r="I1155" s="123"/>
    </row>
    <row r="1156" spans="1:9" s="106" customFormat="1" ht="24.75" customHeight="1">
      <c r="A1156" s="749"/>
      <c r="B1156" s="250" t="s">
        <v>432</v>
      </c>
      <c r="C1156" s="35" t="s">
        <v>427</v>
      </c>
      <c r="D1156" s="107">
        <v>0.15</v>
      </c>
      <c r="E1156" s="118">
        <v>234</v>
      </c>
      <c r="F1156" s="118">
        <v>0</v>
      </c>
      <c r="G1156" s="107">
        <f t="shared" si="37"/>
        <v>0</v>
      </c>
      <c r="H1156" s="254" t="str">
        <f t="shared" si="36"/>
        <v>Para la vigencia 2020 del Proyecto de Inversión se han realizado doscientas veinte nueve (229) acciones de evaluación, control y seguimiento, así:
•	Julio, 28 Acciones, avance de ejecución del 12%.
•	Agosto, 18 Acciones, avance de ejecución del 8%.
•	Septiembre, 136 Acciones, avance de ejecución del 62%.
•	Octubre, 37 Acciones, avance de ejecución del 16%.
•	Noviembre, No se realizaron acciones de evaluación sobre el resto del Distrito, se encaminaron a las Zonas de Alta Densidad.
Avance Acumulado 97,86%.</v>
      </c>
      <c r="I1156" s="123"/>
    </row>
    <row r="1157" spans="1:9" s="106" customFormat="1" ht="24.75" customHeight="1">
      <c r="A1157" s="750"/>
      <c r="B1157" s="250" t="s">
        <v>433</v>
      </c>
      <c r="C1157" s="35" t="s">
        <v>427</v>
      </c>
      <c r="D1157" s="107">
        <v>0.1</v>
      </c>
      <c r="E1157" s="118">
        <v>1</v>
      </c>
      <c r="F1157" s="118">
        <v>1</v>
      </c>
      <c r="G1157" s="107">
        <f t="shared" si="37"/>
        <v>1</v>
      </c>
      <c r="H1157" s="254" t="str">
        <f t="shared" si="36"/>
        <v>Para el cumplimiento de las regulaciones asociadas al control de los factores de deterioro de calidad del Aire, Auditiva y Visual del Distrito Capital, la Secretaría Distrital de Ambiente durante el periodo del 1 de julio al 30 de noviembre de 2020 atendió el 100% de los conceptos técnicos que recomiendan una actuación Administrativa Sancionatoria, obteniendo el siguiente avance: 
Julio 2020:
N° de Conceptos Técnicos que recomiendan actuaciones administrativas sancionatorias: 13 
N° de Conceptos Técnicos atendidos jurídicamente: 13
Agosto 2020
N° de Conceptos Técnicos que recomiendan actuaciones administrativas sancionatorias: 13 
N° de Conceptos Técnicos atendidos jurídicamente: 13.
Septiembre 2020
N° de Conceptos Técnicos que recomiendan actuaciones administrativas sancionatorias: 133
N° de Conceptos Técnicos atendidos jurídicamente: 133.
Octubre 2020
N° de Conceptos Técnicos que recomiendan actuaciones administrativas sancionatorias: 13
N° de Conceptos Técnicos atendidos jurídicamente: 13.
Noviembre 2020
N° de Conceptos Técnicos que recomiendan actuaciones administrativas sancionatorias: 04
N° de Conceptos Técnicos atendidos jurídicamente: 04.  
Total, avance meta Noviembre 2020: 100 %
Por último, es importante tener presente que los avances en la magnitud de la meta están sujetos a la demanda de conceptos técnicos que remitan los grupos técnicos para ser acogidos jurídicamente; por lo tanto, el porcentaje de la magnitud programada corresponde al 100%</v>
      </c>
      <c r="I1157" s="123"/>
    </row>
    <row r="1158" spans="1:9" s="106" customFormat="1" ht="24.75" customHeight="1">
      <c r="A1158" s="748" t="s">
        <v>133</v>
      </c>
      <c r="B1158" s="250" t="s">
        <v>426</v>
      </c>
      <c r="C1158" s="35" t="s">
        <v>427</v>
      </c>
      <c r="D1158" s="107">
        <v>0.15</v>
      </c>
      <c r="E1158" s="251">
        <v>20</v>
      </c>
      <c r="F1158" s="251">
        <v>20</v>
      </c>
      <c r="G1158" s="107">
        <f t="shared" si="37"/>
        <v>1</v>
      </c>
      <c r="H1158" s="252" t="s">
        <v>384</v>
      </c>
      <c r="I1158" s="123"/>
    </row>
    <row r="1159" spans="1:9" s="106" customFormat="1" ht="24.75" customHeight="1">
      <c r="A1159" s="749"/>
      <c r="B1159" s="250" t="s">
        <v>428</v>
      </c>
      <c r="C1159" s="35" t="s">
        <v>427</v>
      </c>
      <c r="D1159" s="107">
        <v>0.15</v>
      </c>
      <c r="E1159" s="118">
        <v>4</v>
      </c>
      <c r="F1159" s="118">
        <v>4</v>
      </c>
      <c r="G1159" s="107">
        <f t="shared" si="37"/>
        <v>1</v>
      </c>
      <c r="H1159" s="252" t="s">
        <v>385</v>
      </c>
      <c r="I1159" s="123"/>
    </row>
    <row r="1160" spans="1:9" s="106" customFormat="1" ht="24.75" customHeight="1">
      <c r="A1160" s="749"/>
      <c r="B1160" s="250" t="s">
        <v>429</v>
      </c>
      <c r="C1160" s="35" t="s">
        <v>427</v>
      </c>
      <c r="D1160" s="107">
        <v>0.15</v>
      </c>
      <c r="E1160" s="118">
        <v>1</v>
      </c>
      <c r="F1160" s="118">
        <v>1</v>
      </c>
      <c r="G1160" s="107">
        <f t="shared" si="37"/>
        <v>1</v>
      </c>
      <c r="H1160" s="252" t="s">
        <v>386</v>
      </c>
      <c r="I1160" s="123"/>
    </row>
    <row r="1161" spans="1:9" s="106" customFormat="1" ht="24.75" customHeight="1">
      <c r="A1161" s="749"/>
      <c r="B1161" s="250" t="s">
        <v>430</v>
      </c>
      <c r="C1161" s="35" t="s">
        <v>427</v>
      </c>
      <c r="D1161" s="107">
        <v>0.15</v>
      </c>
      <c r="E1161" s="251">
        <v>362</v>
      </c>
      <c r="F1161" s="251">
        <v>362</v>
      </c>
      <c r="G1161" s="107">
        <f t="shared" si="37"/>
        <v>1</v>
      </c>
      <c r="H1161" s="252" t="s">
        <v>387</v>
      </c>
      <c r="I1161" s="123"/>
    </row>
    <row r="1162" spans="1:9" s="106" customFormat="1" ht="24.75" customHeight="1">
      <c r="A1162" s="749"/>
      <c r="B1162" s="250" t="s">
        <v>431</v>
      </c>
      <c r="C1162" s="35" t="s">
        <v>427</v>
      </c>
      <c r="D1162" s="107">
        <v>0.15</v>
      </c>
      <c r="E1162" s="118">
        <v>1</v>
      </c>
      <c r="F1162" s="118">
        <v>1</v>
      </c>
      <c r="G1162" s="107">
        <f t="shared" si="37"/>
        <v>1</v>
      </c>
      <c r="H1162" s="252" t="s">
        <v>388</v>
      </c>
      <c r="I1162" s="123"/>
    </row>
    <row r="1163" spans="1:9" s="106" customFormat="1" ht="24.75" customHeight="1">
      <c r="A1163" s="749"/>
      <c r="B1163" s="250" t="s">
        <v>432</v>
      </c>
      <c r="C1163" s="35" t="s">
        <v>427</v>
      </c>
      <c r="D1163" s="107">
        <v>0.15</v>
      </c>
      <c r="E1163" s="118">
        <v>1292</v>
      </c>
      <c r="F1163" s="118">
        <v>1292</v>
      </c>
      <c r="G1163" s="107">
        <f t="shared" si="37"/>
        <v>1</v>
      </c>
      <c r="H1163" s="252" t="s">
        <v>389</v>
      </c>
      <c r="I1163" s="123"/>
    </row>
    <row r="1164" spans="1:9" s="106" customFormat="1" ht="24.75" customHeight="1">
      <c r="A1164" s="750"/>
      <c r="B1164" s="250" t="s">
        <v>433</v>
      </c>
      <c r="C1164" s="35" t="s">
        <v>427</v>
      </c>
      <c r="D1164" s="107">
        <v>0.1</v>
      </c>
      <c r="E1164" s="118">
        <v>1</v>
      </c>
      <c r="F1164" s="118">
        <v>1</v>
      </c>
      <c r="G1164" s="107">
        <f t="shared" si="37"/>
        <v>1</v>
      </c>
      <c r="H1164" s="252" t="s">
        <v>390</v>
      </c>
      <c r="I1164" s="123"/>
    </row>
    <row r="1166" spans="1:9" ht="24.75" customHeight="1">
      <c r="A1166" s="779" t="s">
        <v>188</v>
      </c>
      <c r="B1166" s="780"/>
      <c r="C1166" s="780"/>
      <c r="D1166" s="780"/>
      <c r="E1166" s="780"/>
      <c r="F1166" s="780"/>
      <c r="G1166" s="780"/>
      <c r="H1166" s="781"/>
    </row>
    <row r="1167" spans="1:9" ht="24.75" customHeight="1">
      <c r="A1167" s="103" t="s">
        <v>49</v>
      </c>
      <c r="B1167" s="30" t="s">
        <v>175</v>
      </c>
      <c r="C1167" s="310" t="s">
        <v>147</v>
      </c>
      <c r="D1167" s="310" t="s">
        <v>155</v>
      </c>
      <c r="E1167" s="310" t="s">
        <v>190</v>
      </c>
      <c r="F1167" s="310" t="s">
        <v>191</v>
      </c>
      <c r="G1167" s="310" t="s">
        <v>192</v>
      </c>
      <c r="H1167" s="30" t="s">
        <v>167</v>
      </c>
    </row>
    <row r="1168" spans="1:9" ht="24.75" customHeight="1">
      <c r="A1168" s="797" t="s">
        <v>135</v>
      </c>
      <c r="B1168" s="250" t="s">
        <v>426</v>
      </c>
      <c r="C1168" s="35" t="s">
        <v>427</v>
      </c>
      <c r="D1168" s="107">
        <v>0.15</v>
      </c>
      <c r="E1168" s="251">
        <v>20</v>
      </c>
      <c r="F1168" s="251">
        <v>20</v>
      </c>
      <c r="G1168" s="107">
        <f t="shared" ref="G1168:G1209" si="38">F1168/E1168</f>
        <v>1</v>
      </c>
      <c r="H1168" s="252" t="s">
        <v>384</v>
      </c>
      <c r="I1168" s="127"/>
    </row>
    <row r="1169" spans="1:9" ht="24.75" customHeight="1">
      <c r="A1169" s="798"/>
      <c r="B1169" s="250" t="s">
        <v>428</v>
      </c>
      <c r="C1169" s="35" t="s">
        <v>427</v>
      </c>
      <c r="D1169" s="107">
        <v>0.15</v>
      </c>
      <c r="E1169" s="118">
        <v>8</v>
      </c>
      <c r="F1169" s="118">
        <v>0.2</v>
      </c>
      <c r="G1169" s="107">
        <f t="shared" si="38"/>
        <v>2.5000000000000001E-2</v>
      </c>
      <c r="H1169" s="252" t="s">
        <v>385</v>
      </c>
      <c r="I1169" s="127"/>
    </row>
    <row r="1170" spans="1:9" ht="24.75" customHeight="1">
      <c r="A1170" s="798"/>
      <c r="B1170" s="250" t="s">
        <v>429</v>
      </c>
      <c r="C1170" s="35" t="s">
        <v>427</v>
      </c>
      <c r="D1170" s="107">
        <v>0.15</v>
      </c>
      <c r="E1170" s="118">
        <v>2</v>
      </c>
      <c r="F1170" s="118">
        <v>0.15</v>
      </c>
      <c r="G1170" s="107">
        <f t="shared" si="38"/>
        <v>7.4999999999999997E-2</v>
      </c>
      <c r="H1170" s="252" t="s">
        <v>386</v>
      </c>
      <c r="I1170" s="127"/>
    </row>
    <row r="1171" spans="1:9" ht="24.75" customHeight="1">
      <c r="A1171" s="798"/>
      <c r="B1171" s="250" t="s">
        <v>430</v>
      </c>
      <c r="C1171" s="35" t="s">
        <v>427</v>
      </c>
      <c r="D1171" s="107">
        <v>0.15</v>
      </c>
      <c r="E1171" s="251">
        <v>362</v>
      </c>
      <c r="F1171" s="251">
        <v>10</v>
      </c>
      <c r="G1171" s="107">
        <f t="shared" si="38"/>
        <v>2.7624309392265192E-2</v>
      </c>
      <c r="H1171" s="252" t="s">
        <v>387</v>
      </c>
      <c r="I1171" s="127"/>
    </row>
    <row r="1172" spans="1:9" ht="24.75" customHeight="1">
      <c r="A1172" s="798"/>
      <c r="B1172" s="250" t="s">
        <v>431</v>
      </c>
      <c r="C1172" s="35" t="s">
        <v>427</v>
      </c>
      <c r="D1172" s="107">
        <v>0.15</v>
      </c>
      <c r="E1172" s="118">
        <v>1</v>
      </c>
      <c r="F1172" s="118">
        <v>1</v>
      </c>
      <c r="G1172" s="107">
        <f t="shared" si="38"/>
        <v>1</v>
      </c>
      <c r="H1172" s="252" t="s">
        <v>388</v>
      </c>
      <c r="I1172" s="127"/>
    </row>
    <row r="1173" spans="1:9" ht="24.75" customHeight="1">
      <c r="A1173" s="798"/>
      <c r="B1173" s="250" t="s">
        <v>432</v>
      </c>
      <c r="C1173" s="35" t="s">
        <v>427</v>
      </c>
      <c r="D1173" s="107">
        <v>0.15</v>
      </c>
      <c r="E1173" s="118">
        <v>759</v>
      </c>
      <c r="F1173" s="118">
        <v>278</v>
      </c>
      <c r="G1173" s="107">
        <f t="shared" si="38"/>
        <v>0.3662714097496706</v>
      </c>
      <c r="H1173" s="252" t="s">
        <v>389</v>
      </c>
      <c r="I1173" s="127"/>
    </row>
    <row r="1174" spans="1:9" ht="24.75" customHeight="1">
      <c r="A1174" s="799"/>
      <c r="B1174" s="250" t="s">
        <v>433</v>
      </c>
      <c r="C1174" s="35" t="s">
        <v>427</v>
      </c>
      <c r="D1174" s="107">
        <v>0.1</v>
      </c>
      <c r="E1174" s="118">
        <v>1</v>
      </c>
      <c r="F1174" s="118">
        <v>1</v>
      </c>
      <c r="G1174" s="107">
        <f t="shared" si="38"/>
        <v>1</v>
      </c>
      <c r="H1174" s="252" t="s">
        <v>390</v>
      </c>
      <c r="I1174" s="127"/>
    </row>
    <row r="1175" spans="1:9" ht="24.75" customHeight="1">
      <c r="A1175" s="748" t="s">
        <v>136</v>
      </c>
      <c r="B1175" s="250" t="s">
        <v>426</v>
      </c>
      <c r="C1175" s="35" t="s">
        <v>427</v>
      </c>
      <c r="D1175" s="107">
        <v>0.15</v>
      </c>
      <c r="E1175" s="251">
        <v>20</v>
      </c>
      <c r="F1175" s="251">
        <v>20</v>
      </c>
      <c r="G1175" s="107">
        <f t="shared" si="38"/>
        <v>1</v>
      </c>
      <c r="H1175" s="252" t="s">
        <v>391</v>
      </c>
      <c r="I1175" s="127"/>
    </row>
    <row r="1176" spans="1:9" ht="24.75" customHeight="1">
      <c r="A1176" s="749"/>
      <c r="B1176" s="250" t="s">
        <v>428</v>
      </c>
      <c r="C1176" s="35" t="s">
        <v>427</v>
      </c>
      <c r="D1176" s="107">
        <v>0.15</v>
      </c>
      <c r="E1176" s="118">
        <v>8</v>
      </c>
      <c r="F1176" s="118">
        <v>0.45</v>
      </c>
      <c r="G1176" s="107">
        <f t="shared" si="38"/>
        <v>5.6250000000000001E-2</v>
      </c>
      <c r="H1176" s="252" t="s">
        <v>392</v>
      </c>
      <c r="I1176" s="127"/>
    </row>
    <row r="1177" spans="1:9" ht="24.75" customHeight="1">
      <c r="A1177" s="749"/>
      <c r="B1177" s="250" t="s">
        <v>429</v>
      </c>
      <c r="C1177" s="35" t="s">
        <v>427</v>
      </c>
      <c r="D1177" s="107">
        <v>0.15</v>
      </c>
      <c r="E1177" s="118">
        <v>2</v>
      </c>
      <c r="F1177" s="118">
        <v>0.26</v>
      </c>
      <c r="G1177" s="107">
        <f t="shared" si="38"/>
        <v>0.13</v>
      </c>
      <c r="H1177" s="252" t="s">
        <v>393</v>
      </c>
      <c r="I1177" s="127"/>
    </row>
    <row r="1178" spans="1:9" ht="24.75" customHeight="1">
      <c r="A1178" s="749"/>
      <c r="B1178" s="250" t="s">
        <v>430</v>
      </c>
      <c r="C1178" s="35" t="s">
        <v>427</v>
      </c>
      <c r="D1178" s="107">
        <v>0.15</v>
      </c>
      <c r="E1178" s="251">
        <v>362</v>
      </c>
      <c r="F1178" s="251">
        <v>16</v>
      </c>
      <c r="G1178" s="107">
        <f t="shared" si="38"/>
        <v>4.4198895027624308E-2</v>
      </c>
      <c r="H1178" s="252" t="s">
        <v>441</v>
      </c>
      <c r="I1178" s="127"/>
    </row>
    <row r="1179" spans="1:9" ht="24.75" customHeight="1">
      <c r="A1179" s="749"/>
      <c r="B1179" s="250" t="s">
        <v>431</v>
      </c>
      <c r="C1179" s="35" t="s">
        <v>427</v>
      </c>
      <c r="D1179" s="107">
        <v>0.15</v>
      </c>
      <c r="E1179" s="118">
        <v>1</v>
      </c>
      <c r="F1179" s="118">
        <v>1</v>
      </c>
      <c r="G1179" s="107">
        <f t="shared" si="38"/>
        <v>1</v>
      </c>
      <c r="H1179" s="252" t="s">
        <v>395</v>
      </c>
      <c r="I1179" s="127"/>
    </row>
    <row r="1180" spans="1:9" ht="24.75" customHeight="1">
      <c r="A1180" s="749"/>
      <c r="B1180" s="250" t="s">
        <v>432</v>
      </c>
      <c r="C1180" s="35" t="s">
        <v>427</v>
      </c>
      <c r="D1180" s="107">
        <v>0.15</v>
      </c>
      <c r="E1180" s="118">
        <v>759</v>
      </c>
      <c r="F1180" s="118">
        <v>489</v>
      </c>
      <c r="G1180" s="107">
        <f t="shared" si="38"/>
        <v>0.64426877470355737</v>
      </c>
      <c r="H1180" s="252" t="s">
        <v>396</v>
      </c>
      <c r="I1180" s="127"/>
    </row>
    <row r="1181" spans="1:9" ht="24.75" customHeight="1">
      <c r="A1181" s="750"/>
      <c r="B1181" s="250" t="s">
        <v>433</v>
      </c>
      <c r="C1181" s="35" t="s">
        <v>427</v>
      </c>
      <c r="D1181" s="107">
        <v>0.1</v>
      </c>
      <c r="E1181" s="118">
        <v>1</v>
      </c>
      <c r="F1181" s="118">
        <v>1</v>
      </c>
      <c r="G1181" s="107">
        <f t="shared" si="38"/>
        <v>1</v>
      </c>
      <c r="H1181" s="252" t="s">
        <v>397</v>
      </c>
      <c r="I1181" s="127"/>
    </row>
    <row r="1182" spans="1:9" ht="24.75" customHeight="1">
      <c r="A1182" s="748" t="s">
        <v>137</v>
      </c>
      <c r="B1182" s="250" t="s">
        <v>426</v>
      </c>
      <c r="C1182" s="35" t="s">
        <v>427</v>
      </c>
      <c r="D1182" s="107">
        <v>0.15</v>
      </c>
      <c r="E1182" s="251">
        <v>20</v>
      </c>
      <c r="F1182" s="251">
        <v>20</v>
      </c>
      <c r="G1182" s="107">
        <f t="shared" si="38"/>
        <v>1</v>
      </c>
      <c r="H1182" s="116" t="s">
        <v>398</v>
      </c>
      <c r="I1182" s="127"/>
    </row>
    <row r="1183" spans="1:9" ht="24.75" customHeight="1">
      <c r="A1183" s="749"/>
      <c r="B1183" s="250" t="s">
        <v>428</v>
      </c>
      <c r="C1183" s="35" t="s">
        <v>427</v>
      </c>
      <c r="D1183" s="107">
        <v>0.15</v>
      </c>
      <c r="E1183" s="118">
        <v>8</v>
      </c>
      <c r="F1183" s="118">
        <v>1</v>
      </c>
      <c r="G1183" s="107">
        <f t="shared" si="38"/>
        <v>0.125</v>
      </c>
      <c r="H1183" s="116" t="s">
        <v>399</v>
      </c>
      <c r="I1183" s="127"/>
    </row>
    <row r="1184" spans="1:9" ht="24.75" customHeight="1">
      <c r="A1184" s="749"/>
      <c r="B1184" s="250" t="s">
        <v>429</v>
      </c>
      <c r="C1184" s="35" t="s">
        <v>427</v>
      </c>
      <c r="D1184" s="107">
        <v>0.15</v>
      </c>
      <c r="E1184" s="118">
        <v>2</v>
      </c>
      <c r="F1184" s="118">
        <v>0.36</v>
      </c>
      <c r="G1184" s="107">
        <f t="shared" si="38"/>
        <v>0.18</v>
      </c>
      <c r="H1184" s="116" t="s">
        <v>400</v>
      </c>
      <c r="I1184" s="127"/>
    </row>
    <row r="1185" spans="1:9" ht="24.75" customHeight="1">
      <c r="A1185" s="749"/>
      <c r="B1185" s="250" t="s">
        <v>430</v>
      </c>
      <c r="C1185" s="35" t="s">
        <v>427</v>
      </c>
      <c r="D1185" s="107">
        <v>0.15</v>
      </c>
      <c r="E1185" s="251">
        <v>362</v>
      </c>
      <c r="F1185" s="251">
        <v>16</v>
      </c>
      <c r="G1185" s="107">
        <f t="shared" si="38"/>
        <v>4.4198895027624308E-2</v>
      </c>
      <c r="H1185" s="116" t="s">
        <v>401</v>
      </c>
      <c r="I1185" s="127"/>
    </row>
    <row r="1186" spans="1:9" ht="24.75" customHeight="1">
      <c r="A1186" s="749"/>
      <c r="B1186" s="250" t="s">
        <v>431</v>
      </c>
      <c r="C1186" s="35" t="s">
        <v>427</v>
      </c>
      <c r="D1186" s="107">
        <v>0.15</v>
      </c>
      <c r="E1186" s="118">
        <v>1</v>
      </c>
      <c r="F1186" s="118">
        <v>1</v>
      </c>
      <c r="G1186" s="107">
        <f t="shared" si="38"/>
        <v>1</v>
      </c>
      <c r="H1186" s="116" t="s">
        <v>402</v>
      </c>
      <c r="I1186" s="127"/>
    </row>
    <row r="1187" spans="1:9" ht="24.75" customHeight="1">
      <c r="A1187" s="749"/>
      <c r="B1187" s="250" t="s">
        <v>432</v>
      </c>
      <c r="C1187" s="35" t="s">
        <v>427</v>
      </c>
      <c r="D1187" s="107">
        <v>0.15</v>
      </c>
      <c r="E1187" s="118">
        <v>4707</v>
      </c>
      <c r="F1187" s="118">
        <v>1326</v>
      </c>
      <c r="G1187" s="107">
        <f t="shared" si="38"/>
        <v>0.28170809432759719</v>
      </c>
      <c r="H1187" s="116" t="s">
        <v>403</v>
      </c>
      <c r="I1187" s="127"/>
    </row>
    <row r="1188" spans="1:9" ht="24.75" customHeight="1">
      <c r="A1188" s="750"/>
      <c r="B1188" s="250" t="s">
        <v>433</v>
      </c>
      <c r="C1188" s="35" t="s">
        <v>427</v>
      </c>
      <c r="D1188" s="107">
        <v>0.1</v>
      </c>
      <c r="E1188" s="118">
        <v>1</v>
      </c>
      <c r="F1188" s="118">
        <v>1</v>
      </c>
      <c r="G1188" s="107">
        <f t="shared" si="38"/>
        <v>1</v>
      </c>
      <c r="H1188" s="116" t="s">
        <v>404</v>
      </c>
      <c r="I1188" s="127"/>
    </row>
    <row r="1189" spans="1:9" ht="24.75" customHeight="1">
      <c r="A1189" s="748" t="s">
        <v>138</v>
      </c>
      <c r="B1189" s="250" t="s">
        <v>426</v>
      </c>
      <c r="C1189" s="35" t="s">
        <v>427</v>
      </c>
      <c r="D1189" s="107">
        <v>0.15</v>
      </c>
      <c r="E1189" s="251">
        <v>20</v>
      </c>
      <c r="F1189" s="251">
        <v>20</v>
      </c>
      <c r="G1189" s="107">
        <f t="shared" si="38"/>
        <v>1</v>
      </c>
      <c r="H1189" s="116"/>
      <c r="I1189" s="127"/>
    </row>
    <row r="1190" spans="1:9" ht="24.75" customHeight="1">
      <c r="A1190" s="749"/>
      <c r="B1190" s="250" t="s">
        <v>428</v>
      </c>
      <c r="C1190" s="35" t="s">
        <v>427</v>
      </c>
      <c r="D1190" s="107">
        <v>0.15</v>
      </c>
      <c r="E1190" s="118">
        <v>6</v>
      </c>
      <c r="F1190" s="118">
        <v>1.6</v>
      </c>
      <c r="G1190" s="107">
        <f t="shared" si="38"/>
        <v>0.26666666666666666</v>
      </c>
      <c r="H1190" s="116"/>
      <c r="I1190" s="127"/>
    </row>
    <row r="1191" spans="1:9" ht="24.75" customHeight="1">
      <c r="A1191" s="749"/>
      <c r="B1191" s="250" t="s">
        <v>429</v>
      </c>
      <c r="C1191" s="35" t="s">
        <v>427</v>
      </c>
      <c r="D1191" s="107">
        <v>0.15</v>
      </c>
      <c r="E1191" s="118">
        <v>1</v>
      </c>
      <c r="F1191" s="118">
        <v>0.51</v>
      </c>
      <c r="G1191" s="107">
        <f t="shared" si="38"/>
        <v>0.51</v>
      </c>
      <c r="H1191" s="116"/>
      <c r="I1191" s="127"/>
    </row>
    <row r="1192" spans="1:9" ht="24.75" customHeight="1">
      <c r="A1192" s="749"/>
      <c r="B1192" s="250" t="s">
        <v>430</v>
      </c>
      <c r="C1192" s="35" t="s">
        <v>427</v>
      </c>
      <c r="D1192" s="107">
        <v>0.15</v>
      </c>
      <c r="E1192" s="251">
        <v>362</v>
      </c>
      <c r="F1192" s="251">
        <v>16</v>
      </c>
      <c r="G1192" s="107">
        <f t="shared" si="38"/>
        <v>4.4198895027624308E-2</v>
      </c>
      <c r="H1192" s="116"/>
      <c r="I1192" s="127"/>
    </row>
    <row r="1193" spans="1:9" ht="24.75" customHeight="1">
      <c r="A1193" s="749"/>
      <c r="B1193" s="250" t="s">
        <v>431</v>
      </c>
      <c r="C1193" s="35" t="s">
        <v>427</v>
      </c>
      <c r="D1193" s="107">
        <v>0.15</v>
      </c>
      <c r="E1193" s="118">
        <v>1</v>
      </c>
      <c r="F1193" s="118">
        <v>1</v>
      </c>
      <c r="G1193" s="107">
        <f t="shared" si="38"/>
        <v>1</v>
      </c>
      <c r="H1193" s="116"/>
      <c r="I1193" s="127"/>
    </row>
    <row r="1194" spans="1:9" ht="24.75" customHeight="1">
      <c r="A1194" s="749"/>
      <c r="B1194" s="250" t="s">
        <v>432</v>
      </c>
      <c r="C1194" s="35" t="s">
        <v>427</v>
      </c>
      <c r="D1194" s="107">
        <v>0.15</v>
      </c>
      <c r="E1194" s="118">
        <v>4707</v>
      </c>
      <c r="F1194" s="118">
        <v>1501</v>
      </c>
      <c r="G1194" s="107">
        <f t="shared" si="38"/>
        <v>0.31888676439345653</v>
      </c>
      <c r="H1194" s="116"/>
      <c r="I1194" s="127"/>
    </row>
    <row r="1195" spans="1:9" ht="24.75" customHeight="1">
      <c r="A1195" s="750"/>
      <c r="B1195" s="250" t="s">
        <v>433</v>
      </c>
      <c r="C1195" s="35" t="s">
        <v>427</v>
      </c>
      <c r="D1195" s="107">
        <v>0.1</v>
      </c>
      <c r="E1195" s="118">
        <v>528678000</v>
      </c>
      <c r="F1195" s="118">
        <v>516118000</v>
      </c>
      <c r="G1195" s="107">
        <f t="shared" si="38"/>
        <v>0.97624262783773863</v>
      </c>
      <c r="H1195" s="317"/>
      <c r="I1195" s="127"/>
    </row>
    <row r="1196" spans="1:9" ht="24.75" customHeight="1">
      <c r="A1196" s="748" t="s">
        <v>139</v>
      </c>
      <c r="B1196" s="250" t="s">
        <v>426</v>
      </c>
      <c r="C1196" s="35" t="s">
        <v>427</v>
      </c>
      <c r="D1196" s="107">
        <v>0.15</v>
      </c>
      <c r="E1196" s="251">
        <v>20</v>
      </c>
      <c r="F1196" s="251">
        <v>20</v>
      </c>
      <c r="G1196" s="107">
        <f t="shared" si="38"/>
        <v>1</v>
      </c>
      <c r="H1196" s="111" t="s">
        <v>442</v>
      </c>
      <c r="I1196" s="127"/>
    </row>
    <row r="1197" spans="1:9" ht="24.75" customHeight="1">
      <c r="A1197" s="749"/>
      <c r="B1197" s="250" t="s">
        <v>428</v>
      </c>
      <c r="C1197" s="35" t="s">
        <v>427</v>
      </c>
      <c r="D1197" s="107">
        <v>0.15</v>
      </c>
      <c r="E1197" s="118">
        <v>8</v>
      </c>
      <c r="F1197" s="118">
        <v>2.4</v>
      </c>
      <c r="G1197" s="107">
        <f t="shared" si="38"/>
        <v>0.3</v>
      </c>
      <c r="H1197" s="111" t="s">
        <v>435</v>
      </c>
      <c r="I1197" s="127"/>
    </row>
    <row r="1198" spans="1:9" ht="24.75" customHeight="1">
      <c r="A1198" s="749"/>
      <c r="B1198" s="250" t="s">
        <v>429</v>
      </c>
      <c r="C1198" s="35" t="s">
        <v>427</v>
      </c>
      <c r="D1198" s="107">
        <v>0.15</v>
      </c>
      <c r="E1198" s="118">
        <v>2</v>
      </c>
      <c r="F1198" s="118">
        <v>0.65</v>
      </c>
      <c r="G1198" s="107">
        <f t="shared" si="38"/>
        <v>0.32500000000000001</v>
      </c>
      <c r="H1198" s="111" t="s">
        <v>443</v>
      </c>
      <c r="I1198" s="127"/>
    </row>
    <row r="1199" spans="1:9" ht="24.75" customHeight="1">
      <c r="A1199" s="749"/>
      <c r="B1199" s="250" t="s">
        <v>430</v>
      </c>
      <c r="C1199" s="35" t="s">
        <v>427</v>
      </c>
      <c r="D1199" s="107">
        <v>0.15</v>
      </c>
      <c r="E1199" s="251">
        <v>766</v>
      </c>
      <c r="F1199" s="251">
        <v>357</v>
      </c>
      <c r="G1199" s="107">
        <f t="shared" si="38"/>
        <v>0.4660574412532637</v>
      </c>
      <c r="H1199" s="111" t="s">
        <v>444</v>
      </c>
      <c r="I1199" s="127"/>
    </row>
    <row r="1200" spans="1:9" ht="24.75" customHeight="1">
      <c r="A1200" s="749"/>
      <c r="B1200" s="250" t="s">
        <v>431</v>
      </c>
      <c r="C1200" s="35" t="s">
        <v>427</v>
      </c>
      <c r="D1200" s="107">
        <v>0.15</v>
      </c>
      <c r="E1200" s="118">
        <v>1</v>
      </c>
      <c r="F1200" s="118">
        <v>1</v>
      </c>
      <c r="G1200" s="107">
        <f t="shared" si="38"/>
        <v>1</v>
      </c>
      <c r="H1200" s="111" t="s">
        <v>445</v>
      </c>
      <c r="I1200" s="127"/>
    </row>
    <row r="1201" spans="1:38" ht="24.75" customHeight="1">
      <c r="A1201" s="749"/>
      <c r="B1201" s="250" t="s">
        <v>432</v>
      </c>
      <c r="C1201" s="35" t="s">
        <v>427</v>
      </c>
      <c r="D1201" s="107">
        <v>0.15</v>
      </c>
      <c r="E1201" s="118">
        <v>4707</v>
      </c>
      <c r="F1201" s="118">
        <v>2706</v>
      </c>
      <c r="G1201" s="107">
        <f t="shared" si="38"/>
        <v>0.57488846398980242</v>
      </c>
      <c r="H1201" s="111" t="s">
        <v>446</v>
      </c>
      <c r="I1201" s="127"/>
    </row>
    <row r="1202" spans="1:38" ht="24.75" customHeight="1">
      <c r="A1202" s="750"/>
      <c r="B1202" s="250" t="s">
        <v>433</v>
      </c>
      <c r="C1202" s="35" t="s">
        <v>427</v>
      </c>
      <c r="D1202" s="107">
        <v>0.1</v>
      </c>
      <c r="E1202" s="107">
        <v>1</v>
      </c>
      <c r="F1202" s="107">
        <v>1</v>
      </c>
      <c r="G1202" s="107">
        <f t="shared" si="38"/>
        <v>1</v>
      </c>
      <c r="H1202" s="111" t="s">
        <v>440</v>
      </c>
      <c r="I1202" s="127"/>
    </row>
    <row r="1203" spans="1:38" ht="24.75" customHeight="1">
      <c r="A1203" s="748" t="s">
        <v>140</v>
      </c>
      <c r="B1203" s="250" t="s">
        <v>426</v>
      </c>
      <c r="C1203" s="35" t="s">
        <v>427</v>
      </c>
      <c r="D1203" s="107">
        <v>0.15</v>
      </c>
      <c r="E1203" s="251">
        <v>20</v>
      </c>
      <c r="F1203" s="251">
        <v>20</v>
      </c>
      <c r="G1203" s="107">
        <f>F1203/E1203</f>
        <v>1</v>
      </c>
      <c r="H1203" s="111" t="s">
        <v>453</v>
      </c>
    </row>
    <row r="1204" spans="1:38" ht="24.75" customHeight="1">
      <c r="A1204" s="749"/>
      <c r="B1204" s="250" t="s">
        <v>428</v>
      </c>
      <c r="C1204" s="35" t="s">
        <v>427</v>
      </c>
      <c r="D1204" s="107">
        <v>0.15</v>
      </c>
      <c r="E1204" s="118">
        <v>8</v>
      </c>
      <c r="F1204" s="118">
        <v>3</v>
      </c>
      <c r="G1204" s="107">
        <f t="shared" si="38"/>
        <v>0.375</v>
      </c>
      <c r="H1204" s="111" t="s">
        <v>326</v>
      </c>
    </row>
    <row r="1205" spans="1:38" ht="24.75" customHeight="1">
      <c r="A1205" s="749"/>
      <c r="B1205" s="250" t="s">
        <v>429</v>
      </c>
      <c r="C1205" s="35" t="s">
        <v>427</v>
      </c>
      <c r="D1205" s="107">
        <v>0.15</v>
      </c>
      <c r="E1205" s="118">
        <v>2</v>
      </c>
      <c r="F1205" s="118">
        <v>1</v>
      </c>
      <c r="G1205" s="107">
        <f t="shared" si="38"/>
        <v>0.5</v>
      </c>
      <c r="H1205" s="111" t="s">
        <v>454</v>
      </c>
    </row>
    <row r="1206" spans="1:38" ht="24.75" customHeight="1">
      <c r="A1206" s="749"/>
      <c r="B1206" s="250" t="s">
        <v>430</v>
      </c>
      <c r="C1206" s="35" t="s">
        <v>427</v>
      </c>
      <c r="D1206" s="107">
        <v>0.15</v>
      </c>
      <c r="E1206" s="251">
        <v>766</v>
      </c>
      <c r="F1206" s="251">
        <v>463</v>
      </c>
      <c r="G1206" s="107">
        <f t="shared" si="38"/>
        <v>0.6044386422976501</v>
      </c>
      <c r="H1206" s="111" t="s">
        <v>455</v>
      </c>
    </row>
    <row r="1207" spans="1:38" s="311" customFormat="1" ht="24.75" customHeight="1">
      <c r="A1207" s="749"/>
      <c r="B1207" s="250" t="s">
        <v>431</v>
      </c>
      <c r="C1207" s="35" t="s">
        <v>427</v>
      </c>
      <c r="D1207" s="107">
        <v>0.15</v>
      </c>
      <c r="E1207" s="118">
        <v>1</v>
      </c>
      <c r="F1207" s="118">
        <v>1</v>
      </c>
      <c r="G1207" s="107">
        <f t="shared" si="38"/>
        <v>1</v>
      </c>
      <c r="H1207" s="111" t="s">
        <v>450</v>
      </c>
      <c r="J1207" s="112"/>
      <c r="K1207" s="112"/>
      <c r="L1207" s="112"/>
      <c r="M1207" s="112"/>
      <c r="N1207" s="112"/>
      <c r="O1207" s="112"/>
      <c r="P1207" s="112"/>
      <c r="Q1207" s="112"/>
      <c r="R1207" s="112"/>
      <c r="S1207" s="112"/>
      <c r="T1207" s="112"/>
      <c r="U1207" s="112"/>
      <c r="V1207" s="112"/>
      <c r="W1207" s="112"/>
      <c r="X1207" s="112"/>
      <c r="Y1207" s="112"/>
      <c r="Z1207" s="112"/>
      <c r="AA1207" s="112"/>
      <c r="AB1207" s="112"/>
      <c r="AC1207" s="112"/>
      <c r="AD1207" s="112"/>
      <c r="AE1207" s="112"/>
      <c r="AF1207" s="112"/>
      <c r="AG1207" s="112"/>
      <c r="AH1207" s="112"/>
      <c r="AI1207" s="112"/>
      <c r="AJ1207" s="112"/>
      <c r="AK1207" s="112"/>
      <c r="AL1207" s="112"/>
    </row>
    <row r="1208" spans="1:38" s="311" customFormat="1" ht="24.75" customHeight="1">
      <c r="A1208" s="749"/>
      <c r="B1208" s="250" t="s">
        <v>432</v>
      </c>
      <c r="C1208" s="35" t="s">
        <v>427</v>
      </c>
      <c r="D1208" s="107">
        <v>0.15</v>
      </c>
      <c r="E1208" s="118">
        <v>4707</v>
      </c>
      <c r="F1208" s="118">
        <v>3504</v>
      </c>
      <c r="G1208" s="107">
        <f t="shared" si="38"/>
        <v>0.74442319949012115</v>
      </c>
      <c r="H1208" s="111" t="s">
        <v>451</v>
      </c>
      <c r="J1208" s="112"/>
      <c r="K1208" s="112"/>
      <c r="L1208" s="112"/>
      <c r="M1208" s="112"/>
      <c r="N1208" s="112"/>
      <c r="O1208" s="112"/>
      <c r="P1208" s="112"/>
      <c r="Q1208" s="112"/>
      <c r="R1208" s="112"/>
      <c r="S1208" s="112"/>
      <c r="T1208" s="112"/>
      <c r="U1208" s="112"/>
      <c r="V1208" s="112"/>
      <c r="W1208" s="112"/>
      <c r="X1208" s="112"/>
      <c r="Y1208" s="112"/>
      <c r="Z1208" s="112"/>
      <c r="AA1208" s="112"/>
      <c r="AB1208" s="112"/>
      <c r="AC1208" s="112"/>
      <c r="AD1208" s="112"/>
      <c r="AE1208" s="112"/>
      <c r="AF1208" s="112"/>
      <c r="AG1208" s="112"/>
      <c r="AH1208" s="112"/>
      <c r="AI1208" s="112"/>
      <c r="AJ1208" s="112"/>
      <c r="AK1208" s="112"/>
      <c r="AL1208" s="112"/>
    </row>
    <row r="1209" spans="1:38" s="311" customFormat="1" ht="24.75" customHeight="1">
      <c r="A1209" s="750"/>
      <c r="B1209" s="250" t="s">
        <v>433</v>
      </c>
      <c r="C1209" s="35" t="s">
        <v>427</v>
      </c>
      <c r="D1209" s="107">
        <v>0.1</v>
      </c>
      <c r="E1209" s="107">
        <v>1</v>
      </c>
      <c r="F1209" s="107">
        <v>0.92</v>
      </c>
      <c r="G1209" s="107">
        <f t="shared" si="38"/>
        <v>0.92</v>
      </c>
      <c r="H1209" s="111" t="s">
        <v>452</v>
      </c>
      <c r="J1209" s="112"/>
      <c r="K1209" s="112"/>
      <c r="L1209" s="112"/>
      <c r="M1209" s="112"/>
      <c r="N1209" s="112"/>
      <c r="O1209" s="112"/>
      <c r="P1209" s="112"/>
      <c r="Q1209" s="112"/>
      <c r="R1209" s="112"/>
      <c r="S1209" s="112"/>
      <c r="T1209" s="112"/>
      <c r="U1209" s="112"/>
      <c r="V1209" s="112"/>
      <c r="W1209" s="112"/>
      <c r="X1209" s="112"/>
      <c r="Y1209" s="112"/>
      <c r="Z1209" s="112"/>
      <c r="AA1209" s="112"/>
      <c r="AB1209" s="112"/>
      <c r="AC1209" s="112"/>
      <c r="AD1209" s="112"/>
      <c r="AE1209" s="112"/>
      <c r="AF1209" s="112"/>
      <c r="AG1209" s="112"/>
      <c r="AH1209" s="112"/>
      <c r="AI1209" s="112"/>
      <c r="AJ1209" s="112"/>
      <c r="AK1209" s="112"/>
      <c r="AL1209" s="112"/>
    </row>
    <row r="1210" spans="1:38" s="311" customFormat="1" ht="24.75" customHeight="1">
      <c r="A1210" s="748" t="s">
        <v>128</v>
      </c>
      <c r="B1210" s="250" t="s">
        <v>426</v>
      </c>
      <c r="C1210" s="35" t="s">
        <v>427</v>
      </c>
      <c r="D1210" s="107">
        <v>0.15</v>
      </c>
      <c r="E1210" s="251">
        <v>20</v>
      </c>
      <c r="F1210" s="251">
        <v>20</v>
      </c>
      <c r="G1210" s="107">
        <f>F1210/E1210</f>
        <v>1</v>
      </c>
      <c r="H1210" s="318" t="s">
        <v>461</v>
      </c>
      <c r="J1210" s="112"/>
      <c r="K1210" s="112"/>
      <c r="L1210" s="112"/>
      <c r="M1210" s="112"/>
      <c r="N1210" s="112"/>
      <c r="O1210" s="112"/>
      <c r="P1210" s="112"/>
      <c r="Q1210" s="112"/>
      <c r="R1210" s="112"/>
      <c r="S1210" s="112"/>
      <c r="T1210" s="112"/>
      <c r="U1210" s="112"/>
      <c r="V1210" s="112"/>
      <c r="W1210" s="112"/>
      <c r="X1210" s="112"/>
      <c r="Y1210" s="112"/>
      <c r="Z1210" s="112"/>
      <c r="AA1210" s="112"/>
      <c r="AB1210" s="112"/>
      <c r="AC1210" s="112"/>
      <c r="AD1210" s="112"/>
      <c r="AE1210" s="112"/>
      <c r="AF1210" s="112"/>
      <c r="AG1210" s="112"/>
      <c r="AH1210" s="112"/>
      <c r="AI1210" s="112"/>
      <c r="AJ1210" s="112"/>
      <c r="AK1210" s="112"/>
      <c r="AL1210" s="112"/>
    </row>
    <row r="1211" spans="1:38" s="311" customFormat="1" ht="24.75" customHeight="1">
      <c r="A1211" s="749"/>
      <c r="B1211" s="250" t="s">
        <v>428</v>
      </c>
      <c r="C1211" s="35" t="s">
        <v>427</v>
      </c>
      <c r="D1211" s="107">
        <v>0.15</v>
      </c>
      <c r="E1211" s="118">
        <v>8</v>
      </c>
      <c r="F1211" s="118">
        <v>3.8</v>
      </c>
      <c r="G1211" s="107">
        <f t="shared" ref="G1211:G1216" si="39">F1211/E1211</f>
        <v>0.47499999999999998</v>
      </c>
      <c r="H1211" s="318" t="s">
        <v>462</v>
      </c>
      <c r="J1211" s="112"/>
      <c r="K1211" s="112"/>
      <c r="L1211" s="112"/>
      <c r="M1211" s="112"/>
      <c r="N1211" s="112"/>
      <c r="O1211" s="112"/>
      <c r="P1211" s="112"/>
      <c r="Q1211" s="112"/>
      <c r="R1211" s="112"/>
      <c r="S1211" s="112"/>
      <c r="T1211" s="112"/>
      <c r="U1211" s="112"/>
      <c r="V1211" s="112"/>
      <c r="W1211" s="112"/>
      <c r="X1211" s="112"/>
      <c r="Y1211" s="112"/>
      <c r="Z1211" s="112"/>
      <c r="AA1211" s="112"/>
      <c r="AB1211" s="112"/>
      <c r="AC1211" s="112"/>
      <c r="AD1211" s="112"/>
      <c r="AE1211" s="112"/>
      <c r="AF1211" s="112"/>
      <c r="AG1211" s="112"/>
      <c r="AH1211" s="112"/>
      <c r="AI1211" s="112"/>
      <c r="AJ1211" s="112"/>
      <c r="AK1211" s="112"/>
      <c r="AL1211" s="112"/>
    </row>
    <row r="1212" spans="1:38" s="311" customFormat="1" ht="24.75" customHeight="1">
      <c r="A1212" s="749"/>
      <c r="B1212" s="250" t="s">
        <v>429</v>
      </c>
      <c r="C1212" s="35" t="s">
        <v>427</v>
      </c>
      <c r="D1212" s="107">
        <v>0.15</v>
      </c>
      <c r="E1212" s="118">
        <v>2</v>
      </c>
      <c r="F1212" s="118">
        <v>1.26</v>
      </c>
      <c r="G1212" s="107">
        <f t="shared" si="39"/>
        <v>0.63</v>
      </c>
      <c r="H1212" s="318" t="s">
        <v>463</v>
      </c>
      <c r="J1212" s="112"/>
      <c r="K1212" s="112"/>
      <c r="L1212" s="112"/>
      <c r="M1212" s="112"/>
      <c r="N1212" s="112"/>
      <c r="O1212" s="112"/>
      <c r="P1212" s="112"/>
      <c r="Q1212" s="112"/>
      <c r="R1212" s="112"/>
      <c r="S1212" s="112"/>
      <c r="T1212" s="112"/>
      <c r="U1212" s="112"/>
      <c r="V1212" s="112"/>
      <c r="W1212" s="112"/>
      <c r="X1212" s="112"/>
      <c r="Y1212" s="112"/>
      <c r="Z1212" s="112"/>
      <c r="AA1212" s="112"/>
      <c r="AB1212" s="112"/>
      <c r="AC1212" s="112"/>
      <c r="AD1212" s="112"/>
      <c r="AE1212" s="112"/>
      <c r="AF1212" s="112"/>
      <c r="AG1212" s="112"/>
      <c r="AH1212" s="112"/>
      <c r="AI1212" s="112"/>
      <c r="AJ1212" s="112"/>
      <c r="AK1212" s="112"/>
      <c r="AL1212" s="112"/>
    </row>
    <row r="1213" spans="1:38" s="311" customFormat="1" ht="24.75" customHeight="1">
      <c r="A1213" s="749"/>
      <c r="B1213" s="250" t="s">
        <v>430</v>
      </c>
      <c r="C1213" s="35" t="s">
        <v>427</v>
      </c>
      <c r="D1213" s="107">
        <v>0.15</v>
      </c>
      <c r="E1213" s="251">
        <v>766</v>
      </c>
      <c r="F1213" s="251">
        <v>440</v>
      </c>
      <c r="G1213" s="107">
        <f t="shared" si="39"/>
        <v>0.5744125326370757</v>
      </c>
      <c r="H1213" s="111" t="s">
        <v>468</v>
      </c>
      <c r="J1213" s="112"/>
      <c r="K1213" s="112"/>
      <c r="L1213" s="112"/>
      <c r="M1213" s="112"/>
      <c r="N1213" s="112"/>
      <c r="O1213" s="112"/>
      <c r="P1213" s="112"/>
      <c r="Q1213" s="112"/>
      <c r="R1213" s="112"/>
      <c r="S1213" s="112"/>
      <c r="T1213" s="112"/>
      <c r="U1213" s="112"/>
      <c r="V1213" s="112"/>
      <c r="W1213" s="112"/>
      <c r="X1213" s="112"/>
      <c r="Y1213" s="112"/>
      <c r="Z1213" s="112"/>
      <c r="AA1213" s="112"/>
      <c r="AB1213" s="112"/>
      <c r="AC1213" s="112"/>
      <c r="AD1213" s="112"/>
      <c r="AE1213" s="112"/>
      <c r="AF1213" s="112"/>
      <c r="AG1213" s="112"/>
      <c r="AH1213" s="112"/>
      <c r="AI1213" s="112"/>
      <c r="AJ1213" s="112"/>
      <c r="AK1213" s="112"/>
      <c r="AL1213" s="112"/>
    </row>
    <row r="1214" spans="1:38" s="311" customFormat="1" ht="24.75" customHeight="1">
      <c r="A1214" s="749"/>
      <c r="B1214" s="250" t="s">
        <v>431</v>
      </c>
      <c r="C1214" s="35" t="s">
        <v>427</v>
      </c>
      <c r="D1214" s="107">
        <v>0.15</v>
      </c>
      <c r="E1214" s="118">
        <v>1</v>
      </c>
      <c r="F1214" s="118">
        <v>1.17</v>
      </c>
      <c r="G1214" s="107">
        <f t="shared" si="39"/>
        <v>1.17</v>
      </c>
      <c r="H1214" s="318" t="s">
        <v>464</v>
      </c>
      <c r="J1214" s="112"/>
      <c r="K1214" s="112"/>
      <c r="L1214" s="112"/>
      <c r="M1214" s="112"/>
      <c r="N1214" s="112"/>
      <c r="O1214" s="112"/>
      <c r="P1214" s="112"/>
      <c r="Q1214" s="112"/>
      <c r="R1214" s="112"/>
      <c r="S1214" s="112"/>
      <c r="T1214" s="112"/>
      <c r="U1214" s="112"/>
      <c r="V1214" s="112"/>
      <c r="W1214" s="112"/>
      <c r="X1214" s="112"/>
      <c r="Y1214" s="112"/>
      <c r="Z1214" s="112"/>
      <c r="AA1214" s="112"/>
      <c r="AB1214" s="112"/>
      <c r="AC1214" s="112"/>
      <c r="AD1214" s="112"/>
      <c r="AE1214" s="112"/>
      <c r="AF1214" s="112"/>
      <c r="AG1214" s="112"/>
      <c r="AH1214" s="112"/>
      <c r="AI1214" s="112"/>
      <c r="AJ1214" s="112"/>
      <c r="AK1214" s="112"/>
      <c r="AL1214" s="112"/>
    </row>
    <row r="1215" spans="1:38" s="311" customFormat="1" ht="24.75" customHeight="1">
      <c r="A1215" s="749"/>
      <c r="B1215" s="250" t="s">
        <v>432</v>
      </c>
      <c r="C1215" s="35" t="s">
        <v>427</v>
      </c>
      <c r="D1215" s="107">
        <v>0.15</v>
      </c>
      <c r="E1215" s="118">
        <v>4707</v>
      </c>
      <c r="F1215" s="118">
        <v>3769</v>
      </c>
      <c r="G1215" s="107">
        <f t="shared" si="39"/>
        <v>0.80072232844699387</v>
      </c>
      <c r="H1215" s="318" t="s">
        <v>465</v>
      </c>
      <c r="J1215" s="112"/>
      <c r="K1215" s="112"/>
      <c r="L1215" s="112"/>
      <c r="M1215" s="112"/>
      <c r="N1215" s="112"/>
      <c r="O1215" s="112"/>
      <c r="P1215" s="112"/>
      <c r="Q1215" s="112"/>
      <c r="R1215" s="112"/>
      <c r="S1215" s="112"/>
      <c r="T1215" s="112"/>
      <c r="U1215" s="112"/>
      <c r="V1215" s="112"/>
      <c r="W1215" s="112"/>
      <c r="X1215" s="112"/>
      <c r="Y1215" s="112"/>
      <c r="Z1215" s="112"/>
      <c r="AA1215" s="112"/>
      <c r="AB1215" s="112"/>
      <c r="AC1215" s="112"/>
      <c r="AD1215" s="112"/>
      <c r="AE1215" s="112"/>
      <c r="AF1215" s="112"/>
      <c r="AG1215" s="112"/>
      <c r="AH1215" s="112"/>
      <c r="AI1215" s="112"/>
      <c r="AJ1215" s="112"/>
      <c r="AK1215" s="112"/>
      <c r="AL1215" s="112"/>
    </row>
    <row r="1216" spans="1:38" s="311" customFormat="1" ht="24.75" customHeight="1">
      <c r="A1216" s="750"/>
      <c r="B1216" s="250" t="s">
        <v>433</v>
      </c>
      <c r="C1216" s="35" t="s">
        <v>427</v>
      </c>
      <c r="D1216" s="107">
        <v>0.1</v>
      </c>
      <c r="E1216" s="107">
        <v>1</v>
      </c>
      <c r="F1216" s="107">
        <v>1</v>
      </c>
      <c r="G1216" s="107">
        <f t="shared" si="39"/>
        <v>1</v>
      </c>
      <c r="H1216" s="318" t="s">
        <v>466</v>
      </c>
      <c r="J1216" s="112"/>
      <c r="K1216" s="112"/>
      <c r="L1216" s="112"/>
      <c r="M1216" s="112"/>
      <c r="N1216" s="112"/>
      <c r="O1216" s="112"/>
      <c r="P1216" s="112"/>
      <c r="Q1216" s="112"/>
      <c r="R1216" s="112"/>
      <c r="S1216" s="112"/>
      <c r="T1216" s="112"/>
      <c r="U1216" s="112"/>
      <c r="V1216" s="112"/>
      <c r="W1216" s="112"/>
      <c r="X1216" s="112"/>
      <c r="Y1216" s="112"/>
      <c r="Z1216" s="112"/>
      <c r="AA1216" s="112"/>
      <c r="AB1216" s="112"/>
      <c r="AC1216" s="112"/>
      <c r="AD1216" s="112"/>
      <c r="AE1216" s="112"/>
      <c r="AF1216" s="112"/>
      <c r="AG1216" s="112"/>
      <c r="AH1216" s="112"/>
      <c r="AI1216" s="112"/>
      <c r="AJ1216" s="112"/>
      <c r="AK1216" s="112"/>
      <c r="AL1216" s="112"/>
    </row>
    <row r="1217" spans="1:38" s="311" customFormat="1" ht="24.75" customHeight="1">
      <c r="A1217" s="748" t="s">
        <v>129</v>
      </c>
      <c r="B1217" s="250" t="s">
        <v>426</v>
      </c>
      <c r="C1217" s="35" t="s">
        <v>427</v>
      </c>
      <c r="D1217" s="107">
        <v>0.15</v>
      </c>
      <c r="E1217" s="251">
        <v>20</v>
      </c>
      <c r="F1217" s="251">
        <v>20</v>
      </c>
      <c r="G1217" s="107">
        <f>F1217/E1217</f>
        <v>1</v>
      </c>
      <c r="H1217" s="318" t="s">
        <v>461</v>
      </c>
      <c r="J1217" s="112"/>
      <c r="K1217" s="112"/>
      <c r="L1217" s="112"/>
      <c r="M1217" s="112"/>
      <c r="N1217" s="112"/>
      <c r="O1217" s="112"/>
      <c r="P1217" s="112"/>
      <c r="Q1217" s="112"/>
      <c r="R1217" s="112"/>
      <c r="S1217" s="112"/>
      <c r="T1217" s="112"/>
      <c r="U1217" s="112"/>
      <c r="V1217" s="112"/>
      <c r="W1217" s="112"/>
      <c r="X1217" s="112"/>
      <c r="Y1217" s="112"/>
      <c r="Z1217" s="112"/>
      <c r="AA1217" s="112"/>
      <c r="AB1217" s="112"/>
      <c r="AC1217" s="112"/>
      <c r="AD1217" s="112"/>
      <c r="AE1217" s="112"/>
      <c r="AF1217" s="112"/>
      <c r="AG1217" s="112"/>
      <c r="AH1217" s="112"/>
      <c r="AI1217" s="112"/>
      <c r="AJ1217" s="112"/>
      <c r="AK1217" s="112"/>
      <c r="AL1217" s="112"/>
    </row>
    <row r="1218" spans="1:38" s="311" customFormat="1" ht="24.75" customHeight="1">
      <c r="A1218" s="749"/>
      <c r="B1218" s="250" t="s">
        <v>428</v>
      </c>
      <c r="C1218" s="35" t="s">
        <v>427</v>
      </c>
      <c r="D1218" s="107">
        <v>0.15</v>
      </c>
      <c r="E1218" s="118">
        <v>8</v>
      </c>
      <c r="F1218" s="118">
        <v>4.5999999999999996</v>
      </c>
      <c r="G1218" s="107">
        <f t="shared" ref="G1218:G1223" si="40">F1218/E1218</f>
        <v>0.57499999999999996</v>
      </c>
      <c r="H1218" s="318" t="s">
        <v>462</v>
      </c>
      <c r="J1218" s="112"/>
      <c r="K1218" s="112"/>
      <c r="L1218" s="112"/>
      <c r="M1218" s="112"/>
      <c r="N1218" s="112"/>
      <c r="O1218" s="112"/>
      <c r="P1218" s="112"/>
      <c r="Q1218" s="112"/>
      <c r="R1218" s="112"/>
      <c r="S1218" s="112"/>
      <c r="T1218" s="112"/>
      <c r="U1218" s="112"/>
      <c r="V1218" s="112"/>
      <c r="W1218" s="112"/>
      <c r="X1218" s="112"/>
      <c r="Y1218" s="112"/>
      <c r="Z1218" s="112"/>
      <c r="AA1218" s="112"/>
      <c r="AB1218" s="112"/>
      <c r="AC1218" s="112"/>
      <c r="AD1218" s="112"/>
      <c r="AE1218" s="112"/>
      <c r="AF1218" s="112"/>
      <c r="AG1218" s="112"/>
      <c r="AH1218" s="112"/>
      <c r="AI1218" s="112"/>
      <c r="AJ1218" s="112"/>
      <c r="AK1218" s="112"/>
      <c r="AL1218" s="112"/>
    </row>
    <row r="1219" spans="1:38" s="311" customFormat="1" ht="24.75" customHeight="1">
      <c r="A1219" s="749"/>
      <c r="B1219" s="250" t="s">
        <v>429</v>
      </c>
      <c r="C1219" s="35" t="s">
        <v>427</v>
      </c>
      <c r="D1219" s="107">
        <v>0.15</v>
      </c>
      <c r="E1219" s="118">
        <v>2</v>
      </c>
      <c r="F1219" s="118">
        <v>1.39</v>
      </c>
      <c r="G1219" s="107">
        <f t="shared" si="40"/>
        <v>0.69499999999999995</v>
      </c>
      <c r="H1219" s="318" t="s">
        <v>463</v>
      </c>
      <c r="J1219" s="112"/>
      <c r="K1219" s="112"/>
      <c r="L1219" s="112"/>
      <c r="M1219" s="112"/>
      <c r="N1219" s="112"/>
      <c r="O1219" s="112"/>
      <c r="P1219" s="112"/>
      <c r="Q1219" s="112"/>
      <c r="R1219" s="112"/>
      <c r="S1219" s="112"/>
      <c r="T1219" s="112"/>
      <c r="U1219" s="112"/>
      <c r="V1219" s="112"/>
      <c r="W1219" s="112"/>
      <c r="X1219" s="112"/>
      <c r="Y1219" s="112"/>
      <c r="Z1219" s="112"/>
      <c r="AA1219" s="112"/>
      <c r="AB1219" s="112"/>
      <c r="AC1219" s="112"/>
      <c r="AD1219" s="112"/>
      <c r="AE1219" s="112"/>
      <c r="AF1219" s="112"/>
      <c r="AG1219" s="112"/>
      <c r="AH1219" s="112"/>
      <c r="AI1219" s="112"/>
      <c r="AJ1219" s="112"/>
      <c r="AK1219" s="112"/>
      <c r="AL1219" s="112"/>
    </row>
    <row r="1220" spans="1:38" s="311" customFormat="1" ht="24.75" customHeight="1">
      <c r="A1220" s="749"/>
      <c r="B1220" s="250" t="s">
        <v>430</v>
      </c>
      <c r="C1220" s="35" t="s">
        <v>427</v>
      </c>
      <c r="D1220" s="107">
        <v>0.15</v>
      </c>
      <c r="E1220" s="251">
        <v>766</v>
      </c>
      <c r="F1220" s="251">
        <v>529</v>
      </c>
      <c r="G1220" s="107">
        <f t="shared" si="40"/>
        <v>0.69060052219321144</v>
      </c>
      <c r="H1220" s="111" t="s">
        <v>468</v>
      </c>
      <c r="J1220" s="112"/>
      <c r="K1220" s="112"/>
      <c r="L1220" s="112"/>
      <c r="M1220" s="112"/>
      <c r="N1220" s="112"/>
      <c r="O1220" s="112"/>
      <c r="P1220" s="112"/>
      <c r="Q1220" s="112"/>
      <c r="R1220" s="112"/>
      <c r="S1220" s="112"/>
      <c r="T1220" s="112"/>
      <c r="U1220" s="112"/>
      <c r="V1220" s="112"/>
      <c r="W1220" s="112"/>
      <c r="X1220" s="112"/>
      <c r="Y1220" s="112"/>
      <c r="Z1220" s="112"/>
      <c r="AA1220" s="112"/>
      <c r="AB1220" s="112"/>
      <c r="AC1220" s="112"/>
      <c r="AD1220" s="112"/>
      <c r="AE1220" s="112"/>
      <c r="AF1220" s="112"/>
      <c r="AG1220" s="112"/>
      <c r="AH1220" s="112"/>
      <c r="AI1220" s="112"/>
      <c r="AJ1220" s="112"/>
      <c r="AK1220" s="112"/>
      <c r="AL1220" s="112"/>
    </row>
    <row r="1221" spans="1:38" s="311" customFormat="1" ht="24.75" customHeight="1">
      <c r="A1221" s="749"/>
      <c r="B1221" s="250" t="s">
        <v>431</v>
      </c>
      <c r="C1221" s="35" t="s">
        <v>427</v>
      </c>
      <c r="D1221" s="107">
        <v>0.15</v>
      </c>
      <c r="E1221" s="118">
        <v>1</v>
      </c>
      <c r="F1221" s="118">
        <v>1.67</v>
      </c>
      <c r="G1221" s="107">
        <f t="shared" si="40"/>
        <v>1.67</v>
      </c>
      <c r="H1221" s="318" t="s">
        <v>464</v>
      </c>
      <c r="J1221" s="112"/>
      <c r="K1221" s="112"/>
      <c r="L1221" s="112"/>
      <c r="M1221" s="112"/>
      <c r="N1221" s="112"/>
      <c r="O1221" s="112"/>
      <c r="P1221" s="112"/>
      <c r="Q1221" s="112"/>
      <c r="R1221" s="112"/>
      <c r="S1221" s="112"/>
      <c r="T1221" s="112"/>
      <c r="U1221" s="112"/>
      <c r="V1221" s="112"/>
      <c r="W1221" s="112"/>
      <c r="X1221" s="112"/>
      <c r="Y1221" s="112"/>
      <c r="Z1221" s="112"/>
      <c r="AA1221" s="112"/>
      <c r="AB1221" s="112"/>
      <c r="AC1221" s="112"/>
      <c r="AD1221" s="112"/>
      <c r="AE1221" s="112"/>
      <c r="AF1221" s="112"/>
      <c r="AG1221" s="112"/>
      <c r="AH1221" s="112"/>
      <c r="AI1221" s="112"/>
      <c r="AJ1221" s="112"/>
      <c r="AK1221" s="112"/>
      <c r="AL1221" s="112"/>
    </row>
    <row r="1222" spans="1:38" s="311" customFormat="1" ht="24.75" customHeight="1">
      <c r="A1222" s="749"/>
      <c r="B1222" s="250" t="s">
        <v>432</v>
      </c>
      <c r="C1222" s="35" t="s">
        <v>427</v>
      </c>
      <c r="D1222" s="107">
        <v>0.15</v>
      </c>
      <c r="E1222" s="118">
        <v>4707</v>
      </c>
      <c r="F1222" s="118">
        <v>3972</v>
      </c>
      <c r="G1222" s="107">
        <f t="shared" si="40"/>
        <v>0.84384958572339075</v>
      </c>
      <c r="H1222" s="318" t="s">
        <v>465</v>
      </c>
      <c r="J1222" s="112"/>
      <c r="K1222" s="112"/>
      <c r="L1222" s="112"/>
      <c r="M1222" s="112"/>
      <c r="N1222" s="112"/>
      <c r="O1222" s="112"/>
      <c r="P1222" s="112"/>
      <c r="Q1222" s="112"/>
      <c r="R1222" s="112"/>
      <c r="S1222" s="112"/>
      <c r="T1222" s="112"/>
      <c r="U1222" s="112"/>
      <c r="V1222" s="112"/>
      <c r="W1222" s="112"/>
      <c r="X1222" s="112"/>
      <c r="Y1222" s="112"/>
      <c r="Z1222" s="112"/>
      <c r="AA1222" s="112"/>
      <c r="AB1222" s="112"/>
      <c r="AC1222" s="112"/>
      <c r="AD1222" s="112"/>
      <c r="AE1222" s="112"/>
      <c r="AF1222" s="112"/>
      <c r="AG1222" s="112"/>
      <c r="AH1222" s="112"/>
      <c r="AI1222" s="112"/>
      <c r="AJ1222" s="112"/>
      <c r="AK1222" s="112"/>
      <c r="AL1222" s="112"/>
    </row>
    <row r="1223" spans="1:38" s="311" customFormat="1" ht="24.75" customHeight="1">
      <c r="A1223" s="750"/>
      <c r="B1223" s="250" t="s">
        <v>433</v>
      </c>
      <c r="C1223" s="35" t="s">
        <v>427</v>
      </c>
      <c r="D1223" s="107">
        <v>0.1</v>
      </c>
      <c r="E1223" s="107">
        <v>1</v>
      </c>
      <c r="F1223" s="107">
        <v>1</v>
      </c>
      <c r="G1223" s="107">
        <f t="shared" si="40"/>
        <v>1</v>
      </c>
      <c r="H1223" s="318" t="s">
        <v>466</v>
      </c>
      <c r="J1223" s="112"/>
      <c r="K1223" s="112"/>
      <c r="L1223" s="112"/>
      <c r="M1223" s="112"/>
      <c r="N1223" s="112"/>
      <c r="O1223" s="112"/>
      <c r="P1223" s="112"/>
      <c r="Q1223" s="112"/>
      <c r="R1223" s="112"/>
      <c r="S1223" s="112"/>
      <c r="T1223" s="112"/>
      <c r="U1223" s="112"/>
      <c r="V1223" s="112"/>
      <c r="W1223" s="112"/>
      <c r="X1223" s="112"/>
      <c r="Y1223" s="112"/>
      <c r="Z1223" s="112"/>
      <c r="AA1223" s="112"/>
      <c r="AB1223" s="112"/>
      <c r="AC1223" s="112"/>
      <c r="AD1223" s="112"/>
      <c r="AE1223" s="112"/>
      <c r="AF1223" s="112"/>
      <c r="AG1223" s="112"/>
      <c r="AH1223" s="112"/>
      <c r="AI1223" s="112"/>
      <c r="AJ1223" s="112"/>
      <c r="AK1223" s="112"/>
      <c r="AL1223" s="112"/>
    </row>
    <row r="1224" spans="1:38" s="311" customFormat="1" ht="24.75" customHeight="1">
      <c r="A1224" s="748" t="s">
        <v>130</v>
      </c>
      <c r="B1224" s="250" t="s">
        <v>426</v>
      </c>
      <c r="C1224" s="35" t="s">
        <v>427</v>
      </c>
      <c r="D1224" s="107">
        <v>0.15</v>
      </c>
      <c r="E1224" s="251">
        <v>20</v>
      </c>
      <c r="F1224" s="251">
        <v>20</v>
      </c>
      <c r="G1224" s="107">
        <f>F1224/E1224</f>
        <v>1</v>
      </c>
      <c r="H1224" s="129" t="s">
        <v>481</v>
      </c>
      <c r="J1224" s="112"/>
      <c r="K1224" s="112"/>
      <c r="L1224" s="112"/>
      <c r="M1224" s="112"/>
      <c r="N1224" s="112"/>
      <c r="O1224" s="112"/>
      <c r="P1224" s="112"/>
      <c r="Q1224" s="112"/>
      <c r="R1224" s="112"/>
      <c r="S1224" s="112"/>
      <c r="T1224" s="112"/>
      <c r="U1224" s="112"/>
      <c r="V1224" s="112"/>
      <c r="W1224" s="112"/>
      <c r="X1224" s="112"/>
      <c r="Y1224" s="112"/>
      <c r="Z1224" s="112"/>
      <c r="AA1224" s="112"/>
      <c r="AB1224" s="112"/>
      <c r="AC1224" s="112"/>
      <c r="AD1224" s="112"/>
      <c r="AE1224" s="112"/>
      <c r="AF1224" s="112"/>
      <c r="AG1224" s="112"/>
      <c r="AH1224" s="112"/>
      <c r="AI1224" s="112"/>
      <c r="AJ1224" s="112"/>
      <c r="AK1224" s="112"/>
      <c r="AL1224" s="112"/>
    </row>
    <row r="1225" spans="1:38" s="311" customFormat="1" ht="24.75" customHeight="1">
      <c r="A1225" s="749"/>
      <c r="B1225" s="250" t="s">
        <v>428</v>
      </c>
      <c r="C1225" s="35" t="s">
        <v>427</v>
      </c>
      <c r="D1225" s="107">
        <v>0.15</v>
      </c>
      <c r="E1225" s="118">
        <v>8</v>
      </c>
      <c r="F1225" s="118">
        <v>5.65</v>
      </c>
      <c r="G1225" s="107">
        <f t="shared" ref="G1225:G1251" si="41">F1225/E1225</f>
        <v>0.70625000000000004</v>
      </c>
      <c r="H1225" s="129" t="s">
        <v>479</v>
      </c>
      <c r="J1225" s="112"/>
      <c r="K1225" s="112"/>
      <c r="L1225" s="112"/>
      <c r="M1225" s="112"/>
      <c r="N1225" s="112"/>
      <c r="O1225" s="112"/>
      <c r="P1225" s="112"/>
      <c r="Q1225" s="112"/>
      <c r="R1225" s="112"/>
      <c r="S1225" s="112"/>
      <c r="T1225" s="112"/>
      <c r="U1225" s="112"/>
      <c r="V1225" s="112"/>
      <c r="W1225" s="112"/>
      <c r="X1225" s="112"/>
      <c r="Y1225" s="112"/>
      <c r="Z1225" s="112"/>
      <c r="AA1225" s="112"/>
      <c r="AB1225" s="112"/>
      <c r="AC1225" s="112"/>
      <c r="AD1225" s="112"/>
      <c r="AE1225" s="112"/>
      <c r="AF1225" s="112"/>
      <c r="AG1225" s="112"/>
      <c r="AH1225" s="112"/>
      <c r="AI1225" s="112"/>
      <c r="AJ1225" s="112"/>
      <c r="AK1225" s="112"/>
      <c r="AL1225" s="112"/>
    </row>
    <row r="1226" spans="1:38" s="311" customFormat="1" ht="24.75" customHeight="1">
      <c r="A1226" s="749"/>
      <c r="B1226" s="250" t="s">
        <v>429</v>
      </c>
      <c r="C1226" s="35" t="s">
        <v>427</v>
      </c>
      <c r="D1226" s="107">
        <v>0.15</v>
      </c>
      <c r="E1226" s="118">
        <v>2</v>
      </c>
      <c r="F1226" s="118">
        <v>1.56</v>
      </c>
      <c r="G1226" s="107">
        <f t="shared" si="41"/>
        <v>0.78</v>
      </c>
      <c r="H1226" s="129" t="s">
        <v>480</v>
      </c>
      <c r="J1226" s="112"/>
      <c r="K1226" s="112"/>
      <c r="L1226" s="112"/>
      <c r="M1226" s="112"/>
      <c r="N1226" s="112"/>
      <c r="O1226" s="112"/>
      <c r="P1226" s="112"/>
      <c r="Q1226" s="112"/>
      <c r="R1226" s="112"/>
      <c r="S1226" s="112"/>
      <c r="T1226" s="112"/>
      <c r="U1226" s="112"/>
      <c r="V1226" s="112"/>
      <c r="W1226" s="112"/>
      <c r="X1226" s="112"/>
      <c r="Y1226" s="112"/>
      <c r="Z1226" s="112"/>
      <c r="AA1226" s="112"/>
      <c r="AB1226" s="112"/>
      <c r="AC1226" s="112"/>
      <c r="AD1226" s="112"/>
      <c r="AE1226" s="112"/>
      <c r="AF1226" s="112"/>
      <c r="AG1226" s="112"/>
      <c r="AH1226" s="112"/>
      <c r="AI1226" s="112"/>
      <c r="AJ1226" s="112"/>
      <c r="AK1226" s="112"/>
      <c r="AL1226" s="112"/>
    </row>
    <row r="1227" spans="1:38" s="311" customFormat="1" ht="24.75" customHeight="1">
      <c r="A1227" s="749"/>
      <c r="B1227" s="250" t="s">
        <v>430</v>
      </c>
      <c r="C1227" s="35" t="s">
        <v>427</v>
      </c>
      <c r="D1227" s="107">
        <v>0.15</v>
      </c>
      <c r="E1227" s="251">
        <v>766</v>
      </c>
      <c r="F1227" s="251">
        <v>622</v>
      </c>
      <c r="G1227" s="107">
        <f t="shared" si="41"/>
        <v>0.81201044386422971</v>
      </c>
      <c r="H1227" s="129" t="s">
        <v>477</v>
      </c>
      <c r="J1227" s="112"/>
      <c r="K1227" s="112"/>
      <c r="L1227" s="112"/>
      <c r="M1227" s="112"/>
      <c r="N1227" s="112"/>
      <c r="O1227" s="112"/>
      <c r="P1227" s="112"/>
      <c r="Q1227" s="112"/>
      <c r="R1227" s="112"/>
      <c r="S1227" s="112"/>
      <c r="T1227" s="112"/>
      <c r="U1227" s="112"/>
      <c r="V1227" s="112"/>
      <c r="W1227" s="112"/>
      <c r="X1227" s="112"/>
      <c r="Y1227" s="112"/>
      <c r="Z1227" s="112"/>
      <c r="AA1227" s="112"/>
      <c r="AB1227" s="112"/>
      <c r="AC1227" s="112"/>
      <c r="AD1227" s="112"/>
      <c r="AE1227" s="112"/>
      <c r="AF1227" s="112"/>
      <c r="AG1227" s="112"/>
      <c r="AH1227" s="112"/>
      <c r="AI1227" s="112"/>
      <c r="AJ1227" s="112"/>
      <c r="AK1227" s="112"/>
      <c r="AL1227" s="112"/>
    </row>
    <row r="1228" spans="1:38" s="311" customFormat="1" ht="24.75" customHeight="1">
      <c r="A1228" s="749"/>
      <c r="B1228" s="250" t="s">
        <v>431</v>
      </c>
      <c r="C1228" s="35" t="s">
        <v>427</v>
      </c>
      <c r="D1228" s="107">
        <v>0.15</v>
      </c>
      <c r="E1228" s="118">
        <v>1</v>
      </c>
      <c r="F1228" s="118">
        <v>1</v>
      </c>
      <c r="G1228" s="107">
        <f t="shared" si="41"/>
        <v>1</v>
      </c>
      <c r="H1228" s="129" t="s">
        <v>478</v>
      </c>
      <c r="J1228" s="112"/>
      <c r="K1228" s="112"/>
      <c r="L1228" s="112"/>
      <c r="M1228" s="112"/>
      <c r="N1228" s="112"/>
      <c r="O1228" s="112"/>
      <c r="P1228" s="112"/>
      <c r="Q1228" s="112"/>
      <c r="R1228" s="112"/>
      <c r="S1228" s="112"/>
      <c r="T1228" s="112"/>
      <c r="U1228" s="112"/>
      <c r="V1228" s="112"/>
      <c r="W1228" s="112"/>
      <c r="X1228" s="112"/>
      <c r="Y1228" s="112"/>
      <c r="Z1228" s="112"/>
      <c r="AA1228" s="112"/>
      <c r="AB1228" s="112"/>
      <c r="AC1228" s="112"/>
      <c r="AD1228" s="112"/>
      <c r="AE1228" s="112"/>
      <c r="AF1228" s="112"/>
      <c r="AG1228" s="112"/>
      <c r="AH1228" s="112"/>
      <c r="AI1228" s="112"/>
      <c r="AJ1228" s="112"/>
      <c r="AK1228" s="112"/>
      <c r="AL1228" s="112"/>
    </row>
    <row r="1229" spans="1:38" s="311" customFormat="1" ht="24.75" customHeight="1">
      <c r="A1229" s="749"/>
      <c r="B1229" s="250" t="s">
        <v>432</v>
      </c>
      <c r="C1229" s="35" t="s">
        <v>427</v>
      </c>
      <c r="D1229" s="107">
        <v>0.15</v>
      </c>
      <c r="E1229" s="118">
        <v>4707</v>
      </c>
      <c r="F1229" s="118">
        <v>3972</v>
      </c>
      <c r="G1229" s="107">
        <f t="shared" si="41"/>
        <v>0.84384958572339075</v>
      </c>
      <c r="H1229" s="129" t="s">
        <v>476</v>
      </c>
      <c r="J1229" s="112"/>
      <c r="K1229" s="112"/>
      <c r="L1229" s="112"/>
      <c r="M1229" s="112"/>
      <c r="N1229" s="112"/>
      <c r="O1229" s="112"/>
      <c r="P1229" s="112"/>
      <c r="Q1229" s="112"/>
      <c r="R1229" s="112"/>
      <c r="S1229" s="112"/>
      <c r="T1229" s="112"/>
      <c r="U1229" s="112"/>
      <c r="V1229" s="112"/>
      <c r="W1229" s="112"/>
      <c r="X1229" s="112"/>
      <c r="Y1229" s="112"/>
      <c r="Z1229" s="112"/>
      <c r="AA1229" s="112"/>
      <c r="AB1229" s="112"/>
      <c r="AC1229" s="112"/>
      <c r="AD1229" s="112"/>
      <c r="AE1229" s="112"/>
      <c r="AF1229" s="112"/>
      <c r="AG1229" s="112"/>
      <c r="AH1229" s="112"/>
      <c r="AI1229" s="112"/>
      <c r="AJ1229" s="112"/>
      <c r="AK1229" s="112"/>
      <c r="AL1229" s="112"/>
    </row>
    <row r="1230" spans="1:38" s="311" customFormat="1" ht="24.75" customHeight="1">
      <c r="A1230" s="750"/>
      <c r="B1230" s="250" t="s">
        <v>433</v>
      </c>
      <c r="C1230" s="35" t="s">
        <v>427</v>
      </c>
      <c r="D1230" s="107">
        <v>0.1</v>
      </c>
      <c r="E1230" s="107">
        <v>1</v>
      </c>
      <c r="F1230" s="107">
        <v>1</v>
      </c>
      <c r="G1230" s="107">
        <f t="shared" si="41"/>
        <v>1</v>
      </c>
      <c r="H1230" s="129" t="s">
        <v>482</v>
      </c>
      <c r="J1230" s="112"/>
      <c r="K1230" s="112"/>
      <c r="L1230" s="112"/>
      <c r="M1230" s="112"/>
      <c r="N1230" s="112"/>
      <c r="O1230" s="112"/>
      <c r="P1230" s="112"/>
      <c r="Q1230" s="112"/>
      <c r="R1230" s="112"/>
      <c r="S1230" s="112"/>
      <c r="T1230" s="112"/>
      <c r="U1230" s="112"/>
      <c r="V1230" s="112"/>
      <c r="W1230" s="112"/>
      <c r="X1230" s="112"/>
      <c r="Y1230" s="112"/>
      <c r="Z1230" s="112"/>
      <c r="AA1230" s="112"/>
      <c r="AB1230" s="112"/>
      <c r="AC1230" s="112"/>
      <c r="AD1230" s="112"/>
      <c r="AE1230" s="112"/>
      <c r="AF1230" s="112"/>
      <c r="AG1230" s="112"/>
      <c r="AH1230" s="112"/>
      <c r="AI1230" s="112"/>
      <c r="AJ1230" s="112"/>
      <c r="AK1230" s="112"/>
      <c r="AL1230" s="112"/>
    </row>
    <row r="1231" spans="1:38" s="311" customFormat="1" ht="24.75" customHeight="1">
      <c r="A1231" s="748" t="s">
        <v>131</v>
      </c>
      <c r="B1231" s="250" t="s">
        <v>426</v>
      </c>
      <c r="C1231" s="35" t="s">
        <v>427</v>
      </c>
      <c r="D1231" s="107">
        <v>0.15</v>
      </c>
      <c r="E1231" s="251">
        <v>20</v>
      </c>
      <c r="F1231" s="251">
        <v>20</v>
      </c>
      <c r="G1231" s="107">
        <f>F1231/E1231</f>
        <v>1</v>
      </c>
      <c r="H1231" s="129" t="s">
        <v>507</v>
      </c>
      <c r="J1231" s="112"/>
      <c r="K1231" s="112"/>
      <c r="L1231" s="112"/>
      <c r="M1231" s="112"/>
      <c r="N1231" s="112"/>
      <c r="O1231" s="112"/>
      <c r="P1231" s="112"/>
      <c r="Q1231" s="112"/>
      <c r="R1231" s="112"/>
      <c r="S1231" s="112"/>
      <c r="T1231" s="112"/>
      <c r="U1231" s="112"/>
      <c r="V1231" s="112"/>
      <c r="W1231" s="112"/>
      <c r="X1231" s="112"/>
      <c r="Y1231" s="112"/>
      <c r="Z1231" s="112"/>
      <c r="AA1231" s="112"/>
      <c r="AB1231" s="112"/>
      <c r="AC1231" s="112"/>
      <c r="AD1231" s="112"/>
      <c r="AE1231" s="112"/>
      <c r="AF1231" s="112"/>
      <c r="AG1231" s="112"/>
      <c r="AH1231" s="112"/>
      <c r="AI1231" s="112"/>
      <c r="AJ1231" s="112"/>
      <c r="AK1231" s="112"/>
      <c r="AL1231" s="112"/>
    </row>
    <row r="1232" spans="1:38" s="311" customFormat="1" ht="24.75" customHeight="1">
      <c r="A1232" s="749"/>
      <c r="B1232" s="250" t="s">
        <v>428</v>
      </c>
      <c r="C1232" s="35" t="s">
        <v>427</v>
      </c>
      <c r="D1232" s="107">
        <v>0.15</v>
      </c>
      <c r="E1232" s="118">
        <v>8</v>
      </c>
      <c r="F1232" s="118">
        <v>6.5</v>
      </c>
      <c r="G1232" s="107">
        <f t="shared" si="41"/>
        <v>0.8125</v>
      </c>
      <c r="H1232" s="129" t="s">
        <v>492</v>
      </c>
      <c r="J1232" s="112"/>
      <c r="K1232" s="112"/>
      <c r="L1232" s="112"/>
      <c r="M1232" s="112"/>
      <c r="N1232" s="112"/>
      <c r="O1232" s="112"/>
      <c r="P1232" s="112"/>
      <c r="Q1232" s="112"/>
      <c r="R1232" s="112"/>
      <c r="S1232" s="112"/>
      <c r="T1232" s="112"/>
      <c r="U1232" s="112"/>
      <c r="V1232" s="112"/>
      <c r="W1232" s="112"/>
      <c r="X1232" s="112"/>
      <c r="Y1232" s="112"/>
      <c r="Z1232" s="112"/>
      <c r="AA1232" s="112"/>
      <c r="AB1232" s="112"/>
      <c r="AC1232" s="112"/>
      <c r="AD1232" s="112"/>
      <c r="AE1232" s="112"/>
      <c r="AF1232" s="112"/>
      <c r="AG1232" s="112"/>
      <c r="AH1232" s="112"/>
      <c r="AI1232" s="112"/>
      <c r="AJ1232" s="112"/>
      <c r="AK1232" s="112"/>
      <c r="AL1232" s="112"/>
    </row>
    <row r="1233" spans="1:38" s="311" customFormat="1" ht="24.75" customHeight="1">
      <c r="A1233" s="749"/>
      <c r="B1233" s="250" t="s">
        <v>429</v>
      </c>
      <c r="C1233" s="35" t="s">
        <v>427</v>
      </c>
      <c r="D1233" s="107">
        <v>0.15</v>
      </c>
      <c r="E1233" s="118">
        <v>2</v>
      </c>
      <c r="F1233" s="118">
        <v>1.77</v>
      </c>
      <c r="G1233" s="107">
        <f>F1233/E1233</f>
        <v>0.88500000000000001</v>
      </c>
      <c r="H1233" s="129" t="s">
        <v>493</v>
      </c>
      <c r="J1233" s="112"/>
      <c r="K1233" s="112"/>
      <c r="L1233" s="112"/>
      <c r="M1233" s="112"/>
      <c r="N1233" s="112"/>
      <c r="O1233" s="112"/>
      <c r="P1233" s="112"/>
      <c r="Q1233" s="112"/>
      <c r="R1233" s="112"/>
      <c r="S1233" s="112"/>
      <c r="T1233" s="112"/>
      <c r="U1233" s="112"/>
      <c r="V1233" s="112"/>
      <c r="W1233" s="112"/>
      <c r="X1233" s="112"/>
      <c r="Y1233" s="112"/>
      <c r="Z1233" s="112"/>
      <c r="AA1233" s="112"/>
      <c r="AB1233" s="112"/>
      <c r="AC1233" s="112"/>
      <c r="AD1233" s="112"/>
      <c r="AE1233" s="112"/>
      <c r="AF1233" s="112"/>
      <c r="AG1233" s="112"/>
      <c r="AH1233" s="112"/>
      <c r="AI1233" s="112"/>
      <c r="AJ1233" s="112"/>
      <c r="AK1233" s="112"/>
      <c r="AL1233" s="112"/>
    </row>
    <row r="1234" spans="1:38" s="311" customFormat="1" ht="24.75" customHeight="1">
      <c r="A1234" s="749"/>
      <c r="B1234" s="250" t="s">
        <v>430</v>
      </c>
      <c r="C1234" s="35" t="s">
        <v>427</v>
      </c>
      <c r="D1234" s="107">
        <v>0.15</v>
      </c>
      <c r="E1234" s="251">
        <v>766</v>
      </c>
      <c r="F1234" s="251">
        <v>691</v>
      </c>
      <c r="G1234" s="107">
        <f t="shared" si="41"/>
        <v>0.90208877284595301</v>
      </c>
      <c r="H1234" s="129" t="s">
        <v>494</v>
      </c>
      <c r="J1234" s="112"/>
      <c r="K1234" s="112"/>
      <c r="L1234" s="112"/>
      <c r="M1234" s="112"/>
      <c r="N1234" s="112"/>
      <c r="O1234" s="112"/>
      <c r="P1234" s="112"/>
      <c r="Q1234" s="112"/>
      <c r="R1234" s="112"/>
      <c r="S1234" s="112"/>
      <c r="T1234" s="112"/>
      <c r="U1234" s="112"/>
      <c r="V1234" s="112"/>
      <c r="W1234" s="112"/>
      <c r="X1234" s="112"/>
      <c r="Y1234" s="112"/>
      <c r="Z1234" s="112"/>
      <c r="AA1234" s="112"/>
      <c r="AB1234" s="112"/>
      <c r="AC1234" s="112"/>
      <c r="AD1234" s="112"/>
      <c r="AE1234" s="112"/>
      <c r="AF1234" s="112"/>
      <c r="AG1234" s="112"/>
      <c r="AH1234" s="112"/>
      <c r="AI1234" s="112"/>
      <c r="AJ1234" s="112"/>
      <c r="AK1234" s="112"/>
      <c r="AL1234" s="112"/>
    </row>
    <row r="1235" spans="1:38" s="311" customFormat="1" ht="24.75" customHeight="1">
      <c r="A1235" s="749"/>
      <c r="B1235" s="250" t="s">
        <v>431</v>
      </c>
      <c r="C1235" s="35" t="s">
        <v>427</v>
      </c>
      <c r="D1235" s="107">
        <v>0.15</v>
      </c>
      <c r="E1235" s="118">
        <v>1</v>
      </c>
      <c r="F1235" s="118">
        <v>1</v>
      </c>
      <c r="G1235" s="107">
        <f t="shared" si="41"/>
        <v>1</v>
      </c>
      <c r="H1235" s="111" t="s">
        <v>484</v>
      </c>
      <c r="J1235" s="112"/>
      <c r="K1235" s="112"/>
      <c r="L1235" s="112"/>
      <c r="M1235" s="112"/>
      <c r="N1235" s="112"/>
      <c r="O1235" s="112"/>
      <c r="P1235" s="112"/>
      <c r="Q1235" s="112"/>
      <c r="R1235" s="112"/>
      <c r="S1235" s="112"/>
      <c r="T1235" s="112"/>
      <c r="U1235" s="112"/>
      <c r="V1235" s="112"/>
      <c r="W1235" s="112"/>
      <c r="X1235" s="112"/>
      <c r="Y1235" s="112"/>
      <c r="Z1235" s="112"/>
      <c r="AA1235" s="112"/>
      <c r="AB1235" s="112"/>
      <c r="AC1235" s="112"/>
      <c r="AD1235" s="112"/>
      <c r="AE1235" s="112"/>
      <c r="AF1235" s="112"/>
      <c r="AG1235" s="112"/>
      <c r="AH1235" s="112"/>
      <c r="AI1235" s="112"/>
      <c r="AJ1235" s="112"/>
      <c r="AK1235" s="112"/>
      <c r="AL1235" s="112"/>
    </row>
    <row r="1236" spans="1:38" s="311" customFormat="1" ht="24.75" customHeight="1">
      <c r="A1236" s="749"/>
      <c r="B1236" s="250" t="s">
        <v>432</v>
      </c>
      <c r="C1236" s="35" t="s">
        <v>427</v>
      </c>
      <c r="D1236" s="107">
        <v>0.15</v>
      </c>
      <c r="E1236" s="118">
        <v>4707</v>
      </c>
      <c r="F1236" s="118">
        <v>4841</v>
      </c>
      <c r="G1236" s="107">
        <f t="shared" si="41"/>
        <v>1.0284682387932866</v>
      </c>
      <c r="H1236" s="111" t="s">
        <v>490</v>
      </c>
      <c r="J1236" s="112"/>
      <c r="K1236" s="112"/>
      <c r="L1236" s="112"/>
      <c r="M1236" s="112"/>
      <c r="N1236" s="112"/>
      <c r="O1236" s="112"/>
      <c r="P1236" s="112"/>
      <c r="Q1236" s="112"/>
      <c r="R1236" s="112"/>
      <c r="S1236" s="112"/>
      <c r="T1236" s="112"/>
      <c r="U1236" s="112"/>
      <c r="V1236" s="112"/>
      <c r="W1236" s="112"/>
      <c r="X1236" s="112"/>
      <c r="Y1236" s="112"/>
      <c r="Z1236" s="112"/>
      <c r="AA1236" s="112"/>
      <c r="AB1236" s="112"/>
      <c r="AC1236" s="112"/>
      <c r="AD1236" s="112"/>
      <c r="AE1236" s="112"/>
      <c r="AF1236" s="112"/>
      <c r="AG1236" s="112"/>
      <c r="AH1236" s="112"/>
      <c r="AI1236" s="112"/>
      <c r="AJ1236" s="112"/>
      <c r="AK1236" s="112"/>
      <c r="AL1236" s="112"/>
    </row>
    <row r="1237" spans="1:38" s="311" customFormat="1" ht="24.75" customHeight="1">
      <c r="A1237" s="750"/>
      <c r="B1237" s="250" t="s">
        <v>433</v>
      </c>
      <c r="C1237" s="35" t="s">
        <v>427</v>
      </c>
      <c r="D1237" s="107">
        <v>0.1</v>
      </c>
      <c r="E1237" s="107">
        <v>1</v>
      </c>
      <c r="F1237" s="107">
        <v>1</v>
      </c>
      <c r="G1237" s="107">
        <f t="shared" si="41"/>
        <v>1</v>
      </c>
      <c r="H1237" s="129" t="s">
        <v>482</v>
      </c>
      <c r="J1237" s="112"/>
      <c r="K1237" s="112"/>
      <c r="L1237" s="112"/>
      <c r="M1237" s="112"/>
      <c r="N1237" s="112"/>
      <c r="O1237" s="112"/>
      <c r="P1237" s="112"/>
      <c r="Q1237" s="112"/>
      <c r="R1237" s="112"/>
      <c r="S1237" s="112"/>
      <c r="T1237" s="112"/>
      <c r="U1237" s="112"/>
      <c r="V1237" s="112"/>
      <c r="W1237" s="112"/>
      <c r="X1237" s="112"/>
      <c r="Y1237" s="112"/>
      <c r="Z1237" s="112"/>
      <c r="AA1237" s="112"/>
      <c r="AB1237" s="112"/>
      <c r="AC1237" s="112"/>
      <c r="AD1237" s="112"/>
      <c r="AE1237" s="112"/>
      <c r="AF1237" s="112"/>
      <c r="AG1237" s="112"/>
      <c r="AH1237" s="112"/>
      <c r="AI1237" s="112"/>
      <c r="AJ1237" s="112"/>
      <c r="AK1237" s="112"/>
      <c r="AL1237" s="112"/>
    </row>
    <row r="1238" spans="1:38" s="311" customFormat="1" ht="24.75" customHeight="1">
      <c r="A1238" s="800" t="s">
        <v>132</v>
      </c>
      <c r="B1238" s="250" t="s">
        <v>426</v>
      </c>
      <c r="C1238" s="35" t="s">
        <v>427</v>
      </c>
      <c r="D1238" s="107">
        <v>0.15</v>
      </c>
      <c r="E1238" s="251">
        <v>20</v>
      </c>
      <c r="F1238" s="251">
        <v>20</v>
      </c>
      <c r="G1238" s="107">
        <f>F1238/E1238</f>
        <v>1</v>
      </c>
      <c r="H1238" s="129" t="s">
        <v>504</v>
      </c>
      <c r="J1238" s="112"/>
      <c r="K1238" s="112"/>
      <c r="L1238" s="112"/>
      <c r="M1238" s="112"/>
      <c r="N1238" s="112"/>
      <c r="O1238" s="112"/>
      <c r="P1238" s="112"/>
      <c r="Q1238" s="112"/>
      <c r="R1238" s="112"/>
      <c r="S1238" s="112"/>
      <c r="T1238" s="112"/>
      <c r="U1238" s="112"/>
      <c r="V1238" s="112"/>
      <c r="W1238" s="112"/>
      <c r="X1238" s="112"/>
      <c r="Y1238" s="112"/>
      <c r="Z1238" s="112"/>
      <c r="AA1238" s="112"/>
      <c r="AB1238" s="112"/>
      <c r="AC1238" s="112"/>
      <c r="AD1238" s="112"/>
      <c r="AE1238" s="112"/>
      <c r="AF1238" s="112"/>
      <c r="AG1238" s="112"/>
      <c r="AH1238" s="112"/>
      <c r="AI1238" s="112"/>
      <c r="AJ1238" s="112"/>
      <c r="AK1238" s="112"/>
      <c r="AL1238" s="112"/>
    </row>
    <row r="1239" spans="1:38" s="311" customFormat="1" ht="24.75" customHeight="1">
      <c r="A1239" s="801"/>
      <c r="B1239" s="250" t="s">
        <v>428</v>
      </c>
      <c r="C1239" s="35" t="s">
        <v>427</v>
      </c>
      <c r="D1239" s="107">
        <v>0.15</v>
      </c>
      <c r="E1239" s="118">
        <v>8</v>
      </c>
      <c r="F1239" s="118">
        <v>7.1</v>
      </c>
      <c r="G1239" s="107">
        <f t="shared" si="41"/>
        <v>0.88749999999999996</v>
      </c>
      <c r="H1239" s="129" t="s">
        <v>501</v>
      </c>
      <c r="J1239" s="112"/>
      <c r="K1239" s="112"/>
      <c r="L1239" s="112"/>
      <c r="M1239" s="112"/>
      <c r="N1239" s="112"/>
      <c r="O1239" s="112"/>
      <c r="P1239" s="112"/>
      <c r="Q1239" s="112"/>
      <c r="R1239" s="112"/>
      <c r="S1239" s="112"/>
      <c r="T1239" s="112"/>
      <c r="U1239" s="112"/>
      <c r="V1239" s="112"/>
      <c r="W1239" s="112"/>
      <c r="X1239" s="112"/>
      <c r="Y1239" s="112"/>
      <c r="Z1239" s="112"/>
      <c r="AA1239" s="112"/>
      <c r="AB1239" s="112"/>
      <c r="AC1239" s="112"/>
      <c r="AD1239" s="112"/>
      <c r="AE1239" s="112"/>
      <c r="AF1239" s="112"/>
      <c r="AG1239" s="112"/>
      <c r="AH1239" s="112"/>
      <c r="AI1239" s="112"/>
      <c r="AJ1239" s="112"/>
      <c r="AK1239" s="112"/>
      <c r="AL1239" s="112"/>
    </row>
    <row r="1240" spans="1:38" s="311" customFormat="1" ht="24.75" customHeight="1">
      <c r="A1240" s="801"/>
      <c r="B1240" s="250" t="s">
        <v>429</v>
      </c>
      <c r="C1240" s="35" t="s">
        <v>427</v>
      </c>
      <c r="D1240" s="107">
        <v>0.15</v>
      </c>
      <c r="E1240" s="118">
        <v>2</v>
      </c>
      <c r="F1240" s="118">
        <v>1.94</v>
      </c>
      <c r="G1240" s="107">
        <f>F1240/E1240</f>
        <v>0.97</v>
      </c>
      <c r="H1240" s="129" t="s">
        <v>506</v>
      </c>
      <c r="J1240" s="112"/>
      <c r="K1240" s="112"/>
      <c r="L1240" s="112"/>
      <c r="M1240" s="112"/>
      <c r="N1240" s="112"/>
      <c r="O1240" s="112"/>
      <c r="P1240" s="112"/>
      <c r="Q1240" s="112"/>
      <c r="R1240" s="112"/>
      <c r="S1240" s="112"/>
      <c r="T1240" s="112"/>
      <c r="U1240" s="112"/>
      <c r="V1240" s="112"/>
      <c r="W1240" s="112"/>
      <c r="X1240" s="112"/>
      <c r="Y1240" s="112"/>
      <c r="Z1240" s="112"/>
      <c r="AA1240" s="112"/>
      <c r="AB1240" s="112"/>
      <c r="AC1240" s="112"/>
      <c r="AD1240" s="112"/>
      <c r="AE1240" s="112"/>
      <c r="AF1240" s="112"/>
      <c r="AG1240" s="112"/>
      <c r="AH1240" s="112"/>
      <c r="AI1240" s="112"/>
      <c r="AJ1240" s="112"/>
      <c r="AK1240" s="112"/>
      <c r="AL1240" s="112"/>
    </row>
    <row r="1241" spans="1:38" s="311" customFormat="1" ht="24.75" customHeight="1">
      <c r="A1241" s="801"/>
      <c r="B1241" s="250" t="s">
        <v>430</v>
      </c>
      <c r="C1241" s="35" t="s">
        <v>427</v>
      </c>
      <c r="D1241" s="107">
        <v>0.15</v>
      </c>
      <c r="E1241" s="251">
        <v>766</v>
      </c>
      <c r="F1241" s="251">
        <v>756</v>
      </c>
      <c r="G1241" s="107">
        <f t="shared" si="41"/>
        <v>0.98694516971279378</v>
      </c>
      <c r="H1241" s="129" t="s">
        <v>508</v>
      </c>
      <c r="J1241" s="112"/>
      <c r="K1241" s="112"/>
      <c r="L1241" s="112"/>
      <c r="M1241" s="112"/>
      <c r="N1241" s="112"/>
      <c r="O1241" s="112"/>
      <c r="P1241" s="112"/>
      <c r="Q1241" s="112"/>
      <c r="R1241" s="112"/>
      <c r="S1241" s="112"/>
      <c r="T1241" s="112"/>
      <c r="U1241" s="112"/>
      <c r="V1241" s="112"/>
      <c r="W1241" s="112"/>
      <c r="X1241" s="112"/>
      <c r="Y1241" s="112"/>
      <c r="Z1241" s="112"/>
      <c r="AA1241" s="112"/>
      <c r="AB1241" s="112"/>
      <c r="AC1241" s="112"/>
      <c r="AD1241" s="112"/>
      <c r="AE1241" s="112"/>
      <c r="AF1241" s="112"/>
      <c r="AG1241" s="112"/>
      <c r="AH1241" s="112"/>
      <c r="AI1241" s="112"/>
      <c r="AJ1241" s="112"/>
      <c r="AK1241" s="112"/>
      <c r="AL1241" s="112"/>
    </row>
    <row r="1242" spans="1:38" s="311" customFormat="1" ht="24.75" customHeight="1">
      <c r="A1242" s="801"/>
      <c r="B1242" s="250" t="s">
        <v>431</v>
      </c>
      <c r="C1242" s="35" t="s">
        <v>427</v>
      </c>
      <c r="D1242" s="107">
        <v>0.15</v>
      </c>
      <c r="E1242" s="118">
        <v>1</v>
      </c>
      <c r="F1242" s="118">
        <v>1</v>
      </c>
      <c r="G1242" s="107">
        <f t="shared" si="41"/>
        <v>1</v>
      </c>
      <c r="H1242" s="129" t="s">
        <v>502</v>
      </c>
      <c r="J1242" s="112"/>
      <c r="K1242" s="112"/>
      <c r="L1242" s="112"/>
      <c r="M1242" s="112"/>
      <c r="N1242" s="112"/>
      <c r="O1242" s="112"/>
      <c r="P1242" s="112"/>
      <c r="Q1242" s="112"/>
      <c r="R1242" s="112"/>
      <c r="S1242" s="112"/>
      <c r="T1242" s="112"/>
      <c r="U1242" s="112"/>
      <c r="V1242" s="112"/>
      <c r="W1242" s="112"/>
      <c r="X1242" s="112"/>
      <c r="Y1242" s="112"/>
      <c r="Z1242" s="112"/>
      <c r="AA1242" s="112"/>
      <c r="AB1242" s="112"/>
      <c r="AC1242" s="112"/>
      <c r="AD1242" s="112"/>
      <c r="AE1242" s="112"/>
      <c r="AF1242" s="112"/>
      <c r="AG1242" s="112"/>
      <c r="AH1242" s="112"/>
      <c r="AI1242" s="112"/>
      <c r="AJ1242" s="112"/>
      <c r="AK1242" s="112"/>
      <c r="AL1242" s="112"/>
    </row>
    <row r="1243" spans="1:38" s="311" customFormat="1" ht="24.75" customHeight="1">
      <c r="A1243" s="801"/>
      <c r="B1243" s="250" t="s">
        <v>432</v>
      </c>
      <c r="C1243" s="35" t="s">
        <v>427</v>
      </c>
      <c r="D1243" s="107">
        <v>0.15</v>
      </c>
      <c r="E1243" s="118">
        <v>4707</v>
      </c>
      <c r="F1243" s="118">
        <v>4898</v>
      </c>
      <c r="G1243" s="107">
        <f t="shared" si="41"/>
        <v>1.040577862757595</v>
      </c>
      <c r="H1243" s="129" t="s">
        <v>505</v>
      </c>
      <c r="J1243" s="112"/>
      <c r="K1243" s="112"/>
      <c r="L1243" s="112"/>
      <c r="M1243" s="112"/>
      <c r="N1243" s="112"/>
      <c r="O1243" s="112"/>
      <c r="P1243" s="112"/>
      <c r="Q1243" s="112"/>
      <c r="R1243" s="112"/>
      <c r="S1243" s="112"/>
      <c r="T1243" s="112"/>
      <c r="U1243" s="112"/>
      <c r="V1243" s="112"/>
      <c r="W1243" s="112"/>
      <c r="X1243" s="112"/>
      <c r="Y1243" s="112"/>
      <c r="Z1243" s="112"/>
      <c r="AA1243" s="112"/>
      <c r="AB1243" s="112"/>
      <c r="AC1243" s="112"/>
      <c r="AD1243" s="112"/>
      <c r="AE1243" s="112"/>
      <c r="AF1243" s="112"/>
      <c r="AG1243" s="112"/>
      <c r="AH1243" s="112"/>
      <c r="AI1243" s="112"/>
      <c r="AJ1243" s="112"/>
      <c r="AK1243" s="112"/>
      <c r="AL1243" s="112"/>
    </row>
    <row r="1244" spans="1:38" s="311" customFormat="1" ht="24.75" customHeight="1">
      <c r="A1244" s="802"/>
      <c r="B1244" s="250" t="s">
        <v>433</v>
      </c>
      <c r="C1244" s="35" t="s">
        <v>427</v>
      </c>
      <c r="D1244" s="107">
        <v>0.1</v>
      </c>
      <c r="E1244" s="107">
        <v>1</v>
      </c>
      <c r="F1244" s="107">
        <v>1</v>
      </c>
      <c r="G1244" s="107">
        <f t="shared" si="41"/>
        <v>1</v>
      </c>
      <c r="H1244" s="129" t="s">
        <v>503</v>
      </c>
      <c r="J1244" s="112"/>
      <c r="K1244" s="112"/>
      <c r="L1244" s="112"/>
      <c r="M1244" s="112"/>
      <c r="N1244" s="112"/>
      <c r="O1244" s="112"/>
      <c r="P1244" s="112"/>
      <c r="Q1244" s="112"/>
      <c r="R1244" s="112"/>
      <c r="S1244" s="112"/>
      <c r="T1244" s="112"/>
      <c r="U1244" s="112"/>
      <c r="V1244" s="112"/>
      <c r="W1244" s="112"/>
      <c r="X1244" s="112"/>
      <c r="Y1244" s="112"/>
      <c r="Z1244" s="112"/>
      <c r="AA1244" s="112"/>
      <c r="AB1244" s="112"/>
      <c r="AC1244" s="112"/>
      <c r="AD1244" s="112"/>
      <c r="AE1244" s="112"/>
      <c r="AF1244" s="112"/>
      <c r="AG1244" s="112"/>
      <c r="AH1244" s="112"/>
      <c r="AI1244" s="112"/>
      <c r="AJ1244" s="112"/>
      <c r="AK1244" s="112"/>
      <c r="AL1244" s="112"/>
    </row>
    <row r="1245" spans="1:38" s="311" customFormat="1" ht="24.75" customHeight="1">
      <c r="A1245" s="748" t="s">
        <v>133</v>
      </c>
      <c r="B1245" s="250" t="s">
        <v>426</v>
      </c>
      <c r="C1245" s="35" t="s">
        <v>427</v>
      </c>
      <c r="D1245" s="107">
        <v>0.15</v>
      </c>
      <c r="E1245" s="251">
        <v>20</v>
      </c>
      <c r="F1245" s="251">
        <v>20</v>
      </c>
      <c r="G1245" s="107">
        <f t="shared" si="41"/>
        <v>1</v>
      </c>
      <c r="H1245" s="129" t="s">
        <v>676</v>
      </c>
      <c r="J1245" s="112"/>
      <c r="K1245" s="112"/>
      <c r="L1245" s="112"/>
      <c r="M1245" s="112"/>
      <c r="N1245" s="112"/>
      <c r="O1245" s="112"/>
      <c r="P1245" s="112"/>
      <c r="Q1245" s="112"/>
      <c r="R1245" s="112"/>
      <c r="S1245" s="112"/>
      <c r="T1245" s="112"/>
      <c r="U1245" s="112"/>
      <c r="V1245" s="112"/>
      <c r="W1245" s="112"/>
      <c r="X1245" s="112"/>
      <c r="Y1245" s="112"/>
      <c r="Z1245" s="112"/>
      <c r="AA1245" s="112"/>
      <c r="AB1245" s="112"/>
      <c r="AC1245" s="112"/>
      <c r="AD1245" s="112"/>
      <c r="AE1245" s="112"/>
      <c r="AF1245" s="112"/>
      <c r="AG1245" s="112"/>
      <c r="AH1245" s="112"/>
      <c r="AI1245" s="112"/>
      <c r="AJ1245" s="112"/>
      <c r="AK1245" s="112"/>
      <c r="AL1245" s="112"/>
    </row>
    <row r="1246" spans="1:38" s="311" customFormat="1" ht="24.75" customHeight="1">
      <c r="A1246" s="749"/>
      <c r="B1246" s="250" t="s">
        <v>428</v>
      </c>
      <c r="C1246" s="35" t="s">
        <v>427</v>
      </c>
      <c r="D1246" s="107">
        <v>0.15</v>
      </c>
      <c r="E1246" s="118">
        <v>8</v>
      </c>
      <c r="F1246" s="118">
        <v>8</v>
      </c>
      <c r="G1246" s="107">
        <f t="shared" si="41"/>
        <v>1</v>
      </c>
      <c r="H1246" s="129" t="s">
        <v>677</v>
      </c>
      <c r="J1246" s="112"/>
      <c r="K1246" s="112"/>
      <c r="L1246" s="112"/>
      <c r="M1246" s="112"/>
      <c r="N1246" s="112"/>
      <c r="O1246" s="112"/>
      <c r="P1246" s="112"/>
      <c r="Q1246" s="112"/>
      <c r="R1246" s="112"/>
      <c r="S1246" s="112"/>
      <c r="T1246" s="112"/>
      <c r="U1246" s="112"/>
      <c r="V1246" s="112"/>
      <c r="W1246" s="112"/>
      <c r="X1246" s="112"/>
      <c r="Y1246" s="112"/>
      <c r="Z1246" s="112"/>
      <c r="AA1246" s="112"/>
      <c r="AB1246" s="112"/>
      <c r="AC1246" s="112"/>
      <c r="AD1246" s="112"/>
      <c r="AE1246" s="112"/>
      <c r="AF1246" s="112"/>
      <c r="AG1246" s="112"/>
      <c r="AH1246" s="112"/>
      <c r="AI1246" s="112"/>
      <c r="AJ1246" s="112"/>
      <c r="AK1246" s="112"/>
      <c r="AL1246" s="112"/>
    </row>
    <row r="1247" spans="1:38" s="311" customFormat="1" ht="24.75" customHeight="1">
      <c r="A1247" s="749"/>
      <c r="B1247" s="250" t="s">
        <v>429</v>
      </c>
      <c r="C1247" s="35" t="s">
        <v>427</v>
      </c>
      <c r="D1247" s="107">
        <v>0.15</v>
      </c>
      <c r="E1247" s="118">
        <v>2</v>
      </c>
      <c r="F1247" s="118">
        <v>2</v>
      </c>
      <c r="G1247" s="107">
        <f t="shared" si="41"/>
        <v>1</v>
      </c>
      <c r="H1247" s="129" t="s">
        <v>678</v>
      </c>
      <c r="J1247" s="112"/>
      <c r="K1247" s="112"/>
      <c r="L1247" s="112"/>
      <c r="M1247" s="112"/>
      <c r="N1247" s="112"/>
      <c r="O1247" s="112"/>
      <c r="P1247" s="112"/>
      <c r="Q1247" s="112"/>
      <c r="R1247" s="112"/>
      <c r="S1247" s="112"/>
      <c r="T1247" s="112"/>
      <c r="U1247" s="112"/>
      <c r="V1247" s="112"/>
      <c r="W1247" s="112"/>
      <c r="X1247" s="112"/>
      <c r="Y1247" s="112"/>
      <c r="Z1247" s="112"/>
      <c r="AA1247" s="112"/>
      <c r="AB1247" s="112"/>
      <c r="AC1247" s="112"/>
      <c r="AD1247" s="112"/>
      <c r="AE1247" s="112"/>
      <c r="AF1247" s="112"/>
      <c r="AG1247" s="112"/>
      <c r="AH1247" s="112"/>
      <c r="AI1247" s="112"/>
      <c r="AJ1247" s="112"/>
      <c r="AK1247" s="112"/>
      <c r="AL1247" s="112"/>
    </row>
    <row r="1248" spans="1:38" s="311" customFormat="1" ht="24.75" customHeight="1">
      <c r="A1248" s="749"/>
      <c r="B1248" s="250" t="s">
        <v>430</v>
      </c>
      <c r="C1248" s="35" t="s">
        <v>427</v>
      </c>
      <c r="D1248" s="107">
        <v>0.15</v>
      </c>
      <c r="E1248" s="251">
        <v>766</v>
      </c>
      <c r="F1248" s="251">
        <v>766</v>
      </c>
      <c r="G1248" s="107">
        <f t="shared" si="41"/>
        <v>1</v>
      </c>
      <c r="H1248" s="129" t="s">
        <v>679</v>
      </c>
      <c r="J1248" s="112"/>
      <c r="K1248" s="112"/>
      <c r="L1248" s="112"/>
      <c r="M1248" s="112"/>
      <c r="N1248" s="112"/>
      <c r="O1248" s="112"/>
      <c r="P1248" s="112"/>
      <c r="Q1248" s="112"/>
      <c r="R1248" s="112"/>
      <c r="S1248" s="112"/>
      <c r="T1248" s="112"/>
      <c r="U1248" s="112"/>
      <c r="V1248" s="112"/>
      <c r="W1248" s="112"/>
      <c r="X1248" s="112"/>
      <c r="Y1248" s="112"/>
      <c r="Z1248" s="112"/>
      <c r="AA1248" s="112"/>
      <c r="AB1248" s="112"/>
      <c r="AC1248" s="112"/>
      <c r="AD1248" s="112"/>
      <c r="AE1248" s="112"/>
      <c r="AF1248" s="112"/>
      <c r="AG1248" s="112"/>
      <c r="AH1248" s="112"/>
      <c r="AI1248" s="112"/>
      <c r="AJ1248" s="112"/>
      <c r="AK1248" s="112"/>
      <c r="AL1248" s="112"/>
    </row>
    <row r="1249" spans="1:38" s="311" customFormat="1" ht="24.75" customHeight="1">
      <c r="A1249" s="749"/>
      <c r="B1249" s="250" t="s">
        <v>431</v>
      </c>
      <c r="C1249" s="35" t="s">
        <v>427</v>
      </c>
      <c r="D1249" s="107">
        <v>0.15</v>
      </c>
      <c r="E1249" s="118">
        <v>1</v>
      </c>
      <c r="F1249" s="118">
        <v>1</v>
      </c>
      <c r="G1249" s="107">
        <f t="shared" si="41"/>
        <v>1</v>
      </c>
      <c r="H1249" s="129" t="s">
        <v>680</v>
      </c>
      <c r="J1249" s="112"/>
      <c r="K1249" s="112"/>
      <c r="L1249" s="112"/>
      <c r="M1249" s="112"/>
      <c r="N1249" s="112"/>
      <c r="O1249" s="112"/>
      <c r="P1249" s="112"/>
      <c r="Q1249" s="112"/>
      <c r="R1249" s="112"/>
      <c r="S1249" s="112"/>
      <c r="T1249" s="112"/>
      <c r="U1249" s="112"/>
      <c r="V1249" s="112"/>
      <c r="W1249" s="112"/>
      <c r="X1249" s="112"/>
      <c r="Y1249" s="112"/>
      <c r="Z1249" s="112"/>
      <c r="AA1249" s="112"/>
      <c r="AB1249" s="112"/>
      <c r="AC1249" s="112"/>
      <c r="AD1249" s="112"/>
      <c r="AE1249" s="112"/>
      <c r="AF1249" s="112"/>
      <c r="AG1249" s="112"/>
      <c r="AH1249" s="112"/>
      <c r="AI1249" s="112"/>
      <c r="AJ1249" s="112"/>
      <c r="AK1249" s="112"/>
      <c r="AL1249" s="112"/>
    </row>
    <row r="1250" spans="1:38" s="311" customFormat="1" ht="24.75" customHeight="1">
      <c r="A1250" s="749"/>
      <c r="B1250" s="250" t="s">
        <v>432</v>
      </c>
      <c r="C1250" s="35" t="s">
        <v>427</v>
      </c>
      <c r="D1250" s="107">
        <v>0.15</v>
      </c>
      <c r="E1250" s="118">
        <v>4707</v>
      </c>
      <c r="F1250" s="118">
        <v>4950</v>
      </c>
      <c r="G1250" s="107">
        <f t="shared" si="41"/>
        <v>1.0516252390057361</v>
      </c>
      <c r="H1250" s="129" t="s">
        <v>681</v>
      </c>
      <c r="J1250" s="112"/>
      <c r="K1250" s="112"/>
      <c r="L1250" s="112"/>
      <c r="M1250" s="112"/>
      <c r="N1250" s="112"/>
      <c r="O1250" s="112"/>
      <c r="P1250" s="112"/>
      <c r="Q1250" s="112"/>
      <c r="R1250" s="112"/>
      <c r="S1250" s="112"/>
      <c r="T1250" s="112"/>
      <c r="U1250" s="112"/>
      <c r="V1250" s="112"/>
      <c r="W1250" s="112"/>
      <c r="X1250" s="112"/>
      <c r="Y1250" s="112"/>
      <c r="Z1250" s="112"/>
      <c r="AA1250" s="112"/>
      <c r="AB1250" s="112"/>
      <c r="AC1250" s="112"/>
      <c r="AD1250" s="112"/>
      <c r="AE1250" s="112"/>
      <c r="AF1250" s="112"/>
      <c r="AG1250" s="112"/>
      <c r="AH1250" s="112"/>
      <c r="AI1250" s="112"/>
      <c r="AJ1250" s="112"/>
      <c r="AK1250" s="112"/>
      <c r="AL1250" s="112"/>
    </row>
    <row r="1251" spans="1:38" s="311" customFormat="1" ht="24.75" customHeight="1">
      <c r="A1251" s="750"/>
      <c r="B1251" s="250" t="s">
        <v>433</v>
      </c>
      <c r="C1251" s="35" t="s">
        <v>427</v>
      </c>
      <c r="D1251" s="107">
        <v>0.1</v>
      </c>
      <c r="E1251" s="107">
        <v>1</v>
      </c>
      <c r="F1251" s="107">
        <v>1</v>
      </c>
      <c r="G1251" s="107">
        <f t="shared" si="41"/>
        <v>1</v>
      </c>
      <c r="H1251" s="129" t="s">
        <v>682</v>
      </c>
      <c r="J1251" s="112"/>
      <c r="K1251" s="112"/>
      <c r="L1251" s="112"/>
      <c r="M1251" s="112"/>
      <c r="N1251" s="112"/>
      <c r="O1251" s="112"/>
      <c r="P1251" s="112"/>
      <c r="Q1251" s="112"/>
      <c r="R1251" s="112"/>
      <c r="S1251" s="112"/>
      <c r="T1251" s="112"/>
      <c r="U1251" s="112"/>
      <c r="V1251" s="112"/>
      <c r="W1251" s="112"/>
      <c r="X1251" s="112"/>
      <c r="Y1251" s="112"/>
      <c r="Z1251" s="112"/>
      <c r="AA1251" s="112"/>
      <c r="AB1251" s="112"/>
      <c r="AC1251" s="112"/>
      <c r="AD1251" s="112"/>
      <c r="AE1251" s="112"/>
      <c r="AF1251" s="112"/>
      <c r="AG1251" s="112"/>
      <c r="AH1251" s="112"/>
      <c r="AI1251" s="112"/>
      <c r="AJ1251" s="112"/>
      <c r="AK1251" s="112"/>
      <c r="AL1251" s="112"/>
    </row>
    <row r="1253" spans="1:38" s="311" customFormat="1" ht="24.75" customHeight="1">
      <c r="A1253" s="779" t="s">
        <v>179</v>
      </c>
      <c r="B1253" s="780"/>
      <c r="C1253" s="780"/>
      <c r="D1253" s="780"/>
      <c r="E1253" s="780"/>
      <c r="F1253" s="780"/>
      <c r="G1253" s="780"/>
      <c r="H1253" s="781"/>
      <c r="J1253" s="112"/>
      <c r="K1253" s="112"/>
      <c r="L1253" s="112"/>
      <c r="M1253" s="112"/>
      <c r="N1253" s="112"/>
      <c r="O1253" s="112"/>
      <c r="P1253" s="112"/>
      <c r="Q1253" s="112"/>
      <c r="R1253" s="112"/>
      <c r="S1253" s="112"/>
      <c r="T1253" s="112"/>
      <c r="U1253" s="112"/>
      <c r="V1253" s="112"/>
      <c r="W1253" s="112"/>
      <c r="X1253" s="112"/>
      <c r="Y1253" s="112"/>
      <c r="Z1253" s="112"/>
      <c r="AA1253" s="112"/>
      <c r="AB1253" s="112"/>
      <c r="AC1253" s="112"/>
      <c r="AD1253" s="112"/>
      <c r="AE1253" s="112"/>
      <c r="AF1253" s="112"/>
      <c r="AG1253" s="112"/>
      <c r="AH1253" s="112"/>
      <c r="AI1253" s="112"/>
      <c r="AJ1253" s="112"/>
      <c r="AK1253" s="112"/>
      <c r="AL1253" s="112"/>
    </row>
    <row r="1254" spans="1:38" s="311" customFormat="1" ht="24.75" customHeight="1">
      <c r="A1254" s="103" t="s">
        <v>61</v>
      </c>
      <c r="B1254" s="30" t="s">
        <v>175</v>
      </c>
      <c r="C1254" s="310" t="s">
        <v>147</v>
      </c>
      <c r="D1254" s="310" t="s">
        <v>158</v>
      </c>
      <c r="E1254" s="310" t="s">
        <v>180</v>
      </c>
      <c r="F1254" s="310" t="s">
        <v>181</v>
      </c>
      <c r="G1254" s="310" t="s">
        <v>182</v>
      </c>
      <c r="H1254" s="30" t="s">
        <v>167</v>
      </c>
      <c r="J1254" s="112"/>
      <c r="K1254" s="112"/>
      <c r="L1254" s="112"/>
      <c r="M1254" s="112"/>
      <c r="N1254" s="112"/>
      <c r="O1254" s="112"/>
      <c r="P1254" s="112"/>
      <c r="Q1254" s="112"/>
      <c r="R1254" s="112"/>
      <c r="S1254" s="112"/>
      <c r="T1254" s="112"/>
      <c r="U1254" s="112"/>
      <c r="V1254" s="112"/>
      <c r="W1254" s="112"/>
      <c r="X1254" s="112"/>
      <c r="Y1254" s="112"/>
      <c r="Z1254" s="112"/>
      <c r="AA1254" s="112"/>
      <c r="AB1254" s="112"/>
      <c r="AC1254" s="112"/>
      <c r="AD1254" s="112"/>
      <c r="AE1254" s="112"/>
      <c r="AF1254" s="112"/>
      <c r="AG1254" s="112"/>
      <c r="AH1254" s="112"/>
      <c r="AI1254" s="112"/>
      <c r="AJ1254" s="112"/>
      <c r="AK1254" s="112"/>
      <c r="AL1254" s="112"/>
    </row>
    <row r="1255" spans="1:38" s="311" customFormat="1" ht="24.75" customHeight="1">
      <c r="A1255" s="748" t="s">
        <v>135</v>
      </c>
      <c r="B1255" s="250" t="s">
        <v>426</v>
      </c>
      <c r="C1255" s="35" t="s">
        <v>427</v>
      </c>
      <c r="D1255" s="107">
        <v>0.15</v>
      </c>
      <c r="E1255" s="251">
        <v>20</v>
      </c>
      <c r="F1255" s="251">
        <v>20</v>
      </c>
      <c r="G1255" s="107">
        <f>F1255/E1255</f>
        <v>1</v>
      </c>
      <c r="H1255" s="116" t="s">
        <v>514</v>
      </c>
      <c r="J1255" s="112"/>
      <c r="K1255" s="112"/>
      <c r="L1255" s="112"/>
      <c r="M1255" s="112"/>
      <c r="N1255" s="112"/>
      <c r="O1255" s="112"/>
      <c r="P1255" s="112"/>
      <c r="Q1255" s="112"/>
      <c r="R1255" s="112"/>
      <c r="S1255" s="112"/>
      <c r="T1255" s="112"/>
      <c r="U1255" s="112"/>
      <c r="V1255" s="112"/>
      <c r="W1255" s="112"/>
      <c r="X1255" s="112"/>
      <c r="Y1255" s="112"/>
      <c r="Z1255" s="112"/>
      <c r="AA1255" s="112"/>
      <c r="AB1255" s="112"/>
      <c r="AC1255" s="112"/>
      <c r="AD1255" s="112"/>
      <c r="AE1255" s="112"/>
      <c r="AF1255" s="112"/>
      <c r="AG1255" s="112"/>
      <c r="AH1255" s="112"/>
      <c r="AI1255" s="112"/>
      <c r="AJ1255" s="112"/>
      <c r="AK1255" s="112"/>
      <c r="AL1255" s="112"/>
    </row>
    <row r="1256" spans="1:38" s="311" customFormat="1" ht="24.75" customHeight="1">
      <c r="A1256" s="749"/>
      <c r="B1256" s="250" t="s">
        <v>428</v>
      </c>
      <c r="C1256" s="35" t="s">
        <v>427</v>
      </c>
      <c r="D1256" s="107">
        <v>0.15</v>
      </c>
      <c r="E1256" s="118">
        <v>6</v>
      </c>
      <c r="F1256" s="118">
        <v>0</v>
      </c>
      <c r="G1256" s="107">
        <f t="shared" ref="G1256:G1261" si="42">F1256/E1256</f>
        <v>0</v>
      </c>
      <c r="H1256" s="116" t="s">
        <v>524</v>
      </c>
      <c r="J1256" s="112"/>
      <c r="K1256" s="112"/>
      <c r="L1256" s="112"/>
      <c r="M1256" s="112"/>
      <c r="N1256" s="112"/>
      <c r="O1256" s="112"/>
      <c r="P1256" s="112"/>
      <c r="Q1256" s="112"/>
      <c r="R1256" s="112"/>
      <c r="S1256" s="112"/>
      <c r="T1256" s="112"/>
      <c r="U1256" s="112"/>
      <c r="V1256" s="112"/>
      <c r="W1256" s="112"/>
      <c r="X1256" s="112"/>
      <c r="Y1256" s="112"/>
      <c r="Z1256" s="112"/>
      <c r="AA1256" s="112"/>
      <c r="AB1256" s="112"/>
      <c r="AC1256" s="112"/>
      <c r="AD1256" s="112"/>
      <c r="AE1256" s="112"/>
      <c r="AF1256" s="112"/>
      <c r="AG1256" s="112"/>
      <c r="AH1256" s="112"/>
      <c r="AI1256" s="112"/>
      <c r="AJ1256" s="112"/>
      <c r="AK1256" s="112"/>
      <c r="AL1256" s="112"/>
    </row>
    <row r="1257" spans="1:38" s="311" customFormat="1" ht="24.75" customHeight="1">
      <c r="A1257" s="749"/>
      <c r="B1257" s="250" t="s">
        <v>429</v>
      </c>
      <c r="C1257" s="35" t="s">
        <v>427</v>
      </c>
      <c r="D1257" s="107">
        <v>0.15</v>
      </c>
      <c r="E1257" s="118">
        <v>2</v>
      </c>
      <c r="F1257" s="118">
        <v>0</v>
      </c>
      <c r="G1257" s="107">
        <f t="shared" si="42"/>
        <v>0</v>
      </c>
      <c r="H1257" s="116" t="s">
        <v>525</v>
      </c>
      <c r="J1257" s="112"/>
      <c r="K1257" s="112"/>
      <c r="L1257" s="112"/>
      <c r="M1257" s="112"/>
      <c r="N1257" s="112"/>
      <c r="O1257" s="112"/>
      <c r="P1257" s="112"/>
      <c r="Q1257" s="112"/>
      <c r="R1257" s="112"/>
      <c r="S1257" s="112"/>
      <c r="T1257" s="112"/>
      <c r="U1257" s="112"/>
      <c r="V1257" s="112"/>
      <c r="W1257" s="112"/>
      <c r="X1257" s="112"/>
      <c r="Y1257" s="112"/>
      <c r="Z1257" s="112"/>
      <c r="AA1257" s="112"/>
      <c r="AB1257" s="112"/>
      <c r="AC1257" s="112"/>
      <c r="AD1257" s="112"/>
      <c r="AE1257" s="112"/>
      <c r="AF1257" s="112"/>
      <c r="AG1257" s="112"/>
      <c r="AH1257" s="112"/>
      <c r="AI1257" s="112"/>
      <c r="AJ1257" s="112"/>
      <c r="AK1257" s="112"/>
      <c r="AL1257" s="112"/>
    </row>
    <row r="1258" spans="1:38" s="311" customFormat="1" ht="24.75" customHeight="1">
      <c r="A1258" s="749"/>
      <c r="B1258" s="250" t="s">
        <v>430</v>
      </c>
      <c r="C1258" s="35" t="s">
        <v>427</v>
      </c>
      <c r="D1258" s="107">
        <v>0.15</v>
      </c>
      <c r="E1258" s="251">
        <v>1072</v>
      </c>
      <c r="F1258" s="251">
        <v>11</v>
      </c>
      <c r="G1258" s="107">
        <f t="shared" si="42"/>
        <v>1.0261194029850746E-2</v>
      </c>
      <c r="H1258" s="116" t="s">
        <v>519</v>
      </c>
      <c r="J1258" s="112"/>
      <c r="K1258" s="112"/>
      <c r="L1258" s="112"/>
      <c r="M1258" s="112"/>
      <c r="N1258" s="112"/>
      <c r="O1258" s="112"/>
      <c r="P1258" s="112"/>
      <c r="Q1258" s="112"/>
      <c r="R1258" s="112"/>
      <c r="S1258" s="112"/>
      <c r="T1258" s="112"/>
      <c r="U1258" s="112"/>
      <c r="V1258" s="112"/>
      <c r="W1258" s="112"/>
      <c r="X1258" s="112"/>
      <c r="Y1258" s="112"/>
      <c r="Z1258" s="112"/>
      <c r="AA1258" s="112"/>
      <c r="AB1258" s="112"/>
      <c r="AC1258" s="112"/>
      <c r="AD1258" s="112"/>
      <c r="AE1258" s="112"/>
      <c r="AF1258" s="112"/>
      <c r="AG1258" s="112"/>
      <c r="AH1258" s="112"/>
      <c r="AI1258" s="112"/>
      <c r="AJ1258" s="112"/>
      <c r="AK1258" s="112"/>
      <c r="AL1258" s="112"/>
    </row>
    <row r="1259" spans="1:38" s="311" customFormat="1" ht="24.75" customHeight="1">
      <c r="A1259" s="749"/>
      <c r="B1259" s="250" t="s">
        <v>431</v>
      </c>
      <c r="C1259" s="35" t="s">
        <v>427</v>
      </c>
      <c r="D1259" s="107">
        <v>0.15</v>
      </c>
      <c r="E1259" s="118">
        <v>1</v>
      </c>
      <c r="F1259" s="118">
        <v>1</v>
      </c>
      <c r="G1259" s="107">
        <f t="shared" si="42"/>
        <v>1</v>
      </c>
      <c r="H1259" s="116" t="s">
        <v>528</v>
      </c>
      <c r="J1259" s="112"/>
      <c r="K1259" s="112"/>
      <c r="L1259" s="112"/>
      <c r="M1259" s="112"/>
      <c r="N1259" s="112"/>
      <c r="O1259" s="112"/>
      <c r="P1259" s="112"/>
      <c r="Q1259" s="112"/>
      <c r="R1259" s="112"/>
      <c r="S1259" s="112"/>
      <c r="T1259" s="112"/>
      <c r="U1259" s="112"/>
      <c r="V1259" s="112"/>
      <c r="W1259" s="112"/>
      <c r="X1259" s="112"/>
      <c r="Y1259" s="112"/>
      <c r="Z1259" s="112"/>
      <c r="AA1259" s="112"/>
      <c r="AB1259" s="112"/>
      <c r="AC1259" s="112"/>
      <c r="AD1259" s="112"/>
      <c r="AE1259" s="112"/>
      <c r="AF1259" s="112"/>
      <c r="AG1259" s="112"/>
      <c r="AH1259" s="112"/>
      <c r="AI1259" s="112"/>
      <c r="AJ1259" s="112"/>
      <c r="AK1259" s="112"/>
      <c r="AL1259" s="112"/>
    </row>
    <row r="1260" spans="1:38" s="311" customFormat="1" ht="24.75" customHeight="1">
      <c r="A1260" s="749"/>
      <c r="B1260" s="250" t="s">
        <v>432</v>
      </c>
      <c r="C1260" s="35" t="s">
        <v>427</v>
      </c>
      <c r="D1260" s="107">
        <v>0.15</v>
      </c>
      <c r="E1260" s="118">
        <v>1097</v>
      </c>
      <c r="F1260" s="118">
        <v>0</v>
      </c>
      <c r="G1260" s="107">
        <f t="shared" si="42"/>
        <v>0</v>
      </c>
      <c r="H1260" s="116" t="s">
        <v>526</v>
      </c>
      <c r="J1260" s="112"/>
      <c r="K1260" s="112"/>
      <c r="L1260" s="112"/>
      <c r="M1260" s="112"/>
      <c r="N1260" s="112"/>
      <c r="O1260" s="112"/>
      <c r="P1260" s="112"/>
      <c r="Q1260" s="112"/>
      <c r="R1260" s="112"/>
      <c r="S1260" s="112"/>
      <c r="T1260" s="112"/>
      <c r="U1260" s="112"/>
      <c r="V1260" s="112"/>
      <c r="W1260" s="112"/>
      <c r="X1260" s="112"/>
      <c r="Y1260" s="112"/>
      <c r="Z1260" s="112"/>
      <c r="AA1260" s="112"/>
      <c r="AB1260" s="112"/>
      <c r="AC1260" s="112"/>
      <c r="AD1260" s="112"/>
      <c r="AE1260" s="112"/>
      <c r="AF1260" s="112"/>
      <c r="AG1260" s="112"/>
      <c r="AH1260" s="112"/>
      <c r="AI1260" s="112"/>
      <c r="AJ1260" s="112"/>
      <c r="AK1260" s="112"/>
      <c r="AL1260" s="112"/>
    </row>
    <row r="1261" spans="1:38" s="311" customFormat="1" ht="24.75" customHeight="1">
      <c r="A1261" s="750"/>
      <c r="B1261" s="250" t="s">
        <v>433</v>
      </c>
      <c r="C1261" s="35" t="s">
        <v>427</v>
      </c>
      <c r="D1261" s="107">
        <v>0.1</v>
      </c>
      <c r="E1261" s="107">
        <v>1</v>
      </c>
      <c r="F1261" s="107">
        <v>1</v>
      </c>
      <c r="G1261" s="107">
        <f t="shared" si="42"/>
        <v>1</v>
      </c>
      <c r="H1261" s="116" t="s">
        <v>527</v>
      </c>
      <c r="J1261" s="112"/>
      <c r="K1261" s="112"/>
      <c r="L1261" s="112"/>
      <c r="M1261" s="112"/>
      <c r="N1261" s="112"/>
      <c r="O1261" s="112"/>
      <c r="P1261" s="112"/>
      <c r="Q1261" s="112"/>
      <c r="R1261" s="112"/>
      <c r="S1261" s="112"/>
      <c r="T1261" s="112"/>
      <c r="U1261" s="112"/>
      <c r="V1261" s="112"/>
      <c r="W1261" s="112"/>
      <c r="X1261" s="112"/>
      <c r="Y1261" s="112"/>
      <c r="Z1261" s="112"/>
      <c r="AA1261" s="112"/>
      <c r="AB1261" s="112"/>
      <c r="AC1261" s="112"/>
      <c r="AD1261" s="112"/>
      <c r="AE1261" s="112"/>
      <c r="AF1261" s="112"/>
      <c r="AG1261" s="112"/>
      <c r="AH1261" s="112"/>
      <c r="AI1261" s="112"/>
      <c r="AJ1261" s="112"/>
      <c r="AK1261" s="112"/>
      <c r="AL1261" s="112"/>
    </row>
    <row r="1262" spans="1:38" s="311" customFormat="1" ht="24.75" customHeight="1">
      <c r="A1262" s="748" t="s">
        <v>136</v>
      </c>
      <c r="B1262" s="250" t="s">
        <v>426</v>
      </c>
      <c r="C1262" s="35" t="s">
        <v>427</v>
      </c>
      <c r="D1262" s="107">
        <v>0.15</v>
      </c>
      <c r="E1262" s="251">
        <v>20</v>
      </c>
      <c r="F1262" s="251">
        <v>20</v>
      </c>
      <c r="G1262" s="143">
        <f>F1262/E1262</f>
        <v>1</v>
      </c>
      <c r="H1262" s="111" t="s">
        <v>536</v>
      </c>
      <c r="J1262" s="112"/>
      <c r="K1262" s="112"/>
      <c r="L1262" s="112"/>
      <c r="M1262" s="112"/>
      <c r="N1262" s="112"/>
      <c r="O1262" s="112"/>
      <c r="P1262" s="112"/>
      <c r="Q1262" s="112"/>
      <c r="R1262" s="112"/>
      <c r="S1262" s="112"/>
      <c r="T1262" s="112"/>
      <c r="U1262" s="112"/>
      <c r="V1262" s="112"/>
      <c r="W1262" s="112"/>
      <c r="X1262" s="112"/>
      <c r="Y1262" s="112"/>
      <c r="Z1262" s="112"/>
      <c r="AA1262" s="112"/>
      <c r="AB1262" s="112"/>
      <c r="AC1262" s="112"/>
      <c r="AD1262" s="112"/>
      <c r="AE1262" s="112"/>
      <c r="AF1262" s="112"/>
      <c r="AG1262" s="112"/>
      <c r="AH1262" s="112"/>
      <c r="AI1262" s="112"/>
      <c r="AJ1262" s="112"/>
      <c r="AK1262" s="112"/>
      <c r="AL1262" s="112"/>
    </row>
    <row r="1263" spans="1:38" s="311" customFormat="1" ht="24.75" customHeight="1">
      <c r="A1263" s="749"/>
      <c r="B1263" s="250" t="s">
        <v>428</v>
      </c>
      <c r="C1263" s="35" t="s">
        <v>427</v>
      </c>
      <c r="D1263" s="107">
        <v>0.15</v>
      </c>
      <c r="E1263" s="118">
        <v>6</v>
      </c>
      <c r="F1263" s="118">
        <v>0.45</v>
      </c>
      <c r="G1263" s="143">
        <f t="shared" ref="G1263:G1268" si="43">F1263/E1263</f>
        <v>7.4999999999999997E-2</v>
      </c>
      <c r="H1263" s="111" t="s">
        <v>531</v>
      </c>
      <c r="J1263" s="112"/>
      <c r="K1263" s="112"/>
      <c r="L1263" s="112"/>
      <c r="M1263" s="112"/>
      <c r="N1263" s="112"/>
      <c r="O1263" s="112"/>
      <c r="P1263" s="112"/>
      <c r="Q1263" s="112"/>
      <c r="R1263" s="112"/>
      <c r="S1263" s="112"/>
      <c r="T1263" s="112"/>
      <c r="U1263" s="112"/>
      <c r="V1263" s="112"/>
      <c r="W1263" s="112"/>
      <c r="X1263" s="112"/>
      <c r="Y1263" s="112"/>
      <c r="Z1263" s="112"/>
      <c r="AA1263" s="112"/>
      <c r="AB1263" s="112"/>
      <c r="AC1263" s="112"/>
      <c r="AD1263" s="112"/>
      <c r="AE1263" s="112"/>
      <c r="AF1263" s="112"/>
      <c r="AG1263" s="112"/>
      <c r="AH1263" s="112"/>
      <c r="AI1263" s="112"/>
      <c r="AJ1263" s="112"/>
      <c r="AK1263" s="112"/>
      <c r="AL1263" s="112"/>
    </row>
    <row r="1264" spans="1:38" s="311" customFormat="1" ht="24.75" customHeight="1">
      <c r="A1264" s="749"/>
      <c r="B1264" s="250" t="s">
        <v>429</v>
      </c>
      <c r="C1264" s="35" t="s">
        <v>427</v>
      </c>
      <c r="D1264" s="107">
        <v>0.15</v>
      </c>
      <c r="E1264" s="118">
        <v>2</v>
      </c>
      <c r="F1264" s="118">
        <v>0.34</v>
      </c>
      <c r="G1264" s="143">
        <f t="shared" si="43"/>
        <v>0.17</v>
      </c>
      <c r="H1264" s="111" t="s">
        <v>532</v>
      </c>
      <c r="J1264" s="112"/>
      <c r="K1264" s="112"/>
      <c r="L1264" s="112"/>
      <c r="M1264" s="112"/>
      <c r="N1264" s="112"/>
      <c r="O1264" s="112"/>
      <c r="P1264" s="112"/>
      <c r="Q1264" s="112"/>
      <c r="R1264" s="112"/>
      <c r="S1264" s="112"/>
      <c r="T1264" s="112"/>
      <c r="U1264" s="112"/>
      <c r="V1264" s="112"/>
      <c r="W1264" s="112"/>
      <c r="X1264" s="112"/>
      <c r="Y1264" s="112"/>
      <c r="Z1264" s="112"/>
      <c r="AA1264" s="112"/>
      <c r="AB1264" s="112"/>
      <c r="AC1264" s="112"/>
      <c r="AD1264" s="112"/>
      <c r="AE1264" s="112"/>
      <c r="AF1264" s="112"/>
      <c r="AG1264" s="112"/>
      <c r="AH1264" s="112"/>
      <c r="AI1264" s="112"/>
      <c r="AJ1264" s="112"/>
      <c r="AK1264" s="112"/>
      <c r="AL1264" s="112"/>
    </row>
    <row r="1265" spans="1:38" s="311" customFormat="1" ht="24.75" customHeight="1">
      <c r="A1265" s="749"/>
      <c r="B1265" s="250" t="s">
        <v>430</v>
      </c>
      <c r="C1265" s="35" t="s">
        <v>427</v>
      </c>
      <c r="D1265" s="107">
        <v>0.15</v>
      </c>
      <c r="E1265" s="251">
        <v>1072</v>
      </c>
      <c r="F1265" s="251">
        <v>110</v>
      </c>
      <c r="G1265" s="143">
        <f t="shared" si="43"/>
        <v>0.10261194029850747</v>
      </c>
      <c r="H1265" s="111" t="s">
        <v>537</v>
      </c>
      <c r="J1265" s="112"/>
      <c r="K1265" s="112"/>
      <c r="L1265" s="112"/>
      <c r="M1265" s="112"/>
      <c r="N1265" s="112"/>
      <c r="O1265" s="112"/>
      <c r="P1265" s="112"/>
      <c r="Q1265" s="112"/>
      <c r="R1265" s="112"/>
      <c r="S1265" s="112"/>
      <c r="T1265" s="112"/>
      <c r="U1265" s="112"/>
      <c r="V1265" s="112"/>
      <c r="W1265" s="112"/>
      <c r="X1265" s="112"/>
      <c r="Y1265" s="112"/>
      <c r="Z1265" s="112"/>
      <c r="AA1265" s="112"/>
      <c r="AB1265" s="112"/>
      <c r="AC1265" s="112"/>
      <c r="AD1265" s="112"/>
      <c r="AE1265" s="112"/>
      <c r="AF1265" s="112"/>
      <c r="AG1265" s="112"/>
      <c r="AH1265" s="112"/>
      <c r="AI1265" s="112"/>
      <c r="AJ1265" s="112"/>
      <c r="AK1265" s="112"/>
      <c r="AL1265" s="112"/>
    </row>
    <row r="1266" spans="1:38" s="311" customFormat="1" ht="24.75" customHeight="1">
      <c r="A1266" s="749"/>
      <c r="B1266" s="250" t="s">
        <v>431</v>
      </c>
      <c r="C1266" s="35" t="s">
        <v>427</v>
      </c>
      <c r="D1266" s="107">
        <v>0.15</v>
      </c>
      <c r="E1266" s="118">
        <v>1</v>
      </c>
      <c r="F1266" s="118">
        <v>1</v>
      </c>
      <c r="G1266" s="143">
        <f t="shared" si="43"/>
        <v>1</v>
      </c>
      <c r="H1266" s="111" t="s">
        <v>534</v>
      </c>
      <c r="J1266" s="112"/>
      <c r="K1266" s="112"/>
      <c r="L1266" s="112"/>
      <c r="M1266" s="112"/>
      <c r="N1266" s="112"/>
      <c r="O1266" s="112"/>
      <c r="P1266" s="112"/>
      <c r="Q1266" s="112"/>
      <c r="R1266" s="112"/>
      <c r="S1266" s="112"/>
      <c r="T1266" s="112"/>
      <c r="U1266" s="112"/>
      <c r="V1266" s="112"/>
      <c r="W1266" s="112"/>
      <c r="X1266" s="112"/>
      <c r="Y1266" s="112"/>
      <c r="Z1266" s="112"/>
      <c r="AA1266" s="112"/>
      <c r="AB1266" s="112"/>
      <c r="AC1266" s="112"/>
      <c r="AD1266" s="112"/>
      <c r="AE1266" s="112"/>
      <c r="AF1266" s="112"/>
      <c r="AG1266" s="112"/>
      <c r="AH1266" s="112"/>
      <c r="AI1266" s="112"/>
      <c r="AJ1266" s="112"/>
      <c r="AK1266" s="112"/>
      <c r="AL1266" s="112"/>
    </row>
    <row r="1267" spans="1:38" s="311" customFormat="1" ht="24.75" customHeight="1">
      <c r="A1267" s="749"/>
      <c r="B1267" s="250" t="s">
        <v>432</v>
      </c>
      <c r="C1267" s="35" t="s">
        <v>427</v>
      </c>
      <c r="D1267" s="107">
        <v>0.15</v>
      </c>
      <c r="E1267" s="118">
        <v>1097</v>
      </c>
      <c r="F1267" s="118">
        <v>32</v>
      </c>
      <c r="G1267" s="143">
        <f t="shared" si="43"/>
        <v>2.9170464904284411E-2</v>
      </c>
      <c r="H1267" s="111" t="s">
        <v>530</v>
      </c>
      <c r="J1267" s="112"/>
      <c r="K1267" s="112"/>
      <c r="L1267" s="112"/>
      <c r="M1267" s="112"/>
      <c r="N1267" s="112"/>
      <c r="O1267" s="112"/>
      <c r="P1267" s="112"/>
      <c r="Q1267" s="112"/>
      <c r="R1267" s="112"/>
      <c r="S1267" s="112"/>
      <c r="T1267" s="112"/>
      <c r="U1267" s="112"/>
      <c r="V1267" s="112"/>
      <c r="W1267" s="112"/>
      <c r="X1267" s="112"/>
      <c r="Y1267" s="112"/>
      <c r="Z1267" s="112"/>
      <c r="AA1267" s="112"/>
      <c r="AB1267" s="112"/>
      <c r="AC1267" s="112"/>
      <c r="AD1267" s="112"/>
      <c r="AE1267" s="112"/>
      <c r="AF1267" s="112"/>
      <c r="AG1267" s="112"/>
      <c r="AH1267" s="112"/>
      <c r="AI1267" s="112"/>
      <c r="AJ1267" s="112"/>
      <c r="AK1267" s="112"/>
      <c r="AL1267" s="112"/>
    </row>
    <row r="1268" spans="1:38" s="311" customFormat="1" ht="24.75" customHeight="1">
      <c r="A1268" s="750"/>
      <c r="B1268" s="250" t="s">
        <v>433</v>
      </c>
      <c r="C1268" s="35" t="s">
        <v>427</v>
      </c>
      <c r="D1268" s="107">
        <v>0.1</v>
      </c>
      <c r="E1268" s="107">
        <v>1</v>
      </c>
      <c r="F1268" s="143">
        <v>1</v>
      </c>
      <c r="G1268" s="143">
        <f t="shared" si="43"/>
        <v>1</v>
      </c>
      <c r="H1268" s="111" t="s">
        <v>535</v>
      </c>
      <c r="J1268" s="112"/>
      <c r="K1268" s="112"/>
      <c r="L1268" s="112"/>
      <c r="M1268" s="112"/>
      <c r="N1268" s="112"/>
      <c r="O1268" s="112"/>
      <c r="P1268" s="112"/>
      <c r="Q1268" s="112"/>
      <c r="R1268" s="112"/>
      <c r="S1268" s="112"/>
      <c r="T1268" s="112"/>
      <c r="U1268" s="112"/>
      <c r="V1268" s="112"/>
      <c r="W1268" s="112"/>
      <c r="X1268" s="112"/>
      <c r="Y1268" s="112"/>
      <c r="Z1268" s="112"/>
      <c r="AA1268" s="112"/>
      <c r="AB1268" s="112"/>
      <c r="AC1268" s="112"/>
      <c r="AD1268" s="112"/>
      <c r="AE1268" s="112"/>
      <c r="AF1268" s="112"/>
      <c r="AG1268" s="112"/>
      <c r="AH1268" s="112"/>
      <c r="AI1268" s="112"/>
      <c r="AJ1268" s="112"/>
      <c r="AK1268" s="112"/>
      <c r="AL1268" s="112"/>
    </row>
    <row r="1269" spans="1:38" s="311" customFormat="1" ht="24.75" customHeight="1">
      <c r="A1269" s="748" t="s">
        <v>137</v>
      </c>
      <c r="B1269" s="250" t="s">
        <v>426</v>
      </c>
      <c r="C1269" s="35" t="s">
        <v>427</v>
      </c>
      <c r="D1269" s="107">
        <v>0.15</v>
      </c>
      <c r="E1269" s="251">
        <v>20</v>
      </c>
      <c r="F1269" s="251">
        <v>20</v>
      </c>
      <c r="G1269" s="107">
        <f>F1269/E1269</f>
        <v>1</v>
      </c>
      <c r="H1269" s="111" t="s">
        <v>540</v>
      </c>
      <c r="J1269" s="112"/>
      <c r="K1269" s="112"/>
      <c r="L1269" s="112"/>
      <c r="M1269" s="112"/>
      <c r="N1269" s="112"/>
      <c r="O1269" s="112"/>
      <c r="P1269" s="112"/>
      <c r="Q1269" s="112"/>
      <c r="R1269" s="112"/>
      <c r="S1269" s="112"/>
      <c r="T1269" s="112"/>
      <c r="U1269" s="112"/>
      <c r="V1269" s="112"/>
      <c r="W1269" s="112"/>
      <c r="X1269" s="112"/>
      <c r="Y1269" s="112"/>
      <c r="Z1269" s="112"/>
      <c r="AA1269" s="112"/>
      <c r="AB1269" s="112"/>
      <c r="AC1269" s="112"/>
      <c r="AD1269" s="112"/>
      <c r="AE1269" s="112"/>
      <c r="AF1269" s="112"/>
      <c r="AG1269" s="112"/>
      <c r="AH1269" s="112"/>
      <c r="AI1269" s="112"/>
      <c r="AJ1269" s="112"/>
      <c r="AK1269" s="112"/>
      <c r="AL1269" s="112"/>
    </row>
    <row r="1270" spans="1:38" s="311" customFormat="1" ht="24.75" customHeight="1">
      <c r="A1270" s="749"/>
      <c r="B1270" s="250" t="s">
        <v>428</v>
      </c>
      <c r="C1270" s="35" t="s">
        <v>427</v>
      </c>
      <c r="D1270" s="107">
        <v>0.15</v>
      </c>
      <c r="E1270" s="118">
        <v>6</v>
      </c>
      <c r="F1270" s="118">
        <v>1</v>
      </c>
      <c r="G1270" s="107">
        <f t="shared" ref="G1270:G1275" si="44">F1270/E1270</f>
        <v>0.16666666666666666</v>
      </c>
      <c r="H1270" s="111" t="s">
        <v>541</v>
      </c>
      <c r="J1270" s="112"/>
      <c r="K1270" s="112"/>
      <c r="L1270" s="112"/>
      <c r="M1270" s="112"/>
      <c r="N1270" s="112"/>
      <c r="O1270" s="112"/>
      <c r="P1270" s="112"/>
      <c r="Q1270" s="112"/>
      <c r="R1270" s="112"/>
      <c r="S1270" s="112"/>
      <c r="T1270" s="112"/>
      <c r="U1270" s="112"/>
      <c r="V1270" s="112"/>
      <c r="W1270" s="112"/>
      <c r="X1270" s="112"/>
      <c r="Y1270" s="112"/>
      <c r="Z1270" s="112"/>
      <c r="AA1270" s="112"/>
      <c r="AB1270" s="112"/>
      <c r="AC1270" s="112"/>
      <c r="AD1270" s="112"/>
      <c r="AE1270" s="112"/>
      <c r="AF1270" s="112"/>
      <c r="AG1270" s="112"/>
      <c r="AH1270" s="112"/>
      <c r="AI1270" s="112"/>
      <c r="AJ1270" s="112"/>
      <c r="AK1270" s="112"/>
      <c r="AL1270" s="112"/>
    </row>
    <row r="1271" spans="1:38" s="311" customFormat="1" ht="24.75" customHeight="1">
      <c r="A1271" s="749"/>
      <c r="B1271" s="250" t="s">
        <v>429</v>
      </c>
      <c r="C1271" s="35" t="s">
        <v>427</v>
      </c>
      <c r="D1271" s="107">
        <v>0.15</v>
      </c>
      <c r="E1271" s="118">
        <v>2</v>
      </c>
      <c r="F1271" s="118">
        <v>0.5</v>
      </c>
      <c r="G1271" s="107">
        <f t="shared" si="44"/>
        <v>0.25</v>
      </c>
      <c r="H1271" s="111" t="s">
        <v>542</v>
      </c>
      <c r="J1271" s="112"/>
      <c r="K1271" s="112"/>
      <c r="L1271" s="112"/>
      <c r="M1271" s="112"/>
      <c r="N1271" s="112"/>
      <c r="O1271" s="112"/>
      <c r="P1271" s="112"/>
      <c r="Q1271" s="112"/>
      <c r="R1271" s="112"/>
      <c r="S1271" s="112"/>
      <c r="T1271" s="112"/>
      <c r="U1271" s="112"/>
      <c r="V1271" s="112"/>
      <c r="W1271" s="112"/>
      <c r="X1271" s="112"/>
      <c r="Y1271" s="112"/>
      <c r="Z1271" s="112"/>
      <c r="AA1271" s="112"/>
      <c r="AB1271" s="112"/>
      <c r="AC1271" s="112"/>
      <c r="AD1271" s="112"/>
      <c r="AE1271" s="112"/>
      <c r="AF1271" s="112"/>
      <c r="AG1271" s="112"/>
      <c r="AH1271" s="112"/>
      <c r="AI1271" s="112"/>
      <c r="AJ1271" s="112"/>
      <c r="AK1271" s="112"/>
      <c r="AL1271" s="112"/>
    </row>
    <row r="1272" spans="1:38" s="311" customFormat="1" ht="24.75" customHeight="1">
      <c r="A1272" s="749"/>
      <c r="B1272" s="250" t="s">
        <v>430</v>
      </c>
      <c r="C1272" s="35" t="s">
        <v>427</v>
      </c>
      <c r="D1272" s="107">
        <v>0.15</v>
      </c>
      <c r="E1272" s="251">
        <v>1072</v>
      </c>
      <c r="F1272" s="251">
        <v>196</v>
      </c>
      <c r="G1272" s="107">
        <f t="shared" si="44"/>
        <v>0.18283582089552239</v>
      </c>
      <c r="H1272" s="111" t="s">
        <v>544</v>
      </c>
      <c r="J1272" s="112"/>
      <c r="K1272" s="112"/>
      <c r="L1272" s="112"/>
      <c r="M1272" s="112"/>
      <c r="N1272" s="112"/>
      <c r="O1272" s="112"/>
      <c r="P1272" s="112"/>
      <c r="Q1272" s="112"/>
      <c r="R1272" s="112"/>
      <c r="S1272" s="112"/>
      <c r="T1272" s="112"/>
      <c r="U1272" s="112"/>
      <c r="V1272" s="112"/>
      <c r="W1272" s="112"/>
      <c r="X1272" s="112"/>
      <c r="Y1272" s="112"/>
      <c r="Z1272" s="112"/>
      <c r="AA1272" s="112"/>
      <c r="AB1272" s="112"/>
      <c r="AC1272" s="112"/>
      <c r="AD1272" s="112"/>
      <c r="AE1272" s="112"/>
      <c r="AF1272" s="112"/>
      <c r="AG1272" s="112"/>
      <c r="AH1272" s="112"/>
      <c r="AI1272" s="112"/>
      <c r="AJ1272" s="112"/>
      <c r="AK1272" s="112"/>
      <c r="AL1272" s="112"/>
    </row>
    <row r="1273" spans="1:38" s="311" customFormat="1" ht="24.75" customHeight="1">
      <c r="A1273" s="749"/>
      <c r="B1273" s="250" t="s">
        <v>431</v>
      </c>
      <c r="C1273" s="35" t="s">
        <v>427</v>
      </c>
      <c r="D1273" s="107">
        <v>0.15</v>
      </c>
      <c r="E1273" s="118">
        <v>1</v>
      </c>
      <c r="F1273" s="118">
        <v>1</v>
      </c>
      <c r="G1273" s="107">
        <f t="shared" si="44"/>
        <v>1</v>
      </c>
      <c r="H1273" s="111" t="s">
        <v>543</v>
      </c>
      <c r="J1273" s="112"/>
      <c r="K1273" s="112"/>
      <c r="L1273" s="112"/>
      <c r="M1273" s="112"/>
      <c r="N1273" s="112"/>
      <c r="O1273" s="112"/>
      <c r="P1273" s="112"/>
      <c r="Q1273" s="112"/>
      <c r="R1273" s="112"/>
      <c r="S1273" s="112"/>
      <c r="T1273" s="112"/>
      <c r="U1273" s="112"/>
      <c r="V1273" s="112"/>
      <c r="W1273" s="112"/>
      <c r="X1273" s="112"/>
      <c r="Y1273" s="112"/>
      <c r="Z1273" s="112"/>
      <c r="AA1273" s="112"/>
      <c r="AB1273" s="112"/>
      <c r="AC1273" s="112"/>
      <c r="AD1273" s="112"/>
      <c r="AE1273" s="112"/>
      <c r="AF1273" s="112"/>
      <c r="AG1273" s="112"/>
      <c r="AH1273" s="112"/>
      <c r="AI1273" s="112"/>
      <c r="AJ1273" s="112"/>
      <c r="AK1273" s="112"/>
      <c r="AL1273" s="112"/>
    </row>
    <row r="1274" spans="1:38" s="311" customFormat="1" ht="24.75" customHeight="1">
      <c r="A1274" s="749"/>
      <c r="B1274" s="250" t="s">
        <v>432</v>
      </c>
      <c r="C1274" s="35" t="s">
        <v>427</v>
      </c>
      <c r="D1274" s="107">
        <v>0.15</v>
      </c>
      <c r="E1274" s="118">
        <v>1097</v>
      </c>
      <c r="F1274" s="118">
        <v>87</v>
      </c>
      <c r="G1274" s="107">
        <f t="shared" si="44"/>
        <v>7.9307201458523241E-2</v>
      </c>
      <c r="H1274" s="111" t="s">
        <v>545</v>
      </c>
      <c r="J1274" s="112"/>
      <c r="K1274" s="112"/>
      <c r="L1274" s="112"/>
      <c r="M1274" s="112"/>
      <c r="N1274" s="112"/>
      <c r="O1274" s="112"/>
      <c r="P1274" s="112"/>
      <c r="Q1274" s="112"/>
      <c r="R1274" s="112"/>
      <c r="S1274" s="112"/>
      <c r="T1274" s="112"/>
      <c r="U1274" s="112"/>
      <c r="V1274" s="112"/>
      <c r="W1274" s="112"/>
      <c r="X1274" s="112"/>
      <c r="Y1274" s="112"/>
      <c r="Z1274" s="112"/>
      <c r="AA1274" s="112"/>
      <c r="AB1274" s="112"/>
      <c r="AC1274" s="112"/>
      <c r="AD1274" s="112"/>
      <c r="AE1274" s="112"/>
      <c r="AF1274" s="112"/>
      <c r="AG1274" s="112"/>
      <c r="AH1274" s="112"/>
      <c r="AI1274" s="112"/>
      <c r="AJ1274" s="112"/>
      <c r="AK1274" s="112"/>
      <c r="AL1274" s="112"/>
    </row>
    <row r="1275" spans="1:38" s="311" customFormat="1" ht="24.75" customHeight="1">
      <c r="A1275" s="750"/>
      <c r="B1275" s="250" t="s">
        <v>433</v>
      </c>
      <c r="C1275" s="35" t="s">
        <v>427</v>
      </c>
      <c r="D1275" s="107">
        <v>0.1</v>
      </c>
      <c r="E1275" s="107">
        <v>1</v>
      </c>
      <c r="F1275" s="143">
        <v>1</v>
      </c>
      <c r="G1275" s="107">
        <f t="shared" si="44"/>
        <v>1</v>
      </c>
      <c r="H1275" s="111" t="s">
        <v>546</v>
      </c>
      <c r="J1275" s="112"/>
      <c r="K1275" s="112"/>
      <c r="L1275" s="112"/>
      <c r="M1275" s="112"/>
      <c r="N1275" s="112"/>
      <c r="O1275" s="112"/>
      <c r="P1275" s="112"/>
      <c r="Q1275" s="112"/>
      <c r="R1275" s="112"/>
      <c r="S1275" s="112"/>
      <c r="T1275" s="112"/>
      <c r="U1275" s="112"/>
      <c r="V1275" s="112"/>
      <c r="W1275" s="112"/>
      <c r="X1275" s="112"/>
      <c r="Y1275" s="112"/>
      <c r="Z1275" s="112"/>
      <c r="AA1275" s="112"/>
      <c r="AB1275" s="112"/>
      <c r="AC1275" s="112"/>
      <c r="AD1275" s="112"/>
      <c r="AE1275" s="112"/>
      <c r="AF1275" s="112"/>
      <c r="AG1275" s="112"/>
      <c r="AH1275" s="112"/>
      <c r="AI1275" s="112"/>
      <c r="AJ1275" s="112"/>
      <c r="AK1275" s="112"/>
      <c r="AL1275" s="112"/>
    </row>
    <row r="1276" spans="1:38" s="311" customFormat="1" ht="24.75" customHeight="1">
      <c r="A1276" s="748" t="s">
        <v>138</v>
      </c>
      <c r="B1276" s="250" t="s">
        <v>426</v>
      </c>
      <c r="C1276" s="35" t="s">
        <v>427</v>
      </c>
      <c r="D1276" s="107">
        <v>0.15</v>
      </c>
      <c r="E1276" s="251">
        <v>20</v>
      </c>
      <c r="F1276" s="251">
        <v>20</v>
      </c>
      <c r="G1276" s="107">
        <f>F1276/E1276</f>
        <v>1</v>
      </c>
      <c r="H1276" s="111">
        <v>0</v>
      </c>
      <c r="J1276" s="112"/>
      <c r="K1276" s="112"/>
      <c r="L1276" s="112"/>
      <c r="M1276" s="112"/>
      <c r="N1276" s="112"/>
      <c r="O1276" s="112"/>
      <c r="P1276" s="112"/>
      <c r="Q1276" s="112"/>
      <c r="R1276" s="112"/>
      <c r="S1276" s="112"/>
      <c r="T1276" s="112"/>
      <c r="U1276" s="112"/>
      <c r="V1276" s="112"/>
      <c r="W1276" s="112"/>
      <c r="X1276" s="112"/>
      <c r="Y1276" s="112"/>
      <c r="Z1276" s="112"/>
      <c r="AA1276" s="112"/>
      <c r="AB1276" s="112"/>
      <c r="AC1276" s="112"/>
      <c r="AD1276" s="112"/>
      <c r="AE1276" s="112"/>
      <c r="AF1276" s="112"/>
      <c r="AG1276" s="112"/>
      <c r="AH1276" s="112"/>
      <c r="AI1276" s="112"/>
      <c r="AJ1276" s="112"/>
      <c r="AK1276" s="112"/>
      <c r="AL1276" s="112"/>
    </row>
    <row r="1277" spans="1:38" s="311" customFormat="1" ht="24.75" customHeight="1">
      <c r="A1277" s="749"/>
      <c r="B1277" s="250" t="s">
        <v>428</v>
      </c>
      <c r="C1277" s="35" t="s">
        <v>427</v>
      </c>
      <c r="D1277" s="107">
        <v>0.15</v>
      </c>
      <c r="E1277" s="118">
        <v>6</v>
      </c>
      <c r="F1277" s="118">
        <v>1.6</v>
      </c>
      <c r="G1277" s="107">
        <f t="shared" ref="G1277:G1282" si="45">F1277/E1277</f>
        <v>0.26666666666666666</v>
      </c>
      <c r="H1277" s="111" t="s">
        <v>550</v>
      </c>
      <c r="J1277" s="112"/>
      <c r="K1277" s="112"/>
      <c r="L1277" s="112"/>
      <c r="M1277" s="112"/>
      <c r="N1277" s="112"/>
      <c r="O1277" s="112"/>
      <c r="P1277" s="112"/>
      <c r="Q1277" s="112"/>
      <c r="R1277" s="112"/>
      <c r="S1277" s="112"/>
      <c r="T1277" s="112"/>
      <c r="U1277" s="112"/>
      <c r="V1277" s="112"/>
      <c r="W1277" s="112"/>
      <c r="X1277" s="112"/>
      <c r="Y1277" s="112"/>
      <c r="Z1277" s="112"/>
      <c r="AA1277" s="112"/>
      <c r="AB1277" s="112"/>
      <c r="AC1277" s="112"/>
      <c r="AD1277" s="112"/>
      <c r="AE1277" s="112"/>
      <c r="AF1277" s="112"/>
      <c r="AG1277" s="112"/>
      <c r="AH1277" s="112"/>
      <c r="AI1277" s="112"/>
      <c r="AJ1277" s="112"/>
      <c r="AK1277" s="112"/>
      <c r="AL1277" s="112"/>
    </row>
    <row r="1278" spans="1:38" s="311" customFormat="1" ht="24.75" customHeight="1">
      <c r="A1278" s="749"/>
      <c r="B1278" s="250" t="s">
        <v>429</v>
      </c>
      <c r="C1278" s="35" t="s">
        <v>427</v>
      </c>
      <c r="D1278" s="107">
        <v>0.15</v>
      </c>
      <c r="E1278" s="118">
        <v>2</v>
      </c>
      <c r="F1278" s="118">
        <v>0.5</v>
      </c>
      <c r="G1278" s="107">
        <f t="shared" si="45"/>
        <v>0.25</v>
      </c>
      <c r="H1278" s="111" t="s">
        <v>552</v>
      </c>
      <c r="J1278" s="112"/>
      <c r="K1278" s="112"/>
      <c r="L1278" s="112"/>
      <c r="M1278" s="112"/>
      <c r="N1278" s="112"/>
      <c r="O1278" s="112"/>
      <c r="P1278" s="112"/>
      <c r="Q1278" s="112"/>
      <c r="R1278" s="112"/>
      <c r="S1278" s="112"/>
      <c r="T1278" s="112"/>
      <c r="U1278" s="112"/>
      <c r="V1278" s="112"/>
      <c r="W1278" s="112"/>
      <c r="X1278" s="112"/>
      <c r="Y1278" s="112"/>
      <c r="Z1278" s="112"/>
      <c r="AA1278" s="112"/>
      <c r="AB1278" s="112"/>
      <c r="AC1278" s="112"/>
      <c r="AD1278" s="112"/>
      <c r="AE1278" s="112"/>
      <c r="AF1278" s="112"/>
      <c r="AG1278" s="112"/>
      <c r="AH1278" s="112"/>
      <c r="AI1278" s="112"/>
      <c r="AJ1278" s="112"/>
      <c r="AK1278" s="112"/>
      <c r="AL1278" s="112"/>
    </row>
    <row r="1279" spans="1:38" s="311" customFormat="1" ht="24.75" customHeight="1">
      <c r="A1279" s="749"/>
      <c r="B1279" s="250" t="s">
        <v>430</v>
      </c>
      <c r="C1279" s="35" t="s">
        <v>427</v>
      </c>
      <c r="D1279" s="107">
        <v>0.15</v>
      </c>
      <c r="E1279" s="251">
        <v>1072</v>
      </c>
      <c r="F1279" s="251">
        <v>196</v>
      </c>
      <c r="G1279" s="107">
        <f t="shared" si="45"/>
        <v>0.18283582089552239</v>
      </c>
      <c r="H1279" s="111" t="s">
        <v>551</v>
      </c>
      <c r="J1279" s="112"/>
      <c r="K1279" s="112"/>
      <c r="L1279" s="112"/>
      <c r="M1279" s="112"/>
      <c r="N1279" s="112"/>
      <c r="O1279" s="112"/>
      <c r="P1279" s="112"/>
      <c r="Q1279" s="112"/>
      <c r="R1279" s="112"/>
      <c r="S1279" s="112"/>
      <c r="T1279" s="112"/>
      <c r="U1279" s="112"/>
      <c r="V1279" s="112"/>
      <c r="W1279" s="112"/>
      <c r="X1279" s="112"/>
      <c r="Y1279" s="112"/>
      <c r="Z1279" s="112"/>
      <c r="AA1279" s="112"/>
      <c r="AB1279" s="112"/>
      <c r="AC1279" s="112"/>
      <c r="AD1279" s="112"/>
      <c r="AE1279" s="112"/>
      <c r="AF1279" s="112"/>
      <c r="AG1279" s="112"/>
      <c r="AH1279" s="112"/>
      <c r="AI1279" s="112"/>
      <c r="AJ1279" s="112"/>
      <c r="AK1279" s="112"/>
      <c r="AL1279" s="112"/>
    </row>
    <row r="1280" spans="1:38" s="311" customFormat="1" ht="24.75" customHeight="1">
      <c r="A1280" s="749"/>
      <c r="B1280" s="250" t="s">
        <v>431</v>
      </c>
      <c r="C1280" s="35" t="s">
        <v>427</v>
      </c>
      <c r="D1280" s="107">
        <v>0.15</v>
      </c>
      <c r="E1280" s="118">
        <v>1</v>
      </c>
      <c r="F1280" s="118">
        <v>1</v>
      </c>
      <c r="G1280" s="107">
        <f t="shared" si="45"/>
        <v>1</v>
      </c>
      <c r="H1280" s="111" t="s">
        <v>549</v>
      </c>
      <c r="J1280" s="112"/>
      <c r="K1280" s="112"/>
      <c r="L1280" s="112"/>
      <c r="M1280" s="112"/>
      <c r="N1280" s="112"/>
      <c r="O1280" s="112"/>
      <c r="P1280" s="112"/>
      <c r="Q1280" s="112"/>
      <c r="R1280" s="112"/>
      <c r="S1280" s="112"/>
      <c r="T1280" s="112"/>
      <c r="U1280" s="112"/>
      <c r="V1280" s="112"/>
      <c r="W1280" s="112"/>
      <c r="X1280" s="112"/>
      <c r="Y1280" s="112"/>
      <c r="Z1280" s="112"/>
      <c r="AA1280" s="112"/>
      <c r="AB1280" s="112"/>
      <c r="AC1280" s="112"/>
      <c r="AD1280" s="112"/>
      <c r="AE1280" s="112"/>
      <c r="AF1280" s="112"/>
      <c r="AG1280" s="112"/>
      <c r="AH1280" s="112"/>
      <c r="AI1280" s="112"/>
      <c r="AJ1280" s="112"/>
      <c r="AK1280" s="112"/>
      <c r="AL1280" s="112"/>
    </row>
    <row r="1281" spans="1:38" s="311" customFormat="1" ht="24.75" customHeight="1">
      <c r="A1281" s="749"/>
      <c r="B1281" s="250" t="s">
        <v>432</v>
      </c>
      <c r="C1281" s="35" t="s">
        <v>427</v>
      </c>
      <c r="D1281" s="107">
        <v>0.15</v>
      </c>
      <c r="E1281" s="118">
        <v>1097</v>
      </c>
      <c r="F1281" s="118">
        <v>87</v>
      </c>
      <c r="G1281" s="107">
        <f t="shared" si="45"/>
        <v>7.9307201458523241E-2</v>
      </c>
      <c r="H1281" s="111" t="s">
        <v>553</v>
      </c>
      <c r="J1281" s="112"/>
      <c r="K1281" s="112"/>
      <c r="L1281" s="112"/>
      <c r="M1281" s="112"/>
      <c r="N1281" s="112"/>
      <c r="O1281" s="112"/>
      <c r="P1281" s="112"/>
      <c r="Q1281" s="112"/>
      <c r="R1281" s="112"/>
      <c r="S1281" s="112"/>
      <c r="T1281" s="112"/>
      <c r="U1281" s="112"/>
      <c r="V1281" s="112"/>
      <c r="W1281" s="112"/>
      <c r="X1281" s="112"/>
      <c r="Y1281" s="112"/>
      <c r="Z1281" s="112"/>
      <c r="AA1281" s="112"/>
      <c r="AB1281" s="112"/>
      <c r="AC1281" s="112"/>
      <c r="AD1281" s="112"/>
      <c r="AE1281" s="112"/>
      <c r="AF1281" s="112"/>
      <c r="AG1281" s="112"/>
      <c r="AH1281" s="112"/>
      <c r="AI1281" s="112"/>
      <c r="AJ1281" s="112"/>
      <c r="AK1281" s="112"/>
      <c r="AL1281" s="112"/>
    </row>
    <row r="1282" spans="1:38" s="311" customFormat="1" ht="24.75" customHeight="1">
      <c r="A1282" s="750" t="s">
        <v>139</v>
      </c>
      <c r="B1282" s="250" t="s">
        <v>433</v>
      </c>
      <c r="C1282" s="35" t="s">
        <v>427</v>
      </c>
      <c r="D1282" s="107">
        <v>0.1</v>
      </c>
      <c r="E1282" s="107">
        <v>1</v>
      </c>
      <c r="F1282" s="143">
        <v>1</v>
      </c>
      <c r="G1282" s="107">
        <f t="shared" si="45"/>
        <v>1</v>
      </c>
      <c r="H1282" s="111" t="s">
        <v>547</v>
      </c>
      <c r="J1282" s="112"/>
      <c r="K1282" s="112"/>
      <c r="L1282" s="112"/>
      <c r="M1282" s="112"/>
      <c r="N1282" s="112"/>
      <c r="O1282" s="112"/>
      <c r="P1282" s="112"/>
      <c r="Q1282" s="112"/>
      <c r="R1282" s="112"/>
      <c r="S1282" s="112"/>
      <c r="T1282" s="112"/>
      <c r="U1282" s="112"/>
      <c r="V1282" s="112"/>
      <c r="W1282" s="112"/>
      <c r="X1282" s="112"/>
      <c r="Y1282" s="112"/>
      <c r="Z1282" s="112"/>
      <c r="AA1282" s="112"/>
      <c r="AB1282" s="112"/>
      <c r="AC1282" s="112"/>
      <c r="AD1282" s="112"/>
      <c r="AE1282" s="112"/>
      <c r="AF1282" s="112"/>
      <c r="AG1282" s="112"/>
      <c r="AH1282" s="112"/>
      <c r="AI1282" s="112"/>
      <c r="AJ1282" s="112"/>
      <c r="AK1282" s="112"/>
      <c r="AL1282" s="112"/>
    </row>
    <row r="1283" spans="1:38" s="311" customFormat="1" ht="24.75" customHeight="1">
      <c r="A1283" s="748" t="s">
        <v>139</v>
      </c>
      <c r="B1283" s="250" t="s">
        <v>426</v>
      </c>
      <c r="C1283" s="35" t="s">
        <v>427</v>
      </c>
      <c r="D1283" s="107">
        <v>0.15</v>
      </c>
      <c r="E1283" s="251">
        <v>20</v>
      </c>
      <c r="F1283" s="251">
        <v>20</v>
      </c>
      <c r="G1283" s="107">
        <f>F1283/E1283</f>
        <v>1</v>
      </c>
      <c r="H1283" s="111" t="s">
        <v>558</v>
      </c>
      <c r="J1283" s="112"/>
      <c r="K1283" s="112"/>
      <c r="L1283" s="112"/>
      <c r="M1283" s="112"/>
      <c r="N1283" s="112"/>
      <c r="O1283" s="112"/>
      <c r="P1283" s="112"/>
      <c r="Q1283" s="112"/>
      <c r="R1283" s="112"/>
      <c r="S1283" s="112"/>
      <c r="T1283" s="112"/>
      <c r="U1283" s="112"/>
      <c r="V1283" s="112"/>
      <c r="W1283" s="112"/>
      <c r="X1283" s="112"/>
      <c r="Y1283" s="112"/>
      <c r="Z1283" s="112"/>
      <c r="AA1283" s="112"/>
      <c r="AB1283" s="112"/>
      <c r="AC1283" s="112"/>
      <c r="AD1283" s="112"/>
      <c r="AE1283" s="112"/>
      <c r="AF1283" s="112"/>
      <c r="AG1283" s="112"/>
      <c r="AH1283" s="112"/>
      <c r="AI1283" s="112"/>
      <c r="AJ1283" s="112"/>
      <c r="AK1283" s="112"/>
      <c r="AL1283" s="112"/>
    </row>
    <row r="1284" spans="1:38" s="311" customFormat="1" ht="24.75" customHeight="1">
      <c r="A1284" s="749"/>
      <c r="B1284" s="250" t="s">
        <v>428</v>
      </c>
      <c r="C1284" s="35" t="s">
        <v>427</v>
      </c>
      <c r="D1284" s="107">
        <v>0.15</v>
      </c>
      <c r="E1284" s="118">
        <v>6</v>
      </c>
      <c r="F1284" s="118">
        <v>2.2999999999999998</v>
      </c>
      <c r="G1284" s="107">
        <f t="shared" ref="G1284:G1289" si="46">F1284/E1284</f>
        <v>0.3833333333333333</v>
      </c>
      <c r="H1284" s="111" t="s">
        <v>557</v>
      </c>
      <c r="J1284" s="112"/>
      <c r="K1284" s="112"/>
      <c r="L1284" s="112"/>
      <c r="M1284" s="112"/>
      <c r="N1284" s="112"/>
      <c r="O1284" s="112"/>
      <c r="P1284" s="112"/>
      <c r="Q1284" s="112"/>
      <c r="R1284" s="112"/>
      <c r="S1284" s="112"/>
      <c r="T1284" s="112"/>
      <c r="U1284" s="112"/>
      <c r="V1284" s="112"/>
      <c r="W1284" s="112"/>
      <c r="X1284" s="112"/>
      <c r="Y1284" s="112"/>
      <c r="Z1284" s="112"/>
      <c r="AA1284" s="112"/>
      <c r="AB1284" s="112"/>
      <c r="AC1284" s="112"/>
      <c r="AD1284" s="112"/>
      <c r="AE1284" s="112"/>
      <c r="AF1284" s="112"/>
      <c r="AG1284" s="112"/>
      <c r="AH1284" s="112"/>
      <c r="AI1284" s="112"/>
      <c r="AJ1284" s="112"/>
      <c r="AK1284" s="112"/>
      <c r="AL1284" s="112"/>
    </row>
    <row r="1285" spans="1:38" s="311" customFormat="1" ht="24.75" customHeight="1">
      <c r="A1285" s="749"/>
      <c r="B1285" s="250" t="s">
        <v>429</v>
      </c>
      <c r="C1285" s="35" t="s">
        <v>427</v>
      </c>
      <c r="D1285" s="107">
        <v>0.15</v>
      </c>
      <c r="E1285" s="118">
        <v>2</v>
      </c>
      <c r="F1285" s="118">
        <v>0.81</v>
      </c>
      <c r="G1285" s="107">
        <f t="shared" si="46"/>
        <v>0.40500000000000003</v>
      </c>
      <c r="H1285" s="111" t="s">
        <v>559</v>
      </c>
      <c r="J1285" s="112"/>
      <c r="K1285" s="112"/>
      <c r="L1285" s="112"/>
      <c r="M1285" s="112"/>
      <c r="N1285" s="112"/>
      <c r="O1285" s="112"/>
      <c r="P1285" s="112"/>
      <c r="Q1285" s="112"/>
      <c r="R1285" s="112"/>
      <c r="S1285" s="112"/>
      <c r="T1285" s="112"/>
      <c r="U1285" s="112"/>
      <c r="V1285" s="112"/>
      <c r="W1285" s="112"/>
      <c r="X1285" s="112"/>
      <c r="Y1285" s="112"/>
      <c r="Z1285" s="112"/>
      <c r="AA1285" s="112"/>
      <c r="AB1285" s="112"/>
      <c r="AC1285" s="112"/>
      <c r="AD1285" s="112"/>
      <c r="AE1285" s="112"/>
      <c r="AF1285" s="112"/>
      <c r="AG1285" s="112"/>
      <c r="AH1285" s="112"/>
      <c r="AI1285" s="112"/>
      <c r="AJ1285" s="112"/>
      <c r="AK1285" s="112"/>
      <c r="AL1285" s="112"/>
    </row>
    <row r="1286" spans="1:38" s="311" customFormat="1" ht="24.75" customHeight="1">
      <c r="A1286" s="749"/>
      <c r="B1286" s="250" t="s">
        <v>430</v>
      </c>
      <c r="C1286" s="35" t="s">
        <v>427</v>
      </c>
      <c r="D1286" s="107">
        <v>0.15</v>
      </c>
      <c r="E1286" s="251">
        <v>1072</v>
      </c>
      <c r="F1286" s="251">
        <v>466</v>
      </c>
      <c r="G1286" s="107">
        <f t="shared" si="46"/>
        <v>0.43470149253731344</v>
      </c>
      <c r="H1286" s="111" t="s">
        <v>555</v>
      </c>
      <c r="J1286" s="112"/>
      <c r="K1286" s="112"/>
      <c r="L1286" s="112"/>
      <c r="M1286" s="112"/>
      <c r="N1286" s="112"/>
      <c r="O1286" s="112"/>
      <c r="P1286" s="112"/>
      <c r="Q1286" s="112"/>
      <c r="R1286" s="112"/>
      <c r="S1286" s="112"/>
      <c r="T1286" s="112"/>
      <c r="U1286" s="112"/>
      <c r="V1286" s="112"/>
      <c r="W1286" s="112"/>
      <c r="X1286" s="112"/>
      <c r="Y1286" s="112"/>
      <c r="Z1286" s="112"/>
      <c r="AA1286" s="112"/>
      <c r="AB1286" s="112"/>
      <c r="AC1286" s="112"/>
      <c r="AD1286" s="112"/>
      <c r="AE1286" s="112"/>
      <c r="AF1286" s="112"/>
      <c r="AG1286" s="112"/>
      <c r="AH1286" s="112"/>
      <c r="AI1286" s="112"/>
      <c r="AJ1286" s="112"/>
      <c r="AK1286" s="112"/>
      <c r="AL1286" s="112"/>
    </row>
    <row r="1287" spans="1:38" s="311" customFormat="1" ht="24.75" customHeight="1">
      <c r="A1287" s="749"/>
      <c r="B1287" s="250" t="s">
        <v>431</v>
      </c>
      <c r="C1287" s="35" t="s">
        <v>427</v>
      </c>
      <c r="D1287" s="107">
        <v>0.15</v>
      </c>
      <c r="E1287" s="118">
        <v>1</v>
      </c>
      <c r="F1287" s="118">
        <v>1</v>
      </c>
      <c r="G1287" s="107">
        <f t="shared" si="46"/>
        <v>1</v>
      </c>
      <c r="H1287" s="111" t="s">
        <v>556</v>
      </c>
      <c r="J1287" s="112"/>
      <c r="K1287" s="112"/>
      <c r="L1287" s="112"/>
      <c r="M1287" s="112"/>
      <c r="N1287" s="112"/>
      <c r="O1287" s="112"/>
      <c r="P1287" s="112"/>
      <c r="Q1287" s="112"/>
      <c r="R1287" s="112"/>
      <c r="S1287" s="112"/>
      <c r="T1287" s="112"/>
      <c r="U1287" s="112"/>
      <c r="V1287" s="112"/>
      <c r="W1287" s="112"/>
      <c r="X1287" s="112"/>
      <c r="Y1287" s="112"/>
      <c r="Z1287" s="112"/>
      <c r="AA1287" s="112"/>
      <c r="AB1287" s="112"/>
      <c r="AC1287" s="112"/>
      <c r="AD1287" s="112"/>
      <c r="AE1287" s="112"/>
      <c r="AF1287" s="112"/>
      <c r="AG1287" s="112"/>
      <c r="AH1287" s="112"/>
      <c r="AI1287" s="112"/>
      <c r="AJ1287" s="112"/>
      <c r="AK1287" s="112"/>
      <c r="AL1287" s="112"/>
    </row>
    <row r="1288" spans="1:38" s="311" customFormat="1" ht="24.75" customHeight="1">
      <c r="A1288" s="749"/>
      <c r="B1288" s="250" t="s">
        <v>432</v>
      </c>
      <c r="C1288" s="35" t="s">
        <v>427</v>
      </c>
      <c r="D1288" s="107">
        <v>0.15</v>
      </c>
      <c r="E1288" s="118">
        <v>1097</v>
      </c>
      <c r="F1288" s="118">
        <v>460</v>
      </c>
      <c r="G1288" s="107">
        <f t="shared" si="46"/>
        <v>0.41932543299908842</v>
      </c>
      <c r="H1288" s="111" t="s">
        <v>554</v>
      </c>
      <c r="J1288" s="112"/>
      <c r="K1288" s="112"/>
      <c r="L1288" s="112"/>
      <c r="M1288" s="112"/>
      <c r="N1288" s="112"/>
      <c r="O1288" s="112"/>
      <c r="P1288" s="112"/>
      <c r="Q1288" s="112"/>
      <c r="R1288" s="112"/>
      <c r="S1288" s="112"/>
      <c r="T1288" s="112"/>
      <c r="U1288" s="112"/>
      <c r="V1288" s="112"/>
      <c r="W1288" s="112"/>
      <c r="X1288" s="112"/>
      <c r="Y1288" s="112"/>
      <c r="Z1288" s="112"/>
      <c r="AA1288" s="112"/>
      <c r="AB1288" s="112"/>
      <c r="AC1288" s="112"/>
      <c r="AD1288" s="112"/>
      <c r="AE1288" s="112"/>
      <c r="AF1288" s="112"/>
      <c r="AG1288" s="112"/>
      <c r="AH1288" s="112"/>
      <c r="AI1288" s="112"/>
      <c r="AJ1288" s="112"/>
      <c r="AK1288" s="112"/>
      <c r="AL1288" s="112"/>
    </row>
    <row r="1289" spans="1:38" s="311" customFormat="1" ht="24.75" customHeight="1">
      <c r="A1289" s="750"/>
      <c r="B1289" s="250" t="s">
        <v>433</v>
      </c>
      <c r="C1289" s="35" t="s">
        <v>427</v>
      </c>
      <c r="D1289" s="107">
        <v>0.1</v>
      </c>
      <c r="E1289" s="107">
        <v>1</v>
      </c>
      <c r="F1289" s="143">
        <v>1</v>
      </c>
      <c r="G1289" s="107">
        <f t="shared" si="46"/>
        <v>1</v>
      </c>
      <c r="H1289" s="111" t="s">
        <v>560</v>
      </c>
      <c r="J1289" s="112"/>
      <c r="K1289" s="112"/>
      <c r="L1289" s="112"/>
      <c r="M1289" s="112"/>
      <c r="N1289" s="112"/>
      <c r="O1289" s="112"/>
      <c r="P1289" s="112"/>
      <c r="Q1289" s="112"/>
      <c r="R1289" s="112"/>
      <c r="S1289" s="112"/>
      <c r="T1289" s="112"/>
      <c r="U1289" s="112"/>
      <c r="V1289" s="112"/>
      <c r="W1289" s="112"/>
      <c r="X1289" s="112"/>
      <c r="Y1289" s="112"/>
      <c r="Z1289" s="112"/>
      <c r="AA1289" s="112"/>
      <c r="AB1289" s="112"/>
      <c r="AC1289" s="112"/>
      <c r="AD1289" s="112"/>
      <c r="AE1289" s="112"/>
      <c r="AF1289" s="112"/>
      <c r="AG1289" s="112"/>
      <c r="AH1289" s="112"/>
      <c r="AI1289" s="112"/>
      <c r="AJ1289" s="112"/>
      <c r="AK1289" s="112"/>
      <c r="AL1289" s="112"/>
    </row>
    <row r="1290" spans="1:38" s="311" customFormat="1" ht="24.75" customHeight="1">
      <c r="A1290" s="748" t="s">
        <v>140</v>
      </c>
      <c r="B1290" s="250" t="s">
        <v>426</v>
      </c>
      <c r="C1290" s="35" t="s">
        <v>427</v>
      </c>
      <c r="D1290" s="107">
        <v>0.15</v>
      </c>
      <c r="E1290" s="251">
        <v>20</v>
      </c>
      <c r="F1290" s="251">
        <v>20</v>
      </c>
      <c r="G1290" s="107">
        <f>F1290/E1290</f>
        <v>1</v>
      </c>
      <c r="H1290" s="111" t="s">
        <v>568</v>
      </c>
      <c r="J1290" s="112"/>
      <c r="K1290" s="112"/>
      <c r="L1290" s="112"/>
      <c r="M1290" s="112"/>
      <c r="N1290" s="112"/>
      <c r="O1290" s="112"/>
      <c r="P1290" s="112"/>
      <c r="Q1290" s="112"/>
      <c r="R1290" s="112"/>
      <c r="S1290" s="112"/>
      <c r="T1290" s="112"/>
      <c r="U1290" s="112"/>
      <c r="V1290" s="112"/>
      <c r="W1290" s="112"/>
      <c r="X1290" s="112"/>
      <c r="Y1290" s="112"/>
      <c r="Z1290" s="112"/>
      <c r="AA1290" s="112"/>
      <c r="AB1290" s="112"/>
      <c r="AC1290" s="112"/>
      <c r="AD1290" s="112"/>
      <c r="AE1290" s="112"/>
      <c r="AF1290" s="112"/>
      <c r="AG1290" s="112"/>
      <c r="AH1290" s="112"/>
      <c r="AI1290" s="112"/>
      <c r="AJ1290" s="112"/>
      <c r="AK1290" s="112"/>
      <c r="AL1290" s="112"/>
    </row>
    <row r="1291" spans="1:38" s="311" customFormat="1" ht="24.75" customHeight="1">
      <c r="A1291" s="749"/>
      <c r="B1291" s="250" t="s">
        <v>428</v>
      </c>
      <c r="C1291" s="35" t="s">
        <v>427</v>
      </c>
      <c r="D1291" s="107">
        <v>0.15</v>
      </c>
      <c r="E1291" s="118">
        <v>6</v>
      </c>
      <c r="F1291" s="118">
        <v>3</v>
      </c>
      <c r="G1291" s="107">
        <f t="shared" ref="G1291:G1296" si="47">F1291/E1291</f>
        <v>0.5</v>
      </c>
      <c r="H1291" s="111" t="s">
        <v>564</v>
      </c>
      <c r="J1291" s="112"/>
      <c r="K1291" s="112"/>
      <c r="L1291" s="112"/>
      <c r="M1291" s="112"/>
      <c r="N1291" s="112"/>
      <c r="O1291" s="112"/>
      <c r="P1291" s="112"/>
      <c r="Q1291" s="112"/>
      <c r="R1291" s="112"/>
      <c r="S1291" s="112"/>
      <c r="T1291" s="112"/>
      <c r="U1291" s="112"/>
      <c r="V1291" s="112"/>
      <c r="W1291" s="112"/>
      <c r="X1291" s="112"/>
      <c r="Y1291" s="112"/>
      <c r="Z1291" s="112"/>
      <c r="AA1291" s="112"/>
      <c r="AB1291" s="112"/>
      <c r="AC1291" s="112"/>
      <c r="AD1291" s="112"/>
      <c r="AE1291" s="112"/>
      <c r="AF1291" s="112"/>
      <c r="AG1291" s="112"/>
      <c r="AH1291" s="112"/>
      <c r="AI1291" s="112"/>
      <c r="AJ1291" s="112"/>
      <c r="AK1291" s="112"/>
      <c r="AL1291" s="112"/>
    </row>
    <row r="1292" spans="1:38" s="311" customFormat="1" ht="24.75" customHeight="1">
      <c r="A1292" s="749"/>
      <c r="B1292" s="250" t="s">
        <v>429</v>
      </c>
      <c r="C1292" s="35" t="s">
        <v>427</v>
      </c>
      <c r="D1292" s="107">
        <v>0.15</v>
      </c>
      <c r="E1292" s="118">
        <v>2</v>
      </c>
      <c r="F1292" s="118">
        <v>1</v>
      </c>
      <c r="G1292" s="107">
        <f t="shared" si="47"/>
        <v>0.5</v>
      </c>
      <c r="H1292" s="111" t="s">
        <v>567</v>
      </c>
      <c r="J1292" s="112"/>
      <c r="K1292" s="112"/>
      <c r="L1292" s="112"/>
      <c r="M1292" s="112"/>
      <c r="N1292" s="112"/>
      <c r="O1292" s="112"/>
      <c r="P1292" s="112"/>
      <c r="Q1292" s="112"/>
      <c r="R1292" s="112"/>
      <c r="S1292" s="112"/>
      <c r="T1292" s="112"/>
      <c r="U1292" s="112"/>
      <c r="V1292" s="112"/>
      <c r="W1292" s="112"/>
      <c r="X1292" s="112"/>
      <c r="Y1292" s="112"/>
      <c r="Z1292" s="112"/>
      <c r="AA1292" s="112"/>
      <c r="AB1292" s="112"/>
      <c r="AC1292" s="112"/>
      <c r="AD1292" s="112"/>
      <c r="AE1292" s="112"/>
      <c r="AF1292" s="112"/>
      <c r="AG1292" s="112"/>
      <c r="AH1292" s="112"/>
      <c r="AI1292" s="112"/>
      <c r="AJ1292" s="112"/>
      <c r="AK1292" s="112"/>
      <c r="AL1292" s="112"/>
    </row>
    <row r="1293" spans="1:38" s="311" customFormat="1" ht="24.75" customHeight="1">
      <c r="A1293" s="749"/>
      <c r="B1293" s="250" t="s">
        <v>430</v>
      </c>
      <c r="C1293" s="35" t="s">
        <v>427</v>
      </c>
      <c r="D1293" s="107">
        <v>0.15</v>
      </c>
      <c r="E1293" s="251">
        <v>1072</v>
      </c>
      <c r="F1293" s="251">
        <v>579</v>
      </c>
      <c r="G1293" s="107">
        <f t="shared" si="47"/>
        <v>0.54011194029850751</v>
      </c>
      <c r="H1293" s="111" t="s">
        <v>563</v>
      </c>
      <c r="J1293" s="112"/>
      <c r="K1293" s="112"/>
      <c r="L1293" s="112"/>
      <c r="M1293" s="112"/>
      <c r="N1293" s="112"/>
      <c r="O1293" s="112"/>
      <c r="P1293" s="112"/>
      <c r="Q1293" s="112"/>
      <c r="R1293" s="112"/>
      <c r="S1293" s="112"/>
      <c r="T1293" s="112"/>
      <c r="U1293" s="112"/>
      <c r="V1293" s="112"/>
      <c r="W1293" s="112"/>
      <c r="X1293" s="112"/>
      <c r="Y1293" s="112"/>
      <c r="Z1293" s="112"/>
      <c r="AA1293" s="112"/>
      <c r="AB1293" s="112"/>
      <c r="AC1293" s="112"/>
      <c r="AD1293" s="112"/>
      <c r="AE1293" s="112"/>
      <c r="AF1293" s="112"/>
      <c r="AG1293" s="112"/>
      <c r="AH1293" s="112"/>
      <c r="AI1293" s="112"/>
      <c r="AJ1293" s="112"/>
      <c r="AK1293" s="112"/>
      <c r="AL1293" s="112"/>
    </row>
    <row r="1294" spans="1:38" s="311" customFormat="1" ht="24.75" customHeight="1">
      <c r="A1294" s="749"/>
      <c r="B1294" s="250" t="s">
        <v>431</v>
      </c>
      <c r="C1294" s="35" t="s">
        <v>427</v>
      </c>
      <c r="D1294" s="107">
        <v>0.15</v>
      </c>
      <c r="E1294" s="118">
        <v>1</v>
      </c>
      <c r="F1294" s="118">
        <v>1</v>
      </c>
      <c r="G1294" s="107">
        <f t="shared" si="47"/>
        <v>1</v>
      </c>
      <c r="H1294" s="111" t="s">
        <v>566</v>
      </c>
      <c r="J1294" s="112"/>
      <c r="K1294" s="112"/>
      <c r="L1294" s="112"/>
      <c r="M1294" s="112"/>
      <c r="N1294" s="112"/>
      <c r="O1294" s="112"/>
      <c r="P1294" s="112"/>
      <c r="Q1294" s="112"/>
      <c r="R1294" s="112"/>
      <c r="S1294" s="112"/>
      <c r="T1294" s="112"/>
      <c r="U1294" s="112"/>
      <c r="V1294" s="112"/>
      <c r="W1294" s="112"/>
      <c r="X1294" s="112"/>
      <c r="Y1294" s="112"/>
      <c r="Z1294" s="112"/>
      <c r="AA1294" s="112"/>
      <c r="AB1294" s="112"/>
      <c r="AC1294" s="112"/>
      <c r="AD1294" s="112"/>
      <c r="AE1294" s="112"/>
      <c r="AF1294" s="112"/>
      <c r="AG1294" s="112"/>
      <c r="AH1294" s="112"/>
      <c r="AI1294" s="112"/>
      <c r="AJ1294" s="112"/>
      <c r="AK1294" s="112"/>
      <c r="AL1294" s="112"/>
    </row>
    <row r="1295" spans="1:38" s="311" customFormat="1" ht="24.75" customHeight="1">
      <c r="A1295" s="749"/>
      <c r="B1295" s="250" t="s">
        <v>432</v>
      </c>
      <c r="C1295" s="35" t="s">
        <v>427</v>
      </c>
      <c r="D1295" s="107">
        <v>0.15</v>
      </c>
      <c r="E1295" s="118">
        <v>1097</v>
      </c>
      <c r="F1295" s="118">
        <v>547</v>
      </c>
      <c r="G1295" s="107">
        <f t="shared" si="47"/>
        <v>0.49863263445761169</v>
      </c>
      <c r="H1295" s="111" t="s">
        <v>565</v>
      </c>
      <c r="J1295" s="112"/>
      <c r="K1295" s="112"/>
      <c r="L1295" s="112"/>
      <c r="M1295" s="112"/>
      <c r="N1295" s="112"/>
      <c r="O1295" s="112"/>
      <c r="P1295" s="112"/>
      <c r="Q1295" s="112"/>
      <c r="R1295" s="112"/>
      <c r="S1295" s="112"/>
      <c r="T1295" s="112"/>
      <c r="U1295" s="112"/>
      <c r="V1295" s="112"/>
      <c r="W1295" s="112"/>
      <c r="X1295" s="112"/>
      <c r="Y1295" s="112"/>
      <c r="Z1295" s="112"/>
      <c r="AA1295" s="112"/>
      <c r="AB1295" s="112"/>
      <c r="AC1295" s="112"/>
      <c r="AD1295" s="112"/>
      <c r="AE1295" s="112"/>
      <c r="AF1295" s="112"/>
      <c r="AG1295" s="112"/>
      <c r="AH1295" s="112"/>
      <c r="AI1295" s="112"/>
      <c r="AJ1295" s="112"/>
      <c r="AK1295" s="112"/>
      <c r="AL1295" s="112"/>
    </row>
    <row r="1296" spans="1:38" s="311" customFormat="1" ht="24.75" customHeight="1">
      <c r="A1296" s="750"/>
      <c r="B1296" s="250" t="s">
        <v>433</v>
      </c>
      <c r="C1296" s="35" t="s">
        <v>427</v>
      </c>
      <c r="D1296" s="107">
        <v>0.1</v>
      </c>
      <c r="E1296" s="107">
        <v>1</v>
      </c>
      <c r="F1296" s="143">
        <v>1</v>
      </c>
      <c r="G1296" s="107">
        <f t="shared" si="47"/>
        <v>1</v>
      </c>
      <c r="H1296" s="111" t="s">
        <v>562</v>
      </c>
      <c r="J1296" s="112"/>
      <c r="K1296" s="112"/>
      <c r="L1296" s="112"/>
      <c r="M1296" s="112"/>
      <c r="N1296" s="112"/>
      <c r="O1296" s="112"/>
      <c r="P1296" s="112"/>
      <c r="Q1296" s="112"/>
      <c r="R1296" s="112"/>
      <c r="S1296" s="112"/>
      <c r="T1296" s="112"/>
      <c r="U1296" s="112"/>
      <c r="V1296" s="112"/>
      <c r="W1296" s="112"/>
      <c r="X1296" s="112"/>
      <c r="Y1296" s="112"/>
      <c r="Z1296" s="112"/>
      <c r="AA1296" s="112"/>
      <c r="AB1296" s="112"/>
      <c r="AC1296" s="112"/>
      <c r="AD1296" s="112"/>
      <c r="AE1296" s="112"/>
      <c r="AF1296" s="112"/>
      <c r="AG1296" s="112"/>
      <c r="AH1296" s="112"/>
      <c r="AI1296" s="112"/>
      <c r="AJ1296" s="112"/>
      <c r="AK1296" s="112"/>
      <c r="AL1296" s="112"/>
    </row>
    <row r="1297" spans="1:38" s="311" customFormat="1" ht="24.75" customHeight="1">
      <c r="A1297" s="748" t="s">
        <v>128</v>
      </c>
      <c r="B1297" s="250" t="s">
        <v>426</v>
      </c>
      <c r="C1297" s="35" t="s">
        <v>427</v>
      </c>
      <c r="D1297" s="107">
        <v>0.15</v>
      </c>
      <c r="E1297" s="251">
        <v>20</v>
      </c>
      <c r="F1297" s="251">
        <v>20</v>
      </c>
      <c r="G1297" s="107">
        <f>F1297/E1297</f>
        <v>1</v>
      </c>
      <c r="H1297" s="111" t="s">
        <v>572</v>
      </c>
      <c r="J1297" s="112"/>
      <c r="K1297" s="112"/>
      <c r="L1297" s="112"/>
      <c r="M1297" s="112"/>
      <c r="N1297" s="112"/>
      <c r="O1297" s="112"/>
      <c r="P1297" s="112"/>
      <c r="Q1297" s="112"/>
      <c r="R1297" s="112"/>
      <c r="S1297" s="112"/>
      <c r="T1297" s="112"/>
      <c r="U1297" s="112"/>
      <c r="V1297" s="112"/>
      <c r="W1297" s="112"/>
      <c r="X1297" s="112"/>
      <c r="Y1297" s="112"/>
      <c r="Z1297" s="112"/>
      <c r="AA1297" s="112"/>
      <c r="AB1297" s="112"/>
      <c r="AC1297" s="112"/>
      <c r="AD1297" s="112"/>
      <c r="AE1297" s="112"/>
      <c r="AF1297" s="112"/>
      <c r="AG1297" s="112"/>
      <c r="AH1297" s="112"/>
      <c r="AI1297" s="112"/>
      <c r="AJ1297" s="112"/>
      <c r="AK1297" s="112"/>
      <c r="AL1297" s="112"/>
    </row>
    <row r="1298" spans="1:38" s="311" customFormat="1" ht="24.75" customHeight="1">
      <c r="A1298" s="749"/>
      <c r="B1298" s="250" t="s">
        <v>428</v>
      </c>
      <c r="C1298" s="35" t="s">
        <v>427</v>
      </c>
      <c r="D1298" s="107">
        <v>0.15</v>
      </c>
      <c r="E1298" s="118">
        <v>6</v>
      </c>
      <c r="F1298" s="118">
        <v>3.3</v>
      </c>
      <c r="G1298" s="107">
        <f t="shared" ref="G1298:G1303" si="48">F1298/E1298</f>
        <v>0.54999999999999993</v>
      </c>
      <c r="H1298" s="111" t="s">
        <v>573</v>
      </c>
      <c r="J1298" s="112"/>
      <c r="K1298" s="112"/>
      <c r="L1298" s="112"/>
      <c r="M1298" s="112"/>
      <c r="N1298" s="112"/>
      <c r="O1298" s="112"/>
      <c r="P1298" s="112"/>
      <c r="Q1298" s="112"/>
      <c r="R1298" s="112"/>
      <c r="S1298" s="112"/>
      <c r="T1298" s="112"/>
      <c r="U1298" s="112"/>
      <c r="V1298" s="112"/>
      <c r="W1298" s="112"/>
      <c r="X1298" s="112"/>
      <c r="Y1298" s="112"/>
      <c r="Z1298" s="112"/>
      <c r="AA1298" s="112"/>
      <c r="AB1298" s="112"/>
      <c r="AC1298" s="112"/>
      <c r="AD1298" s="112"/>
      <c r="AE1298" s="112"/>
      <c r="AF1298" s="112"/>
      <c r="AG1298" s="112"/>
      <c r="AH1298" s="112"/>
      <c r="AI1298" s="112"/>
      <c r="AJ1298" s="112"/>
      <c r="AK1298" s="112"/>
      <c r="AL1298" s="112"/>
    </row>
    <row r="1299" spans="1:38" s="311" customFormat="1" ht="24.75" customHeight="1">
      <c r="A1299" s="749"/>
      <c r="B1299" s="250" t="s">
        <v>429</v>
      </c>
      <c r="C1299" s="35" t="s">
        <v>427</v>
      </c>
      <c r="D1299" s="107">
        <v>0.15</v>
      </c>
      <c r="E1299" s="118">
        <v>2</v>
      </c>
      <c r="F1299" s="118">
        <v>1.17</v>
      </c>
      <c r="G1299" s="107">
        <f t="shared" si="48"/>
        <v>0.58499999999999996</v>
      </c>
      <c r="H1299" s="111" t="s">
        <v>574</v>
      </c>
      <c r="J1299" s="112"/>
      <c r="K1299" s="112"/>
      <c r="L1299" s="112"/>
      <c r="M1299" s="112"/>
      <c r="N1299" s="112"/>
      <c r="O1299" s="112"/>
      <c r="P1299" s="112"/>
      <c r="Q1299" s="112"/>
      <c r="R1299" s="112"/>
      <c r="S1299" s="112"/>
      <c r="T1299" s="112"/>
      <c r="U1299" s="112"/>
      <c r="V1299" s="112"/>
      <c r="W1299" s="112"/>
      <c r="X1299" s="112"/>
      <c r="Y1299" s="112"/>
      <c r="Z1299" s="112"/>
      <c r="AA1299" s="112"/>
      <c r="AB1299" s="112"/>
      <c r="AC1299" s="112"/>
      <c r="AD1299" s="112"/>
      <c r="AE1299" s="112"/>
      <c r="AF1299" s="112"/>
      <c r="AG1299" s="112"/>
      <c r="AH1299" s="112"/>
      <c r="AI1299" s="112"/>
      <c r="AJ1299" s="112"/>
      <c r="AK1299" s="112"/>
      <c r="AL1299" s="112"/>
    </row>
    <row r="1300" spans="1:38" s="311" customFormat="1" ht="24.75" customHeight="1">
      <c r="A1300" s="749"/>
      <c r="B1300" s="250" t="s">
        <v>430</v>
      </c>
      <c r="C1300" s="35" t="s">
        <v>427</v>
      </c>
      <c r="D1300" s="107">
        <v>0.15</v>
      </c>
      <c r="E1300" s="251">
        <v>1072</v>
      </c>
      <c r="F1300" s="251">
        <v>699</v>
      </c>
      <c r="G1300" s="107">
        <f t="shared" si="48"/>
        <v>0.65205223880597019</v>
      </c>
      <c r="H1300" s="111" t="s">
        <v>570</v>
      </c>
      <c r="J1300" s="112"/>
      <c r="K1300" s="112"/>
      <c r="L1300" s="112"/>
      <c r="M1300" s="112"/>
      <c r="N1300" s="112"/>
      <c r="O1300" s="112"/>
      <c r="P1300" s="112"/>
      <c r="Q1300" s="112"/>
      <c r="R1300" s="112"/>
      <c r="S1300" s="112"/>
      <c r="T1300" s="112"/>
      <c r="U1300" s="112"/>
      <c r="V1300" s="112"/>
      <c r="W1300" s="112"/>
      <c r="X1300" s="112"/>
      <c r="Y1300" s="112"/>
      <c r="Z1300" s="112"/>
      <c r="AA1300" s="112"/>
      <c r="AB1300" s="112"/>
      <c r="AC1300" s="112"/>
      <c r="AD1300" s="112"/>
      <c r="AE1300" s="112"/>
      <c r="AF1300" s="112"/>
      <c r="AG1300" s="112"/>
      <c r="AH1300" s="112"/>
      <c r="AI1300" s="112"/>
      <c r="AJ1300" s="112"/>
      <c r="AK1300" s="112"/>
      <c r="AL1300" s="112"/>
    </row>
    <row r="1301" spans="1:38" s="311" customFormat="1" ht="24.75" customHeight="1">
      <c r="A1301" s="749"/>
      <c r="B1301" s="250" t="s">
        <v>431</v>
      </c>
      <c r="C1301" s="35" t="s">
        <v>427</v>
      </c>
      <c r="D1301" s="107">
        <v>0.15</v>
      </c>
      <c r="E1301" s="118">
        <v>1</v>
      </c>
      <c r="F1301" s="118">
        <v>1</v>
      </c>
      <c r="G1301" s="107">
        <f t="shared" si="48"/>
        <v>1</v>
      </c>
      <c r="H1301" s="111" t="s">
        <v>571</v>
      </c>
      <c r="J1301" s="112"/>
      <c r="K1301" s="112"/>
      <c r="L1301" s="112"/>
      <c r="M1301" s="112"/>
      <c r="N1301" s="112"/>
      <c r="O1301" s="112"/>
      <c r="P1301" s="112"/>
      <c r="Q1301" s="112"/>
      <c r="R1301" s="112"/>
      <c r="S1301" s="112"/>
      <c r="T1301" s="112"/>
      <c r="U1301" s="112"/>
      <c r="V1301" s="112"/>
      <c r="W1301" s="112"/>
      <c r="X1301" s="112"/>
      <c r="Y1301" s="112"/>
      <c r="Z1301" s="112"/>
      <c r="AA1301" s="112"/>
      <c r="AB1301" s="112"/>
      <c r="AC1301" s="112"/>
      <c r="AD1301" s="112"/>
      <c r="AE1301" s="112"/>
      <c r="AF1301" s="112"/>
      <c r="AG1301" s="112"/>
      <c r="AH1301" s="112"/>
      <c r="AI1301" s="112"/>
      <c r="AJ1301" s="112"/>
      <c r="AK1301" s="112"/>
      <c r="AL1301" s="112"/>
    </row>
    <row r="1302" spans="1:38" s="311" customFormat="1" ht="24.75" customHeight="1">
      <c r="A1302" s="749"/>
      <c r="B1302" s="250" t="s">
        <v>432</v>
      </c>
      <c r="C1302" s="35" t="s">
        <v>427</v>
      </c>
      <c r="D1302" s="107">
        <v>0.15</v>
      </c>
      <c r="E1302" s="118">
        <v>1097</v>
      </c>
      <c r="F1302" s="118">
        <v>612</v>
      </c>
      <c r="G1302" s="107">
        <f t="shared" si="48"/>
        <v>0.55788514129443934</v>
      </c>
      <c r="H1302" s="111" t="s">
        <v>569</v>
      </c>
      <c r="J1302" s="112"/>
      <c r="K1302" s="112"/>
      <c r="L1302" s="112"/>
      <c r="M1302" s="112"/>
      <c r="N1302" s="112"/>
      <c r="O1302" s="112"/>
      <c r="P1302" s="112"/>
      <c r="Q1302" s="112"/>
      <c r="R1302" s="112"/>
      <c r="S1302" s="112"/>
      <c r="T1302" s="112"/>
      <c r="U1302" s="112"/>
      <c r="V1302" s="112"/>
      <c r="W1302" s="112"/>
      <c r="X1302" s="112"/>
      <c r="Y1302" s="112"/>
      <c r="Z1302" s="112"/>
      <c r="AA1302" s="112"/>
      <c r="AB1302" s="112"/>
      <c r="AC1302" s="112"/>
      <c r="AD1302" s="112"/>
      <c r="AE1302" s="112"/>
      <c r="AF1302" s="112"/>
      <c r="AG1302" s="112"/>
      <c r="AH1302" s="112"/>
      <c r="AI1302" s="112"/>
      <c r="AJ1302" s="112"/>
      <c r="AK1302" s="112"/>
      <c r="AL1302" s="112"/>
    </row>
    <row r="1303" spans="1:38" s="311" customFormat="1" ht="24.75" customHeight="1">
      <c r="A1303" s="750"/>
      <c r="B1303" s="250" t="s">
        <v>433</v>
      </c>
      <c r="C1303" s="35" t="s">
        <v>427</v>
      </c>
      <c r="D1303" s="107">
        <v>0.1</v>
      </c>
      <c r="E1303" s="107">
        <v>1</v>
      </c>
      <c r="F1303" s="143">
        <v>1</v>
      </c>
      <c r="G1303" s="107">
        <f t="shared" si="48"/>
        <v>1</v>
      </c>
      <c r="H1303" s="111" t="s">
        <v>575</v>
      </c>
      <c r="J1303" s="112"/>
      <c r="K1303" s="112"/>
      <c r="L1303" s="112"/>
      <c r="M1303" s="112"/>
      <c r="N1303" s="112"/>
      <c r="O1303" s="112"/>
      <c r="P1303" s="112"/>
      <c r="Q1303" s="112"/>
      <c r="R1303" s="112"/>
      <c r="S1303" s="112"/>
      <c r="T1303" s="112"/>
      <c r="U1303" s="112"/>
      <c r="V1303" s="112"/>
      <c r="W1303" s="112"/>
      <c r="X1303" s="112"/>
      <c r="Y1303" s="112"/>
      <c r="Z1303" s="112"/>
      <c r="AA1303" s="112"/>
      <c r="AB1303" s="112"/>
      <c r="AC1303" s="112"/>
      <c r="AD1303" s="112"/>
      <c r="AE1303" s="112"/>
      <c r="AF1303" s="112"/>
      <c r="AG1303" s="112"/>
      <c r="AH1303" s="112"/>
      <c r="AI1303" s="112"/>
      <c r="AJ1303" s="112"/>
      <c r="AK1303" s="112"/>
      <c r="AL1303" s="112"/>
    </row>
    <row r="1304" spans="1:38" s="311" customFormat="1" ht="24.75" customHeight="1">
      <c r="A1304" s="748" t="s">
        <v>129</v>
      </c>
      <c r="B1304" s="250" t="s">
        <v>426</v>
      </c>
      <c r="C1304" s="35" t="s">
        <v>427</v>
      </c>
      <c r="D1304" s="107">
        <v>0.15</v>
      </c>
      <c r="E1304" s="251">
        <v>20</v>
      </c>
      <c r="F1304" s="251">
        <v>20</v>
      </c>
      <c r="G1304" s="107">
        <f>F1304/E1304</f>
        <v>1</v>
      </c>
      <c r="H1304" s="116" t="s">
        <v>582</v>
      </c>
      <c r="J1304" s="112"/>
      <c r="K1304" s="112"/>
      <c r="L1304" s="112"/>
      <c r="M1304" s="112"/>
      <c r="N1304" s="112"/>
      <c r="O1304" s="112"/>
      <c r="P1304" s="112"/>
      <c r="Q1304" s="112"/>
      <c r="R1304" s="112"/>
      <c r="S1304" s="112"/>
      <c r="T1304" s="112"/>
      <c r="U1304" s="112"/>
      <c r="V1304" s="112"/>
      <c r="W1304" s="112"/>
      <c r="X1304" s="112"/>
      <c r="Y1304" s="112"/>
      <c r="Z1304" s="112"/>
      <c r="AA1304" s="112"/>
      <c r="AB1304" s="112"/>
      <c r="AC1304" s="112"/>
      <c r="AD1304" s="112"/>
      <c r="AE1304" s="112"/>
      <c r="AF1304" s="112"/>
      <c r="AG1304" s="112"/>
      <c r="AH1304" s="112"/>
      <c r="AI1304" s="112"/>
      <c r="AJ1304" s="112"/>
      <c r="AK1304" s="112"/>
      <c r="AL1304" s="112"/>
    </row>
    <row r="1305" spans="1:38" s="311" customFormat="1" ht="24.75" customHeight="1">
      <c r="A1305" s="749"/>
      <c r="B1305" s="250" t="s">
        <v>428</v>
      </c>
      <c r="C1305" s="35" t="s">
        <v>427</v>
      </c>
      <c r="D1305" s="107">
        <v>0.15</v>
      </c>
      <c r="E1305" s="118">
        <v>6</v>
      </c>
      <c r="F1305" s="118"/>
      <c r="G1305" s="107">
        <f t="shared" ref="G1305:G1310" si="49">F1305/E1305</f>
        <v>0</v>
      </c>
      <c r="H1305" s="116" t="s">
        <v>578</v>
      </c>
      <c r="J1305" s="112"/>
      <c r="K1305" s="112"/>
      <c r="L1305" s="112"/>
      <c r="M1305" s="112"/>
      <c r="N1305" s="112"/>
      <c r="O1305" s="112"/>
      <c r="P1305" s="112"/>
      <c r="Q1305" s="112"/>
      <c r="R1305" s="112"/>
      <c r="S1305" s="112"/>
      <c r="T1305" s="112"/>
      <c r="U1305" s="112"/>
      <c r="V1305" s="112"/>
      <c r="W1305" s="112"/>
      <c r="X1305" s="112"/>
      <c r="Y1305" s="112"/>
      <c r="Z1305" s="112"/>
      <c r="AA1305" s="112"/>
      <c r="AB1305" s="112"/>
      <c r="AC1305" s="112"/>
      <c r="AD1305" s="112"/>
      <c r="AE1305" s="112"/>
      <c r="AF1305" s="112"/>
      <c r="AG1305" s="112"/>
      <c r="AH1305" s="112"/>
      <c r="AI1305" s="112"/>
      <c r="AJ1305" s="112"/>
      <c r="AK1305" s="112"/>
      <c r="AL1305" s="112"/>
    </row>
    <row r="1306" spans="1:38" s="311" customFormat="1" ht="24.75" customHeight="1">
      <c r="A1306" s="749"/>
      <c r="B1306" s="250" t="s">
        <v>429</v>
      </c>
      <c r="C1306" s="35" t="s">
        <v>427</v>
      </c>
      <c r="D1306" s="107">
        <v>0.15</v>
      </c>
      <c r="E1306" s="118">
        <v>2</v>
      </c>
      <c r="F1306" s="118"/>
      <c r="G1306" s="107">
        <f t="shared" si="49"/>
        <v>0</v>
      </c>
      <c r="H1306" s="116" t="s">
        <v>581</v>
      </c>
      <c r="J1306" s="112"/>
      <c r="K1306" s="112"/>
      <c r="L1306" s="112"/>
      <c r="M1306" s="112"/>
      <c r="N1306" s="112"/>
      <c r="O1306" s="112"/>
      <c r="P1306" s="112"/>
      <c r="Q1306" s="112"/>
      <c r="R1306" s="112"/>
      <c r="S1306" s="112"/>
      <c r="T1306" s="112"/>
      <c r="U1306" s="112"/>
      <c r="V1306" s="112"/>
      <c r="W1306" s="112"/>
      <c r="X1306" s="112"/>
      <c r="Y1306" s="112"/>
      <c r="Z1306" s="112"/>
      <c r="AA1306" s="112"/>
      <c r="AB1306" s="112"/>
      <c r="AC1306" s="112"/>
      <c r="AD1306" s="112"/>
      <c r="AE1306" s="112"/>
      <c r="AF1306" s="112"/>
      <c r="AG1306" s="112"/>
      <c r="AH1306" s="112"/>
      <c r="AI1306" s="112"/>
      <c r="AJ1306" s="112"/>
      <c r="AK1306" s="112"/>
      <c r="AL1306" s="112"/>
    </row>
    <row r="1307" spans="1:38" s="311" customFormat="1" ht="24.75" customHeight="1">
      <c r="A1307" s="749"/>
      <c r="B1307" s="250" t="s">
        <v>430</v>
      </c>
      <c r="C1307" s="35" t="s">
        <v>427</v>
      </c>
      <c r="D1307" s="107">
        <v>0.15</v>
      </c>
      <c r="E1307" s="251">
        <v>1072</v>
      </c>
      <c r="F1307" s="251"/>
      <c r="G1307" s="107">
        <f t="shared" si="49"/>
        <v>0</v>
      </c>
      <c r="H1307" s="116" t="s">
        <v>577</v>
      </c>
      <c r="J1307" s="112"/>
      <c r="K1307" s="112"/>
      <c r="L1307" s="112"/>
      <c r="M1307" s="112"/>
      <c r="N1307" s="112"/>
      <c r="O1307" s="112"/>
      <c r="P1307" s="112"/>
      <c r="Q1307" s="112"/>
      <c r="R1307" s="112"/>
      <c r="S1307" s="112"/>
      <c r="T1307" s="112"/>
      <c r="U1307" s="112"/>
      <c r="V1307" s="112"/>
      <c r="W1307" s="112"/>
      <c r="X1307" s="112"/>
      <c r="Y1307" s="112"/>
      <c r="Z1307" s="112"/>
      <c r="AA1307" s="112"/>
      <c r="AB1307" s="112"/>
      <c r="AC1307" s="112"/>
      <c r="AD1307" s="112"/>
      <c r="AE1307" s="112"/>
      <c r="AF1307" s="112"/>
      <c r="AG1307" s="112"/>
      <c r="AH1307" s="112"/>
      <c r="AI1307" s="112"/>
      <c r="AJ1307" s="112"/>
      <c r="AK1307" s="112"/>
      <c r="AL1307" s="112"/>
    </row>
    <row r="1308" spans="1:38" s="311" customFormat="1" ht="24.75" customHeight="1">
      <c r="A1308" s="749"/>
      <c r="B1308" s="250" t="s">
        <v>431</v>
      </c>
      <c r="C1308" s="35" t="s">
        <v>427</v>
      </c>
      <c r="D1308" s="107">
        <v>0.15</v>
      </c>
      <c r="E1308" s="118">
        <v>1</v>
      </c>
      <c r="F1308" s="118">
        <v>1</v>
      </c>
      <c r="G1308" s="107">
        <f t="shared" si="49"/>
        <v>1</v>
      </c>
      <c r="H1308" s="116" t="s">
        <v>579</v>
      </c>
      <c r="J1308" s="112"/>
      <c r="K1308" s="112"/>
      <c r="L1308" s="112"/>
      <c r="M1308" s="112"/>
      <c r="N1308" s="112"/>
      <c r="O1308" s="112"/>
      <c r="P1308" s="112"/>
      <c r="Q1308" s="112"/>
      <c r="R1308" s="112"/>
      <c r="S1308" s="112"/>
      <c r="T1308" s="112"/>
      <c r="U1308" s="112"/>
      <c r="V1308" s="112"/>
      <c r="W1308" s="112"/>
      <c r="X1308" s="112"/>
      <c r="Y1308" s="112"/>
      <c r="Z1308" s="112"/>
      <c r="AA1308" s="112"/>
      <c r="AB1308" s="112"/>
      <c r="AC1308" s="112"/>
      <c r="AD1308" s="112"/>
      <c r="AE1308" s="112"/>
      <c r="AF1308" s="112"/>
      <c r="AG1308" s="112"/>
      <c r="AH1308" s="112"/>
      <c r="AI1308" s="112"/>
      <c r="AJ1308" s="112"/>
      <c r="AK1308" s="112"/>
      <c r="AL1308" s="112"/>
    </row>
    <row r="1309" spans="1:38" s="311" customFormat="1" ht="24.75" customHeight="1">
      <c r="A1309" s="749"/>
      <c r="B1309" s="250" t="s">
        <v>432</v>
      </c>
      <c r="C1309" s="35" t="s">
        <v>427</v>
      </c>
      <c r="D1309" s="107">
        <v>0.15</v>
      </c>
      <c r="E1309" s="118">
        <v>1097</v>
      </c>
      <c r="F1309" s="118"/>
      <c r="G1309" s="107">
        <f t="shared" si="49"/>
        <v>0</v>
      </c>
      <c r="H1309" s="116" t="s">
        <v>576</v>
      </c>
      <c r="J1309" s="112"/>
      <c r="K1309" s="112"/>
      <c r="L1309" s="112"/>
      <c r="M1309" s="112"/>
      <c r="N1309" s="112"/>
      <c r="O1309" s="112"/>
      <c r="P1309" s="112"/>
      <c r="Q1309" s="112"/>
      <c r="R1309" s="112"/>
      <c r="S1309" s="112"/>
      <c r="T1309" s="112"/>
      <c r="U1309" s="112"/>
      <c r="V1309" s="112"/>
      <c r="W1309" s="112"/>
      <c r="X1309" s="112"/>
      <c r="Y1309" s="112"/>
      <c r="Z1309" s="112"/>
      <c r="AA1309" s="112"/>
      <c r="AB1309" s="112"/>
      <c r="AC1309" s="112"/>
      <c r="AD1309" s="112"/>
      <c r="AE1309" s="112"/>
      <c r="AF1309" s="112"/>
      <c r="AG1309" s="112"/>
      <c r="AH1309" s="112"/>
      <c r="AI1309" s="112"/>
      <c r="AJ1309" s="112"/>
      <c r="AK1309" s="112"/>
      <c r="AL1309" s="112"/>
    </row>
    <row r="1310" spans="1:38" s="311" customFormat="1" ht="24.75" customHeight="1">
      <c r="A1310" s="750"/>
      <c r="B1310" s="250" t="s">
        <v>433</v>
      </c>
      <c r="C1310" s="35" t="s">
        <v>427</v>
      </c>
      <c r="D1310" s="107">
        <v>0.1</v>
      </c>
      <c r="E1310" s="107">
        <v>1</v>
      </c>
      <c r="F1310" s="143">
        <v>1</v>
      </c>
      <c r="G1310" s="107">
        <f t="shared" si="49"/>
        <v>1</v>
      </c>
      <c r="H1310" s="116" t="s">
        <v>580</v>
      </c>
      <c r="J1310" s="112"/>
      <c r="K1310" s="112"/>
      <c r="L1310" s="112"/>
      <c r="M1310" s="112"/>
      <c r="N1310" s="112"/>
      <c r="O1310" s="112"/>
      <c r="P1310" s="112"/>
      <c r="Q1310" s="112"/>
      <c r="R1310" s="112"/>
      <c r="S1310" s="112"/>
      <c r="T1310" s="112"/>
      <c r="U1310" s="112"/>
      <c r="V1310" s="112"/>
      <c r="W1310" s="112"/>
      <c r="X1310" s="112"/>
      <c r="Y1310" s="112"/>
      <c r="Z1310" s="112"/>
      <c r="AA1310" s="112"/>
      <c r="AB1310" s="112"/>
      <c r="AC1310" s="112"/>
      <c r="AD1310" s="112"/>
      <c r="AE1310" s="112"/>
      <c r="AF1310" s="112"/>
      <c r="AG1310" s="112"/>
      <c r="AH1310" s="112"/>
      <c r="AI1310" s="112"/>
      <c r="AJ1310" s="112"/>
      <c r="AK1310" s="112"/>
      <c r="AL1310" s="112"/>
    </row>
    <row r="1311" spans="1:38" s="311" customFormat="1" ht="24.75" customHeight="1">
      <c r="A1311" s="748" t="s">
        <v>130</v>
      </c>
      <c r="B1311" s="250" t="s">
        <v>426</v>
      </c>
      <c r="C1311" s="35" t="s">
        <v>427</v>
      </c>
      <c r="D1311" s="107">
        <v>0.15</v>
      </c>
      <c r="E1311" s="251">
        <v>20</v>
      </c>
      <c r="F1311" s="251">
        <v>20</v>
      </c>
      <c r="G1311" s="107">
        <f>F1311/E1311</f>
        <v>1</v>
      </c>
      <c r="H1311" s="116" t="s">
        <v>587</v>
      </c>
      <c r="J1311" s="112"/>
      <c r="K1311" s="112"/>
      <c r="L1311" s="112"/>
      <c r="M1311" s="112"/>
      <c r="N1311" s="112"/>
      <c r="O1311" s="112"/>
      <c r="P1311" s="112"/>
      <c r="Q1311" s="112"/>
      <c r="R1311" s="112"/>
      <c r="S1311" s="112"/>
      <c r="T1311" s="112"/>
      <c r="U1311" s="112"/>
      <c r="V1311" s="112"/>
      <c r="W1311" s="112"/>
      <c r="X1311" s="112"/>
      <c r="Y1311" s="112"/>
      <c r="Z1311" s="112"/>
      <c r="AA1311" s="112"/>
      <c r="AB1311" s="112"/>
      <c r="AC1311" s="112"/>
      <c r="AD1311" s="112"/>
      <c r="AE1311" s="112"/>
      <c r="AF1311" s="112"/>
      <c r="AG1311" s="112"/>
      <c r="AH1311" s="112"/>
      <c r="AI1311" s="112"/>
      <c r="AJ1311" s="112"/>
      <c r="AK1311" s="112"/>
      <c r="AL1311" s="112"/>
    </row>
    <row r="1312" spans="1:38" s="311" customFormat="1" ht="24.75" customHeight="1">
      <c r="A1312" s="749"/>
      <c r="B1312" s="250" t="s">
        <v>428</v>
      </c>
      <c r="C1312" s="35" t="s">
        <v>427</v>
      </c>
      <c r="D1312" s="107">
        <v>0.15</v>
      </c>
      <c r="E1312" s="118">
        <v>6</v>
      </c>
      <c r="F1312" s="118">
        <v>4.0999999999999996</v>
      </c>
      <c r="G1312" s="107">
        <f t="shared" ref="G1312:G1317" si="50">F1312/E1312</f>
        <v>0.68333333333333324</v>
      </c>
      <c r="H1312" s="116" t="s">
        <v>586</v>
      </c>
      <c r="J1312" s="112"/>
      <c r="K1312" s="112"/>
      <c r="L1312" s="112"/>
      <c r="M1312" s="112"/>
      <c r="N1312" s="112"/>
      <c r="O1312" s="112"/>
      <c r="P1312" s="112"/>
      <c r="Q1312" s="112"/>
      <c r="R1312" s="112"/>
      <c r="S1312" s="112"/>
      <c r="T1312" s="112"/>
      <c r="U1312" s="112"/>
      <c r="V1312" s="112"/>
      <c r="W1312" s="112"/>
      <c r="X1312" s="112"/>
      <c r="Y1312" s="112"/>
      <c r="Z1312" s="112"/>
      <c r="AA1312" s="112"/>
      <c r="AB1312" s="112"/>
      <c r="AC1312" s="112"/>
      <c r="AD1312" s="112"/>
      <c r="AE1312" s="112"/>
      <c r="AF1312" s="112"/>
      <c r="AG1312" s="112"/>
      <c r="AH1312" s="112"/>
      <c r="AI1312" s="112"/>
      <c r="AJ1312" s="112"/>
      <c r="AK1312" s="112"/>
      <c r="AL1312" s="112"/>
    </row>
    <row r="1313" spans="1:38" s="311" customFormat="1" ht="24.75" customHeight="1">
      <c r="A1313" s="749"/>
      <c r="B1313" s="250" t="s">
        <v>429</v>
      </c>
      <c r="C1313" s="35" t="s">
        <v>427</v>
      </c>
      <c r="D1313" s="107">
        <v>0.15</v>
      </c>
      <c r="E1313" s="118">
        <v>2</v>
      </c>
      <c r="F1313" s="118">
        <v>1.51</v>
      </c>
      <c r="G1313" s="107">
        <f t="shared" si="50"/>
        <v>0.755</v>
      </c>
      <c r="H1313" s="116" t="s">
        <v>588</v>
      </c>
      <c r="J1313" s="112"/>
      <c r="K1313" s="112"/>
      <c r="L1313" s="112"/>
      <c r="M1313" s="112"/>
      <c r="N1313" s="112"/>
      <c r="O1313" s="112"/>
      <c r="P1313" s="112"/>
      <c r="Q1313" s="112"/>
      <c r="R1313" s="112"/>
      <c r="S1313" s="112"/>
      <c r="T1313" s="112"/>
      <c r="U1313" s="112"/>
      <c r="V1313" s="112"/>
      <c r="W1313" s="112"/>
      <c r="X1313" s="112"/>
      <c r="Y1313" s="112"/>
      <c r="Z1313" s="112"/>
      <c r="AA1313" s="112"/>
      <c r="AB1313" s="112"/>
      <c r="AC1313" s="112"/>
      <c r="AD1313" s="112"/>
      <c r="AE1313" s="112"/>
      <c r="AF1313" s="112"/>
      <c r="AG1313" s="112"/>
      <c r="AH1313" s="112"/>
      <c r="AI1313" s="112"/>
      <c r="AJ1313" s="112"/>
      <c r="AK1313" s="112"/>
      <c r="AL1313" s="112"/>
    </row>
    <row r="1314" spans="1:38" s="311" customFormat="1" ht="24.75" customHeight="1">
      <c r="A1314" s="749"/>
      <c r="B1314" s="250" t="s">
        <v>430</v>
      </c>
      <c r="C1314" s="35" t="s">
        <v>427</v>
      </c>
      <c r="D1314" s="107">
        <v>0.15</v>
      </c>
      <c r="E1314" s="251">
        <v>1072</v>
      </c>
      <c r="F1314" s="251">
        <v>1082</v>
      </c>
      <c r="G1314" s="107">
        <f t="shared" si="50"/>
        <v>1.0093283582089552</v>
      </c>
      <c r="H1314" s="116" t="s">
        <v>585</v>
      </c>
      <c r="J1314" s="112"/>
      <c r="K1314" s="112"/>
      <c r="L1314" s="112"/>
      <c r="M1314" s="112"/>
      <c r="N1314" s="112"/>
      <c r="O1314" s="112"/>
      <c r="P1314" s="112"/>
      <c r="Q1314" s="112"/>
      <c r="R1314" s="112"/>
      <c r="S1314" s="112"/>
      <c r="T1314" s="112"/>
      <c r="U1314" s="112"/>
      <c r="V1314" s="112"/>
      <c r="W1314" s="112"/>
      <c r="X1314" s="112"/>
      <c r="Y1314" s="112"/>
      <c r="Z1314" s="112"/>
      <c r="AA1314" s="112"/>
      <c r="AB1314" s="112"/>
      <c r="AC1314" s="112"/>
      <c r="AD1314" s="112"/>
      <c r="AE1314" s="112"/>
      <c r="AF1314" s="112"/>
      <c r="AG1314" s="112"/>
      <c r="AH1314" s="112"/>
      <c r="AI1314" s="112"/>
      <c r="AJ1314" s="112"/>
      <c r="AK1314" s="112"/>
      <c r="AL1314" s="112"/>
    </row>
    <row r="1315" spans="1:38" s="311" customFormat="1" ht="24.75" customHeight="1">
      <c r="A1315" s="749"/>
      <c r="B1315" s="250" t="s">
        <v>431</v>
      </c>
      <c r="C1315" s="35" t="s">
        <v>427</v>
      </c>
      <c r="D1315" s="107">
        <v>0.15</v>
      </c>
      <c r="E1315" s="118">
        <v>1</v>
      </c>
      <c r="F1315" s="118">
        <v>1</v>
      </c>
      <c r="G1315" s="107">
        <f t="shared" si="50"/>
        <v>1</v>
      </c>
      <c r="H1315" s="116" t="s">
        <v>579</v>
      </c>
      <c r="J1315" s="112"/>
      <c r="K1315" s="112"/>
      <c r="L1315" s="112"/>
      <c r="M1315" s="112"/>
      <c r="N1315" s="112"/>
      <c r="O1315" s="112"/>
      <c r="P1315" s="112"/>
      <c r="Q1315" s="112"/>
      <c r="R1315" s="112"/>
      <c r="S1315" s="112"/>
      <c r="T1315" s="112"/>
      <c r="U1315" s="112"/>
      <c r="V1315" s="112"/>
      <c r="W1315" s="112"/>
      <c r="X1315" s="112"/>
      <c r="Y1315" s="112"/>
      <c r="Z1315" s="112"/>
      <c r="AA1315" s="112"/>
      <c r="AB1315" s="112"/>
      <c r="AC1315" s="112"/>
      <c r="AD1315" s="112"/>
      <c r="AE1315" s="112"/>
      <c r="AF1315" s="112"/>
      <c r="AG1315" s="112"/>
      <c r="AH1315" s="112"/>
      <c r="AI1315" s="112"/>
      <c r="AJ1315" s="112"/>
      <c r="AK1315" s="112"/>
      <c r="AL1315" s="112"/>
    </row>
    <row r="1316" spans="1:38" s="311" customFormat="1" ht="24.75" customHeight="1">
      <c r="A1316" s="749"/>
      <c r="B1316" s="250" t="s">
        <v>432</v>
      </c>
      <c r="C1316" s="35" t="s">
        <v>427</v>
      </c>
      <c r="D1316" s="107">
        <v>0.15</v>
      </c>
      <c r="E1316" s="118">
        <v>1097</v>
      </c>
      <c r="F1316" s="118">
        <v>882</v>
      </c>
      <c r="G1316" s="107">
        <f t="shared" si="50"/>
        <v>0.80401093892433906</v>
      </c>
      <c r="H1316" s="116" t="s">
        <v>584</v>
      </c>
      <c r="J1316" s="112"/>
      <c r="K1316" s="112"/>
      <c r="L1316" s="112"/>
      <c r="M1316" s="112"/>
      <c r="N1316" s="112"/>
      <c r="O1316" s="112"/>
      <c r="P1316" s="112"/>
      <c r="Q1316" s="112"/>
      <c r="R1316" s="112"/>
      <c r="S1316" s="112"/>
      <c r="T1316" s="112"/>
      <c r="U1316" s="112"/>
      <c r="V1316" s="112"/>
      <c r="W1316" s="112"/>
      <c r="X1316" s="112"/>
      <c r="Y1316" s="112"/>
      <c r="Z1316" s="112"/>
      <c r="AA1316" s="112"/>
      <c r="AB1316" s="112"/>
      <c r="AC1316" s="112"/>
      <c r="AD1316" s="112"/>
      <c r="AE1316" s="112"/>
      <c r="AF1316" s="112"/>
      <c r="AG1316" s="112"/>
      <c r="AH1316" s="112"/>
      <c r="AI1316" s="112"/>
      <c r="AJ1316" s="112"/>
      <c r="AK1316" s="112"/>
      <c r="AL1316" s="112"/>
    </row>
    <row r="1317" spans="1:38" s="311" customFormat="1" ht="24.75" customHeight="1">
      <c r="A1317" s="750"/>
      <c r="B1317" s="250" t="s">
        <v>433</v>
      </c>
      <c r="C1317" s="35" t="s">
        <v>427</v>
      </c>
      <c r="D1317" s="107">
        <v>0.1</v>
      </c>
      <c r="E1317" s="107">
        <v>1</v>
      </c>
      <c r="F1317" s="143">
        <v>1</v>
      </c>
      <c r="G1317" s="107">
        <f t="shared" si="50"/>
        <v>1</v>
      </c>
      <c r="H1317" s="116" t="s">
        <v>583</v>
      </c>
      <c r="J1317" s="112"/>
      <c r="K1317" s="112"/>
      <c r="L1317" s="112"/>
      <c r="M1317" s="112"/>
      <c r="N1317" s="112"/>
      <c r="O1317" s="112"/>
      <c r="P1317" s="112"/>
      <c r="Q1317" s="112"/>
      <c r="R1317" s="112"/>
      <c r="S1317" s="112"/>
      <c r="T1317" s="112"/>
      <c r="U1317" s="112"/>
      <c r="V1317" s="112"/>
      <c r="W1317" s="112"/>
      <c r="X1317" s="112"/>
      <c r="Y1317" s="112"/>
      <c r="Z1317" s="112"/>
      <c r="AA1317" s="112"/>
      <c r="AB1317" s="112"/>
      <c r="AC1317" s="112"/>
      <c r="AD1317" s="112"/>
      <c r="AE1317" s="112"/>
      <c r="AF1317" s="112"/>
      <c r="AG1317" s="112"/>
      <c r="AH1317" s="112"/>
      <c r="AI1317" s="112"/>
      <c r="AJ1317" s="112"/>
      <c r="AK1317" s="112"/>
      <c r="AL1317" s="112"/>
    </row>
    <row r="1318" spans="1:38" s="311" customFormat="1" ht="24.75" customHeight="1">
      <c r="A1318" s="748" t="s">
        <v>131</v>
      </c>
      <c r="B1318" s="250" t="s">
        <v>426</v>
      </c>
      <c r="C1318" s="35" t="s">
        <v>427</v>
      </c>
      <c r="D1318" s="107">
        <v>0.15</v>
      </c>
      <c r="E1318" s="251">
        <v>20</v>
      </c>
      <c r="F1318" s="251">
        <v>20</v>
      </c>
      <c r="G1318" s="107">
        <f>F1318/E1318</f>
        <v>1</v>
      </c>
      <c r="H1318" s="116" t="s">
        <v>592</v>
      </c>
      <c r="J1318" s="112"/>
      <c r="K1318" s="112"/>
      <c r="L1318" s="112"/>
      <c r="M1318" s="112"/>
      <c r="N1318" s="112"/>
      <c r="O1318" s="112"/>
      <c r="P1318" s="112"/>
      <c r="Q1318" s="112"/>
      <c r="R1318" s="112"/>
      <c r="S1318" s="112"/>
      <c r="T1318" s="112"/>
      <c r="U1318" s="112"/>
      <c r="V1318" s="112"/>
      <c r="W1318" s="112"/>
      <c r="X1318" s="112"/>
      <c r="Y1318" s="112"/>
      <c r="Z1318" s="112"/>
      <c r="AA1318" s="112"/>
      <c r="AB1318" s="112"/>
      <c r="AC1318" s="112"/>
      <c r="AD1318" s="112"/>
      <c r="AE1318" s="112"/>
      <c r="AF1318" s="112"/>
      <c r="AG1318" s="112"/>
      <c r="AH1318" s="112"/>
      <c r="AI1318" s="112"/>
      <c r="AJ1318" s="112"/>
      <c r="AK1318" s="112"/>
      <c r="AL1318" s="112"/>
    </row>
    <row r="1319" spans="1:38" s="311" customFormat="1" ht="24.75" customHeight="1">
      <c r="A1319" s="749"/>
      <c r="B1319" s="250" t="s">
        <v>428</v>
      </c>
      <c r="C1319" s="35" t="s">
        <v>427</v>
      </c>
      <c r="D1319" s="107">
        <v>0.15</v>
      </c>
      <c r="E1319" s="118">
        <v>6</v>
      </c>
      <c r="F1319" s="118">
        <v>4.7</v>
      </c>
      <c r="G1319" s="107">
        <f t="shared" ref="G1319:G1338" si="51">F1319/E1319</f>
        <v>0.78333333333333333</v>
      </c>
      <c r="H1319" s="116" t="s">
        <v>593</v>
      </c>
      <c r="J1319" s="112"/>
      <c r="K1319" s="112"/>
      <c r="L1319" s="112"/>
      <c r="M1319" s="112"/>
      <c r="N1319" s="112"/>
      <c r="O1319" s="112"/>
      <c r="P1319" s="112"/>
      <c r="Q1319" s="112"/>
      <c r="R1319" s="112"/>
      <c r="S1319" s="112"/>
      <c r="T1319" s="112"/>
      <c r="U1319" s="112"/>
      <c r="V1319" s="112"/>
      <c r="W1319" s="112"/>
      <c r="X1319" s="112"/>
      <c r="Y1319" s="112"/>
      <c r="Z1319" s="112"/>
      <c r="AA1319" s="112"/>
      <c r="AB1319" s="112"/>
      <c r="AC1319" s="112"/>
      <c r="AD1319" s="112"/>
      <c r="AE1319" s="112"/>
      <c r="AF1319" s="112"/>
      <c r="AG1319" s="112"/>
      <c r="AH1319" s="112"/>
      <c r="AI1319" s="112"/>
      <c r="AJ1319" s="112"/>
      <c r="AK1319" s="112"/>
      <c r="AL1319" s="112"/>
    </row>
    <row r="1320" spans="1:38" s="311" customFormat="1" ht="24.75" customHeight="1">
      <c r="A1320" s="749"/>
      <c r="B1320" s="250" t="s">
        <v>429</v>
      </c>
      <c r="C1320" s="35" t="s">
        <v>427</v>
      </c>
      <c r="D1320" s="107">
        <v>0.15</v>
      </c>
      <c r="E1320" s="118">
        <v>2</v>
      </c>
      <c r="F1320" s="118">
        <v>1.68</v>
      </c>
      <c r="G1320" s="107">
        <f t="shared" si="51"/>
        <v>0.84</v>
      </c>
      <c r="H1320" s="116">
        <v>0</v>
      </c>
      <c r="J1320" s="112"/>
      <c r="K1320" s="112"/>
      <c r="L1320" s="112"/>
      <c r="M1320" s="112"/>
      <c r="N1320" s="112"/>
      <c r="O1320" s="112"/>
      <c r="P1320" s="112"/>
      <c r="Q1320" s="112"/>
      <c r="R1320" s="112"/>
      <c r="S1320" s="112"/>
      <c r="T1320" s="112"/>
      <c r="U1320" s="112"/>
      <c r="V1320" s="112"/>
      <c r="W1320" s="112"/>
      <c r="X1320" s="112"/>
      <c r="Y1320" s="112"/>
      <c r="Z1320" s="112"/>
      <c r="AA1320" s="112"/>
      <c r="AB1320" s="112"/>
      <c r="AC1320" s="112"/>
      <c r="AD1320" s="112"/>
      <c r="AE1320" s="112"/>
      <c r="AF1320" s="112"/>
      <c r="AG1320" s="112"/>
      <c r="AH1320" s="112"/>
      <c r="AI1320" s="112"/>
      <c r="AJ1320" s="112"/>
      <c r="AK1320" s="112"/>
      <c r="AL1320" s="112"/>
    </row>
    <row r="1321" spans="1:38" s="311" customFormat="1" ht="24.75" customHeight="1">
      <c r="A1321" s="749"/>
      <c r="B1321" s="250" t="s">
        <v>430</v>
      </c>
      <c r="C1321" s="35" t="s">
        <v>427</v>
      </c>
      <c r="D1321" s="107">
        <v>0.15</v>
      </c>
      <c r="E1321" s="251">
        <v>1072</v>
      </c>
      <c r="F1321" s="251">
        <v>1022</v>
      </c>
      <c r="G1321" s="107">
        <f t="shared" si="51"/>
        <v>0.95335820895522383</v>
      </c>
      <c r="H1321" s="116" t="s">
        <v>590</v>
      </c>
      <c r="J1321" s="112"/>
      <c r="K1321" s="112"/>
      <c r="L1321" s="112"/>
      <c r="M1321" s="112"/>
      <c r="N1321" s="112"/>
      <c r="O1321" s="112"/>
      <c r="P1321" s="112"/>
      <c r="Q1321" s="112"/>
      <c r="R1321" s="112"/>
      <c r="S1321" s="112"/>
      <c r="T1321" s="112"/>
      <c r="U1321" s="112"/>
      <c r="V1321" s="112"/>
      <c r="W1321" s="112"/>
      <c r="X1321" s="112"/>
      <c r="Y1321" s="112"/>
      <c r="Z1321" s="112"/>
      <c r="AA1321" s="112"/>
      <c r="AB1321" s="112"/>
      <c r="AC1321" s="112"/>
      <c r="AD1321" s="112"/>
      <c r="AE1321" s="112"/>
      <c r="AF1321" s="112"/>
      <c r="AG1321" s="112"/>
      <c r="AH1321" s="112"/>
      <c r="AI1321" s="112"/>
      <c r="AJ1321" s="112"/>
      <c r="AK1321" s="112"/>
      <c r="AL1321" s="112"/>
    </row>
    <row r="1322" spans="1:38" s="311" customFormat="1" ht="24.75" customHeight="1">
      <c r="A1322" s="749"/>
      <c r="B1322" s="250" t="s">
        <v>431</v>
      </c>
      <c r="C1322" s="35" t="s">
        <v>427</v>
      </c>
      <c r="D1322" s="107">
        <v>0.15</v>
      </c>
      <c r="E1322" s="118">
        <v>1</v>
      </c>
      <c r="F1322" s="118">
        <v>1</v>
      </c>
      <c r="G1322" s="107">
        <f t="shared" si="51"/>
        <v>1</v>
      </c>
      <c r="H1322" s="116" t="s">
        <v>591</v>
      </c>
      <c r="J1322" s="112"/>
      <c r="K1322" s="112"/>
      <c r="L1322" s="112"/>
      <c r="M1322" s="112"/>
      <c r="N1322" s="112"/>
      <c r="O1322" s="112"/>
      <c r="P1322" s="112"/>
      <c r="Q1322" s="112"/>
      <c r="R1322" s="112"/>
      <c r="S1322" s="112"/>
      <c r="T1322" s="112"/>
      <c r="U1322" s="112"/>
      <c r="V1322" s="112"/>
      <c r="W1322" s="112"/>
      <c r="X1322" s="112"/>
      <c r="Y1322" s="112"/>
      <c r="Z1322" s="112"/>
      <c r="AA1322" s="112"/>
      <c r="AB1322" s="112"/>
      <c r="AC1322" s="112"/>
      <c r="AD1322" s="112"/>
      <c r="AE1322" s="112"/>
      <c r="AF1322" s="112"/>
      <c r="AG1322" s="112"/>
      <c r="AH1322" s="112"/>
      <c r="AI1322" s="112"/>
      <c r="AJ1322" s="112"/>
      <c r="AK1322" s="112"/>
      <c r="AL1322" s="112"/>
    </row>
    <row r="1323" spans="1:38" s="311" customFormat="1" ht="24.75" customHeight="1">
      <c r="A1323" s="749"/>
      <c r="B1323" s="250" t="s">
        <v>432</v>
      </c>
      <c r="C1323" s="35" t="s">
        <v>427</v>
      </c>
      <c r="D1323" s="107">
        <v>0.15</v>
      </c>
      <c r="E1323" s="118">
        <v>1097</v>
      </c>
      <c r="F1323" s="118">
        <v>985</v>
      </c>
      <c r="G1323" s="107">
        <f t="shared" si="51"/>
        <v>0.89790337283500454</v>
      </c>
      <c r="H1323" s="116" t="s">
        <v>589</v>
      </c>
      <c r="J1323" s="112"/>
      <c r="K1323" s="112"/>
      <c r="L1323" s="112"/>
      <c r="M1323" s="112"/>
      <c r="N1323" s="112"/>
      <c r="O1323" s="112"/>
      <c r="P1323" s="112"/>
      <c r="Q1323" s="112"/>
      <c r="R1323" s="112"/>
      <c r="S1323" s="112"/>
      <c r="T1323" s="112"/>
      <c r="U1323" s="112"/>
      <c r="V1323" s="112"/>
      <c r="W1323" s="112"/>
      <c r="X1323" s="112"/>
      <c r="Y1323" s="112"/>
      <c r="Z1323" s="112"/>
      <c r="AA1323" s="112"/>
      <c r="AB1323" s="112"/>
      <c r="AC1323" s="112"/>
      <c r="AD1323" s="112"/>
      <c r="AE1323" s="112"/>
      <c r="AF1323" s="112"/>
      <c r="AG1323" s="112"/>
      <c r="AH1323" s="112"/>
      <c r="AI1323" s="112"/>
      <c r="AJ1323" s="112"/>
      <c r="AK1323" s="112"/>
      <c r="AL1323" s="112"/>
    </row>
    <row r="1324" spans="1:38" s="311" customFormat="1" ht="24.75" customHeight="1">
      <c r="A1324" s="750"/>
      <c r="B1324" s="250" t="s">
        <v>433</v>
      </c>
      <c r="C1324" s="35" t="s">
        <v>427</v>
      </c>
      <c r="D1324" s="107">
        <v>0.1</v>
      </c>
      <c r="E1324" s="107">
        <v>1</v>
      </c>
      <c r="F1324" s="143">
        <v>1</v>
      </c>
      <c r="G1324" s="107">
        <f t="shared" si="51"/>
        <v>1</v>
      </c>
      <c r="H1324" s="116" t="s">
        <v>594</v>
      </c>
      <c r="J1324" s="112"/>
      <c r="K1324" s="112"/>
      <c r="L1324" s="112"/>
      <c r="M1324" s="112"/>
      <c r="N1324" s="112"/>
      <c r="O1324" s="112"/>
      <c r="P1324" s="112"/>
      <c r="Q1324" s="112"/>
      <c r="R1324" s="112"/>
      <c r="S1324" s="112"/>
      <c r="T1324" s="112"/>
      <c r="U1324" s="112"/>
      <c r="V1324" s="112"/>
      <c r="W1324" s="112"/>
      <c r="X1324" s="112"/>
      <c r="Y1324" s="112"/>
      <c r="Z1324" s="112"/>
      <c r="AA1324" s="112"/>
      <c r="AB1324" s="112"/>
      <c r="AC1324" s="112"/>
      <c r="AD1324" s="112"/>
      <c r="AE1324" s="112"/>
      <c r="AF1324" s="112"/>
      <c r="AG1324" s="112"/>
      <c r="AH1324" s="112"/>
      <c r="AI1324" s="112"/>
      <c r="AJ1324" s="112"/>
      <c r="AK1324" s="112"/>
      <c r="AL1324" s="112"/>
    </row>
    <row r="1325" spans="1:38" s="311" customFormat="1" ht="24.75" customHeight="1">
      <c r="A1325" s="748" t="s">
        <v>132</v>
      </c>
      <c r="B1325" s="250" t="s">
        <v>426</v>
      </c>
      <c r="C1325" s="35" t="s">
        <v>427</v>
      </c>
      <c r="D1325" s="107">
        <v>0.15</v>
      </c>
      <c r="E1325" s="251">
        <v>20</v>
      </c>
      <c r="F1325" s="251">
        <v>20</v>
      </c>
      <c r="G1325" s="107">
        <f t="shared" si="51"/>
        <v>1</v>
      </c>
      <c r="H1325" s="111" t="s">
        <v>600</v>
      </c>
      <c r="J1325" s="112"/>
      <c r="K1325" s="112"/>
      <c r="L1325" s="112"/>
      <c r="M1325" s="112"/>
      <c r="N1325" s="112"/>
      <c r="O1325" s="112"/>
      <c r="P1325" s="112"/>
      <c r="Q1325" s="112"/>
      <c r="R1325" s="112"/>
      <c r="S1325" s="112"/>
      <c r="T1325" s="112"/>
      <c r="U1325" s="112"/>
      <c r="V1325" s="112"/>
      <c r="W1325" s="112"/>
      <c r="X1325" s="112"/>
      <c r="Y1325" s="112"/>
      <c r="Z1325" s="112"/>
      <c r="AA1325" s="112"/>
      <c r="AB1325" s="112"/>
      <c r="AC1325" s="112"/>
      <c r="AD1325" s="112"/>
      <c r="AE1325" s="112"/>
      <c r="AF1325" s="112"/>
      <c r="AG1325" s="112"/>
      <c r="AH1325" s="112"/>
      <c r="AI1325" s="112"/>
      <c r="AJ1325" s="112"/>
      <c r="AK1325" s="112"/>
      <c r="AL1325" s="112"/>
    </row>
    <row r="1326" spans="1:38" s="311" customFormat="1" ht="24.75" customHeight="1">
      <c r="A1326" s="749"/>
      <c r="B1326" s="250" t="s">
        <v>428</v>
      </c>
      <c r="C1326" s="35" t="s">
        <v>427</v>
      </c>
      <c r="D1326" s="107">
        <v>0.15</v>
      </c>
      <c r="E1326" s="118">
        <v>6</v>
      </c>
      <c r="F1326" s="118">
        <v>5.4</v>
      </c>
      <c r="G1326" s="107">
        <f t="shared" si="51"/>
        <v>0.9</v>
      </c>
      <c r="H1326" s="111" t="s">
        <v>602</v>
      </c>
      <c r="J1326" s="112"/>
      <c r="K1326" s="112"/>
      <c r="L1326" s="112"/>
      <c r="M1326" s="112"/>
      <c r="N1326" s="112"/>
      <c r="O1326" s="112"/>
      <c r="P1326" s="112"/>
      <c r="Q1326" s="112"/>
      <c r="R1326" s="112"/>
      <c r="S1326" s="112"/>
      <c r="T1326" s="112"/>
      <c r="U1326" s="112"/>
      <c r="V1326" s="112"/>
      <c r="W1326" s="112"/>
      <c r="X1326" s="112"/>
      <c r="Y1326" s="112"/>
      <c r="Z1326" s="112"/>
      <c r="AA1326" s="112"/>
      <c r="AB1326" s="112"/>
      <c r="AC1326" s="112"/>
      <c r="AD1326" s="112"/>
      <c r="AE1326" s="112"/>
      <c r="AF1326" s="112"/>
      <c r="AG1326" s="112"/>
      <c r="AH1326" s="112"/>
      <c r="AI1326" s="112"/>
      <c r="AJ1326" s="112"/>
      <c r="AK1326" s="112"/>
      <c r="AL1326" s="112"/>
    </row>
    <row r="1327" spans="1:38" s="311" customFormat="1" ht="24.75" customHeight="1">
      <c r="A1327" s="749"/>
      <c r="B1327" s="250" t="s">
        <v>429</v>
      </c>
      <c r="C1327" s="35" t="s">
        <v>427</v>
      </c>
      <c r="D1327" s="107">
        <v>0.15</v>
      </c>
      <c r="E1327" s="118">
        <v>2</v>
      </c>
      <c r="F1327" s="118">
        <v>1.87</v>
      </c>
      <c r="G1327" s="107">
        <f t="shared" si="51"/>
        <v>0.93500000000000005</v>
      </c>
      <c r="H1327" s="111" t="s">
        <v>603</v>
      </c>
      <c r="J1327" s="112"/>
      <c r="K1327" s="112"/>
      <c r="L1327" s="112"/>
      <c r="M1327" s="112"/>
      <c r="N1327" s="112"/>
      <c r="O1327" s="112"/>
      <c r="P1327" s="112"/>
      <c r="Q1327" s="112"/>
      <c r="R1327" s="112"/>
      <c r="S1327" s="112"/>
      <c r="T1327" s="112"/>
      <c r="U1327" s="112"/>
      <c r="V1327" s="112"/>
      <c r="W1327" s="112"/>
      <c r="X1327" s="112"/>
      <c r="Y1327" s="112"/>
      <c r="Z1327" s="112"/>
      <c r="AA1327" s="112"/>
      <c r="AB1327" s="112"/>
      <c r="AC1327" s="112"/>
      <c r="AD1327" s="112"/>
      <c r="AE1327" s="112"/>
      <c r="AF1327" s="112"/>
      <c r="AG1327" s="112"/>
      <c r="AH1327" s="112"/>
      <c r="AI1327" s="112"/>
      <c r="AJ1327" s="112"/>
      <c r="AK1327" s="112"/>
      <c r="AL1327" s="112"/>
    </row>
    <row r="1328" spans="1:38" s="311" customFormat="1" ht="24.75" customHeight="1">
      <c r="A1328" s="749"/>
      <c r="B1328" s="250" t="s">
        <v>430</v>
      </c>
      <c r="C1328" s="35" t="s">
        <v>427</v>
      </c>
      <c r="D1328" s="107">
        <v>0.15</v>
      </c>
      <c r="E1328" s="251">
        <v>1072</v>
      </c>
      <c r="F1328" s="118">
        <v>1139</v>
      </c>
      <c r="G1328" s="107">
        <f t="shared" si="51"/>
        <v>1.0625</v>
      </c>
      <c r="H1328" s="111" t="s">
        <v>596</v>
      </c>
      <c r="J1328" s="112"/>
      <c r="K1328" s="112"/>
      <c r="L1328" s="112"/>
      <c r="M1328" s="112"/>
      <c r="N1328" s="112"/>
      <c r="O1328" s="112"/>
      <c r="P1328" s="112"/>
      <c r="Q1328" s="112"/>
      <c r="R1328" s="112"/>
      <c r="S1328" s="112"/>
      <c r="T1328" s="112"/>
      <c r="U1328" s="112"/>
      <c r="V1328" s="112"/>
      <c r="W1328" s="112"/>
      <c r="X1328" s="112"/>
      <c r="Y1328" s="112"/>
      <c r="Z1328" s="112"/>
      <c r="AA1328" s="112"/>
      <c r="AB1328" s="112"/>
      <c r="AC1328" s="112"/>
      <c r="AD1328" s="112"/>
      <c r="AE1328" s="112"/>
      <c r="AF1328" s="112"/>
      <c r="AG1328" s="112"/>
      <c r="AH1328" s="112"/>
      <c r="AI1328" s="112"/>
      <c r="AJ1328" s="112"/>
      <c r="AK1328" s="112"/>
      <c r="AL1328" s="112"/>
    </row>
    <row r="1329" spans="1:38" s="311" customFormat="1" ht="24.75" customHeight="1">
      <c r="A1329" s="749"/>
      <c r="B1329" s="250" t="s">
        <v>431</v>
      </c>
      <c r="C1329" s="35" t="s">
        <v>427</v>
      </c>
      <c r="D1329" s="107">
        <v>0.15</v>
      </c>
      <c r="E1329" s="118">
        <v>1</v>
      </c>
      <c r="F1329" s="118">
        <v>1</v>
      </c>
      <c r="G1329" s="107">
        <f t="shared" si="51"/>
        <v>1</v>
      </c>
      <c r="H1329" s="111" t="s">
        <v>598</v>
      </c>
      <c r="J1329" s="112"/>
      <c r="K1329" s="112"/>
      <c r="L1329" s="112"/>
      <c r="M1329" s="112"/>
      <c r="N1329" s="112"/>
      <c r="O1329" s="112"/>
      <c r="P1329" s="112"/>
      <c r="Q1329" s="112"/>
      <c r="R1329" s="112"/>
      <c r="S1329" s="112"/>
      <c r="T1329" s="112"/>
      <c r="U1329" s="112"/>
      <c r="V1329" s="112"/>
      <c r="W1329" s="112"/>
      <c r="X1329" s="112"/>
      <c r="Y1329" s="112"/>
      <c r="Z1329" s="112"/>
      <c r="AA1329" s="112"/>
      <c r="AB1329" s="112"/>
      <c r="AC1329" s="112"/>
      <c r="AD1329" s="112"/>
      <c r="AE1329" s="112"/>
      <c r="AF1329" s="112"/>
      <c r="AG1329" s="112"/>
      <c r="AH1329" s="112"/>
      <c r="AI1329" s="112"/>
      <c r="AJ1329" s="112"/>
      <c r="AK1329" s="112"/>
      <c r="AL1329" s="112"/>
    </row>
    <row r="1330" spans="1:38" s="311" customFormat="1" ht="24.75" customHeight="1">
      <c r="A1330" s="749"/>
      <c r="B1330" s="250" t="s">
        <v>432</v>
      </c>
      <c r="C1330" s="35" t="s">
        <v>427</v>
      </c>
      <c r="D1330" s="107">
        <v>0.15</v>
      </c>
      <c r="E1330" s="118">
        <v>1097</v>
      </c>
      <c r="F1330" s="118">
        <v>1079</v>
      </c>
      <c r="G1330" s="107">
        <f t="shared" si="51"/>
        <v>0.98359161349134006</v>
      </c>
      <c r="H1330" s="111" t="s">
        <v>597</v>
      </c>
      <c r="J1330" s="112"/>
      <c r="K1330" s="112"/>
      <c r="L1330" s="112"/>
      <c r="M1330" s="112"/>
      <c r="N1330" s="112"/>
      <c r="O1330" s="112"/>
      <c r="P1330" s="112"/>
      <c r="Q1330" s="112"/>
      <c r="R1330" s="112"/>
      <c r="S1330" s="112"/>
      <c r="T1330" s="112"/>
      <c r="U1330" s="112"/>
      <c r="V1330" s="112"/>
      <c r="W1330" s="112"/>
      <c r="X1330" s="112"/>
      <c r="Y1330" s="112"/>
      <c r="Z1330" s="112"/>
      <c r="AA1330" s="112"/>
      <c r="AB1330" s="112"/>
      <c r="AC1330" s="112"/>
      <c r="AD1330" s="112"/>
      <c r="AE1330" s="112"/>
      <c r="AF1330" s="112"/>
      <c r="AG1330" s="112"/>
      <c r="AH1330" s="112"/>
      <c r="AI1330" s="112"/>
      <c r="AJ1330" s="112"/>
      <c r="AK1330" s="112"/>
      <c r="AL1330" s="112"/>
    </row>
    <row r="1331" spans="1:38" s="311" customFormat="1" ht="24.75" customHeight="1">
      <c r="A1331" s="750"/>
      <c r="B1331" s="250" t="s">
        <v>433</v>
      </c>
      <c r="C1331" s="35" t="s">
        <v>427</v>
      </c>
      <c r="D1331" s="107">
        <v>0.1</v>
      </c>
      <c r="E1331" s="107">
        <v>1</v>
      </c>
      <c r="F1331" s="143">
        <v>1</v>
      </c>
      <c r="G1331" s="107">
        <f t="shared" si="51"/>
        <v>1</v>
      </c>
      <c r="H1331" s="111" t="s">
        <v>599</v>
      </c>
      <c r="J1331" s="112"/>
      <c r="K1331" s="112"/>
      <c r="L1331" s="112"/>
      <c r="M1331" s="112"/>
      <c r="N1331" s="112"/>
      <c r="O1331" s="112"/>
      <c r="P1331" s="112"/>
      <c r="Q1331" s="112"/>
      <c r="R1331" s="112"/>
      <c r="S1331" s="112"/>
      <c r="T1331" s="112"/>
      <c r="U1331" s="112"/>
      <c r="V1331" s="112"/>
      <c r="W1331" s="112"/>
      <c r="X1331" s="112"/>
      <c r="Y1331" s="112"/>
      <c r="Z1331" s="112"/>
      <c r="AA1331" s="112"/>
      <c r="AB1331" s="112"/>
      <c r="AC1331" s="112"/>
      <c r="AD1331" s="112"/>
      <c r="AE1331" s="112"/>
      <c r="AF1331" s="112"/>
      <c r="AG1331" s="112"/>
      <c r="AH1331" s="112"/>
      <c r="AI1331" s="112"/>
      <c r="AJ1331" s="112"/>
      <c r="AK1331" s="112"/>
      <c r="AL1331" s="112"/>
    </row>
    <row r="1332" spans="1:38" s="311" customFormat="1" ht="24.75" customHeight="1">
      <c r="A1332" s="748" t="s">
        <v>133</v>
      </c>
      <c r="B1332" s="250" t="s">
        <v>426</v>
      </c>
      <c r="C1332" s="35" t="s">
        <v>427</v>
      </c>
      <c r="D1332" s="107">
        <v>0.15</v>
      </c>
      <c r="E1332" s="251">
        <v>20</v>
      </c>
      <c r="F1332" s="251">
        <v>20</v>
      </c>
      <c r="G1332" s="107">
        <f t="shared" si="51"/>
        <v>1</v>
      </c>
      <c r="H1332" s="111" t="s">
        <v>610</v>
      </c>
      <c r="J1332" s="112"/>
      <c r="K1332" s="112"/>
      <c r="L1332" s="112"/>
      <c r="M1332" s="112"/>
      <c r="N1332" s="112"/>
      <c r="O1332" s="112"/>
      <c r="P1332" s="112"/>
      <c r="Q1332" s="112"/>
      <c r="R1332" s="112"/>
      <c r="S1332" s="112"/>
      <c r="T1332" s="112"/>
      <c r="U1332" s="112"/>
      <c r="V1332" s="112"/>
      <c r="W1332" s="112"/>
      <c r="X1332" s="112"/>
      <c r="Y1332" s="112"/>
      <c r="Z1332" s="112"/>
      <c r="AA1332" s="112"/>
      <c r="AB1332" s="112"/>
      <c r="AC1332" s="112"/>
      <c r="AD1332" s="112"/>
      <c r="AE1332" s="112"/>
      <c r="AF1332" s="112"/>
      <c r="AG1332" s="112"/>
      <c r="AH1332" s="112"/>
      <c r="AI1332" s="112"/>
      <c r="AJ1332" s="112"/>
      <c r="AK1332" s="112"/>
      <c r="AL1332" s="112"/>
    </row>
    <row r="1333" spans="1:38" s="311" customFormat="1" ht="24.75" customHeight="1">
      <c r="A1333" s="749"/>
      <c r="B1333" s="250" t="s">
        <v>428</v>
      </c>
      <c r="C1333" s="35" t="s">
        <v>427</v>
      </c>
      <c r="D1333" s="107">
        <v>0.15</v>
      </c>
      <c r="E1333" s="118">
        <v>6</v>
      </c>
      <c r="F1333" s="118">
        <v>6</v>
      </c>
      <c r="G1333" s="107">
        <f t="shared" si="51"/>
        <v>1</v>
      </c>
      <c r="H1333" s="111" t="s">
        <v>608</v>
      </c>
      <c r="J1333" s="112"/>
      <c r="K1333" s="112"/>
      <c r="L1333" s="112"/>
      <c r="M1333" s="112"/>
      <c r="N1333" s="112"/>
      <c r="O1333" s="112"/>
      <c r="P1333" s="112"/>
      <c r="Q1333" s="112"/>
      <c r="R1333" s="112"/>
      <c r="S1333" s="112"/>
      <c r="T1333" s="112"/>
      <c r="U1333" s="112"/>
      <c r="V1333" s="112"/>
      <c r="W1333" s="112"/>
      <c r="X1333" s="112"/>
      <c r="Y1333" s="112"/>
      <c r="Z1333" s="112"/>
      <c r="AA1333" s="112"/>
      <c r="AB1333" s="112"/>
      <c r="AC1333" s="112"/>
      <c r="AD1333" s="112"/>
      <c r="AE1333" s="112"/>
      <c r="AF1333" s="112"/>
      <c r="AG1333" s="112"/>
      <c r="AH1333" s="112"/>
      <c r="AI1333" s="112"/>
      <c r="AJ1333" s="112"/>
      <c r="AK1333" s="112"/>
      <c r="AL1333" s="112"/>
    </row>
    <row r="1334" spans="1:38" s="311" customFormat="1" ht="24.75" customHeight="1">
      <c r="A1334" s="749"/>
      <c r="B1334" s="250" t="s">
        <v>429</v>
      </c>
      <c r="C1334" s="35" t="s">
        <v>427</v>
      </c>
      <c r="D1334" s="107">
        <v>0.15</v>
      </c>
      <c r="E1334" s="118">
        <v>2</v>
      </c>
      <c r="F1334" s="118">
        <v>2</v>
      </c>
      <c r="G1334" s="107">
        <f t="shared" si="51"/>
        <v>1</v>
      </c>
      <c r="H1334" s="111" t="s">
        <v>604</v>
      </c>
      <c r="J1334" s="112"/>
      <c r="K1334" s="112"/>
      <c r="L1334" s="112"/>
      <c r="M1334" s="112"/>
      <c r="N1334" s="112"/>
      <c r="O1334" s="112"/>
      <c r="P1334" s="112"/>
      <c r="Q1334" s="112"/>
      <c r="R1334" s="112"/>
      <c r="S1334" s="112"/>
      <c r="T1334" s="112"/>
      <c r="U1334" s="112"/>
      <c r="V1334" s="112"/>
      <c r="W1334" s="112"/>
      <c r="X1334" s="112"/>
      <c r="Y1334" s="112"/>
      <c r="Z1334" s="112"/>
      <c r="AA1334" s="112"/>
      <c r="AB1334" s="112"/>
      <c r="AC1334" s="112"/>
      <c r="AD1334" s="112"/>
      <c r="AE1334" s="112"/>
      <c r="AF1334" s="112"/>
      <c r="AG1334" s="112"/>
      <c r="AH1334" s="112"/>
      <c r="AI1334" s="112"/>
      <c r="AJ1334" s="112"/>
      <c r="AK1334" s="112"/>
      <c r="AL1334" s="112"/>
    </row>
    <row r="1335" spans="1:38" s="311" customFormat="1" ht="24.75" customHeight="1">
      <c r="A1335" s="749"/>
      <c r="B1335" s="250" t="s">
        <v>430</v>
      </c>
      <c r="C1335" s="35" t="s">
        <v>427</v>
      </c>
      <c r="D1335" s="107">
        <v>0.15</v>
      </c>
      <c r="E1335" s="251">
        <v>1072</v>
      </c>
      <c r="F1335" s="118">
        <v>1202</v>
      </c>
      <c r="G1335" s="107">
        <f t="shared" si="51"/>
        <v>1.1212686567164178</v>
      </c>
      <c r="H1335" s="111" t="s">
        <v>605</v>
      </c>
      <c r="J1335" s="112"/>
      <c r="K1335" s="112"/>
      <c r="L1335" s="112"/>
      <c r="M1335" s="112"/>
      <c r="N1335" s="112"/>
      <c r="O1335" s="112"/>
      <c r="P1335" s="112"/>
      <c r="Q1335" s="112"/>
      <c r="R1335" s="112"/>
      <c r="S1335" s="112"/>
      <c r="T1335" s="112"/>
      <c r="U1335" s="112"/>
      <c r="V1335" s="112"/>
      <c r="W1335" s="112"/>
      <c r="X1335" s="112"/>
      <c r="Y1335" s="112"/>
      <c r="Z1335" s="112"/>
      <c r="AA1335" s="112"/>
      <c r="AB1335" s="112"/>
      <c r="AC1335" s="112"/>
      <c r="AD1335" s="112"/>
      <c r="AE1335" s="112"/>
      <c r="AF1335" s="112"/>
      <c r="AG1335" s="112"/>
      <c r="AH1335" s="112"/>
      <c r="AI1335" s="112"/>
      <c r="AJ1335" s="112"/>
      <c r="AK1335" s="112"/>
      <c r="AL1335" s="112"/>
    </row>
    <row r="1336" spans="1:38" s="311" customFormat="1" ht="24.75" customHeight="1">
      <c r="A1336" s="749"/>
      <c r="B1336" s="250" t="s">
        <v>431</v>
      </c>
      <c r="C1336" s="35" t="s">
        <v>427</v>
      </c>
      <c r="D1336" s="107">
        <v>0.15</v>
      </c>
      <c r="E1336" s="118">
        <v>1</v>
      </c>
      <c r="F1336" s="118">
        <v>1</v>
      </c>
      <c r="G1336" s="107">
        <f t="shared" si="51"/>
        <v>1</v>
      </c>
      <c r="H1336" s="111" t="s">
        <v>607</v>
      </c>
      <c r="J1336" s="112"/>
      <c r="K1336" s="112"/>
      <c r="L1336" s="112"/>
      <c r="M1336" s="112"/>
      <c r="N1336" s="112"/>
      <c r="O1336" s="112"/>
      <c r="P1336" s="112"/>
      <c r="Q1336" s="112"/>
      <c r="R1336" s="112"/>
      <c r="S1336" s="112"/>
      <c r="T1336" s="112"/>
      <c r="U1336" s="112"/>
      <c r="V1336" s="112"/>
      <c r="W1336" s="112"/>
      <c r="X1336" s="112"/>
      <c r="Y1336" s="112"/>
      <c r="Z1336" s="112"/>
      <c r="AA1336" s="112"/>
      <c r="AB1336" s="112"/>
      <c r="AC1336" s="112"/>
      <c r="AD1336" s="112"/>
      <c r="AE1336" s="112"/>
      <c r="AF1336" s="112"/>
      <c r="AG1336" s="112"/>
      <c r="AH1336" s="112"/>
      <c r="AI1336" s="112"/>
      <c r="AJ1336" s="112"/>
      <c r="AK1336" s="112"/>
      <c r="AL1336" s="112"/>
    </row>
    <row r="1337" spans="1:38" s="311" customFormat="1" ht="24.75" customHeight="1">
      <c r="A1337" s="749"/>
      <c r="B1337" s="250" t="s">
        <v>432</v>
      </c>
      <c r="C1337" s="35" t="s">
        <v>427</v>
      </c>
      <c r="D1337" s="107">
        <v>0.15</v>
      </c>
      <c r="E1337" s="118">
        <v>1097</v>
      </c>
      <c r="F1337" s="118">
        <v>1234</v>
      </c>
      <c r="G1337" s="107">
        <f t="shared" si="51"/>
        <v>1.1248860528714677</v>
      </c>
      <c r="H1337" s="111" t="s">
        <v>606</v>
      </c>
      <c r="J1337" s="112"/>
      <c r="K1337" s="112"/>
      <c r="L1337" s="112"/>
      <c r="M1337" s="112"/>
      <c r="N1337" s="112"/>
      <c r="O1337" s="112"/>
      <c r="P1337" s="112"/>
      <c r="Q1337" s="112"/>
      <c r="R1337" s="112"/>
      <c r="S1337" s="112"/>
      <c r="T1337" s="112"/>
      <c r="U1337" s="112"/>
      <c r="V1337" s="112"/>
      <c r="W1337" s="112"/>
      <c r="X1337" s="112"/>
      <c r="Y1337" s="112"/>
      <c r="Z1337" s="112"/>
      <c r="AA1337" s="112"/>
      <c r="AB1337" s="112"/>
      <c r="AC1337" s="112"/>
      <c r="AD1337" s="112"/>
      <c r="AE1337" s="112"/>
      <c r="AF1337" s="112"/>
      <c r="AG1337" s="112"/>
      <c r="AH1337" s="112"/>
      <c r="AI1337" s="112"/>
      <c r="AJ1337" s="112"/>
      <c r="AK1337" s="112"/>
      <c r="AL1337" s="112"/>
    </row>
    <row r="1338" spans="1:38" s="311" customFormat="1" ht="24.75" customHeight="1">
      <c r="A1338" s="750"/>
      <c r="B1338" s="250" t="s">
        <v>433</v>
      </c>
      <c r="C1338" s="35" t="s">
        <v>427</v>
      </c>
      <c r="D1338" s="107">
        <v>0.1</v>
      </c>
      <c r="E1338" s="107">
        <v>1</v>
      </c>
      <c r="F1338" s="143">
        <v>1</v>
      </c>
      <c r="G1338" s="107">
        <f t="shared" si="51"/>
        <v>1</v>
      </c>
      <c r="H1338" s="111" t="s">
        <v>609</v>
      </c>
      <c r="J1338" s="112"/>
      <c r="K1338" s="112"/>
      <c r="L1338" s="112"/>
      <c r="M1338" s="112"/>
      <c r="N1338" s="112"/>
      <c r="O1338" s="112"/>
      <c r="P1338" s="112"/>
      <c r="Q1338" s="112"/>
      <c r="R1338" s="112"/>
      <c r="S1338" s="112"/>
      <c r="T1338" s="112"/>
      <c r="U1338" s="112"/>
      <c r="V1338" s="112"/>
      <c r="W1338" s="112"/>
      <c r="X1338" s="112"/>
      <c r="Y1338" s="112"/>
      <c r="Z1338" s="112"/>
      <c r="AA1338" s="112"/>
      <c r="AB1338" s="112"/>
      <c r="AC1338" s="112"/>
      <c r="AD1338" s="112"/>
      <c r="AE1338" s="112"/>
      <c r="AF1338" s="112"/>
      <c r="AG1338" s="112"/>
      <c r="AH1338" s="112"/>
      <c r="AI1338" s="112"/>
      <c r="AJ1338" s="112"/>
      <c r="AK1338" s="112"/>
      <c r="AL1338" s="112"/>
    </row>
    <row r="1340" spans="1:38" s="311" customFormat="1" ht="24.75" customHeight="1">
      <c r="A1340" s="779" t="s">
        <v>183</v>
      </c>
      <c r="B1340" s="780"/>
      <c r="C1340" s="780"/>
      <c r="D1340" s="780"/>
      <c r="E1340" s="780"/>
      <c r="F1340" s="780"/>
      <c r="G1340" s="780"/>
      <c r="H1340" s="781"/>
      <c r="J1340" s="112"/>
      <c r="K1340" s="112"/>
      <c r="L1340" s="112"/>
      <c r="M1340" s="112"/>
      <c r="N1340" s="112"/>
      <c r="O1340" s="112"/>
      <c r="P1340" s="112"/>
      <c r="Q1340" s="112"/>
      <c r="R1340" s="112"/>
      <c r="S1340" s="112"/>
      <c r="T1340" s="112"/>
      <c r="U1340" s="112"/>
      <c r="V1340" s="112"/>
      <c r="W1340" s="112"/>
      <c r="X1340" s="112"/>
      <c r="Y1340" s="112"/>
      <c r="Z1340" s="112"/>
      <c r="AA1340" s="112"/>
      <c r="AB1340" s="112"/>
      <c r="AC1340" s="112"/>
      <c r="AD1340" s="112"/>
      <c r="AE1340" s="112"/>
      <c r="AF1340" s="112"/>
      <c r="AG1340" s="112"/>
      <c r="AH1340" s="112"/>
      <c r="AI1340" s="112"/>
      <c r="AJ1340" s="112"/>
      <c r="AK1340" s="112"/>
      <c r="AL1340" s="112"/>
    </row>
    <row r="1341" spans="1:38" s="311" customFormat="1" ht="24.75" customHeight="1">
      <c r="A1341" s="103" t="s">
        <v>62</v>
      </c>
      <c r="B1341" s="30" t="s">
        <v>175</v>
      </c>
      <c r="C1341" s="310" t="s">
        <v>147</v>
      </c>
      <c r="D1341" s="310" t="s">
        <v>161</v>
      </c>
      <c r="E1341" s="310" t="s">
        <v>184</v>
      </c>
      <c r="F1341" s="310" t="s">
        <v>185</v>
      </c>
      <c r="G1341" s="310" t="s">
        <v>186</v>
      </c>
      <c r="H1341" s="30" t="s">
        <v>167</v>
      </c>
      <c r="J1341" s="112"/>
      <c r="K1341" s="112"/>
      <c r="L1341" s="112"/>
      <c r="M1341" s="112"/>
      <c r="N1341" s="112"/>
      <c r="O1341" s="112"/>
      <c r="P1341" s="112"/>
      <c r="Q1341" s="112"/>
      <c r="R1341" s="112"/>
      <c r="S1341" s="112"/>
      <c r="T1341" s="112"/>
      <c r="U1341" s="112"/>
      <c r="V1341" s="112"/>
      <c r="W1341" s="112"/>
      <c r="X1341" s="112"/>
      <c r="Y1341" s="112"/>
      <c r="Z1341" s="112"/>
      <c r="AA1341" s="112"/>
      <c r="AB1341" s="112"/>
      <c r="AC1341" s="112"/>
      <c r="AD1341" s="112"/>
      <c r="AE1341" s="112"/>
      <c r="AF1341" s="112"/>
      <c r="AG1341" s="112"/>
      <c r="AH1341" s="112"/>
      <c r="AI1341" s="112"/>
      <c r="AJ1341" s="112"/>
      <c r="AK1341" s="112"/>
      <c r="AL1341" s="112"/>
    </row>
    <row r="1342" spans="1:38" s="311" customFormat="1" ht="24.75" customHeight="1">
      <c r="A1342" s="748" t="s">
        <v>135</v>
      </c>
      <c r="B1342" s="250" t="s">
        <v>426</v>
      </c>
      <c r="C1342" s="35" t="s">
        <v>427</v>
      </c>
      <c r="D1342" s="269">
        <v>0.15</v>
      </c>
      <c r="E1342" s="251">
        <v>20</v>
      </c>
      <c r="F1342" s="251">
        <v>20</v>
      </c>
      <c r="G1342" s="270">
        <f t="shared" ref="G1342:G1369" si="52">F1342/E1342</f>
        <v>1</v>
      </c>
      <c r="H1342" s="111" t="s">
        <v>610</v>
      </c>
      <c r="J1342" s="112"/>
      <c r="K1342" s="112"/>
      <c r="L1342" s="112"/>
      <c r="M1342" s="112"/>
      <c r="N1342" s="112"/>
      <c r="O1342" s="112"/>
      <c r="P1342" s="112"/>
      <c r="Q1342" s="112"/>
      <c r="R1342" s="112"/>
      <c r="S1342" s="112"/>
      <c r="T1342" s="112"/>
      <c r="U1342" s="112"/>
      <c r="V1342" s="112"/>
      <c r="W1342" s="112"/>
      <c r="X1342" s="112"/>
      <c r="Y1342" s="112"/>
      <c r="Z1342" s="112"/>
      <c r="AA1342" s="112"/>
      <c r="AB1342" s="112"/>
      <c r="AC1342" s="112"/>
      <c r="AD1342" s="112"/>
      <c r="AE1342" s="112"/>
      <c r="AF1342" s="112"/>
      <c r="AG1342" s="112"/>
      <c r="AH1342" s="112"/>
      <c r="AI1342" s="112"/>
      <c r="AJ1342" s="112"/>
      <c r="AK1342" s="112"/>
      <c r="AL1342" s="112"/>
    </row>
    <row r="1343" spans="1:38" s="311" customFormat="1" ht="24.75" customHeight="1">
      <c r="A1343" s="749"/>
      <c r="B1343" s="250" t="s">
        <v>428</v>
      </c>
      <c r="C1343" s="35" t="s">
        <v>427</v>
      </c>
      <c r="D1343" s="269">
        <v>0.15</v>
      </c>
      <c r="E1343" s="118">
        <v>7</v>
      </c>
      <c r="F1343" s="118" t="e">
        <f>+[2]INVERSIÓN!DK17</f>
        <v>#REF!</v>
      </c>
      <c r="G1343" s="270" t="e">
        <f t="shared" si="52"/>
        <v>#REF!</v>
      </c>
      <c r="H1343" s="111" t="s">
        <v>608</v>
      </c>
      <c r="J1343" s="112"/>
      <c r="K1343" s="112"/>
      <c r="L1343" s="112"/>
      <c r="M1343" s="112"/>
      <c r="N1343" s="112"/>
      <c r="O1343" s="112"/>
      <c r="P1343" s="112"/>
      <c r="Q1343" s="112"/>
      <c r="R1343" s="112"/>
      <c r="S1343" s="112"/>
      <c r="T1343" s="112"/>
      <c r="U1343" s="112"/>
      <c r="V1343" s="112"/>
      <c r="W1343" s="112"/>
      <c r="X1343" s="112"/>
      <c r="Y1343" s="112"/>
      <c r="Z1343" s="112"/>
      <c r="AA1343" s="112"/>
      <c r="AB1343" s="112"/>
      <c r="AC1343" s="112"/>
      <c r="AD1343" s="112"/>
      <c r="AE1343" s="112"/>
      <c r="AF1343" s="112"/>
      <c r="AG1343" s="112"/>
      <c r="AH1343" s="112"/>
      <c r="AI1343" s="112"/>
      <c r="AJ1343" s="112"/>
      <c r="AK1343" s="112"/>
      <c r="AL1343" s="112"/>
    </row>
    <row r="1344" spans="1:38" s="311" customFormat="1" ht="24.75" customHeight="1">
      <c r="A1344" s="749"/>
      <c r="B1344" s="250" t="s">
        <v>429</v>
      </c>
      <c r="C1344" s="35" t="s">
        <v>427</v>
      </c>
      <c r="D1344" s="269">
        <v>0.15</v>
      </c>
      <c r="E1344" s="118">
        <v>2</v>
      </c>
      <c r="F1344" s="118" t="e">
        <f>+[2]INVERSIÓN!DK24</f>
        <v>#REF!</v>
      </c>
      <c r="G1344" s="270" t="e">
        <f t="shared" si="52"/>
        <v>#REF!</v>
      </c>
      <c r="H1344" s="111" t="s">
        <v>604</v>
      </c>
      <c r="J1344" s="112"/>
      <c r="K1344" s="112"/>
      <c r="L1344" s="112"/>
      <c r="M1344" s="112"/>
      <c r="N1344" s="112"/>
      <c r="O1344" s="112"/>
      <c r="P1344" s="112"/>
      <c r="Q1344" s="112"/>
      <c r="R1344" s="112"/>
      <c r="S1344" s="112"/>
      <c r="T1344" s="112"/>
      <c r="U1344" s="112"/>
      <c r="V1344" s="112"/>
      <c r="W1344" s="112"/>
      <c r="X1344" s="112"/>
      <c r="Y1344" s="112"/>
      <c r="Z1344" s="112"/>
      <c r="AA1344" s="112"/>
      <c r="AB1344" s="112"/>
      <c r="AC1344" s="112"/>
      <c r="AD1344" s="112"/>
      <c r="AE1344" s="112"/>
      <c r="AF1344" s="112"/>
      <c r="AG1344" s="112"/>
      <c r="AH1344" s="112"/>
      <c r="AI1344" s="112"/>
      <c r="AJ1344" s="112"/>
      <c r="AK1344" s="112"/>
      <c r="AL1344" s="112"/>
    </row>
    <row r="1345" spans="1:38" s="311" customFormat="1" ht="24.75" customHeight="1">
      <c r="A1345" s="749"/>
      <c r="B1345" s="250" t="s">
        <v>430</v>
      </c>
      <c r="C1345" s="35" t="s">
        <v>427</v>
      </c>
      <c r="D1345" s="269">
        <v>0.15</v>
      </c>
      <c r="E1345" s="119">
        <v>1385</v>
      </c>
      <c r="F1345" s="118">
        <v>48</v>
      </c>
      <c r="G1345" s="270">
        <f t="shared" si="52"/>
        <v>3.4657039711191336E-2</v>
      </c>
      <c r="H1345" s="111" t="s">
        <v>605</v>
      </c>
      <c r="J1345" s="112"/>
      <c r="K1345" s="112"/>
      <c r="L1345" s="112"/>
      <c r="M1345" s="112"/>
      <c r="N1345" s="112"/>
      <c r="O1345" s="112"/>
      <c r="P1345" s="112"/>
      <c r="Q1345" s="112"/>
      <c r="R1345" s="112"/>
      <c r="S1345" s="112"/>
      <c r="T1345" s="112"/>
      <c r="U1345" s="112"/>
      <c r="V1345" s="112"/>
      <c r="W1345" s="112"/>
      <c r="X1345" s="112"/>
      <c r="Y1345" s="112"/>
      <c r="Z1345" s="112"/>
      <c r="AA1345" s="112"/>
      <c r="AB1345" s="112"/>
      <c r="AC1345" s="112"/>
      <c r="AD1345" s="112"/>
      <c r="AE1345" s="112"/>
      <c r="AF1345" s="112"/>
      <c r="AG1345" s="112"/>
      <c r="AH1345" s="112"/>
      <c r="AI1345" s="112"/>
      <c r="AJ1345" s="112"/>
      <c r="AK1345" s="112"/>
      <c r="AL1345" s="112"/>
    </row>
    <row r="1346" spans="1:38" s="311" customFormat="1" ht="24.75" customHeight="1">
      <c r="A1346" s="749"/>
      <c r="B1346" s="250" t="s">
        <v>431</v>
      </c>
      <c r="C1346" s="35" t="s">
        <v>427</v>
      </c>
      <c r="D1346" s="269">
        <v>0.15</v>
      </c>
      <c r="E1346" s="118">
        <v>1</v>
      </c>
      <c r="F1346" s="118">
        <v>1</v>
      </c>
      <c r="G1346" s="270">
        <f t="shared" si="52"/>
        <v>1</v>
      </c>
      <c r="H1346" s="111" t="s">
        <v>607</v>
      </c>
      <c r="J1346" s="112"/>
      <c r="K1346" s="112"/>
      <c r="L1346" s="112"/>
      <c r="M1346" s="112"/>
      <c r="N1346" s="112"/>
      <c r="O1346" s="112"/>
      <c r="P1346" s="112"/>
      <c r="Q1346" s="112"/>
      <c r="R1346" s="112"/>
      <c r="S1346" s="112"/>
      <c r="T1346" s="112"/>
      <c r="U1346" s="112"/>
      <c r="V1346" s="112"/>
      <c r="W1346" s="112"/>
      <c r="X1346" s="112"/>
      <c r="Y1346" s="112"/>
      <c r="Z1346" s="112"/>
      <c r="AA1346" s="112"/>
      <c r="AB1346" s="112"/>
      <c r="AC1346" s="112"/>
      <c r="AD1346" s="112"/>
      <c r="AE1346" s="112"/>
      <c r="AF1346" s="112"/>
      <c r="AG1346" s="112"/>
      <c r="AH1346" s="112"/>
      <c r="AI1346" s="112"/>
      <c r="AJ1346" s="112"/>
      <c r="AK1346" s="112"/>
      <c r="AL1346" s="112"/>
    </row>
    <row r="1347" spans="1:38" s="311" customFormat="1" ht="24.75" customHeight="1">
      <c r="A1347" s="749"/>
      <c r="B1347" s="250" t="s">
        <v>432</v>
      </c>
      <c r="C1347" s="35" t="s">
        <v>427</v>
      </c>
      <c r="D1347" s="269">
        <v>0.15</v>
      </c>
      <c r="E1347" s="119">
        <v>370</v>
      </c>
      <c r="F1347" s="118" t="e">
        <f>+[2]INVERSIÓN!DK45</f>
        <v>#REF!</v>
      </c>
      <c r="G1347" s="270" t="e">
        <f t="shared" si="52"/>
        <v>#REF!</v>
      </c>
      <c r="H1347" s="111" t="s">
        <v>606</v>
      </c>
      <c r="J1347" s="112"/>
      <c r="K1347" s="112"/>
      <c r="L1347" s="112"/>
      <c r="M1347" s="112"/>
      <c r="N1347" s="112"/>
      <c r="O1347" s="112"/>
      <c r="P1347" s="112"/>
      <c r="Q1347" s="112"/>
      <c r="R1347" s="112"/>
      <c r="S1347" s="112"/>
      <c r="T1347" s="112"/>
      <c r="U1347" s="112"/>
      <c r="V1347" s="112"/>
      <c r="W1347" s="112"/>
      <c r="X1347" s="112"/>
      <c r="Y1347" s="112"/>
      <c r="Z1347" s="112"/>
      <c r="AA1347" s="112"/>
      <c r="AB1347" s="112"/>
      <c r="AC1347" s="112"/>
      <c r="AD1347" s="112"/>
      <c r="AE1347" s="112"/>
      <c r="AF1347" s="112"/>
      <c r="AG1347" s="112"/>
      <c r="AH1347" s="112"/>
      <c r="AI1347" s="112"/>
      <c r="AJ1347" s="112"/>
      <c r="AK1347" s="112"/>
      <c r="AL1347" s="112"/>
    </row>
    <row r="1348" spans="1:38" s="311" customFormat="1" ht="24.75" customHeight="1">
      <c r="A1348" s="750"/>
      <c r="B1348" s="250" t="s">
        <v>433</v>
      </c>
      <c r="C1348" s="35" t="s">
        <v>427</v>
      </c>
      <c r="D1348" s="269">
        <v>0.1</v>
      </c>
      <c r="E1348" s="269">
        <v>1</v>
      </c>
      <c r="F1348" s="270">
        <v>1</v>
      </c>
      <c r="G1348" s="270">
        <f t="shared" si="52"/>
        <v>1</v>
      </c>
      <c r="H1348" s="111" t="s">
        <v>609</v>
      </c>
      <c r="J1348" s="112"/>
      <c r="K1348" s="112"/>
      <c r="L1348" s="112"/>
      <c r="M1348" s="112"/>
      <c r="N1348" s="112"/>
      <c r="O1348" s="112"/>
      <c r="P1348" s="112"/>
      <c r="Q1348" s="112"/>
      <c r="R1348" s="112"/>
      <c r="S1348" s="112"/>
      <c r="T1348" s="112"/>
      <c r="U1348" s="112"/>
      <c r="V1348" s="112"/>
      <c r="W1348" s="112"/>
      <c r="X1348" s="112"/>
      <c r="Y1348" s="112"/>
      <c r="Z1348" s="112"/>
      <c r="AA1348" s="112"/>
      <c r="AB1348" s="112"/>
      <c r="AC1348" s="112"/>
      <c r="AD1348" s="112"/>
      <c r="AE1348" s="112"/>
      <c r="AF1348" s="112"/>
      <c r="AG1348" s="112"/>
      <c r="AH1348" s="112"/>
      <c r="AI1348" s="112"/>
      <c r="AJ1348" s="112"/>
      <c r="AK1348" s="112"/>
      <c r="AL1348" s="112"/>
    </row>
    <row r="1349" spans="1:38" s="311" customFormat="1" ht="24.75" customHeight="1">
      <c r="A1349" s="748" t="s">
        <v>136</v>
      </c>
      <c r="B1349" s="250" t="s">
        <v>426</v>
      </c>
      <c r="C1349" s="35" t="s">
        <v>427</v>
      </c>
      <c r="D1349" s="269">
        <v>0.15</v>
      </c>
      <c r="E1349" s="251">
        <v>20</v>
      </c>
      <c r="F1349" s="251">
        <v>20</v>
      </c>
      <c r="G1349" s="270">
        <f t="shared" si="52"/>
        <v>1</v>
      </c>
      <c r="H1349" s="111" t="s">
        <v>652</v>
      </c>
      <c r="J1349" s="112"/>
      <c r="K1349" s="112"/>
      <c r="L1349" s="112"/>
      <c r="M1349" s="112"/>
      <c r="N1349" s="112"/>
      <c r="O1349" s="112"/>
      <c r="P1349" s="112"/>
      <c r="Q1349" s="112"/>
      <c r="R1349" s="112"/>
      <c r="S1349" s="112"/>
      <c r="T1349" s="112"/>
      <c r="U1349" s="112"/>
      <c r="V1349" s="112"/>
      <c r="W1349" s="112"/>
      <c r="X1349" s="112"/>
      <c r="Y1349" s="112"/>
      <c r="Z1349" s="112"/>
      <c r="AA1349" s="112"/>
      <c r="AB1349" s="112"/>
      <c r="AC1349" s="112"/>
      <c r="AD1349" s="112"/>
      <c r="AE1349" s="112"/>
      <c r="AF1349" s="112"/>
      <c r="AG1349" s="112"/>
      <c r="AH1349" s="112"/>
      <c r="AI1349" s="112"/>
      <c r="AJ1349" s="112"/>
      <c r="AK1349" s="112"/>
      <c r="AL1349" s="112"/>
    </row>
    <row r="1350" spans="1:38" s="311" customFormat="1" ht="24.75" customHeight="1">
      <c r="A1350" s="749"/>
      <c r="B1350" s="250" t="s">
        <v>428</v>
      </c>
      <c r="C1350" s="35" t="s">
        <v>427</v>
      </c>
      <c r="D1350" s="269">
        <v>0.15</v>
      </c>
      <c r="E1350" s="118">
        <v>7</v>
      </c>
      <c r="F1350" s="118" t="e">
        <f>+[2]INVERSIÓN!$DK$17</f>
        <v>#REF!</v>
      </c>
      <c r="G1350" s="270" t="e">
        <f t="shared" si="52"/>
        <v>#REF!</v>
      </c>
      <c r="H1350" s="111" t="s">
        <v>658</v>
      </c>
      <c r="J1350" s="112"/>
      <c r="K1350" s="112"/>
      <c r="L1350" s="112"/>
      <c r="M1350" s="112"/>
      <c r="N1350" s="112"/>
      <c r="O1350" s="112"/>
      <c r="P1350" s="112"/>
      <c r="Q1350" s="112"/>
      <c r="R1350" s="112"/>
      <c r="S1350" s="112"/>
      <c r="T1350" s="112"/>
      <c r="U1350" s="112"/>
      <c r="V1350" s="112"/>
      <c r="W1350" s="112"/>
      <c r="X1350" s="112"/>
      <c r="Y1350" s="112"/>
      <c r="Z1350" s="112"/>
      <c r="AA1350" s="112"/>
      <c r="AB1350" s="112"/>
      <c r="AC1350" s="112"/>
      <c r="AD1350" s="112"/>
      <c r="AE1350" s="112"/>
      <c r="AF1350" s="112"/>
      <c r="AG1350" s="112"/>
      <c r="AH1350" s="112"/>
      <c r="AI1350" s="112"/>
      <c r="AJ1350" s="112"/>
      <c r="AK1350" s="112"/>
      <c r="AL1350" s="112"/>
    </row>
    <row r="1351" spans="1:38" s="311" customFormat="1" ht="24.75" customHeight="1">
      <c r="A1351" s="749"/>
      <c r="B1351" s="250" t="s">
        <v>429</v>
      </c>
      <c r="C1351" s="35" t="s">
        <v>427</v>
      </c>
      <c r="D1351" s="269">
        <v>0.15</v>
      </c>
      <c r="E1351" s="118">
        <v>2</v>
      </c>
      <c r="F1351" s="118" t="e">
        <f>+[2]INVERSIÓN!$DK$24</f>
        <v>#REF!</v>
      </c>
      <c r="G1351" s="270" t="e">
        <f t="shared" si="52"/>
        <v>#REF!</v>
      </c>
      <c r="H1351" s="111" t="s">
        <v>653</v>
      </c>
      <c r="J1351" s="112"/>
      <c r="K1351" s="112"/>
      <c r="L1351" s="112"/>
      <c r="M1351" s="112"/>
      <c r="N1351" s="112"/>
      <c r="O1351" s="112"/>
      <c r="P1351" s="112"/>
      <c r="Q1351" s="112"/>
      <c r="R1351" s="112"/>
      <c r="S1351" s="112"/>
      <c r="T1351" s="112"/>
      <c r="U1351" s="112"/>
      <c r="V1351" s="112"/>
      <c r="W1351" s="112"/>
      <c r="X1351" s="112"/>
      <c r="Y1351" s="112"/>
      <c r="Z1351" s="112"/>
      <c r="AA1351" s="112"/>
      <c r="AB1351" s="112"/>
      <c r="AC1351" s="112"/>
      <c r="AD1351" s="112"/>
      <c r="AE1351" s="112"/>
      <c r="AF1351" s="112"/>
      <c r="AG1351" s="112"/>
      <c r="AH1351" s="112"/>
      <c r="AI1351" s="112"/>
      <c r="AJ1351" s="112"/>
      <c r="AK1351" s="112"/>
      <c r="AL1351" s="112"/>
    </row>
    <row r="1352" spans="1:38" s="311" customFormat="1" ht="24.75" customHeight="1">
      <c r="A1352" s="749"/>
      <c r="B1352" s="250" t="s">
        <v>430</v>
      </c>
      <c r="C1352" s="35" t="s">
        <v>427</v>
      </c>
      <c r="D1352" s="269">
        <v>0.15</v>
      </c>
      <c r="E1352" s="119">
        <v>1385</v>
      </c>
      <c r="F1352" s="118">
        <v>115</v>
      </c>
      <c r="G1352" s="270">
        <f t="shared" si="52"/>
        <v>8.3032490974729242E-2</v>
      </c>
      <c r="H1352" s="111" t="s">
        <v>651</v>
      </c>
      <c r="J1352" s="112"/>
      <c r="K1352" s="112"/>
      <c r="L1352" s="112"/>
      <c r="M1352" s="112"/>
      <c r="N1352" s="112"/>
      <c r="O1352" s="112"/>
      <c r="P1352" s="112"/>
      <c r="Q1352" s="112"/>
      <c r="R1352" s="112"/>
      <c r="S1352" s="112"/>
      <c r="T1352" s="112"/>
      <c r="U1352" s="112"/>
      <c r="V1352" s="112"/>
      <c r="W1352" s="112"/>
      <c r="X1352" s="112"/>
      <c r="Y1352" s="112"/>
      <c r="Z1352" s="112"/>
      <c r="AA1352" s="112"/>
      <c r="AB1352" s="112"/>
      <c r="AC1352" s="112"/>
      <c r="AD1352" s="112"/>
      <c r="AE1352" s="112"/>
      <c r="AF1352" s="112"/>
      <c r="AG1352" s="112"/>
      <c r="AH1352" s="112"/>
      <c r="AI1352" s="112"/>
      <c r="AJ1352" s="112"/>
      <c r="AK1352" s="112"/>
      <c r="AL1352" s="112"/>
    </row>
    <row r="1353" spans="1:38" s="311" customFormat="1" ht="24.75" customHeight="1">
      <c r="A1353" s="749"/>
      <c r="B1353" s="250" t="s">
        <v>431</v>
      </c>
      <c r="C1353" s="35" t="s">
        <v>427</v>
      </c>
      <c r="D1353" s="269">
        <v>0.15</v>
      </c>
      <c r="E1353" s="118">
        <v>1</v>
      </c>
      <c r="F1353" s="118">
        <v>1</v>
      </c>
      <c r="G1353" s="270">
        <f t="shared" si="52"/>
        <v>1</v>
      </c>
      <c r="H1353" s="111" t="s">
        <v>656</v>
      </c>
      <c r="J1353" s="112"/>
      <c r="K1353" s="112"/>
      <c r="L1353" s="112"/>
      <c r="M1353" s="112"/>
      <c r="N1353" s="112"/>
      <c r="O1353" s="112"/>
      <c r="P1353" s="112"/>
      <c r="Q1353" s="112"/>
      <c r="R1353" s="112"/>
      <c r="S1353" s="112"/>
      <c r="T1353" s="112"/>
      <c r="U1353" s="112"/>
      <c r="V1353" s="112"/>
      <c r="W1353" s="112"/>
      <c r="X1353" s="112"/>
      <c r="Y1353" s="112"/>
      <c r="Z1353" s="112"/>
      <c r="AA1353" s="112"/>
      <c r="AB1353" s="112"/>
      <c r="AC1353" s="112"/>
      <c r="AD1353" s="112"/>
      <c r="AE1353" s="112"/>
      <c r="AF1353" s="112"/>
      <c r="AG1353" s="112"/>
      <c r="AH1353" s="112"/>
      <c r="AI1353" s="112"/>
      <c r="AJ1353" s="112"/>
      <c r="AK1353" s="112"/>
      <c r="AL1353" s="112"/>
    </row>
    <row r="1354" spans="1:38" s="311" customFormat="1" ht="24.75" customHeight="1">
      <c r="A1354" s="749"/>
      <c r="B1354" s="250" t="s">
        <v>432</v>
      </c>
      <c r="C1354" s="35" t="s">
        <v>427</v>
      </c>
      <c r="D1354" s="269">
        <v>0.15</v>
      </c>
      <c r="E1354" s="118">
        <v>370</v>
      </c>
      <c r="F1354" s="118" t="e">
        <f>+[2]INVERSIÓN!$DK$45</f>
        <v>#REF!</v>
      </c>
      <c r="G1354" s="270" t="e">
        <f t="shared" si="52"/>
        <v>#REF!</v>
      </c>
      <c r="H1354" s="111" t="s">
        <v>655</v>
      </c>
      <c r="J1354" s="112"/>
      <c r="K1354" s="112"/>
      <c r="L1354" s="112"/>
      <c r="M1354" s="112"/>
      <c r="N1354" s="112"/>
      <c r="O1354" s="112"/>
      <c r="P1354" s="112"/>
      <c r="Q1354" s="112"/>
      <c r="R1354" s="112"/>
      <c r="S1354" s="112"/>
      <c r="T1354" s="112"/>
      <c r="U1354" s="112"/>
      <c r="V1354" s="112"/>
      <c r="W1354" s="112"/>
      <c r="X1354" s="112"/>
      <c r="Y1354" s="112"/>
      <c r="Z1354" s="112"/>
      <c r="AA1354" s="112"/>
      <c r="AB1354" s="112"/>
      <c r="AC1354" s="112"/>
      <c r="AD1354" s="112"/>
      <c r="AE1354" s="112"/>
      <c r="AF1354" s="112"/>
      <c r="AG1354" s="112"/>
      <c r="AH1354" s="112"/>
      <c r="AI1354" s="112"/>
      <c r="AJ1354" s="112"/>
      <c r="AK1354" s="112"/>
      <c r="AL1354" s="112"/>
    </row>
    <row r="1355" spans="1:38" s="311" customFormat="1" ht="24.75" customHeight="1">
      <c r="A1355" s="750"/>
      <c r="B1355" s="250" t="s">
        <v>433</v>
      </c>
      <c r="C1355" s="35" t="s">
        <v>427</v>
      </c>
      <c r="D1355" s="269">
        <v>0.1</v>
      </c>
      <c r="E1355" s="269">
        <v>1</v>
      </c>
      <c r="F1355" s="270">
        <v>1</v>
      </c>
      <c r="G1355" s="270">
        <f t="shared" si="52"/>
        <v>1</v>
      </c>
      <c r="H1355" s="111" t="s">
        <v>657</v>
      </c>
      <c r="J1355" s="112"/>
      <c r="K1355" s="112"/>
      <c r="L1355" s="112"/>
      <c r="M1355" s="112"/>
      <c r="N1355" s="112"/>
      <c r="O1355" s="112"/>
      <c r="P1355" s="112"/>
      <c r="Q1355" s="112"/>
      <c r="R1355" s="112"/>
      <c r="S1355" s="112"/>
      <c r="T1355" s="112"/>
      <c r="U1355" s="112"/>
      <c r="V1355" s="112"/>
      <c r="W1355" s="112"/>
      <c r="X1355" s="112"/>
      <c r="Y1355" s="112"/>
      <c r="Z1355" s="112"/>
      <c r="AA1355" s="112"/>
      <c r="AB1355" s="112"/>
      <c r="AC1355" s="112"/>
      <c r="AD1355" s="112"/>
      <c r="AE1355" s="112"/>
      <c r="AF1355" s="112"/>
      <c r="AG1355" s="112"/>
      <c r="AH1355" s="112"/>
      <c r="AI1355" s="112"/>
      <c r="AJ1355" s="112"/>
      <c r="AK1355" s="112"/>
      <c r="AL1355" s="112"/>
    </row>
    <row r="1356" spans="1:38" s="311" customFormat="1" ht="24.75" customHeight="1">
      <c r="A1356" s="748" t="s">
        <v>137</v>
      </c>
      <c r="B1356" s="250" t="s">
        <v>426</v>
      </c>
      <c r="C1356" s="35" t="s">
        <v>427</v>
      </c>
      <c r="D1356" s="269">
        <v>0.15</v>
      </c>
      <c r="E1356" s="251">
        <v>20</v>
      </c>
      <c r="F1356" s="251">
        <v>20</v>
      </c>
      <c r="G1356" s="270">
        <f t="shared" si="52"/>
        <v>1</v>
      </c>
      <c r="H1356" s="111" t="s">
        <v>662</v>
      </c>
      <c r="J1356" s="112"/>
      <c r="K1356" s="112"/>
      <c r="L1356" s="112"/>
      <c r="M1356" s="112"/>
      <c r="N1356" s="112"/>
      <c r="O1356" s="112"/>
      <c r="P1356" s="112"/>
      <c r="Q1356" s="112"/>
      <c r="R1356" s="112"/>
      <c r="S1356" s="112"/>
      <c r="T1356" s="112"/>
      <c r="U1356" s="112"/>
      <c r="V1356" s="112"/>
      <c r="W1356" s="112"/>
      <c r="X1356" s="112"/>
      <c r="Y1356" s="112"/>
      <c r="Z1356" s="112"/>
      <c r="AA1356" s="112"/>
      <c r="AB1356" s="112"/>
      <c r="AC1356" s="112"/>
      <c r="AD1356" s="112"/>
      <c r="AE1356" s="112"/>
      <c r="AF1356" s="112"/>
      <c r="AG1356" s="112"/>
      <c r="AH1356" s="112"/>
      <c r="AI1356" s="112"/>
      <c r="AJ1356" s="112"/>
      <c r="AK1356" s="112"/>
      <c r="AL1356" s="112"/>
    </row>
    <row r="1357" spans="1:38" s="311" customFormat="1" ht="24.75" customHeight="1">
      <c r="A1357" s="749"/>
      <c r="B1357" s="250" t="s">
        <v>428</v>
      </c>
      <c r="C1357" s="35" t="s">
        <v>427</v>
      </c>
      <c r="D1357" s="269">
        <v>0.15</v>
      </c>
      <c r="E1357" s="118">
        <v>7</v>
      </c>
      <c r="F1357" s="118" t="e">
        <f>+[2]INVERSIÓN!$DK$17</f>
        <v>#REF!</v>
      </c>
      <c r="G1357" s="270" t="e">
        <f t="shared" si="52"/>
        <v>#REF!</v>
      </c>
      <c r="H1357" s="111" t="s">
        <v>663</v>
      </c>
      <c r="J1357" s="112"/>
      <c r="K1357" s="112"/>
      <c r="L1357" s="112"/>
      <c r="M1357" s="112"/>
      <c r="N1357" s="112"/>
      <c r="O1357" s="112"/>
      <c r="P1357" s="112"/>
      <c r="Q1357" s="112"/>
      <c r="R1357" s="112"/>
      <c r="S1357" s="112"/>
      <c r="T1357" s="112"/>
      <c r="U1357" s="112"/>
      <c r="V1357" s="112"/>
      <c r="W1357" s="112"/>
      <c r="X1357" s="112"/>
      <c r="Y1357" s="112"/>
      <c r="Z1357" s="112"/>
      <c r="AA1357" s="112"/>
      <c r="AB1357" s="112"/>
      <c r="AC1357" s="112"/>
      <c r="AD1357" s="112"/>
      <c r="AE1357" s="112"/>
      <c r="AF1357" s="112"/>
      <c r="AG1357" s="112"/>
      <c r="AH1357" s="112"/>
      <c r="AI1357" s="112"/>
      <c r="AJ1357" s="112"/>
      <c r="AK1357" s="112"/>
      <c r="AL1357" s="112"/>
    </row>
    <row r="1358" spans="1:38" s="311" customFormat="1" ht="24.75" customHeight="1">
      <c r="A1358" s="749"/>
      <c r="B1358" s="250" t="s">
        <v>429</v>
      </c>
      <c r="C1358" s="35" t="s">
        <v>427</v>
      </c>
      <c r="D1358" s="269">
        <v>0.15</v>
      </c>
      <c r="E1358" s="118">
        <v>2</v>
      </c>
      <c r="F1358" s="118" t="e">
        <f>+[2]INVERSIÓN!$DK$24</f>
        <v>#REF!</v>
      </c>
      <c r="G1358" s="270" t="e">
        <f t="shared" si="52"/>
        <v>#REF!</v>
      </c>
      <c r="H1358" s="111" t="s">
        <v>664</v>
      </c>
      <c r="J1358" s="112"/>
      <c r="K1358" s="112"/>
      <c r="L1358" s="112"/>
      <c r="M1358" s="112"/>
      <c r="N1358" s="112"/>
      <c r="O1358" s="112"/>
      <c r="P1358" s="112"/>
      <c r="Q1358" s="112"/>
      <c r="R1358" s="112"/>
      <c r="S1358" s="112"/>
      <c r="T1358" s="112"/>
      <c r="U1358" s="112"/>
      <c r="V1358" s="112"/>
      <c r="W1358" s="112"/>
      <c r="X1358" s="112"/>
      <c r="Y1358" s="112"/>
      <c r="Z1358" s="112"/>
      <c r="AA1358" s="112"/>
      <c r="AB1358" s="112"/>
      <c r="AC1358" s="112"/>
      <c r="AD1358" s="112"/>
      <c r="AE1358" s="112"/>
      <c r="AF1358" s="112"/>
      <c r="AG1358" s="112"/>
      <c r="AH1358" s="112"/>
      <c r="AI1358" s="112"/>
      <c r="AJ1358" s="112"/>
      <c r="AK1358" s="112"/>
      <c r="AL1358" s="112"/>
    </row>
    <row r="1359" spans="1:38" s="311" customFormat="1" ht="24.75" customHeight="1">
      <c r="A1359" s="749"/>
      <c r="B1359" s="250" t="s">
        <v>430</v>
      </c>
      <c r="C1359" s="35" t="s">
        <v>427</v>
      </c>
      <c r="D1359" s="269">
        <v>0.15</v>
      </c>
      <c r="E1359" s="119">
        <v>1385</v>
      </c>
      <c r="F1359" s="118">
        <v>115</v>
      </c>
      <c r="G1359" s="270">
        <f t="shared" si="52"/>
        <v>8.3032490974729242E-2</v>
      </c>
      <c r="H1359" s="111" t="s">
        <v>660</v>
      </c>
      <c r="J1359" s="112"/>
      <c r="K1359" s="112"/>
      <c r="L1359" s="112"/>
      <c r="M1359" s="112"/>
      <c r="N1359" s="112"/>
      <c r="O1359" s="112"/>
      <c r="P1359" s="112"/>
      <c r="Q1359" s="112"/>
      <c r="R1359" s="112"/>
      <c r="S1359" s="112"/>
      <c r="T1359" s="112"/>
      <c r="U1359" s="112"/>
      <c r="V1359" s="112"/>
      <c r="W1359" s="112"/>
      <c r="X1359" s="112"/>
      <c r="Y1359" s="112"/>
      <c r="Z1359" s="112"/>
      <c r="AA1359" s="112"/>
      <c r="AB1359" s="112"/>
      <c r="AC1359" s="112"/>
      <c r="AD1359" s="112"/>
      <c r="AE1359" s="112"/>
      <c r="AF1359" s="112"/>
      <c r="AG1359" s="112"/>
      <c r="AH1359" s="112"/>
      <c r="AI1359" s="112"/>
      <c r="AJ1359" s="112"/>
      <c r="AK1359" s="112"/>
      <c r="AL1359" s="112"/>
    </row>
    <row r="1360" spans="1:38" s="311" customFormat="1" ht="24.75" customHeight="1">
      <c r="A1360" s="749"/>
      <c r="B1360" s="250" t="s">
        <v>431</v>
      </c>
      <c r="C1360" s="35" t="s">
        <v>427</v>
      </c>
      <c r="D1360" s="269">
        <v>0.15</v>
      </c>
      <c r="E1360" s="118">
        <v>1</v>
      </c>
      <c r="F1360" s="118">
        <v>1</v>
      </c>
      <c r="G1360" s="270">
        <f t="shared" si="52"/>
        <v>1</v>
      </c>
      <c r="H1360" s="111" t="s">
        <v>661</v>
      </c>
      <c r="J1360" s="112"/>
      <c r="K1360" s="112"/>
      <c r="L1360" s="112"/>
      <c r="M1360" s="112"/>
      <c r="N1360" s="112"/>
      <c r="O1360" s="112"/>
      <c r="P1360" s="112"/>
      <c r="Q1360" s="112"/>
      <c r="R1360" s="112"/>
      <c r="S1360" s="112"/>
      <c r="T1360" s="112"/>
      <c r="U1360" s="112"/>
      <c r="V1360" s="112"/>
      <c r="W1360" s="112"/>
      <c r="X1360" s="112"/>
      <c r="Y1360" s="112"/>
      <c r="Z1360" s="112"/>
      <c r="AA1360" s="112"/>
      <c r="AB1360" s="112"/>
      <c r="AC1360" s="112"/>
      <c r="AD1360" s="112"/>
      <c r="AE1360" s="112"/>
      <c r="AF1360" s="112"/>
      <c r="AG1360" s="112"/>
      <c r="AH1360" s="112"/>
      <c r="AI1360" s="112"/>
      <c r="AJ1360" s="112"/>
      <c r="AK1360" s="112"/>
      <c r="AL1360" s="112"/>
    </row>
    <row r="1361" spans="1:38" s="311" customFormat="1" ht="24.75" customHeight="1">
      <c r="A1361" s="749"/>
      <c r="B1361" s="250" t="s">
        <v>432</v>
      </c>
      <c r="C1361" s="35" t="s">
        <v>427</v>
      </c>
      <c r="D1361" s="269">
        <v>0.15</v>
      </c>
      <c r="E1361" s="118">
        <v>370</v>
      </c>
      <c r="F1361" s="118" t="e">
        <f>+[2]INVERSIÓN!$DK$45</f>
        <v>#REF!</v>
      </c>
      <c r="G1361" s="270" t="e">
        <f t="shared" si="52"/>
        <v>#REF!</v>
      </c>
      <c r="H1361" s="111" t="s">
        <v>659</v>
      </c>
      <c r="J1361" s="112"/>
      <c r="K1361" s="112"/>
      <c r="L1361" s="112"/>
      <c r="M1361" s="112"/>
      <c r="N1361" s="112"/>
      <c r="O1361" s="112"/>
      <c r="P1361" s="112"/>
      <c r="Q1361" s="112"/>
      <c r="R1361" s="112"/>
      <c r="S1361" s="112"/>
      <c r="T1361" s="112"/>
      <c r="U1361" s="112"/>
      <c r="V1361" s="112"/>
      <c r="W1361" s="112"/>
      <c r="X1361" s="112"/>
      <c r="Y1361" s="112"/>
      <c r="Z1361" s="112"/>
      <c r="AA1361" s="112"/>
      <c r="AB1361" s="112"/>
      <c r="AC1361" s="112"/>
      <c r="AD1361" s="112"/>
      <c r="AE1361" s="112"/>
      <c r="AF1361" s="112"/>
      <c r="AG1361" s="112"/>
      <c r="AH1361" s="112"/>
      <c r="AI1361" s="112"/>
      <c r="AJ1361" s="112"/>
      <c r="AK1361" s="112"/>
      <c r="AL1361" s="112"/>
    </row>
    <row r="1362" spans="1:38" s="311" customFormat="1" ht="24.75" customHeight="1">
      <c r="A1362" s="750"/>
      <c r="B1362" s="250" t="s">
        <v>433</v>
      </c>
      <c r="C1362" s="35" t="s">
        <v>427</v>
      </c>
      <c r="D1362" s="269">
        <v>0.1</v>
      </c>
      <c r="E1362" s="269">
        <v>1</v>
      </c>
      <c r="F1362" s="270">
        <v>1</v>
      </c>
      <c r="G1362" s="270">
        <f t="shared" si="52"/>
        <v>1</v>
      </c>
      <c r="H1362" s="111" t="s">
        <v>665</v>
      </c>
      <c r="J1362" s="112"/>
      <c r="K1362" s="112"/>
      <c r="L1362" s="112"/>
      <c r="M1362" s="112"/>
      <c r="N1362" s="112"/>
      <c r="O1362" s="112"/>
      <c r="P1362" s="112"/>
      <c r="Q1362" s="112"/>
      <c r="R1362" s="112"/>
      <c r="S1362" s="112"/>
      <c r="T1362" s="112"/>
      <c r="U1362" s="112"/>
      <c r="V1362" s="112"/>
      <c r="W1362" s="112"/>
      <c r="X1362" s="112"/>
      <c r="Y1362" s="112"/>
      <c r="Z1362" s="112"/>
      <c r="AA1362" s="112"/>
      <c r="AB1362" s="112"/>
      <c r="AC1362" s="112"/>
      <c r="AD1362" s="112"/>
      <c r="AE1362" s="112"/>
      <c r="AF1362" s="112"/>
      <c r="AG1362" s="112"/>
      <c r="AH1362" s="112"/>
      <c r="AI1362" s="112"/>
      <c r="AJ1362" s="112"/>
      <c r="AK1362" s="112"/>
      <c r="AL1362" s="112"/>
    </row>
    <row r="1363" spans="1:38" s="311" customFormat="1" ht="24.75" customHeight="1">
      <c r="A1363" s="748" t="s">
        <v>138</v>
      </c>
      <c r="B1363" s="250" t="s">
        <v>426</v>
      </c>
      <c r="C1363" s="35" t="s">
        <v>427</v>
      </c>
      <c r="D1363" s="269">
        <v>0.15</v>
      </c>
      <c r="E1363" s="251">
        <v>20</v>
      </c>
      <c r="F1363" s="251">
        <v>20</v>
      </c>
      <c r="G1363" s="270">
        <f t="shared" si="52"/>
        <v>1</v>
      </c>
      <c r="H1363" s="111" t="s">
        <v>669</v>
      </c>
      <c r="J1363" s="112"/>
      <c r="K1363" s="112"/>
      <c r="L1363" s="112"/>
      <c r="M1363" s="112"/>
      <c r="N1363" s="112"/>
      <c r="O1363" s="112"/>
      <c r="P1363" s="112"/>
      <c r="Q1363" s="112"/>
      <c r="R1363" s="112"/>
      <c r="S1363" s="112"/>
      <c r="T1363" s="112"/>
      <c r="U1363" s="112"/>
      <c r="V1363" s="112"/>
      <c r="W1363" s="112"/>
      <c r="X1363" s="112"/>
      <c r="Y1363" s="112"/>
      <c r="Z1363" s="112"/>
      <c r="AA1363" s="112"/>
      <c r="AB1363" s="112"/>
      <c r="AC1363" s="112"/>
      <c r="AD1363" s="112"/>
      <c r="AE1363" s="112"/>
      <c r="AF1363" s="112"/>
      <c r="AG1363" s="112"/>
      <c r="AH1363" s="112"/>
      <c r="AI1363" s="112"/>
      <c r="AJ1363" s="112"/>
      <c r="AK1363" s="112"/>
      <c r="AL1363" s="112"/>
    </row>
    <row r="1364" spans="1:38" s="311" customFormat="1" ht="24.75" customHeight="1">
      <c r="A1364" s="749"/>
      <c r="B1364" s="250" t="s">
        <v>428</v>
      </c>
      <c r="C1364" s="35" t="s">
        <v>427</v>
      </c>
      <c r="D1364" s="269">
        <v>0.15</v>
      </c>
      <c r="E1364" s="118">
        <v>7</v>
      </c>
      <c r="F1364" s="118" t="e">
        <f>+[2]INVERSIÓN!$DK$17</f>
        <v>#REF!</v>
      </c>
      <c r="G1364" s="270" t="e">
        <f t="shared" si="52"/>
        <v>#REF!</v>
      </c>
      <c r="H1364" s="111" t="s">
        <v>670</v>
      </c>
      <c r="J1364" s="112"/>
      <c r="K1364" s="112"/>
      <c r="L1364" s="112"/>
      <c r="M1364" s="112"/>
      <c r="N1364" s="112"/>
      <c r="O1364" s="112"/>
      <c r="P1364" s="112"/>
      <c r="Q1364" s="112"/>
      <c r="R1364" s="112"/>
      <c r="S1364" s="112"/>
      <c r="T1364" s="112"/>
      <c r="U1364" s="112"/>
      <c r="V1364" s="112"/>
      <c r="W1364" s="112"/>
      <c r="X1364" s="112"/>
      <c r="Y1364" s="112"/>
      <c r="Z1364" s="112"/>
      <c r="AA1364" s="112"/>
      <c r="AB1364" s="112"/>
      <c r="AC1364" s="112"/>
      <c r="AD1364" s="112"/>
      <c r="AE1364" s="112"/>
      <c r="AF1364" s="112"/>
      <c r="AG1364" s="112"/>
      <c r="AH1364" s="112"/>
      <c r="AI1364" s="112"/>
      <c r="AJ1364" s="112"/>
      <c r="AK1364" s="112"/>
      <c r="AL1364" s="112"/>
    </row>
    <row r="1365" spans="1:38" s="311" customFormat="1" ht="24.75" customHeight="1">
      <c r="A1365" s="749"/>
      <c r="B1365" s="250" t="s">
        <v>429</v>
      </c>
      <c r="C1365" s="35" t="s">
        <v>427</v>
      </c>
      <c r="D1365" s="269">
        <v>0.15</v>
      </c>
      <c r="E1365" s="118">
        <v>2</v>
      </c>
      <c r="F1365" s="118" t="e">
        <f>+[2]INVERSIÓN!$DK$24</f>
        <v>#REF!</v>
      </c>
      <c r="G1365" s="270" t="e">
        <f t="shared" si="52"/>
        <v>#REF!</v>
      </c>
      <c r="H1365" s="111" t="s">
        <v>671</v>
      </c>
      <c r="J1365" s="112"/>
      <c r="K1365" s="112"/>
      <c r="L1365" s="112"/>
      <c r="M1365" s="112"/>
      <c r="N1365" s="112"/>
      <c r="O1365" s="112"/>
      <c r="P1365" s="112"/>
      <c r="Q1365" s="112"/>
      <c r="R1365" s="112"/>
      <c r="S1365" s="112"/>
      <c r="T1365" s="112"/>
      <c r="U1365" s="112"/>
      <c r="V1365" s="112"/>
      <c r="W1365" s="112"/>
      <c r="X1365" s="112"/>
      <c r="Y1365" s="112"/>
      <c r="Z1365" s="112"/>
      <c r="AA1365" s="112"/>
      <c r="AB1365" s="112"/>
      <c r="AC1365" s="112"/>
      <c r="AD1365" s="112"/>
      <c r="AE1365" s="112"/>
      <c r="AF1365" s="112"/>
      <c r="AG1365" s="112"/>
      <c r="AH1365" s="112"/>
      <c r="AI1365" s="112"/>
      <c r="AJ1365" s="112"/>
      <c r="AK1365" s="112"/>
      <c r="AL1365" s="112"/>
    </row>
    <row r="1366" spans="1:38" s="311" customFormat="1" ht="24.75" customHeight="1">
      <c r="A1366" s="749"/>
      <c r="B1366" s="250" t="s">
        <v>430</v>
      </c>
      <c r="C1366" s="35" t="s">
        <v>427</v>
      </c>
      <c r="D1366" s="269">
        <v>0.15</v>
      </c>
      <c r="E1366" s="119">
        <v>1385</v>
      </c>
      <c r="F1366" s="118">
        <v>135</v>
      </c>
      <c r="G1366" s="270">
        <f t="shared" si="52"/>
        <v>9.7472924187725629E-2</v>
      </c>
      <c r="H1366" s="111" t="s">
        <v>668</v>
      </c>
      <c r="J1366" s="112"/>
      <c r="K1366" s="112"/>
      <c r="L1366" s="112"/>
      <c r="M1366" s="112"/>
      <c r="N1366" s="112"/>
      <c r="O1366" s="112"/>
      <c r="P1366" s="112"/>
      <c r="Q1366" s="112"/>
      <c r="R1366" s="112"/>
      <c r="S1366" s="112"/>
      <c r="T1366" s="112"/>
      <c r="U1366" s="112"/>
      <c r="V1366" s="112"/>
      <c r="W1366" s="112"/>
      <c r="X1366" s="112"/>
      <c r="Y1366" s="112"/>
      <c r="Z1366" s="112"/>
      <c r="AA1366" s="112"/>
      <c r="AB1366" s="112"/>
      <c r="AC1366" s="112"/>
      <c r="AD1366" s="112"/>
      <c r="AE1366" s="112"/>
      <c r="AF1366" s="112"/>
      <c r="AG1366" s="112"/>
      <c r="AH1366" s="112"/>
      <c r="AI1366" s="112"/>
      <c r="AJ1366" s="112"/>
      <c r="AK1366" s="112"/>
      <c r="AL1366" s="112"/>
    </row>
    <row r="1367" spans="1:38" s="311" customFormat="1" ht="24.75" customHeight="1">
      <c r="A1367" s="749"/>
      <c r="B1367" s="250" t="s">
        <v>431</v>
      </c>
      <c r="C1367" s="35" t="s">
        <v>427</v>
      </c>
      <c r="D1367" s="269">
        <v>0.15</v>
      </c>
      <c r="E1367" s="118">
        <v>1</v>
      </c>
      <c r="F1367" s="118">
        <v>1</v>
      </c>
      <c r="G1367" s="270">
        <f t="shared" si="52"/>
        <v>1</v>
      </c>
      <c r="H1367" s="111" t="s">
        <v>666</v>
      </c>
      <c r="J1367" s="112"/>
      <c r="K1367" s="112"/>
      <c r="L1367" s="112"/>
      <c r="M1367" s="112"/>
      <c r="N1367" s="112"/>
      <c r="O1367" s="112"/>
      <c r="P1367" s="112"/>
      <c r="Q1367" s="112"/>
      <c r="R1367" s="112"/>
      <c r="S1367" s="112"/>
      <c r="T1367" s="112"/>
      <c r="U1367" s="112"/>
      <c r="V1367" s="112"/>
      <c r="W1367" s="112"/>
      <c r="X1367" s="112"/>
      <c r="Y1367" s="112"/>
      <c r="Z1367" s="112"/>
      <c r="AA1367" s="112"/>
      <c r="AB1367" s="112"/>
      <c r="AC1367" s="112"/>
      <c r="AD1367" s="112"/>
      <c r="AE1367" s="112"/>
      <c r="AF1367" s="112"/>
      <c r="AG1367" s="112"/>
      <c r="AH1367" s="112"/>
      <c r="AI1367" s="112"/>
      <c r="AJ1367" s="112"/>
      <c r="AK1367" s="112"/>
      <c r="AL1367" s="112"/>
    </row>
    <row r="1368" spans="1:38" s="311" customFormat="1" ht="24.75" customHeight="1">
      <c r="A1368" s="749"/>
      <c r="B1368" s="250" t="s">
        <v>432</v>
      </c>
      <c r="C1368" s="35" t="s">
        <v>427</v>
      </c>
      <c r="D1368" s="269">
        <v>0.15</v>
      </c>
      <c r="E1368" s="118">
        <v>370</v>
      </c>
      <c r="F1368" s="118" t="e">
        <f>+[2]INVERSIÓN!$DK$45</f>
        <v>#REF!</v>
      </c>
      <c r="G1368" s="270" t="e">
        <f t="shared" si="52"/>
        <v>#REF!</v>
      </c>
      <c r="H1368" s="111" t="s">
        <v>667</v>
      </c>
      <c r="J1368" s="112"/>
      <c r="K1368" s="112"/>
      <c r="L1368" s="112"/>
      <c r="M1368" s="112"/>
      <c r="N1368" s="112"/>
      <c r="O1368" s="112"/>
      <c r="P1368" s="112"/>
      <c r="Q1368" s="112"/>
      <c r="R1368" s="112"/>
      <c r="S1368" s="112"/>
      <c r="T1368" s="112"/>
      <c r="U1368" s="112"/>
      <c r="V1368" s="112"/>
      <c r="W1368" s="112"/>
      <c r="X1368" s="112"/>
      <c r="Y1368" s="112"/>
      <c r="Z1368" s="112"/>
      <c r="AA1368" s="112"/>
      <c r="AB1368" s="112"/>
      <c r="AC1368" s="112"/>
      <c r="AD1368" s="112"/>
      <c r="AE1368" s="112"/>
      <c r="AF1368" s="112"/>
      <c r="AG1368" s="112"/>
      <c r="AH1368" s="112"/>
      <c r="AI1368" s="112"/>
      <c r="AJ1368" s="112"/>
      <c r="AK1368" s="112"/>
      <c r="AL1368" s="112"/>
    </row>
    <row r="1369" spans="1:38" s="311" customFormat="1" ht="24.75" customHeight="1">
      <c r="A1369" s="750"/>
      <c r="B1369" s="250" t="s">
        <v>433</v>
      </c>
      <c r="C1369" s="35" t="s">
        <v>427</v>
      </c>
      <c r="D1369" s="269">
        <v>0.1</v>
      </c>
      <c r="E1369" s="269">
        <v>1</v>
      </c>
      <c r="F1369" s="270">
        <v>1</v>
      </c>
      <c r="G1369" s="270">
        <f t="shared" si="52"/>
        <v>1</v>
      </c>
      <c r="H1369" s="111" t="s">
        <v>672</v>
      </c>
      <c r="J1369" s="112"/>
      <c r="K1369" s="112"/>
      <c r="L1369" s="112"/>
      <c r="M1369" s="112"/>
      <c r="N1369" s="112"/>
      <c r="O1369" s="112"/>
      <c r="P1369" s="112"/>
      <c r="Q1369" s="112"/>
      <c r="R1369" s="112"/>
      <c r="S1369" s="112"/>
      <c r="T1369" s="112"/>
      <c r="U1369" s="112"/>
      <c r="V1369" s="112"/>
      <c r="W1369" s="112"/>
      <c r="X1369" s="112"/>
      <c r="Y1369" s="112"/>
      <c r="Z1369" s="112"/>
      <c r="AA1369" s="112"/>
      <c r="AB1369" s="112"/>
      <c r="AC1369" s="112"/>
      <c r="AD1369" s="112"/>
      <c r="AE1369" s="112"/>
      <c r="AF1369" s="112"/>
      <c r="AG1369" s="112"/>
      <c r="AH1369" s="112"/>
      <c r="AI1369" s="112"/>
      <c r="AJ1369" s="112"/>
      <c r="AK1369" s="112"/>
      <c r="AL1369" s="112"/>
    </row>
    <row r="1370" spans="1:38" s="311" customFormat="1" ht="24.75" customHeight="1">
      <c r="A1370" s="748" t="s">
        <v>139</v>
      </c>
      <c r="B1370" s="250" t="s">
        <v>426</v>
      </c>
      <c r="C1370" s="35" t="s">
        <v>427</v>
      </c>
      <c r="D1370" s="270">
        <v>0.15</v>
      </c>
      <c r="E1370" s="251">
        <v>20</v>
      </c>
      <c r="F1370" s="251">
        <v>20</v>
      </c>
      <c r="G1370" s="270">
        <f>F1370/E1370</f>
        <v>1</v>
      </c>
      <c r="H1370" s="111" t="s">
        <v>673</v>
      </c>
      <c r="J1370" s="112"/>
      <c r="K1370" s="112"/>
      <c r="L1370" s="112"/>
      <c r="M1370" s="112"/>
      <c r="N1370" s="112"/>
      <c r="O1370" s="112"/>
      <c r="P1370" s="112"/>
      <c r="Q1370" s="112"/>
      <c r="R1370" s="112"/>
      <c r="S1370" s="112"/>
      <c r="T1370" s="112"/>
      <c r="U1370" s="112"/>
      <c r="V1370" s="112"/>
      <c r="W1370" s="112"/>
      <c r="X1370" s="112"/>
      <c r="Y1370" s="112"/>
      <c r="Z1370" s="112"/>
      <c r="AA1370" s="112"/>
      <c r="AB1370" s="112"/>
      <c r="AC1370" s="112"/>
      <c r="AD1370" s="112"/>
      <c r="AE1370" s="112"/>
      <c r="AF1370" s="112"/>
      <c r="AG1370" s="112"/>
      <c r="AH1370" s="112"/>
      <c r="AI1370" s="112"/>
      <c r="AJ1370" s="112"/>
      <c r="AK1370" s="112"/>
      <c r="AL1370" s="112"/>
    </row>
    <row r="1371" spans="1:38" s="311" customFormat="1" ht="24.75" customHeight="1">
      <c r="A1371" s="749"/>
      <c r="B1371" s="250" t="s">
        <v>428</v>
      </c>
      <c r="C1371" s="35" t="s">
        <v>427</v>
      </c>
      <c r="D1371" s="270">
        <v>0.15</v>
      </c>
      <c r="E1371" s="118">
        <v>7</v>
      </c>
      <c r="F1371" s="118" t="e">
        <f>+[2]INVERSIÓN!$DK$17</f>
        <v>#REF!</v>
      </c>
      <c r="G1371" s="270" t="e">
        <f t="shared" ref="G1371:G1376" si="53">F1371/E1371</f>
        <v>#REF!</v>
      </c>
      <c r="H1371" s="111" t="s">
        <v>691</v>
      </c>
      <c r="J1371" s="112"/>
      <c r="K1371" s="112"/>
      <c r="L1371" s="112"/>
      <c r="M1371" s="112"/>
      <c r="N1371" s="112"/>
      <c r="O1371" s="112"/>
      <c r="P1371" s="112"/>
      <c r="Q1371" s="112"/>
      <c r="R1371" s="112"/>
      <c r="S1371" s="112"/>
      <c r="T1371" s="112"/>
      <c r="U1371" s="112"/>
      <c r="V1371" s="112"/>
      <c r="W1371" s="112"/>
      <c r="X1371" s="112"/>
      <c r="Y1371" s="112"/>
      <c r="Z1371" s="112"/>
      <c r="AA1371" s="112"/>
      <c r="AB1371" s="112"/>
      <c r="AC1371" s="112"/>
      <c r="AD1371" s="112"/>
      <c r="AE1371" s="112"/>
      <c r="AF1371" s="112"/>
      <c r="AG1371" s="112"/>
      <c r="AH1371" s="112"/>
      <c r="AI1371" s="112"/>
      <c r="AJ1371" s="112"/>
      <c r="AK1371" s="112"/>
      <c r="AL1371" s="112"/>
    </row>
    <row r="1372" spans="1:38" s="311" customFormat="1" ht="24.75" customHeight="1">
      <c r="A1372" s="749"/>
      <c r="B1372" s="250" t="s">
        <v>429</v>
      </c>
      <c r="C1372" s="35" t="s">
        <v>427</v>
      </c>
      <c r="D1372" s="270">
        <v>0.15</v>
      </c>
      <c r="E1372" s="118">
        <v>2</v>
      </c>
      <c r="F1372" s="118" t="e">
        <f>+[2]INVERSIÓN!$DK$24</f>
        <v>#REF!</v>
      </c>
      <c r="G1372" s="270" t="e">
        <f t="shared" si="53"/>
        <v>#REF!</v>
      </c>
      <c r="H1372" s="111" t="s">
        <v>690</v>
      </c>
      <c r="J1372" s="112"/>
      <c r="K1372" s="112"/>
      <c r="L1372" s="112"/>
      <c r="M1372" s="112"/>
      <c r="N1372" s="112"/>
      <c r="O1372" s="112"/>
      <c r="P1372" s="112"/>
      <c r="Q1372" s="112"/>
      <c r="R1372" s="112"/>
      <c r="S1372" s="112"/>
      <c r="T1372" s="112"/>
      <c r="U1372" s="112"/>
      <c r="V1372" s="112"/>
      <c r="W1372" s="112"/>
      <c r="X1372" s="112"/>
      <c r="Y1372" s="112"/>
      <c r="Z1372" s="112"/>
      <c r="AA1372" s="112"/>
      <c r="AB1372" s="112"/>
      <c r="AC1372" s="112"/>
      <c r="AD1372" s="112"/>
      <c r="AE1372" s="112"/>
      <c r="AF1372" s="112"/>
      <c r="AG1372" s="112"/>
      <c r="AH1372" s="112"/>
      <c r="AI1372" s="112"/>
      <c r="AJ1372" s="112"/>
      <c r="AK1372" s="112"/>
      <c r="AL1372" s="112"/>
    </row>
    <row r="1373" spans="1:38" s="311" customFormat="1" ht="24.75" customHeight="1">
      <c r="A1373" s="749"/>
      <c r="B1373" s="250" t="s">
        <v>430</v>
      </c>
      <c r="C1373" s="35" t="s">
        <v>427</v>
      </c>
      <c r="D1373" s="270">
        <v>0.15</v>
      </c>
      <c r="E1373" s="119">
        <v>1385</v>
      </c>
      <c r="F1373" s="118">
        <v>410</v>
      </c>
      <c r="G1373" s="270">
        <f t="shared" si="53"/>
        <v>0.29602888086642598</v>
      </c>
      <c r="H1373" s="111" t="s">
        <v>689</v>
      </c>
      <c r="J1373" s="112"/>
      <c r="K1373" s="112"/>
      <c r="L1373" s="112"/>
      <c r="M1373" s="112"/>
      <c r="N1373" s="112"/>
      <c r="O1373" s="112"/>
      <c r="P1373" s="112"/>
      <c r="Q1373" s="112"/>
      <c r="R1373" s="112"/>
      <c r="S1373" s="112"/>
      <c r="T1373" s="112"/>
      <c r="U1373" s="112"/>
      <c r="V1373" s="112"/>
      <c r="W1373" s="112"/>
      <c r="X1373" s="112"/>
      <c r="Y1373" s="112"/>
      <c r="Z1373" s="112"/>
      <c r="AA1373" s="112"/>
      <c r="AB1373" s="112"/>
      <c r="AC1373" s="112"/>
      <c r="AD1373" s="112"/>
      <c r="AE1373" s="112"/>
      <c r="AF1373" s="112"/>
      <c r="AG1373" s="112"/>
      <c r="AH1373" s="112"/>
      <c r="AI1373" s="112"/>
      <c r="AJ1373" s="112"/>
      <c r="AK1373" s="112"/>
      <c r="AL1373" s="112"/>
    </row>
    <row r="1374" spans="1:38" s="311" customFormat="1" ht="24.75" customHeight="1">
      <c r="A1374" s="749"/>
      <c r="B1374" s="250" t="s">
        <v>431</v>
      </c>
      <c r="C1374" s="35" t="s">
        <v>427</v>
      </c>
      <c r="D1374" s="270">
        <v>0.15</v>
      </c>
      <c r="E1374" s="118">
        <v>1</v>
      </c>
      <c r="F1374" s="118">
        <v>1</v>
      </c>
      <c r="G1374" s="270">
        <f t="shared" si="53"/>
        <v>1</v>
      </c>
      <c r="H1374" s="111" t="s">
        <v>692</v>
      </c>
      <c r="J1374" s="112"/>
      <c r="K1374" s="112"/>
      <c r="L1374" s="112"/>
      <c r="M1374" s="112"/>
      <c r="N1374" s="112"/>
      <c r="O1374" s="112"/>
      <c r="P1374" s="112"/>
      <c r="Q1374" s="112"/>
      <c r="R1374" s="112"/>
      <c r="S1374" s="112"/>
      <c r="T1374" s="112"/>
      <c r="U1374" s="112"/>
      <c r="V1374" s="112"/>
      <c r="W1374" s="112"/>
      <c r="X1374" s="112"/>
      <c r="Y1374" s="112"/>
      <c r="Z1374" s="112"/>
      <c r="AA1374" s="112"/>
      <c r="AB1374" s="112"/>
      <c r="AC1374" s="112"/>
      <c r="AD1374" s="112"/>
      <c r="AE1374" s="112"/>
      <c r="AF1374" s="112"/>
      <c r="AG1374" s="112"/>
      <c r="AH1374" s="112"/>
      <c r="AI1374" s="112"/>
      <c r="AJ1374" s="112"/>
      <c r="AK1374" s="112"/>
      <c r="AL1374" s="112"/>
    </row>
    <row r="1375" spans="1:38" s="311" customFormat="1" ht="24.75" customHeight="1">
      <c r="A1375" s="749"/>
      <c r="B1375" s="250" t="s">
        <v>432</v>
      </c>
      <c r="C1375" s="35" t="s">
        <v>427</v>
      </c>
      <c r="D1375" s="270">
        <v>0.15</v>
      </c>
      <c r="E1375" s="118">
        <v>370</v>
      </c>
      <c r="F1375" s="118" t="e">
        <f>+[2]INVERSIÓN!$DK$45</f>
        <v>#REF!</v>
      </c>
      <c r="G1375" s="270" t="e">
        <f t="shared" si="53"/>
        <v>#REF!</v>
      </c>
      <c r="H1375" s="111" t="s">
        <v>688</v>
      </c>
      <c r="J1375" s="112"/>
      <c r="K1375" s="112"/>
      <c r="L1375" s="112"/>
      <c r="M1375" s="112"/>
      <c r="N1375" s="112"/>
      <c r="O1375" s="112"/>
      <c r="P1375" s="112"/>
      <c r="Q1375" s="112"/>
      <c r="R1375" s="112"/>
      <c r="S1375" s="112"/>
      <c r="T1375" s="112"/>
      <c r="U1375" s="112"/>
      <c r="V1375" s="112"/>
      <c r="W1375" s="112"/>
      <c r="X1375" s="112"/>
      <c r="Y1375" s="112"/>
      <c r="Z1375" s="112"/>
      <c r="AA1375" s="112"/>
      <c r="AB1375" s="112"/>
      <c r="AC1375" s="112"/>
      <c r="AD1375" s="112"/>
      <c r="AE1375" s="112"/>
      <c r="AF1375" s="112"/>
      <c r="AG1375" s="112"/>
      <c r="AH1375" s="112"/>
      <c r="AI1375" s="112"/>
      <c r="AJ1375" s="112"/>
      <c r="AK1375" s="112"/>
      <c r="AL1375" s="112"/>
    </row>
    <row r="1376" spans="1:38" s="311" customFormat="1" ht="24.75" customHeight="1">
      <c r="A1376" s="750"/>
      <c r="B1376" s="250" t="s">
        <v>433</v>
      </c>
      <c r="C1376" s="35" t="s">
        <v>427</v>
      </c>
      <c r="D1376" s="270">
        <v>0.1</v>
      </c>
      <c r="E1376" s="270">
        <v>1</v>
      </c>
      <c r="F1376" s="270">
        <v>1</v>
      </c>
      <c r="G1376" s="270">
        <f t="shared" si="53"/>
        <v>1</v>
      </c>
      <c r="H1376" s="111" t="s">
        <v>693</v>
      </c>
      <c r="J1376" s="112"/>
      <c r="K1376" s="112"/>
      <c r="L1376" s="112"/>
      <c r="M1376" s="112"/>
      <c r="N1376" s="112"/>
      <c r="O1376" s="112"/>
      <c r="P1376" s="112"/>
      <c r="Q1376" s="112"/>
      <c r="R1376" s="112"/>
      <c r="S1376" s="112"/>
      <c r="T1376" s="112"/>
      <c r="U1376" s="112"/>
      <c r="V1376" s="112"/>
      <c r="W1376" s="112"/>
      <c r="X1376" s="112"/>
      <c r="Y1376" s="112"/>
      <c r="Z1376" s="112"/>
      <c r="AA1376" s="112"/>
      <c r="AB1376" s="112"/>
      <c r="AC1376" s="112"/>
      <c r="AD1376" s="112"/>
      <c r="AE1376" s="112"/>
      <c r="AF1376" s="112"/>
      <c r="AG1376" s="112"/>
      <c r="AH1376" s="112"/>
      <c r="AI1376" s="112"/>
      <c r="AJ1376" s="112"/>
      <c r="AK1376" s="112"/>
      <c r="AL1376" s="112"/>
    </row>
    <row r="1377" spans="1:38" s="311" customFormat="1" ht="24.75" customHeight="1">
      <c r="A1377" s="752" t="s">
        <v>707</v>
      </c>
      <c r="B1377" s="278" t="s">
        <v>426</v>
      </c>
      <c r="C1377" s="279" t="s">
        <v>427</v>
      </c>
      <c r="D1377" s="280">
        <v>0.15</v>
      </c>
      <c r="E1377" s="281">
        <v>20</v>
      </c>
      <c r="F1377" s="281">
        <v>20</v>
      </c>
      <c r="G1377" s="280">
        <f>F1377/E1377</f>
        <v>1</v>
      </c>
      <c r="H1377" s="321" t="str">
        <f t="shared" ref="H1377:H1390" si="54">+L765</f>
        <v>Durante la vigencia 2023, el avance acumulado corresponde al 100%; se han reportado los mantenimientos preventivos y correctivos realizados. De igual manera, se realizó la validación diaria de los datos de concentraciones de contaminantes criterio y parámetros meteorológicos monitoreados por la Red de Monitoreo y Calidad de Aire de Bogotá - RMCAB. El indicador acumulado corresponde al 100% de cumplimiento.</v>
      </c>
      <c r="J1377" s="112"/>
      <c r="K1377" s="112"/>
      <c r="L1377" s="112"/>
      <c r="M1377" s="112"/>
      <c r="N1377" s="112"/>
      <c r="O1377" s="112"/>
      <c r="P1377" s="112"/>
      <c r="Q1377" s="112"/>
      <c r="R1377" s="112"/>
      <c r="S1377" s="112"/>
      <c r="T1377" s="112"/>
      <c r="U1377" s="112"/>
      <c r="V1377" s="112"/>
      <c r="W1377" s="112"/>
      <c r="X1377" s="112"/>
      <c r="Y1377" s="112"/>
      <c r="Z1377" s="112"/>
      <c r="AA1377" s="112"/>
      <c r="AB1377" s="112"/>
      <c r="AC1377" s="112"/>
      <c r="AD1377" s="112"/>
      <c r="AE1377" s="112"/>
      <c r="AF1377" s="112"/>
      <c r="AG1377" s="112"/>
      <c r="AH1377" s="112"/>
      <c r="AI1377" s="112"/>
      <c r="AJ1377" s="112"/>
      <c r="AK1377" s="112"/>
      <c r="AL1377" s="112"/>
    </row>
    <row r="1378" spans="1:38" s="311" customFormat="1" ht="24.75" customHeight="1">
      <c r="A1378" s="753"/>
      <c r="B1378" s="278" t="s">
        <v>428</v>
      </c>
      <c r="C1378" s="279" t="s">
        <v>427</v>
      </c>
      <c r="D1378" s="280">
        <v>0.15</v>
      </c>
      <c r="E1378" s="282">
        <v>7</v>
      </c>
      <c r="F1378" s="282">
        <v>3</v>
      </c>
      <c r="G1378" s="280">
        <f t="shared" ref="G1378:G1383" si="55">F1378/E1378</f>
        <v>0.42857142857142855</v>
      </c>
      <c r="H1378" s="321" t="str">
        <f t="shared" si="54"/>
        <v>En el marco de la gestión integral de la calidad del aire de Bogotá, para el año 2023 se realizó la entrega de ocho (8) documentos técnicos, así:
1.	Plan Aire
Aporte Vigencia: 3 Documentos
Aporte MPDD : (1) documento. Informe semestral de Seguimiento al Plan Estratégico para la Gestión Integral de la Calidad del Aire – Plan Aire 2030 (2023-I). (1) Informe de plusvalía con la información de la intervención de 15 segmentos viales ubicados en la localidad de Ciudad Bolívar. (1) Informe semestral de Seguimiento al Plan Estratégico para la Gestión Integral de la Calidad del Aire – Plan Aire 2030 (2023-II).
2.	Alertas
Aporte Vigencia: 3 Documentos
Aporte MPDD: (1) Informe de gestión del Sistema de Alertas Tempranas Ambientales en su componente aire 2023-I. (2) documento Avance Informe de gestión del Sistema de Alertas Tempranas Ambientales en su componente aire 2023-II.
3.	Modelo
Aporte Vigencia: 2 Documentos
Aporte MPDD: (1) Inventario de Emisiones Atmosféricas de Bogotá correspondiente al 2022. (1) documento. Avance Acumulado INFORME DE MODELACIÓN DE CALIDAD DE AIRE SOBRE BOGOTÁ 2022. Anual 2022.
Con lo anterior se alcanza un acumulado al PDD de 26 documentos técnicos, correspondientes al 86,97% de avance acumulado.</v>
      </c>
      <c r="J1378" s="112"/>
      <c r="K1378" s="112"/>
      <c r="L1378" s="112"/>
      <c r="M1378" s="112"/>
      <c r="N1378" s="112"/>
      <c r="O1378" s="112"/>
      <c r="P1378" s="112"/>
      <c r="Q1378" s="112"/>
      <c r="R1378" s="112"/>
      <c r="S1378" s="112"/>
      <c r="T1378" s="112"/>
      <c r="U1378" s="112"/>
      <c r="V1378" s="112"/>
      <c r="W1378" s="112"/>
      <c r="X1378" s="112"/>
      <c r="Y1378" s="112"/>
      <c r="Z1378" s="112"/>
      <c r="AA1378" s="112"/>
      <c r="AB1378" s="112"/>
      <c r="AC1378" s="112"/>
      <c r="AD1378" s="112"/>
      <c r="AE1378" s="112"/>
      <c r="AF1378" s="112"/>
      <c r="AG1378" s="112"/>
      <c r="AH1378" s="112"/>
      <c r="AI1378" s="112"/>
      <c r="AJ1378" s="112"/>
      <c r="AK1378" s="112"/>
      <c r="AL1378" s="112"/>
    </row>
    <row r="1379" spans="1:38" s="311" customFormat="1" ht="24.75" customHeight="1">
      <c r="A1379" s="753"/>
      <c r="B1379" s="278" t="s">
        <v>429</v>
      </c>
      <c r="C1379" s="279" t="s">
        <v>427</v>
      </c>
      <c r="D1379" s="280">
        <v>0.15</v>
      </c>
      <c r="E1379" s="282">
        <v>2</v>
      </c>
      <c r="F1379" s="282">
        <v>1</v>
      </c>
      <c r="G1379" s="280">
        <f t="shared" si="55"/>
        <v>0.5</v>
      </c>
      <c r="H1379" s="321" t="str">
        <f t="shared" si="54"/>
        <v>El avance acumulado del 2023  es del  2 informes de los dos (02) informes de gestión programados para la vigencia 2023; con lo cual se reporta un avance del 100%, así;
1.	Primer Informe Semestral de Seguimiento 2023 - I, Terminado a junio 30 de 2023. Cantidad Uno (01)
2.	Segundo Informe Semestral de Seguimiento 2023 - II; Avance Acumulado a 1,0. 
Lo anterior con base en las actividades de recolección de información de las acciones de evaluación, control y seguimiento de los grupos de fuentes fijas y fuentes móviles.
También se tienen en cuenta la intervención mediante actuaciones técnicas, visitas de control y seguimiento, acompañamientos, monitoreos, pruebas de emisión a vehículos que transitan  en el Distrito Capital, que se requieren en el Centro de Revisión Vehicular - CRV, vinculaciones al PAA y concesionarios, así visitas técnicas de auditoría a los equipos de medición en los Centros de Diagnóstico Automotor CDA'S, con esta información se construyó el informe de acciones de evaluación, control y seguimiento a las fuentes de emisión.
El avance acumulado del cuatrienio, son 6,84 informes (85%) de los 8 informes programados.</v>
      </c>
      <c r="J1379" s="112"/>
      <c r="K1379" s="112"/>
      <c r="L1379" s="112"/>
      <c r="M1379" s="112"/>
      <c r="N1379" s="112"/>
      <c r="O1379" s="112"/>
      <c r="P1379" s="112"/>
      <c r="Q1379" s="112"/>
      <c r="R1379" s="112"/>
      <c r="S1379" s="112"/>
      <c r="T1379" s="112"/>
      <c r="U1379" s="112"/>
      <c r="V1379" s="112"/>
      <c r="W1379" s="112"/>
      <c r="X1379" s="112"/>
      <c r="Y1379" s="112"/>
      <c r="Z1379" s="112"/>
      <c r="AA1379" s="112"/>
      <c r="AB1379" s="112"/>
      <c r="AC1379" s="112"/>
      <c r="AD1379" s="112"/>
      <c r="AE1379" s="112"/>
      <c r="AF1379" s="112"/>
      <c r="AG1379" s="112"/>
      <c r="AH1379" s="112"/>
      <c r="AI1379" s="112"/>
      <c r="AJ1379" s="112"/>
      <c r="AK1379" s="112"/>
      <c r="AL1379" s="112"/>
    </row>
    <row r="1380" spans="1:38" s="311" customFormat="1" ht="24.75" customHeight="1">
      <c r="A1380" s="753"/>
      <c r="B1380" s="278" t="s">
        <v>430</v>
      </c>
      <c r="C1380" s="279" t="s">
        <v>427</v>
      </c>
      <c r="D1380" s="280">
        <v>0.15</v>
      </c>
      <c r="E1380" s="283">
        <v>1385</v>
      </c>
      <c r="F1380" s="282">
        <v>521</v>
      </c>
      <c r="G1380" s="280">
        <f t="shared" si="55"/>
        <v>0.37617328519855597</v>
      </c>
      <c r="H1380" s="321" t="str">
        <f t="shared" si="54"/>
        <v>"En cumplimiento de la meta, el acumulado PDD es 4287 acciones así:
• IV Trimestre 2023: 423 acciones, 376 visitas y 47 otras acciones de gestión
• III Trimestre 2023: 427 acciones, 362 visitas y 65 otras acciones de gestión
• II Trimestre 2023: 390 acciones, 326 visitas y 64 otras acciones de gestión
• I Trimestre 2023: 241 acciones, 195 vistas y 46 otras acciones de gestión
• Vigencia 2022: 1418 acciones, entre 1202 visitas y 216 otras acciones de gestión
• Vigencia 2021: 897 acciones, entre 761 visitas y 136 otras acciones de gestión
• Vigencia 2020: 491 acciones, entre 374 visitas y 117 otras acciones de gestión."</v>
      </c>
      <c r="J1380" s="112"/>
      <c r="K1380" s="112"/>
      <c r="L1380" s="112"/>
      <c r="M1380" s="112"/>
      <c r="N1380" s="112"/>
      <c r="O1380" s="112"/>
      <c r="P1380" s="112"/>
      <c r="Q1380" s="112"/>
      <c r="R1380" s="112"/>
      <c r="S1380" s="112"/>
      <c r="T1380" s="112"/>
      <c r="U1380" s="112"/>
      <c r="V1380" s="112"/>
      <c r="W1380" s="112"/>
      <c r="X1380" s="112"/>
      <c r="Y1380" s="112"/>
      <c r="Z1380" s="112"/>
      <c r="AA1380" s="112"/>
      <c r="AB1380" s="112"/>
      <c r="AC1380" s="112"/>
      <c r="AD1380" s="112"/>
      <c r="AE1380" s="112"/>
      <c r="AF1380" s="112"/>
      <c r="AG1380" s="112"/>
      <c r="AH1380" s="112"/>
      <c r="AI1380" s="112"/>
      <c r="AJ1380" s="112"/>
      <c r="AK1380" s="112"/>
      <c r="AL1380" s="112"/>
    </row>
    <row r="1381" spans="1:38" s="311" customFormat="1" ht="24.75" customHeight="1">
      <c r="A1381" s="753"/>
      <c r="B1381" s="278" t="s">
        <v>431</v>
      </c>
      <c r="C1381" s="279" t="s">
        <v>427</v>
      </c>
      <c r="D1381" s="280">
        <v>0.15</v>
      </c>
      <c r="E1381" s="282">
        <v>1</v>
      </c>
      <c r="F1381" s="282">
        <v>1</v>
      </c>
      <c r="G1381" s="280">
        <f t="shared" si="55"/>
        <v>1</v>
      </c>
      <c r="H1381" s="321" t="str">
        <f t="shared" si="54"/>
        <v>Con la finalidad de realizar el 100% de las actividades para gestionar, estructurar y ampliar la Red de Monitoreo de Ruido Ambiental se realizaron actividades de mantenimiento, actualización de cartas control, análisis de los datos obtenidos de la red, avance del informe técnico semestral e informe de laboratorio, medición del Festival Cordillera para la modelación del evento y determinación del impacto acústico en vecindades, actualización de los Mapas Estratégicos de Ruido (MER) del Distrito, instalación de tres (3) estaciones de monitoreo de ruido ambiental bajo criterios de la Organización de Aviación Civil Internacional – OACI y la instalación y puesta en marcha de las estaciones meteorológicas de la RMRAB para la acreditación de la red en la metodología de medición y análisis de ruido ambiental según la normativa internacional ISO 1996.
Con lo anterior, se realiza el reporte del 100% de cumplimiento de la meta para la vigencia 2023.</v>
      </c>
      <c r="J1381" s="112"/>
      <c r="K1381" s="112"/>
      <c r="L1381" s="112"/>
      <c r="M1381" s="112"/>
      <c r="N1381" s="112"/>
      <c r="O1381" s="112"/>
      <c r="P1381" s="112"/>
      <c r="Q1381" s="112"/>
      <c r="R1381" s="112"/>
      <c r="S1381" s="112"/>
      <c r="T1381" s="112"/>
      <c r="U1381" s="112"/>
      <c r="V1381" s="112"/>
      <c r="W1381" s="112"/>
      <c r="X1381" s="112"/>
      <c r="Y1381" s="112"/>
      <c r="Z1381" s="112"/>
      <c r="AA1381" s="112"/>
      <c r="AB1381" s="112"/>
      <c r="AC1381" s="112"/>
      <c r="AD1381" s="112"/>
      <c r="AE1381" s="112"/>
      <c r="AF1381" s="112"/>
      <c r="AG1381" s="112"/>
      <c r="AH1381" s="112"/>
      <c r="AI1381" s="112"/>
      <c r="AJ1381" s="112"/>
      <c r="AK1381" s="112"/>
      <c r="AL1381" s="112"/>
    </row>
    <row r="1382" spans="1:38" s="311" customFormat="1" ht="24.75" customHeight="1">
      <c r="A1382" s="753"/>
      <c r="B1382" s="278" t="s">
        <v>432</v>
      </c>
      <c r="C1382" s="279" t="s">
        <v>427</v>
      </c>
      <c r="D1382" s="280">
        <v>0.15</v>
      </c>
      <c r="E1382" s="282">
        <v>370</v>
      </c>
      <c r="F1382" s="282">
        <v>394</v>
      </c>
      <c r="G1382" s="280">
        <f>F1382/E1382</f>
        <v>1.0648648648648649</v>
      </c>
      <c r="H1382" s="321" t="str">
        <f t="shared" si="54"/>
        <v>El avance acumulado en la vigencia 2023 es de (1.193) acciones de evaluación, control y seguimiento realizadas. 
- (52) operativos de control a zonas de Resto del Distrito. 
- (130) visitas de evaluación a elementos mayores.
- (605) documentos técnicos firmados para el resto del Distrito.
- (12) cargues de información a la plataforma SIIPEV.
- (394) evaluaciones a solicitudes de elementos de publicidad exterior visual.
Con lo anterior, se tiene un avance para el cuatrienio de 8.618 acciones de evaluación, control y seguimiento. así:
Vigencia 2020: 1,292 Acciones.
Vigencia 2021: 4.950 Acciones.
Vigencia 2022: 1.183 Acciones.
Vigencia 2023: 1.193acciones.</v>
      </c>
      <c r="J1382" s="112"/>
      <c r="K1382" s="112"/>
      <c r="L1382" s="112"/>
      <c r="M1382" s="112"/>
      <c r="N1382" s="112"/>
      <c r="O1382" s="112"/>
      <c r="P1382" s="112"/>
      <c r="Q1382" s="112"/>
      <c r="R1382" s="112"/>
      <c r="S1382" s="112"/>
      <c r="T1382" s="112"/>
      <c r="U1382" s="112"/>
      <c r="V1382" s="112"/>
      <c r="W1382" s="112"/>
      <c r="X1382" s="112"/>
      <c r="Y1382" s="112"/>
      <c r="Z1382" s="112"/>
      <c r="AA1382" s="112"/>
      <c r="AB1382" s="112"/>
      <c r="AC1382" s="112"/>
      <c r="AD1382" s="112"/>
      <c r="AE1382" s="112"/>
      <c r="AF1382" s="112"/>
      <c r="AG1382" s="112"/>
      <c r="AH1382" s="112"/>
      <c r="AI1382" s="112"/>
      <c r="AJ1382" s="112"/>
      <c r="AK1382" s="112"/>
      <c r="AL1382" s="112"/>
    </row>
    <row r="1383" spans="1:38" s="311" customFormat="1" ht="24.75" customHeight="1">
      <c r="A1383" s="754"/>
      <c r="B1383" s="278" t="s">
        <v>433</v>
      </c>
      <c r="C1383" s="279" t="s">
        <v>427</v>
      </c>
      <c r="D1383" s="280">
        <v>0.1</v>
      </c>
      <c r="E1383" s="280">
        <v>1</v>
      </c>
      <c r="F1383" s="280">
        <v>1</v>
      </c>
      <c r="G1383" s="280">
        <f t="shared" si="55"/>
        <v>1</v>
      </c>
      <c r="H1383" s="321" t="str">
        <f t="shared" si="54"/>
        <v>En el periodo comprendido entre el 1 de enero al 31 de Diciembre de 2023 fueron acogidos 1.827 conceptos técnicos que recomienden una actuación administrativa sancionatoria.  Lo anterior genera un cumplimiento del 100% de atenciones de conceptos técnicos.</v>
      </c>
      <c r="J1383" s="112"/>
      <c r="K1383" s="112"/>
      <c r="L1383" s="112"/>
      <c r="M1383" s="112"/>
      <c r="N1383" s="112"/>
      <c r="O1383" s="112"/>
      <c r="P1383" s="112"/>
      <c r="Q1383" s="112"/>
      <c r="R1383" s="112"/>
      <c r="S1383" s="112"/>
      <c r="T1383" s="112"/>
      <c r="U1383" s="112"/>
      <c r="V1383" s="112"/>
      <c r="W1383" s="112"/>
      <c r="X1383" s="112"/>
      <c r="Y1383" s="112"/>
      <c r="Z1383" s="112"/>
      <c r="AA1383" s="112"/>
      <c r="AB1383" s="112"/>
      <c r="AC1383" s="112"/>
      <c r="AD1383" s="112"/>
      <c r="AE1383" s="112"/>
      <c r="AF1383" s="112"/>
      <c r="AG1383" s="112"/>
      <c r="AH1383" s="112"/>
      <c r="AI1383" s="112"/>
      <c r="AJ1383" s="112"/>
      <c r="AK1383" s="112"/>
      <c r="AL1383" s="112"/>
    </row>
    <row r="1384" spans="1:38" s="311" customFormat="1" ht="24.75" customHeight="1">
      <c r="A1384" s="752" t="s">
        <v>710</v>
      </c>
      <c r="B1384" s="278" t="s">
        <v>426</v>
      </c>
      <c r="C1384" s="279" t="s">
        <v>427</v>
      </c>
      <c r="D1384" s="280">
        <v>0.15</v>
      </c>
      <c r="E1384" s="281">
        <v>20</v>
      </c>
      <c r="F1384" s="281">
        <v>20</v>
      </c>
      <c r="G1384" s="280">
        <f>F1384/E1384</f>
        <v>1</v>
      </c>
      <c r="H1384" s="343" t="str">
        <f t="shared" si="54"/>
        <v>Durante la vigencia 2023, el avance acumulado corresponde al 100%; se han reportado los mantenimientos preventivos y correctivos realizados. De igual manera, se realizó la validación diaria de los datos de concentraciones de contaminantes criterio y parámetros meteorológicos monitoreados por la Red de Monitoreo y Calidad de Aire de Bogotá - RMCAB. El indicador acumulado corresponde al 100% de cumplimiento.</v>
      </c>
      <c r="J1384" s="112"/>
      <c r="K1384" s="112"/>
      <c r="L1384" s="112"/>
      <c r="M1384" s="112"/>
      <c r="N1384" s="112"/>
      <c r="O1384" s="112"/>
      <c r="P1384" s="112"/>
      <c r="Q1384" s="112"/>
      <c r="R1384" s="112"/>
      <c r="S1384" s="112"/>
      <c r="T1384" s="112"/>
      <c r="U1384" s="112"/>
      <c r="V1384" s="112"/>
      <c r="W1384" s="112"/>
      <c r="X1384" s="112"/>
      <c r="Y1384" s="112"/>
      <c r="Z1384" s="112"/>
      <c r="AA1384" s="112"/>
      <c r="AB1384" s="112"/>
      <c r="AC1384" s="112"/>
      <c r="AD1384" s="112"/>
      <c r="AE1384" s="112"/>
      <c r="AF1384" s="112"/>
      <c r="AG1384" s="112"/>
      <c r="AH1384" s="112"/>
      <c r="AI1384" s="112"/>
      <c r="AJ1384" s="112"/>
      <c r="AK1384" s="112"/>
      <c r="AL1384" s="112"/>
    </row>
    <row r="1385" spans="1:38" s="311" customFormat="1" ht="24.75" customHeight="1">
      <c r="A1385" s="753"/>
      <c r="B1385" s="278" t="s">
        <v>428</v>
      </c>
      <c r="C1385" s="279" t="s">
        <v>427</v>
      </c>
      <c r="D1385" s="280">
        <v>0.15</v>
      </c>
      <c r="E1385" s="282">
        <f>+INVERSIÓN!DL17</f>
        <v>7</v>
      </c>
      <c r="F1385" s="282">
        <f>+INVERSIÓN!DM17</f>
        <v>7</v>
      </c>
      <c r="G1385" s="280">
        <f t="shared" ref="G1385:G1390" si="56">F1385/E1385</f>
        <v>1</v>
      </c>
      <c r="H1385" s="343" t="str">
        <f t="shared" si="54"/>
        <v>En el marco de la gestión integral de la calidad del aire de Bogotá, para el año 2023 se realizó la entrega de ocho (8) documentos técnicos, así:
1.	Plan Aire
Aporte Vigencia: 3 Documentos
Aporte MPDD : (1) documento. Informe semestral de Seguimiento al Plan Estratégico para la Gestión Integral de la Calidad del Aire – Plan Aire 2030 (2023-I). (1) Informe de plusvalía con la información de la intervención de 15 segmentos viales ubicados en la localidad de Ciudad Bolívar. (1) Informe semestral de Seguimiento al Plan Estratégico para la Gestión Integral de la Calidad del Aire – Plan Aire 2030 (2023-II).
2.	Alertas
Aporte Vigencia: 3 Documentos
Aporte MPDD: (1) Informe de gestión del Sistema de Alertas Tempranas Ambientales en su componente aire 2023-I. (2) documento Avance Informe de gestión del Sistema de Alertas Tempranas Ambientales en su componente aire 2023-II.
3.	Modelo
Aporte Vigencia: 2 Documentos
Aporte MPDD: (1) Inventario de Emisiones Atmosféricas de Bogotá correspondiente al 2022. (1) documento. Avance Acumulado INFORME DE MODELACIÓN DE CALIDAD DE AIRE SOBRE BOGOTÁ 2022. Anual 2022.
Con lo anterior se alcanza un acumulado al PDD de 26 documentos técnicos, correspondientes al 86,97% de avance acumulado.</v>
      </c>
      <c r="J1385" s="112"/>
      <c r="K1385" s="112"/>
      <c r="L1385" s="112"/>
      <c r="M1385" s="112"/>
      <c r="N1385" s="112"/>
      <c r="O1385" s="112"/>
      <c r="P1385" s="112"/>
      <c r="Q1385" s="112"/>
      <c r="R1385" s="112"/>
      <c r="S1385" s="112"/>
      <c r="T1385" s="112"/>
      <c r="U1385" s="112"/>
      <c r="V1385" s="112"/>
      <c r="W1385" s="112"/>
      <c r="X1385" s="112"/>
      <c r="Y1385" s="112"/>
      <c r="Z1385" s="112"/>
      <c r="AA1385" s="112"/>
      <c r="AB1385" s="112"/>
      <c r="AC1385" s="112"/>
      <c r="AD1385" s="112"/>
      <c r="AE1385" s="112"/>
      <c r="AF1385" s="112"/>
      <c r="AG1385" s="112"/>
      <c r="AH1385" s="112"/>
      <c r="AI1385" s="112"/>
      <c r="AJ1385" s="112"/>
      <c r="AK1385" s="112"/>
      <c r="AL1385" s="112"/>
    </row>
    <row r="1386" spans="1:38" s="311" customFormat="1" ht="24.75" customHeight="1">
      <c r="A1386" s="753"/>
      <c r="B1386" s="278" t="s">
        <v>429</v>
      </c>
      <c r="C1386" s="279" t="s">
        <v>427</v>
      </c>
      <c r="D1386" s="280">
        <v>0.15</v>
      </c>
      <c r="E1386" s="282">
        <f>+INVERSIÓN!DL24</f>
        <v>1.9999999999999998</v>
      </c>
      <c r="F1386" s="282">
        <f>+INVERSIÓN!DM24</f>
        <v>1.9999999999999998</v>
      </c>
      <c r="G1386" s="280">
        <f t="shared" si="56"/>
        <v>1</v>
      </c>
      <c r="H1386" s="343" t="str">
        <f t="shared" si="54"/>
        <v>El avance acumulado del 2023  es del  2 informes de los dos (02) informes de gestión programados para la vigencia 2023; con lo cual se reporta un avance del 100%, así;
1.	Primer Informe Semestral de Seguimiento 2023 - I, Terminado a junio 30 de 2023. Cantidad Uno (01)
2.	Segundo Informe Semestral de Seguimiento 2023 - II; Avance Acumulado a 1,0. 
Lo anterior con base en las actividades de recolección de información de las acciones de evaluación, control y seguimiento de los grupos de fuentes fijas y fuentes móviles.
También se tienen en cuenta la intervención mediante actuaciones técnicas, visitas de control y seguimiento, acompañamientos, monitoreos, pruebas de emisión a vehículos que transitan  en el Distrito Capital, que se requieren en el Centro de Revisión Vehicular - CRV, vinculaciones al PAA y concesionarios, así visitas técnicas de auditoría a los equipos de medición en los Centros de Diagnóstico Automotor CDA'S, con esta información se construyó el informe de acciones de evaluación, control y seguimiento a las fuentes de emisión.
El avance acumulado del cuatrienio, son 6,84 informes (85%) de los 8 informes programados.</v>
      </c>
      <c r="J1386" s="112"/>
      <c r="K1386" s="112"/>
      <c r="L1386" s="112"/>
      <c r="M1386" s="112"/>
      <c r="N1386" s="112"/>
      <c r="O1386" s="112"/>
      <c r="P1386" s="112"/>
      <c r="Q1386" s="112"/>
      <c r="R1386" s="112"/>
      <c r="S1386" s="112"/>
      <c r="T1386" s="112"/>
      <c r="U1386" s="112"/>
      <c r="V1386" s="112"/>
      <c r="W1386" s="112"/>
      <c r="X1386" s="112"/>
      <c r="Y1386" s="112"/>
      <c r="Z1386" s="112"/>
      <c r="AA1386" s="112"/>
      <c r="AB1386" s="112"/>
      <c r="AC1386" s="112"/>
      <c r="AD1386" s="112"/>
      <c r="AE1386" s="112"/>
      <c r="AF1386" s="112"/>
      <c r="AG1386" s="112"/>
      <c r="AH1386" s="112"/>
      <c r="AI1386" s="112"/>
      <c r="AJ1386" s="112"/>
      <c r="AK1386" s="112"/>
      <c r="AL1386" s="112"/>
    </row>
    <row r="1387" spans="1:38" s="311" customFormat="1" ht="24.75" customHeight="1">
      <c r="A1387" s="753"/>
      <c r="B1387" s="278" t="s">
        <v>430</v>
      </c>
      <c r="C1387" s="279" t="s">
        <v>427</v>
      </c>
      <c r="D1387" s="280">
        <v>0.15</v>
      </c>
      <c r="E1387" s="283">
        <v>1385</v>
      </c>
      <c r="F1387" s="282">
        <v>642</v>
      </c>
      <c r="G1387" s="280">
        <f t="shared" si="56"/>
        <v>0.4635379061371841</v>
      </c>
      <c r="H1387" s="343" t="str">
        <f t="shared" si="54"/>
        <v>"En cumplimiento de la meta, el acumulado PDD es 4287 acciones así:
• IV Trimestre 2023: 423 acciones, 376 visitas y 47 otras acciones de gestión
• III Trimestre 2023: 427 acciones, 362 visitas y 65 otras acciones de gestión
• II Trimestre 2023: 390 acciones, 326 visitas y 64 otras acciones de gestión
• I Trimestre 2023: 241 acciones, 195 vistas y 46 otras acciones de gestión
• Vigencia 2022: 1418 acciones, entre 1202 visitas y 216 otras acciones de gestión
• Vigencia 2021: 897 acciones, entre 761 visitas y 136 otras acciones de gestión
• Vigencia 2020: 491 acciones, entre 374 visitas y 117 otras acciones de gestión."</v>
      </c>
      <c r="J1387" s="112"/>
      <c r="K1387" s="112"/>
      <c r="L1387" s="112"/>
      <c r="M1387" s="112"/>
      <c r="N1387" s="112"/>
      <c r="O1387" s="112"/>
      <c r="P1387" s="112"/>
      <c r="Q1387" s="112"/>
      <c r="R1387" s="112"/>
      <c r="S1387" s="112"/>
      <c r="T1387" s="112"/>
      <c r="U1387" s="112"/>
      <c r="V1387" s="112"/>
      <c r="W1387" s="112"/>
      <c r="X1387" s="112"/>
      <c r="Y1387" s="112"/>
      <c r="Z1387" s="112"/>
      <c r="AA1387" s="112"/>
      <c r="AB1387" s="112"/>
      <c r="AC1387" s="112"/>
      <c r="AD1387" s="112"/>
      <c r="AE1387" s="112"/>
      <c r="AF1387" s="112"/>
      <c r="AG1387" s="112"/>
      <c r="AH1387" s="112"/>
      <c r="AI1387" s="112"/>
      <c r="AJ1387" s="112"/>
      <c r="AK1387" s="112"/>
      <c r="AL1387" s="112"/>
    </row>
    <row r="1388" spans="1:38" s="311" customFormat="1" ht="24.75" customHeight="1">
      <c r="A1388" s="753"/>
      <c r="B1388" s="278" t="s">
        <v>431</v>
      </c>
      <c r="C1388" s="279" t="s">
        <v>427</v>
      </c>
      <c r="D1388" s="280">
        <v>0.15</v>
      </c>
      <c r="E1388" s="282">
        <v>1</v>
      </c>
      <c r="F1388" s="282">
        <v>1</v>
      </c>
      <c r="G1388" s="280">
        <f t="shared" si="56"/>
        <v>1</v>
      </c>
      <c r="H1388" s="343" t="str">
        <f t="shared" si="54"/>
        <v>Con la finalidad de realizar el 100% de las actividades para gestionar, estructurar y ampliar la Red de Monitoreo de Ruido Ambiental se realizaron actividades de mantenimiento, actualización de cartas control, análisis de los datos obtenidos de la red, avance del informe técnico semestral e informe de laboratorio, medición del Festival Cordillera para la modelación del evento y determinación del impacto acústico en vecindades, actualización de los Mapas Estratégicos de Ruido (MER) del Distrito, instalación de tres (3) estaciones de monitoreo de ruido ambiental bajo criterios de la Organización de Aviación Civil Internacional – OACI y la instalación y puesta en marcha de las estaciones meteorológicas de la RMRAB para la acreditación de la red en la metodología de medición y análisis de ruido ambiental según la normativa internacional ISO 1996.
Con lo anterior, se realiza el reporte del 100% de cumplimiento de la meta para la vigencia 2023.</v>
      </c>
      <c r="J1388" s="112"/>
      <c r="K1388" s="112"/>
      <c r="L1388" s="112"/>
      <c r="M1388" s="112"/>
      <c r="N1388" s="112"/>
      <c r="O1388" s="112"/>
      <c r="P1388" s="112"/>
      <c r="Q1388" s="112"/>
      <c r="R1388" s="112"/>
      <c r="S1388" s="112"/>
      <c r="T1388" s="112"/>
      <c r="U1388" s="112"/>
      <c r="V1388" s="112"/>
      <c r="W1388" s="112"/>
      <c r="X1388" s="112"/>
      <c r="Y1388" s="112"/>
      <c r="Z1388" s="112"/>
      <c r="AA1388" s="112"/>
      <c r="AB1388" s="112"/>
      <c r="AC1388" s="112"/>
      <c r="AD1388" s="112"/>
      <c r="AE1388" s="112"/>
      <c r="AF1388" s="112"/>
      <c r="AG1388" s="112"/>
      <c r="AH1388" s="112"/>
      <c r="AI1388" s="112"/>
      <c r="AJ1388" s="112"/>
      <c r="AK1388" s="112"/>
      <c r="AL1388" s="112"/>
    </row>
    <row r="1389" spans="1:38" ht="24.75" customHeight="1">
      <c r="A1389" s="753"/>
      <c r="B1389" s="278" t="s">
        <v>432</v>
      </c>
      <c r="C1389" s="279" t="s">
        <v>427</v>
      </c>
      <c r="D1389" s="280">
        <v>0.15</v>
      </c>
      <c r="E1389" s="282">
        <f>+INVERSIÓN!DL45</f>
        <v>1193</v>
      </c>
      <c r="F1389" s="282">
        <f>+INVERSIÓN!DM45</f>
        <v>1193</v>
      </c>
      <c r="G1389" s="280">
        <f t="shared" si="56"/>
        <v>1</v>
      </c>
      <c r="H1389" s="343" t="str">
        <f t="shared" si="54"/>
        <v>El avance acumulado en la vigencia 2023 es de (1.193) acciones de evaluación, control y seguimiento realizadas. 
- (52) operativos de control a zonas de Resto del Distrito. 
- (130) visitas de evaluación a elementos mayores.
- (605) documentos técnicos firmados para el resto del Distrito.
- (12) cargues de información a la plataforma SIIPEV.
- (394) evaluaciones a solicitudes de elementos de publicidad exterior visual.
Con lo anterior, se tiene un avance para el cuatrienio de 8.618 acciones de evaluación, control y seguimiento. así:
Vigencia 2020: 1,292 Acciones.
Vigencia 2021: 4.950 Acciones.
Vigencia 2022: 1.183 Acciones.
Vigencia 2023: 1.193acciones.</v>
      </c>
    </row>
    <row r="1390" spans="1:38" ht="24.75" customHeight="1">
      <c r="A1390" s="754"/>
      <c r="B1390" s="278" t="s">
        <v>433</v>
      </c>
      <c r="C1390" s="279" t="s">
        <v>427</v>
      </c>
      <c r="D1390" s="280">
        <v>0.1</v>
      </c>
      <c r="E1390" s="280">
        <v>1</v>
      </c>
      <c r="F1390" s="280">
        <v>1</v>
      </c>
      <c r="G1390" s="280">
        <f t="shared" si="56"/>
        <v>1</v>
      </c>
      <c r="H1390" s="343" t="str">
        <f t="shared" si="54"/>
        <v>En el periodo comprendido entre el 1 de enero al 31 de Diciembre de 2023 fueron acogidos 1.827 conceptos técnicos que recomienden una actuación administrativa sancionatoria.  Lo anterior genera un cumplimiento del 100% de atenciones de conceptos técnicos.</v>
      </c>
    </row>
    <row r="1391" spans="1:38" s="311" customFormat="1" ht="24.75" customHeight="1">
      <c r="A1391" s="752" t="s">
        <v>712</v>
      </c>
      <c r="B1391" s="278" t="s">
        <v>426</v>
      </c>
      <c r="C1391" s="279" t="s">
        <v>427</v>
      </c>
      <c r="D1391" s="280">
        <v>0.15</v>
      </c>
      <c r="E1391" s="281">
        <v>20</v>
      </c>
      <c r="F1391" s="281">
        <v>20</v>
      </c>
      <c r="G1391" s="280">
        <v>1</v>
      </c>
      <c r="H1391" s="343" t="s">
        <v>717</v>
      </c>
      <c r="J1391" s="112"/>
      <c r="K1391" s="112"/>
      <c r="L1391" s="112"/>
      <c r="M1391" s="112"/>
      <c r="N1391" s="112"/>
      <c r="O1391" s="112"/>
      <c r="P1391" s="112"/>
      <c r="Q1391" s="112"/>
      <c r="R1391" s="112"/>
      <c r="S1391" s="112"/>
      <c r="T1391" s="112"/>
      <c r="U1391" s="112"/>
      <c r="V1391" s="112"/>
      <c r="W1391" s="112"/>
      <c r="X1391" s="112"/>
      <c r="Y1391" s="112"/>
      <c r="Z1391" s="112"/>
      <c r="AA1391" s="112"/>
      <c r="AB1391" s="112"/>
      <c r="AC1391" s="112"/>
      <c r="AD1391" s="112"/>
      <c r="AE1391" s="112"/>
      <c r="AF1391" s="112"/>
      <c r="AG1391" s="112"/>
      <c r="AH1391" s="112"/>
      <c r="AI1391" s="112"/>
      <c r="AJ1391" s="112"/>
      <c r="AK1391" s="112"/>
      <c r="AL1391" s="112"/>
    </row>
    <row r="1392" spans="1:38" s="311" customFormat="1" ht="24.75" customHeight="1">
      <c r="A1392" s="753"/>
      <c r="B1392" s="278" t="s">
        <v>428</v>
      </c>
      <c r="C1392" s="279" t="s">
        <v>427</v>
      </c>
      <c r="D1392" s="280">
        <v>0.15</v>
      </c>
      <c r="E1392" s="282">
        <v>7</v>
      </c>
      <c r="F1392" s="282">
        <v>4</v>
      </c>
      <c r="G1392" s="280">
        <v>0.5714285714285714</v>
      </c>
      <c r="H1392" s="343" t="s">
        <v>718</v>
      </c>
      <c r="J1392" s="112"/>
      <c r="K1392" s="112"/>
      <c r="L1392" s="112"/>
      <c r="M1392" s="112"/>
      <c r="N1392" s="112"/>
      <c r="O1392" s="112"/>
      <c r="P1392" s="112"/>
      <c r="Q1392" s="112"/>
      <c r="R1392" s="112"/>
      <c r="S1392" s="112"/>
      <c r="T1392" s="112"/>
      <c r="U1392" s="112"/>
      <c r="V1392" s="112"/>
      <c r="W1392" s="112"/>
      <c r="X1392" s="112"/>
      <c r="Y1392" s="112"/>
      <c r="Z1392" s="112"/>
      <c r="AA1392" s="112"/>
      <c r="AB1392" s="112"/>
      <c r="AC1392" s="112"/>
      <c r="AD1392" s="112"/>
      <c r="AE1392" s="112"/>
      <c r="AF1392" s="112"/>
      <c r="AG1392" s="112"/>
      <c r="AH1392" s="112"/>
      <c r="AI1392" s="112"/>
      <c r="AJ1392" s="112"/>
      <c r="AK1392" s="112"/>
      <c r="AL1392" s="112"/>
    </row>
    <row r="1393" spans="1:38" s="311" customFormat="1" ht="24.75" customHeight="1">
      <c r="A1393" s="753"/>
      <c r="B1393" s="278" t="s">
        <v>429</v>
      </c>
      <c r="C1393" s="279" t="s">
        <v>427</v>
      </c>
      <c r="D1393" s="280">
        <v>0.15</v>
      </c>
      <c r="E1393" s="282">
        <v>1.9999999999999998</v>
      </c>
      <c r="F1393" s="282">
        <v>1.5</v>
      </c>
      <c r="G1393" s="280">
        <v>0.75000000000000011</v>
      </c>
      <c r="H1393" s="343" t="s">
        <v>713</v>
      </c>
      <c r="J1393" s="112"/>
      <c r="K1393" s="112"/>
      <c r="L1393" s="112"/>
      <c r="M1393" s="112"/>
      <c r="N1393" s="112"/>
      <c r="O1393" s="112"/>
      <c r="P1393" s="112"/>
      <c r="Q1393" s="112"/>
      <c r="R1393" s="112"/>
      <c r="S1393" s="112"/>
      <c r="T1393" s="112"/>
      <c r="U1393" s="112"/>
      <c r="V1393" s="112"/>
      <c r="W1393" s="112"/>
      <c r="X1393" s="112"/>
      <c r="Y1393" s="112"/>
      <c r="Z1393" s="112"/>
      <c r="AA1393" s="112"/>
      <c r="AB1393" s="112"/>
      <c r="AC1393" s="112"/>
      <c r="AD1393" s="112"/>
      <c r="AE1393" s="112"/>
      <c r="AF1393" s="112"/>
      <c r="AG1393" s="112"/>
      <c r="AH1393" s="112"/>
      <c r="AI1393" s="112"/>
      <c r="AJ1393" s="112"/>
      <c r="AK1393" s="112"/>
      <c r="AL1393" s="112"/>
    </row>
    <row r="1394" spans="1:38" s="311" customFormat="1" ht="24.75" customHeight="1">
      <c r="A1394" s="753"/>
      <c r="B1394" s="278" t="s">
        <v>430</v>
      </c>
      <c r="C1394" s="279" t="s">
        <v>427</v>
      </c>
      <c r="D1394" s="280">
        <v>0.15</v>
      </c>
      <c r="E1394" s="283">
        <v>1385</v>
      </c>
      <c r="F1394" s="282">
        <v>642</v>
      </c>
      <c r="G1394" s="280">
        <v>0.4635379061371841</v>
      </c>
      <c r="H1394" s="343" t="s">
        <v>714</v>
      </c>
      <c r="J1394" s="112"/>
      <c r="K1394" s="112"/>
      <c r="L1394" s="112"/>
      <c r="M1394" s="112"/>
      <c r="N1394" s="112"/>
      <c r="O1394" s="112"/>
      <c r="P1394" s="112"/>
      <c r="Q1394" s="112"/>
      <c r="R1394" s="112"/>
      <c r="S1394" s="112"/>
      <c r="T1394" s="112"/>
      <c r="U1394" s="112"/>
      <c r="V1394" s="112"/>
      <c r="W1394" s="112"/>
      <c r="X1394" s="112"/>
      <c r="Y1394" s="112"/>
      <c r="Z1394" s="112"/>
      <c r="AA1394" s="112"/>
      <c r="AB1394" s="112"/>
      <c r="AC1394" s="112"/>
      <c r="AD1394" s="112"/>
      <c r="AE1394" s="112"/>
      <c r="AF1394" s="112"/>
      <c r="AG1394" s="112"/>
      <c r="AH1394" s="112"/>
      <c r="AI1394" s="112"/>
      <c r="AJ1394" s="112"/>
      <c r="AK1394" s="112"/>
      <c r="AL1394" s="112"/>
    </row>
    <row r="1395" spans="1:38" s="311" customFormat="1" ht="24.75" customHeight="1">
      <c r="A1395" s="753"/>
      <c r="B1395" s="278" t="s">
        <v>431</v>
      </c>
      <c r="C1395" s="279" t="s">
        <v>427</v>
      </c>
      <c r="D1395" s="280">
        <v>0.15</v>
      </c>
      <c r="E1395" s="282">
        <v>1</v>
      </c>
      <c r="F1395" s="282">
        <v>1</v>
      </c>
      <c r="G1395" s="280">
        <v>1</v>
      </c>
      <c r="H1395" s="343" t="s">
        <v>711</v>
      </c>
      <c r="J1395" s="112"/>
      <c r="K1395" s="112"/>
      <c r="L1395" s="112"/>
      <c r="M1395" s="112"/>
      <c r="N1395" s="112"/>
      <c r="O1395" s="112"/>
      <c r="P1395" s="112"/>
      <c r="Q1395" s="112"/>
      <c r="R1395" s="112"/>
      <c r="S1395" s="112"/>
      <c r="T1395" s="112"/>
      <c r="U1395" s="112"/>
      <c r="V1395" s="112"/>
      <c r="W1395" s="112"/>
      <c r="X1395" s="112"/>
      <c r="Y1395" s="112"/>
      <c r="Z1395" s="112"/>
      <c r="AA1395" s="112"/>
      <c r="AB1395" s="112"/>
      <c r="AC1395" s="112"/>
      <c r="AD1395" s="112"/>
      <c r="AE1395" s="112"/>
      <c r="AF1395" s="112"/>
      <c r="AG1395" s="112"/>
      <c r="AH1395" s="112"/>
      <c r="AI1395" s="112"/>
      <c r="AJ1395" s="112"/>
      <c r="AK1395" s="112"/>
      <c r="AL1395" s="112"/>
    </row>
    <row r="1396" spans="1:38" ht="24.75" customHeight="1">
      <c r="A1396" s="753"/>
      <c r="B1396" s="278" t="s">
        <v>432</v>
      </c>
      <c r="C1396" s="279" t="s">
        <v>427</v>
      </c>
      <c r="D1396" s="280">
        <v>0.15</v>
      </c>
      <c r="E1396" s="282">
        <v>902</v>
      </c>
      <c r="F1396" s="282">
        <v>647</v>
      </c>
      <c r="G1396" s="280">
        <v>0.71729490022172948</v>
      </c>
      <c r="H1396" s="343" t="s">
        <v>716</v>
      </c>
    </row>
    <row r="1397" spans="1:38" ht="24.75" customHeight="1">
      <c r="A1397" s="754"/>
      <c r="B1397" s="278" t="s">
        <v>433</v>
      </c>
      <c r="C1397" s="279" t="s">
        <v>427</v>
      </c>
      <c r="D1397" s="280">
        <v>0.1</v>
      </c>
      <c r="E1397" s="280">
        <v>1</v>
      </c>
      <c r="F1397" s="280">
        <v>1</v>
      </c>
      <c r="G1397" s="280">
        <v>1</v>
      </c>
      <c r="H1397" s="343" t="s">
        <v>715</v>
      </c>
    </row>
    <row r="1398" spans="1:38" s="311" customFormat="1" ht="24.75" customHeight="1">
      <c r="A1398" s="752" t="s">
        <v>721</v>
      </c>
      <c r="B1398" s="278" t="s">
        <v>426</v>
      </c>
      <c r="C1398" s="279" t="s">
        <v>427</v>
      </c>
      <c r="D1398" s="280">
        <v>0.15</v>
      </c>
      <c r="E1398" s="281">
        <v>20</v>
      </c>
      <c r="F1398" s="281">
        <v>20</v>
      </c>
      <c r="G1398" s="280">
        <f>F1398/E1398</f>
        <v>1</v>
      </c>
      <c r="H1398" s="343" t="s">
        <v>722</v>
      </c>
      <c r="J1398" s="112"/>
      <c r="K1398" s="112"/>
      <c r="L1398" s="112"/>
      <c r="M1398" s="112"/>
      <c r="N1398" s="112"/>
      <c r="O1398" s="112"/>
      <c r="P1398" s="112"/>
      <c r="Q1398" s="112"/>
      <c r="R1398" s="112"/>
      <c r="S1398" s="112"/>
      <c r="T1398" s="112"/>
      <c r="U1398" s="112"/>
      <c r="V1398" s="112"/>
      <c r="W1398" s="112"/>
      <c r="X1398" s="112"/>
      <c r="Y1398" s="112"/>
      <c r="Z1398" s="112"/>
      <c r="AA1398" s="112"/>
      <c r="AB1398" s="112"/>
      <c r="AC1398" s="112"/>
      <c r="AD1398" s="112"/>
      <c r="AE1398" s="112"/>
      <c r="AF1398" s="112"/>
      <c r="AG1398" s="112"/>
      <c r="AH1398" s="112"/>
      <c r="AI1398" s="112"/>
      <c r="AJ1398" s="112"/>
      <c r="AK1398" s="112"/>
      <c r="AL1398" s="112"/>
    </row>
    <row r="1399" spans="1:38" s="311" customFormat="1" ht="24.75" customHeight="1">
      <c r="A1399" s="753"/>
      <c r="B1399" s="278" t="s">
        <v>428</v>
      </c>
      <c r="C1399" s="279" t="s">
        <v>427</v>
      </c>
      <c r="D1399" s="280">
        <v>0.15</v>
      </c>
      <c r="E1399" s="282">
        <f>+INVERSIÓN!$DL$17</f>
        <v>7</v>
      </c>
      <c r="F1399" s="282">
        <f>+INVERSIÓN!$DM$17</f>
        <v>7</v>
      </c>
      <c r="G1399" s="280">
        <f t="shared" ref="G1399:G1404" si="57">F1399/E1399</f>
        <v>1</v>
      </c>
      <c r="H1399" s="343" t="s">
        <v>723</v>
      </c>
      <c r="J1399" s="112"/>
      <c r="K1399" s="112"/>
      <c r="L1399" s="112"/>
      <c r="M1399" s="112"/>
      <c r="N1399" s="112"/>
      <c r="O1399" s="112"/>
      <c r="P1399" s="112"/>
      <c r="Q1399" s="112"/>
      <c r="R1399" s="112"/>
      <c r="S1399" s="112"/>
      <c r="T1399" s="112"/>
      <c r="U1399" s="112"/>
      <c r="V1399" s="112"/>
      <c r="W1399" s="112"/>
      <c r="X1399" s="112"/>
      <c r="Y1399" s="112"/>
      <c r="Z1399" s="112"/>
      <c r="AA1399" s="112"/>
      <c r="AB1399" s="112"/>
      <c r="AC1399" s="112"/>
      <c r="AD1399" s="112"/>
      <c r="AE1399" s="112"/>
      <c r="AF1399" s="112"/>
      <c r="AG1399" s="112"/>
      <c r="AH1399" s="112"/>
      <c r="AI1399" s="112"/>
      <c r="AJ1399" s="112"/>
      <c r="AK1399" s="112"/>
      <c r="AL1399" s="112"/>
    </row>
    <row r="1400" spans="1:38" s="311" customFormat="1" ht="24.75" customHeight="1">
      <c r="A1400" s="753"/>
      <c r="B1400" s="278" t="s">
        <v>429</v>
      </c>
      <c r="C1400" s="279" t="s">
        <v>427</v>
      </c>
      <c r="D1400" s="280">
        <v>0.15</v>
      </c>
      <c r="E1400" s="282">
        <f>+INVERSIÓN!$DL$24</f>
        <v>1.9999999999999998</v>
      </c>
      <c r="F1400" s="282">
        <f>+INVERSIÓN!$DM$24</f>
        <v>1.9999999999999998</v>
      </c>
      <c r="G1400" s="280">
        <f t="shared" si="57"/>
        <v>1</v>
      </c>
      <c r="H1400" s="343" t="s">
        <v>724</v>
      </c>
      <c r="J1400" s="112"/>
      <c r="K1400" s="112"/>
      <c r="L1400" s="112"/>
      <c r="M1400" s="112"/>
      <c r="N1400" s="112"/>
      <c r="O1400" s="112"/>
      <c r="P1400" s="112"/>
      <c r="Q1400" s="112"/>
      <c r="R1400" s="112"/>
      <c r="S1400" s="112"/>
      <c r="T1400" s="112"/>
      <c r="U1400" s="112"/>
      <c r="V1400" s="112"/>
      <c r="W1400" s="112"/>
      <c r="X1400" s="112"/>
      <c r="Y1400" s="112"/>
      <c r="Z1400" s="112"/>
      <c r="AA1400" s="112"/>
      <c r="AB1400" s="112"/>
      <c r="AC1400" s="112"/>
      <c r="AD1400" s="112"/>
      <c r="AE1400" s="112"/>
      <c r="AF1400" s="112"/>
      <c r="AG1400" s="112"/>
      <c r="AH1400" s="112"/>
      <c r="AI1400" s="112"/>
      <c r="AJ1400" s="112"/>
      <c r="AK1400" s="112"/>
      <c r="AL1400" s="112"/>
    </row>
    <row r="1401" spans="1:38" s="311" customFormat="1" ht="24.75" customHeight="1">
      <c r="A1401" s="753"/>
      <c r="B1401" s="278" t="s">
        <v>430</v>
      </c>
      <c r="C1401" s="279" t="s">
        <v>427</v>
      </c>
      <c r="D1401" s="280">
        <v>0.15</v>
      </c>
      <c r="E1401" s="283">
        <v>1385</v>
      </c>
      <c r="F1401" s="282">
        <v>883</v>
      </c>
      <c r="G1401" s="280">
        <f t="shared" si="57"/>
        <v>0.63754512635379057</v>
      </c>
      <c r="H1401" s="343" t="s">
        <v>725</v>
      </c>
      <c r="J1401" s="112"/>
      <c r="K1401" s="112"/>
      <c r="L1401" s="112"/>
      <c r="M1401" s="112"/>
      <c r="N1401" s="112"/>
      <c r="O1401" s="112"/>
      <c r="P1401" s="112"/>
      <c r="Q1401" s="112"/>
      <c r="R1401" s="112"/>
      <c r="S1401" s="112"/>
      <c r="T1401" s="112"/>
      <c r="U1401" s="112"/>
      <c r="V1401" s="112"/>
      <c r="W1401" s="112"/>
      <c r="X1401" s="112"/>
      <c r="Y1401" s="112"/>
      <c r="Z1401" s="112"/>
      <c r="AA1401" s="112"/>
      <c r="AB1401" s="112"/>
      <c r="AC1401" s="112"/>
      <c r="AD1401" s="112"/>
      <c r="AE1401" s="112"/>
      <c r="AF1401" s="112"/>
      <c r="AG1401" s="112"/>
      <c r="AH1401" s="112"/>
      <c r="AI1401" s="112"/>
      <c r="AJ1401" s="112"/>
      <c r="AK1401" s="112"/>
      <c r="AL1401" s="112"/>
    </row>
    <row r="1402" spans="1:38" s="311" customFormat="1" ht="24.75" customHeight="1">
      <c r="A1402" s="753"/>
      <c r="B1402" s="278" t="s">
        <v>431</v>
      </c>
      <c r="C1402" s="279" t="s">
        <v>427</v>
      </c>
      <c r="D1402" s="280">
        <v>0.15</v>
      </c>
      <c r="E1402" s="282">
        <v>1</v>
      </c>
      <c r="F1402" s="282">
        <v>1</v>
      </c>
      <c r="G1402" s="280">
        <f t="shared" si="57"/>
        <v>1</v>
      </c>
      <c r="H1402" s="343" t="s">
        <v>726</v>
      </c>
      <c r="J1402" s="112"/>
      <c r="K1402" s="112"/>
      <c r="L1402" s="112"/>
      <c r="M1402" s="112"/>
      <c r="N1402" s="112"/>
      <c r="O1402" s="112"/>
      <c r="P1402" s="112"/>
      <c r="Q1402" s="112"/>
      <c r="R1402" s="112"/>
      <c r="S1402" s="112"/>
      <c r="T1402" s="112"/>
      <c r="U1402" s="112"/>
      <c r="V1402" s="112"/>
      <c r="W1402" s="112"/>
      <c r="X1402" s="112"/>
      <c r="Y1402" s="112"/>
      <c r="Z1402" s="112"/>
      <c r="AA1402" s="112"/>
      <c r="AB1402" s="112"/>
      <c r="AC1402" s="112"/>
      <c r="AD1402" s="112"/>
      <c r="AE1402" s="112"/>
      <c r="AF1402" s="112"/>
      <c r="AG1402" s="112"/>
      <c r="AH1402" s="112"/>
      <c r="AI1402" s="112"/>
      <c r="AJ1402" s="112"/>
      <c r="AK1402" s="112"/>
      <c r="AL1402" s="112"/>
    </row>
    <row r="1403" spans="1:38" ht="24.75" customHeight="1">
      <c r="A1403" s="753"/>
      <c r="B1403" s="278" t="s">
        <v>432</v>
      </c>
      <c r="C1403" s="279" t="s">
        <v>427</v>
      </c>
      <c r="D1403" s="280">
        <v>0.15</v>
      </c>
      <c r="E1403" s="282">
        <f>+INVERSIÓN!$DL$45</f>
        <v>1193</v>
      </c>
      <c r="F1403" s="282">
        <f>+INVERSIÓN!$DM$45</f>
        <v>1193</v>
      </c>
      <c r="G1403" s="280">
        <f t="shared" si="57"/>
        <v>1</v>
      </c>
      <c r="H1403" s="343" t="s">
        <v>727</v>
      </c>
    </row>
    <row r="1404" spans="1:38" ht="24.75" customHeight="1">
      <c r="A1404" s="754"/>
      <c r="B1404" s="278" t="s">
        <v>433</v>
      </c>
      <c r="C1404" s="279" t="s">
        <v>427</v>
      </c>
      <c r="D1404" s="280">
        <v>0.1</v>
      </c>
      <c r="E1404" s="280">
        <v>1</v>
      </c>
      <c r="F1404" s="280">
        <v>1</v>
      </c>
      <c r="G1404" s="280">
        <f t="shared" si="57"/>
        <v>1</v>
      </c>
      <c r="H1404" s="343" t="s">
        <v>728</v>
      </c>
    </row>
    <row r="1405" spans="1:38" s="311" customFormat="1" ht="24.75" customHeight="1">
      <c r="A1405" s="752" t="s">
        <v>738</v>
      </c>
      <c r="B1405" s="278" t="s">
        <v>426</v>
      </c>
      <c r="C1405" s="279" t="s">
        <v>427</v>
      </c>
      <c r="D1405" s="280">
        <v>0.15</v>
      </c>
      <c r="E1405" s="281">
        <v>20</v>
      </c>
      <c r="F1405" s="281">
        <v>19</v>
      </c>
      <c r="G1405" s="280">
        <f>F1405/E1405</f>
        <v>0.95</v>
      </c>
      <c r="H1405" s="343" t="s">
        <v>730</v>
      </c>
      <c r="J1405" s="112"/>
      <c r="K1405" s="112"/>
      <c r="L1405" s="112"/>
      <c r="M1405" s="112"/>
      <c r="N1405" s="112"/>
      <c r="O1405" s="112"/>
      <c r="P1405" s="112"/>
      <c r="Q1405" s="112"/>
      <c r="R1405" s="112"/>
      <c r="S1405" s="112"/>
      <c r="T1405" s="112"/>
      <c r="U1405" s="112"/>
      <c r="V1405" s="112"/>
      <c r="W1405" s="112"/>
      <c r="X1405" s="112"/>
      <c r="Y1405" s="112"/>
      <c r="Z1405" s="112"/>
      <c r="AA1405" s="112"/>
      <c r="AB1405" s="112"/>
      <c r="AC1405" s="112"/>
      <c r="AD1405" s="112"/>
      <c r="AE1405" s="112"/>
      <c r="AF1405" s="112"/>
      <c r="AG1405" s="112"/>
      <c r="AH1405" s="112"/>
      <c r="AI1405" s="112"/>
      <c r="AJ1405" s="112"/>
      <c r="AK1405" s="112"/>
      <c r="AL1405" s="112"/>
    </row>
    <row r="1406" spans="1:38" s="311" customFormat="1" ht="24.75" customHeight="1">
      <c r="A1406" s="753"/>
      <c r="B1406" s="278" t="s">
        <v>428</v>
      </c>
      <c r="C1406" s="279" t="s">
        <v>427</v>
      </c>
      <c r="D1406" s="280">
        <v>0.15</v>
      </c>
      <c r="E1406" s="282">
        <v>7</v>
      </c>
      <c r="F1406" s="282">
        <v>5.3</v>
      </c>
      <c r="G1406" s="280">
        <f t="shared" ref="G1406:G1411" si="58">F1406/E1406</f>
        <v>0.75714285714285712</v>
      </c>
      <c r="H1406" s="343" t="s">
        <v>731</v>
      </c>
      <c r="J1406" s="112"/>
      <c r="K1406" s="112"/>
      <c r="L1406" s="112"/>
      <c r="M1406" s="112"/>
      <c r="N1406" s="112"/>
      <c r="O1406" s="112"/>
      <c r="P1406" s="112"/>
      <c r="Q1406" s="112"/>
      <c r="R1406" s="112"/>
      <c r="S1406" s="112"/>
      <c r="T1406" s="112"/>
      <c r="U1406" s="112"/>
      <c r="V1406" s="112"/>
      <c r="W1406" s="112"/>
      <c r="X1406" s="112"/>
      <c r="Y1406" s="112"/>
      <c r="Z1406" s="112"/>
      <c r="AA1406" s="112"/>
      <c r="AB1406" s="112"/>
      <c r="AC1406" s="112"/>
      <c r="AD1406" s="112"/>
      <c r="AE1406" s="112"/>
      <c r="AF1406" s="112"/>
      <c r="AG1406" s="112"/>
      <c r="AH1406" s="112"/>
      <c r="AI1406" s="112"/>
      <c r="AJ1406" s="112"/>
      <c r="AK1406" s="112"/>
      <c r="AL1406" s="112"/>
    </row>
    <row r="1407" spans="1:38" s="311" customFormat="1" ht="24.75" customHeight="1">
      <c r="A1407" s="753"/>
      <c r="B1407" s="278" t="s">
        <v>429</v>
      </c>
      <c r="C1407" s="279" t="s">
        <v>427</v>
      </c>
      <c r="D1407" s="280">
        <v>0.15</v>
      </c>
      <c r="E1407" s="282">
        <v>1.9999999999999998</v>
      </c>
      <c r="F1407" s="282">
        <v>1.8399999999999999</v>
      </c>
      <c r="G1407" s="280">
        <f t="shared" si="58"/>
        <v>0.92</v>
      </c>
      <c r="H1407" s="343" t="s">
        <v>732</v>
      </c>
      <c r="J1407" s="112"/>
      <c r="K1407" s="112"/>
      <c r="L1407" s="112"/>
      <c r="M1407" s="112"/>
      <c r="N1407" s="112"/>
      <c r="O1407" s="112"/>
      <c r="P1407" s="112"/>
      <c r="Q1407" s="112"/>
      <c r="R1407" s="112"/>
      <c r="S1407" s="112"/>
      <c r="T1407" s="112"/>
      <c r="U1407" s="112"/>
      <c r="V1407" s="112"/>
      <c r="W1407" s="112"/>
      <c r="X1407" s="112"/>
      <c r="Y1407" s="112"/>
      <c r="Z1407" s="112"/>
      <c r="AA1407" s="112"/>
      <c r="AB1407" s="112"/>
      <c r="AC1407" s="112"/>
      <c r="AD1407" s="112"/>
      <c r="AE1407" s="112"/>
      <c r="AF1407" s="112"/>
      <c r="AG1407" s="112"/>
      <c r="AH1407" s="112"/>
      <c r="AI1407" s="112"/>
      <c r="AJ1407" s="112"/>
      <c r="AK1407" s="112"/>
      <c r="AL1407" s="112"/>
    </row>
    <row r="1408" spans="1:38" s="311" customFormat="1" ht="24.75" customHeight="1">
      <c r="A1408" s="753"/>
      <c r="B1408" s="278" t="s">
        <v>430</v>
      </c>
      <c r="C1408" s="279" t="s">
        <v>427</v>
      </c>
      <c r="D1408" s="280">
        <v>0.15</v>
      </c>
      <c r="E1408" s="283">
        <v>1385</v>
      </c>
      <c r="F1408" s="282">
        <v>1028</v>
      </c>
      <c r="G1408" s="280">
        <f t="shared" si="58"/>
        <v>0.74223826714801444</v>
      </c>
      <c r="H1408" s="343" t="s">
        <v>733</v>
      </c>
      <c r="J1408" s="112"/>
      <c r="K1408" s="112"/>
      <c r="L1408" s="112"/>
      <c r="M1408" s="112"/>
      <c r="N1408" s="112"/>
      <c r="O1408" s="112"/>
      <c r="P1408" s="112"/>
      <c r="Q1408" s="112"/>
      <c r="R1408" s="112"/>
      <c r="S1408" s="112"/>
      <c r="T1408" s="112"/>
      <c r="U1408" s="112"/>
      <c r="V1408" s="112"/>
      <c r="W1408" s="112"/>
      <c r="X1408" s="112"/>
      <c r="Y1408" s="112"/>
      <c r="Z1408" s="112"/>
      <c r="AA1408" s="112"/>
      <c r="AB1408" s="112"/>
      <c r="AC1408" s="112"/>
      <c r="AD1408" s="112"/>
      <c r="AE1408" s="112"/>
      <c r="AF1408" s="112"/>
      <c r="AG1408" s="112"/>
      <c r="AH1408" s="112"/>
      <c r="AI1408" s="112"/>
      <c r="AJ1408" s="112"/>
      <c r="AK1408" s="112"/>
      <c r="AL1408" s="112"/>
    </row>
    <row r="1409" spans="1:38" s="311" customFormat="1" ht="24.75" customHeight="1">
      <c r="A1409" s="753"/>
      <c r="B1409" s="278" t="s">
        <v>431</v>
      </c>
      <c r="C1409" s="279" t="s">
        <v>427</v>
      </c>
      <c r="D1409" s="280">
        <v>0.15</v>
      </c>
      <c r="E1409" s="282">
        <v>1</v>
      </c>
      <c r="F1409" s="282">
        <v>1</v>
      </c>
      <c r="G1409" s="280">
        <f t="shared" si="58"/>
        <v>1</v>
      </c>
      <c r="H1409" s="343" t="s">
        <v>734</v>
      </c>
      <c r="J1409" s="112"/>
      <c r="K1409" s="112"/>
      <c r="L1409" s="112"/>
      <c r="M1409" s="112"/>
      <c r="N1409" s="112"/>
      <c r="O1409" s="112"/>
      <c r="P1409" s="112"/>
      <c r="Q1409" s="112"/>
      <c r="R1409" s="112"/>
      <c r="S1409" s="112"/>
      <c r="T1409" s="112"/>
      <c r="U1409" s="112"/>
      <c r="V1409" s="112"/>
      <c r="W1409" s="112"/>
      <c r="X1409" s="112"/>
      <c r="Y1409" s="112"/>
      <c r="Z1409" s="112"/>
      <c r="AA1409" s="112"/>
      <c r="AB1409" s="112"/>
      <c r="AC1409" s="112"/>
      <c r="AD1409" s="112"/>
      <c r="AE1409" s="112"/>
      <c r="AF1409" s="112"/>
      <c r="AG1409" s="112"/>
      <c r="AH1409" s="112"/>
      <c r="AI1409" s="112"/>
      <c r="AJ1409" s="112"/>
      <c r="AK1409" s="112"/>
      <c r="AL1409" s="112"/>
    </row>
    <row r="1410" spans="1:38" ht="24.75" customHeight="1">
      <c r="A1410" s="753"/>
      <c r="B1410" s="278" t="s">
        <v>432</v>
      </c>
      <c r="C1410" s="279" t="s">
        <v>427</v>
      </c>
      <c r="D1410" s="280">
        <v>0.15</v>
      </c>
      <c r="E1410" s="282">
        <v>902</v>
      </c>
      <c r="F1410" s="282">
        <v>843</v>
      </c>
      <c r="G1410" s="280">
        <f t="shared" si="58"/>
        <v>0.93458980044345896</v>
      </c>
      <c r="H1410" s="343" t="s">
        <v>735</v>
      </c>
    </row>
    <row r="1411" spans="1:38" ht="24.75" customHeight="1">
      <c r="A1411" s="754"/>
      <c r="B1411" s="278" t="s">
        <v>433</v>
      </c>
      <c r="C1411" s="279" t="s">
        <v>427</v>
      </c>
      <c r="D1411" s="280">
        <v>0.1</v>
      </c>
      <c r="E1411" s="280">
        <v>1</v>
      </c>
      <c r="F1411" s="280">
        <v>1</v>
      </c>
      <c r="G1411" s="280">
        <f t="shared" si="58"/>
        <v>1</v>
      </c>
      <c r="H1411" s="343" t="s">
        <v>736</v>
      </c>
    </row>
    <row r="1412" spans="1:38" s="311" customFormat="1" ht="24.75" customHeight="1">
      <c r="A1412" s="752" t="s">
        <v>739</v>
      </c>
      <c r="B1412" s="278" t="s">
        <v>426</v>
      </c>
      <c r="C1412" s="279" t="s">
        <v>427</v>
      </c>
      <c r="D1412" s="280">
        <v>0.15</v>
      </c>
      <c r="E1412" s="281">
        <v>20</v>
      </c>
      <c r="F1412" s="281">
        <v>19</v>
      </c>
      <c r="G1412" s="280">
        <f>F1412/E1412</f>
        <v>0.95</v>
      </c>
      <c r="H1412" s="343" t="s">
        <v>740</v>
      </c>
      <c r="J1412" s="112"/>
      <c r="K1412" s="112"/>
      <c r="L1412" s="112"/>
      <c r="M1412" s="112"/>
      <c r="N1412" s="112"/>
      <c r="O1412" s="112"/>
      <c r="P1412" s="112"/>
      <c r="Q1412" s="112"/>
      <c r="R1412" s="112"/>
      <c r="S1412" s="112"/>
      <c r="T1412" s="112"/>
      <c r="U1412" s="112"/>
      <c r="V1412" s="112"/>
      <c r="W1412" s="112"/>
      <c r="X1412" s="112"/>
      <c r="Y1412" s="112"/>
      <c r="Z1412" s="112"/>
      <c r="AA1412" s="112"/>
      <c r="AB1412" s="112"/>
      <c r="AC1412" s="112"/>
      <c r="AD1412" s="112"/>
      <c r="AE1412" s="112"/>
      <c r="AF1412" s="112"/>
      <c r="AG1412" s="112"/>
      <c r="AH1412" s="112"/>
      <c r="AI1412" s="112"/>
      <c r="AJ1412" s="112"/>
      <c r="AK1412" s="112"/>
      <c r="AL1412" s="112"/>
    </row>
    <row r="1413" spans="1:38" s="311" customFormat="1" ht="24.75" customHeight="1">
      <c r="A1413" s="753"/>
      <c r="B1413" s="278" t="s">
        <v>428</v>
      </c>
      <c r="C1413" s="279" t="s">
        <v>427</v>
      </c>
      <c r="D1413" s="280">
        <v>0.15</v>
      </c>
      <c r="E1413" s="282">
        <v>7</v>
      </c>
      <c r="F1413" s="282">
        <v>7</v>
      </c>
      <c r="G1413" s="280">
        <f t="shared" ref="G1413:G1418" si="59">F1413/E1413</f>
        <v>1</v>
      </c>
      <c r="H1413" s="343" t="s">
        <v>741</v>
      </c>
      <c r="J1413" s="112"/>
      <c r="K1413" s="112"/>
      <c r="L1413" s="112"/>
      <c r="M1413" s="112"/>
      <c r="N1413" s="112"/>
      <c r="O1413" s="112"/>
      <c r="P1413" s="112"/>
      <c r="Q1413" s="112"/>
      <c r="R1413" s="112"/>
      <c r="S1413" s="112"/>
      <c r="T1413" s="112"/>
      <c r="U1413" s="112"/>
      <c r="V1413" s="112"/>
      <c r="W1413" s="112"/>
      <c r="X1413" s="112"/>
      <c r="Y1413" s="112"/>
      <c r="Z1413" s="112"/>
      <c r="AA1413" s="112"/>
      <c r="AB1413" s="112"/>
      <c r="AC1413" s="112"/>
      <c r="AD1413" s="112"/>
      <c r="AE1413" s="112"/>
      <c r="AF1413" s="112"/>
      <c r="AG1413" s="112"/>
      <c r="AH1413" s="112"/>
      <c r="AI1413" s="112"/>
      <c r="AJ1413" s="112"/>
      <c r="AK1413" s="112"/>
      <c r="AL1413" s="112"/>
    </row>
    <row r="1414" spans="1:38" s="311" customFormat="1" ht="24.75" customHeight="1">
      <c r="A1414" s="753"/>
      <c r="B1414" s="278" t="s">
        <v>429</v>
      </c>
      <c r="C1414" s="279" t="s">
        <v>427</v>
      </c>
      <c r="D1414" s="280">
        <v>0.15</v>
      </c>
      <c r="E1414" s="282">
        <v>1.9999999999999998</v>
      </c>
      <c r="F1414" s="282">
        <v>1.9999999999999998</v>
      </c>
      <c r="G1414" s="280">
        <f t="shared" si="59"/>
        <v>1</v>
      </c>
      <c r="H1414" s="343" t="s">
        <v>742</v>
      </c>
      <c r="J1414" s="112"/>
      <c r="K1414" s="112"/>
      <c r="L1414" s="112"/>
      <c r="M1414" s="112"/>
      <c r="N1414" s="112"/>
      <c r="O1414" s="112"/>
      <c r="P1414" s="112"/>
      <c r="Q1414" s="112"/>
      <c r="R1414" s="112"/>
      <c r="S1414" s="112"/>
      <c r="T1414" s="112"/>
      <c r="U1414" s="112"/>
      <c r="V1414" s="112"/>
      <c r="W1414" s="112"/>
      <c r="X1414" s="112"/>
      <c r="Y1414" s="112"/>
      <c r="Z1414" s="112"/>
      <c r="AA1414" s="112"/>
      <c r="AB1414" s="112"/>
      <c r="AC1414" s="112"/>
      <c r="AD1414" s="112"/>
      <c r="AE1414" s="112"/>
      <c r="AF1414" s="112"/>
      <c r="AG1414" s="112"/>
      <c r="AH1414" s="112"/>
      <c r="AI1414" s="112"/>
      <c r="AJ1414" s="112"/>
      <c r="AK1414" s="112"/>
      <c r="AL1414" s="112"/>
    </row>
    <row r="1415" spans="1:38" s="311" customFormat="1" ht="24.75" customHeight="1">
      <c r="A1415" s="753"/>
      <c r="B1415" s="278" t="s">
        <v>430</v>
      </c>
      <c r="C1415" s="279" t="s">
        <v>427</v>
      </c>
      <c r="D1415" s="280">
        <v>0.15</v>
      </c>
      <c r="E1415" s="283">
        <v>1385</v>
      </c>
      <c r="F1415" s="282">
        <v>1156</v>
      </c>
      <c r="G1415" s="280">
        <f t="shared" si="59"/>
        <v>0.83465703971119132</v>
      </c>
      <c r="H1415" s="343" t="s">
        <v>743</v>
      </c>
      <c r="J1415" s="112"/>
      <c r="K1415" s="112"/>
      <c r="L1415" s="112"/>
      <c r="M1415" s="112"/>
      <c r="N1415" s="112"/>
      <c r="O1415" s="112"/>
      <c r="P1415" s="112"/>
      <c r="Q1415" s="112"/>
      <c r="R1415" s="112"/>
      <c r="S1415" s="112"/>
      <c r="T1415" s="112"/>
      <c r="U1415" s="112"/>
      <c r="V1415" s="112"/>
      <c r="W1415" s="112"/>
      <c r="X1415" s="112"/>
      <c r="Y1415" s="112"/>
      <c r="Z1415" s="112"/>
      <c r="AA1415" s="112"/>
      <c r="AB1415" s="112"/>
      <c r="AC1415" s="112"/>
      <c r="AD1415" s="112"/>
      <c r="AE1415" s="112"/>
      <c r="AF1415" s="112"/>
      <c r="AG1415" s="112"/>
      <c r="AH1415" s="112"/>
      <c r="AI1415" s="112"/>
      <c r="AJ1415" s="112"/>
      <c r="AK1415" s="112"/>
      <c r="AL1415" s="112"/>
    </row>
    <row r="1416" spans="1:38" s="311" customFormat="1" ht="24.75" customHeight="1">
      <c r="A1416" s="753"/>
      <c r="B1416" s="278" t="s">
        <v>431</v>
      </c>
      <c r="C1416" s="279" t="s">
        <v>427</v>
      </c>
      <c r="D1416" s="280">
        <v>0.15</v>
      </c>
      <c r="E1416" s="282">
        <v>1</v>
      </c>
      <c r="F1416" s="282">
        <v>1</v>
      </c>
      <c r="G1416" s="280">
        <f t="shared" si="59"/>
        <v>1</v>
      </c>
      <c r="H1416" s="343" t="s">
        <v>744</v>
      </c>
      <c r="J1416" s="112"/>
      <c r="K1416" s="112"/>
      <c r="L1416" s="112"/>
      <c r="M1416" s="112"/>
      <c r="N1416" s="112"/>
      <c r="O1416" s="112"/>
      <c r="P1416" s="112"/>
      <c r="Q1416" s="112"/>
      <c r="R1416" s="112"/>
      <c r="S1416" s="112"/>
      <c r="T1416" s="112"/>
      <c r="U1416" s="112"/>
      <c r="V1416" s="112"/>
      <c r="W1416" s="112"/>
      <c r="X1416" s="112"/>
      <c r="Y1416" s="112"/>
      <c r="Z1416" s="112"/>
      <c r="AA1416" s="112"/>
      <c r="AB1416" s="112"/>
      <c r="AC1416" s="112"/>
      <c r="AD1416" s="112"/>
      <c r="AE1416" s="112"/>
      <c r="AF1416" s="112"/>
      <c r="AG1416" s="112"/>
      <c r="AH1416" s="112"/>
      <c r="AI1416" s="112"/>
      <c r="AJ1416" s="112"/>
      <c r="AK1416" s="112"/>
      <c r="AL1416" s="112"/>
    </row>
    <row r="1417" spans="1:38" ht="24.75" customHeight="1">
      <c r="A1417" s="753"/>
      <c r="B1417" s="278" t="s">
        <v>432</v>
      </c>
      <c r="C1417" s="279" t="s">
        <v>427</v>
      </c>
      <c r="D1417" s="280">
        <v>0.15</v>
      </c>
      <c r="E1417" s="282">
        <v>902</v>
      </c>
      <c r="F1417" s="282">
        <v>1193</v>
      </c>
      <c r="G1417" s="280">
        <f t="shared" si="59"/>
        <v>1.3226164079822615</v>
      </c>
      <c r="H1417" s="343" t="s">
        <v>745</v>
      </c>
    </row>
    <row r="1418" spans="1:38" ht="24.75" customHeight="1">
      <c r="A1418" s="754"/>
      <c r="B1418" s="278" t="s">
        <v>433</v>
      </c>
      <c r="C1418" s="279" t="s">
        <v>427</v>
      </c>
      <c r="D1418" s="280">
        <v>0.1</v>
      </c>
      <c r="E1418" s="280">
        <v>1</v>
      </c>
      <c r="F1418" s="280">
        <v>1</v>
      </c>
      <c r="G1418" s="280">
        <f t="shared" si="59"/>
        <v>1</v>
      </c>
      <c r="H1418" s="343" t="s">
        <v>746</v>
      </c>
    </row>
    <row r="1419" spans="1:38" s="311" customFormat="1" ht="24.75" customHeight="1">
      <c r="A1419" s="809" t="s">
        <v>774</v>
      </c>
      <c r="B1419" s="476" t="s">
        <v>426</v>
      </c>
      <c r="C1419" s="477" t="s">
        <v>427</v>
      </c>
      <c r="D1419" s="280">
        <v>0.15</v>
      </c>
      <c r="E1419" s="472">
        <v>20</v>
      </c>
      <c r="F1419" s="472">
        <v>19</v>
      </c>
      <c r="G1419" s="280">
        <f>F1419/E1419</f>
        <v>0.95</v>
      </c>
      <c r="H1419" s="478" t="str">
        <f>+L807</f>
        <v>Durante la vigencia 2023, el avance acumulado corresponde al 100%; se han reportado los mantenimientos preventivos y correctivos realizados. De igual manera, se realizó la validación diaria de los datos de concentraciones de contaminantes criterio y parámetros meteorológicos monitoreados por la Red de Monitoreo y Calidad de Aire de Bogotá - RMCAB. El indicador acumulado corresponde al 100% de cumplimiento.</v>
      </c>
      <c r="J1419" s="112"/>
      <c r="K1419" s="112"/>
      <c r="L1419" s="112"/>
      <c r="M1419" s="112"/>
      <c r="N1419" s="112"/>
      <c r="O1419" s="112"/>
      <c r="P1419" s="112"/>
      <c r="Q1419" s="112"/>
      <c r="R1419" s="112"/>
      <c r="S1419" s="112"/>
      <c r="T1419" s="112"/>
      <c r="U1419" s="112"/>
      <c r="V1419" s="112"/>
      <c r="W1419" s="112"/>
      <c r="X1419" s="112"/>
      <c r="Y1419" s="112"/>
      <c r="Z1419" s="112"/>
      <c r="AA1419" s="112"/>
      <c r="AB1419" s="112"/>
      <c r="AC1419" s="112"/>
      <c r="AD1419" s="112"/>
      <c r="AE1419" s="112"/>
      <c r="AF1419" s="112"/>
      <c r="AG1419" s="112"/>
      <c r="AH1419" s="112"/>
      <c r="AI1419" s="112"/>
      <c r="AJ1419" s="112"/>
      <c r="AK1419" s="112"/>
      <c r="AL1419" s="112"/>
    </row>
    <row r="1420" spans="1:38" s="311" customFormat="1" ht="24.75" customHeight="1">
      <c r="A1420" s="810"/>
      <c r="B1420" s="476" t="s">
        <v>428</v>
      </c>
      <c r="C1420" s="477" t="s">
        <v>427</v>
      </c>
      <c r="D1420" s="280">
        <v>0.15</v>
      </c>
      <c r="E1420" s="479">
        <f>+INVERSIÓN!$DL$17</f>
        <v>7</v>
      </c>
      <c r="F1420" s="479">
        <f>+INVERSIÓN!$DM$17</f>
        <v>7</v>
      </c>
      <c r="G1420" s="280">
        <f t="shared" ref="G1420:G1425" si="60">F1420/E1420</f>
        <v>1</v>
      </c>
      <c r="H1420" s="478" t="str">
        <f t="shared" ref="H1420:H1425" si="61">+L808</f>
        <v>En el marco de la gestión integral de la calidad del aire de Bogotá, para el año 2023 se realizó la entrega de ocho (8) documentos técnicos, así:
1.	Plan Aire
Aporte Vigencia: 3 Documentos
Aporte MPDD : (1) documento. Informe semestral de Seguimiento al Plan Estratégico para la Gestión Integral de la Calidad del Aire – Plan Aire 2030 (2023-I). (1) Informe de plusvalía con la información de la intervención de 15 segmentos viales ubicados en la localidad de Ciudad Bolívar. (1) Informe semestral de Seguimiento al Plan Estratégico para la Gestión Integral de la Calidad del Aire – Plan Aire 2030 (2023-II).
2.	Alertas
Aporte Vigencia: 3 Documentos
Aporte MPDD: (1) Informe de gestión del Sistema de Alertas Tempranas Ambientales en su componente aire 2023-I. (2) documento Avance Informe de gestión del Sistema de Alertas Tempranas Ambientales en su componente aire 2023-II.
3.	Modelo
Aporte Vigencia: 2 Documentos
Aporte MPDD: (1) Inventario de Emisiones Atmosféricas de Bogotá correspondiente al 2022. (1) documento. Avance Acumulado INFORME DE MODELACIÓN DE CALIDAD DE AIRE SOBRE BOGOTÁ 2022. Anual 2022.
Con lo anterior se alcanza un acumulado al PDD de 26 documentos técnicos, correspondientes al 86,97% de avance acumulado.</v>
      </c>
      <c r="J1420" s="112"/>
      <c r="K1420" s="112"/>
      <c r="L1420" s="112"/>
      <c r="M1420" s="112"/>
      <c r="N1420" s="112"/>
      <c r="O1420" s="112"/>
      <c r="P1420" s="112"/>
      <c r="Q1420" s="112"/>
      <c r="R1420" s="112"/>
      <c r="S1420" s="112"/>
      <c r="T1420" s="112"/>
      <c r="U1420" s="112"/>
      <c r="V1420" s="112"/>
      <c r="W1420" s="112"/>
      <c r="X1420" s="112"/>
      <c r="Y1420" s="112"/>
      <c r="Z1420" s="112"/>
      <c r="AA1420" s="112"/>
      <c r="AB1420" s="112"/>
      <c r="AC1420" s="112"/>
      <c r="AD1420" s="112"/>
      <c r="AE1420" s="112"/>
      <c r="AF1420" s="112"/>
      <c r="AG1420" s="112"/>
      <c r="AH1420" s="112"/>
      <c r="AI1420" s="112"/>
      <c r="AJ1420" s="112"/>
      <c r="AK1420" s="112"/>
      <c r="AL1420" s="112"/>
    </row>
    <row r="1421" spans="1:38" s="311" customFormat="1" ht="24.75" customHeight="1">
      <c r="A1421" s="810"/>
      <c r="B1421" s="476" t="s">
        <v>429</v>
      </c>
      <c r="C1421" s="477" t="s">
        <v>427</v>
      </c>
      <c r="D1421" s="280">
        <v>0.15</v>
      </c>
      <c r="E1421" s="479">
        <f>+INVERSIÓN!$DL$24</f>
        <v>1.9999999999999998</v>
      </c>
      <c r="F1421" s="479">
        <f>+INVERSIÓN!$DM$24</f>
        <v>1.9999999999999998</v>
      </c>
      <c r="G1421" s="280">
        <f t="shared" si="60"/>
        <v>1</v>
      </c>
      <c r="H1421" s="478" t="str">
        <f t="shared" si="61"/>
        <v>El avance acumulado del 2023  es del  2 informes de los dos (02) informes de gestión programados para la vigencia 2023; con lo cual se reporta un avance del 100%, así;
1.	Primer Informe Semestral de Seguimiento 2023 - I, Terminado a junio 30 de 2023. Cantidad Uno (01)
2.	Segundo Informe Semestral de Seguimiento 2023 - II; Avance Acumulado a 1,0. 
Lo anterior con base en las actividades de recolección de información de las acciones de evaluación, control y seguimiento de los grupos de fuentes fijas y fuentes móviles.
También se tienen en cuenta la intervención mediante actuaciones técnicas, visitas de control y seguimiento, acompañamientos, monitoreos, pruebas de emisión a vehículos que transitan  en el Distrito Capital, que se requieren en el Centro de Revisión Vehicular - CRV, vinculaciones al PAA y concesionarios, así visitas técnicas de auditoría a los equipos de medición en los Centros de Diagnóstico Automotor CDA'S, con esta información se construyó el informe de acciones de evaluación, control y seguimiento a las fuentes de emisión.
El avance acumulado del cuatrienio, son 6,84 informes (85%) de los 8 informes programados.</v>
      </c>
      <c r="J1421" s="112"/>
      <c r="K1421" s="112"/>
      <c r="L1421" s="112"/>
      <c r="M1421" s="112"/>
      <c r="N1421" s="112"/>
      <c r="O1421" s="112"/>
      <c r="P1421" s="112"/>
      <c r="Q1421" s="112"/>
      <c r="R1421" s="112"/>
      <c r="S1421" s="112"/>
      <c r="T1421" s="112"/>
      <c r="U1421" s="112"/>
      <c r="V1421" s="112"/>
      <c r="W1421" s="112"/>
      <c r="X1421" s="112"/>
      <c r="Y1421" s="112"/>
      <c r="Z1421" s="112"/>
      <c r="AA1421" s="112"/>
      <c r="AB1421" s="112"/>
      <c r="AC1421" s="112"/>
      <c r="AD1421" s="112"/>
      <c r="AE1421" s="112"/>
      <c r="AF1421" s="112"/>
      <c r="AG1421" s="112"/>
      <c r="AH1421" s="112"/>
      <c r="AI1421" s="112"/>
      <c r="AJ1421" s="112"/>
      <c r="AK1421" s="112"/>
      <c r="AL1421" s="112"/>
    </row>
    <row r="1422" spans="1:38" s="311" customFormat="1" ht="24.75" customHeight="1">
      <c r="A1422" s="810"/>
      <c r="B1422" s="476" t="s">
        <v>430</v>
      </c>
      <c r="C1422" s="477" t="s">
        <v>427</v>
      </c>
      <c r="D1422" s="280">
        <v>0.15</v>
      </c>
      <c r="E1422" s="480">
        <v>1385</v>
      </c>
      <c r="F1422" s="479">
        <v>1259</v>
      </c>
      <c r="G1422" s="280">
        <f t="shared" si="60"/>
        <v>0.90902527075812278</v>
      </c>
      <c r="H1422" s="478" t="str">
        <f t="shared" si="61"/>
        <v>"En cumplimiento de la meta, el acumulado PDD es 4287 acciones así:
• IV Trimestre 2023: 423 acciones, 376 visitas y 47 otras acciones de gestión
• III Trimestre 2023: 427 acciones, 362 visitas y 65 otras acciones de gestión
• II Trimestre 2023: 390 acciones, 326 visitas y 64 otras acciones de gestión
• I Trimestre 2023: 241 acciones, 195 vistas y 46 otras acciones de gestión
• Vigencia 2022: 1418 acciones, entre 1202 visitas y 216 otras acciones de gestión
• Vigencia 2021: 897 acciones, entre 761 visitas y 136 otras acciones de gestión
• Vigencia 2020: 491 acciones, entre 374 visitas y 117 otras acciones de gestión."</v>
      </c>
      <c r="J1422" s="112"/>
      <c r="K1422" s="112"/>
      <c r="L1422" s="112"/>
      <c r="M1422" s="112"/>
      <c r="N1422" s="112"/>
      <c r="O1422" s="112"/>
      <c r="P1422" s="112"/>
      <c r="Q1422" s="112"/>
      <c r="R1422" s="112"/>
      <c r="S1422" s="112"/>
      <c r="T1422" s="112"/>
      <c r="U1422" s="112"/>
      <c r="V1422" s="112"/>
      <c r="W1422" s="112"/>
      <c r="X1422" s="112"/>
      <c r="Y1422" s="112"/>
      <c r="Z1422" s="112"/>
      <c r="AA1422" s="112"/>
      <c r="AB1422" s="112"/>
      <c r="AC1422" s="112"/>
      <c r="AD1422" s="112"/>
      <c r="AE1422" s="112"/>
      <c r="AF1422" s="112"/>
      <c r="AG1422" s="112"/>
      <c r="AH1422" s="112"/>
      <c r="AI1422" s="112"/>
      <c r="AJ1422" s="112"/>
      <c r="AK1422" s="112"/>
      <c r="AL1422" s="112"/>
    </row>
    <row r="1423" spans="1:38" s="311" customFormat="1" ht="24.75" customHeight="1">
      <c r="A1423" s="810"/>
      <c r="B1423" s="476" t="s">
        <v>431</v>
      </c>
      <c r="C1423" s="477" t="s">
        <v>427</v>
      </c>
      <c r="D1423" s="280">
        <v>0.15</v>
      </c>
      <c r="E1423" s="479">
        <v>1</v>
      </c>
      <c r="F1423" s="479">
        <v>1</v>
      </c>
      <c r="G1423" s="280">
        <f t="shared" si="60"/>
        <v>1</v>
      </c>
      <c r="H1423" s="478" t="str">
        <f t="shared" si="61"/>
        <v>Con la finalidad de realizar el 100% de las actividades para gestionar, estructurar y ampliar la Red de Monitoreo de Ruido Ambiental se realizaron actividades de mantenimiento, actualización de cartas control, análisis de los datos obtenidos de la red, avance del informe técnico semestral e informe de laboratorio, medición del Festival Cordillera para la modelación del evento y determinación del impacto acústico en vecindades, actualización de los Mapas Estratégicos de Ruido (MER) del Distrito, instalación de tres (3) estaciones de monitoreo de ruido ambiental bajo criterios de la Organización de Aviación Civil Internacional – OACI y la instalación y puesta en marcha de las estaciones meteorológicas de la RMRAB para la acreditación de la red en la metodología de medición y análisis de ruido ambiental según la normativa internacional ISO 1996.
Con lo anterior, se realiza el reporte del 100% de cumplimiento de la meta para la vigencia 2023.</v>
      </c>
      <c r="J1423" s="112"/>
      <c r="K1423" s="112"/>
      <c r="L1423" s="112"/>
      <c r="M1423" s="112"/>
      <c r="N1423" s="112"/>
      <c r="O1423" s="112"/>
      <c r="P1423" s="112"/>
      <c r="Q1423" s="112"/>
      <c r="R1423" s="112"/>
      <c r="S1423" s="112"/>
      <c r="T1423" s="112"/>
      <c r="U1423" s="112"/>
      <c r="V1423" s="112"/>
      <c r="W1423" s="112"/>
      <c r="X1423" s="112"/>
      <c r="Y1423" s="112"/>
      <c r="Z1423" s="112"/>
      <c r="AA1423" s="112"/>
      <c r="AB1423" s="112"/>
      <c r="AC1423" s="112"/>
      <c r="AD1423" s="112"/>
      <c r="AE1423" s="112"/>
      <c r="AF1423" s="112"/>
      <c r="AG1423" s="112"/>
      <c r="AH1423" s="112"/>
      <c r="AI1423" s="112"/>
      <c r="AJ1423" s="112"/>
      <c r="AK1423" s="112"/>
      <c r="AL1423" s="112"/>
    </row>
    <row r="1424" spans="1:38" ht="24.75" customHeight="1">
      <c r="A1424" s="810"/>
      <c r="B1424" s="476" t="s">
        <v>432</v>
      </c>
      <c r="C1424" s="477" t="s">
        <v>427</v>
      </c>
      <c r="D1424" s="280">
        <v>0.15</v>
      </c>
      <c r="E1424" s="479">
        <f>+INVERSIÓN!$DL$45</f>
        <v>1193</v>
      </c>
      <c r="F1424" s="479">
        <f>+INVERSIÓN!$DM$45</f>
        <v>1193</v>
      </c>
      <c r="G1424" s="280">
        <f t="shared" si="60"/>
        <v>1</v>
      </c>
      <c r="H1424" s="478" t="str">
        <f t="shared" si="61"/>
        <v>El avance acumulado en la vigencia 2023 es de (1.193) acciones de evaluación, control y seguimiento realizadas. 
- (52) operativos de control a zonas de Resto del Distrito. 
- (130) visitas de evaluación a elementos mayores.
- (605) documentos técnicos firmados para el resto del Distrito.
- (12) cargues de información a la plataforma SIIPEV.
- (394) evaluaciones a solicitudes de elementos de publicidad exterior visual.
Con lo anterior, se tiene un avance para el cuatrienio de 8.618 acciones de evaluación, control y seguimiento. así:
Vigencia 2020: 1,292 Acciones.
Vigencia 2021: 4.950 Acciones.
Vigencia 2022: 1.183 Acciones.
Vigencia 2023: 1.193acciones.</v>
      </c>
    </row>
    <row r="1425" spans="1:38" ht="24.75" customHeight="1">
      <c r="A1425" s="811"/>
      <c r="B1425" s="476" t="s">
        <v>433</v>
      </c>
      <c r="C1425" s="477" t="s">
        <v>427</v>
      </c>
      <c r="D1425" s="280">
        <v>0.1</v>
      </c>
      <c r="E1425" s="280">
        <v>1</v>
      </c>
      <c r="F1425" s="280">
        <v>1</v>
      </c>
      <c r="G1425" s="280">
        <f t="shared" si="60"/>
        <v>1</v>
      </c>
      <c r="H1425" s="478" t="str">
        <f t="shared" si="61"/>
        <v>En el periodo comprendido entre el 1 de enero al 31 de Diciembre de 2023 fueron acogidos 1.827 conceptos técnicos que recomienden una actuación administrativa sancionatoria.  Lo anterior genera un cumplimiento del 100% de atenciones de conceptos técnicos.</v>
      </c>
    </row>
    <row r="1426" spans="1:38" ht="24.75" customHeight="1">
      <c r="A1426" s="326" t="s">
        <v>34</v>
      </c>
      <c r="B1426" s="327"/>
      <c r="C1426" s="327"/>
      <c r="D1426" s="328"/>
      <c r="E1426" s="329"/>
      <c r="F1426" s="328"/>
      <c r="G1426" s="328"/>
      <c r="H1426" s="328"/>
      <c r="I1426" s="328"/>
      <c r="J1426" s="328"/>
      <c r="K1426" s="328"/>
      <c r="L1426" s="328"/>
      <c r="M1426" s="328"/>
      <c r="N1426" s="328"/>
      <c r="O1426" s="328"/>
      <c r="P1426" s="327"/>
      <c r="Q1426" s="327"/>
      <c r="R1426" s="327"/>
      <c r="S1426" s="327"/>
      <c r="T1426" s="327"/>
      <c r="U1426" s="327"/>
      <c r="V1426" s="327"/>
      <c r="W1426" s="327"/>
      <c r="X1426" s="330"/>
      <c r="Y1426" s="330"/>
      <c r="Z1426" s="330"/>
      <c r="AA1426" s="330"/>
      <c r="AB1426" s="330"/>
      <c r="AC1426" s="330"/>
      <c r="AD1426" s="331"/>
      <c r="AE1426" s="331"/>
      <c r="AF1426" s="330"/>
      <c r="AG1426" s="330"/>
      <c r="AH1426" s="330"/>
      <c r="AI1426" s="330"/>
      <c r="AJ1426" s="330"/>
      <c r="AK1426" s="330"/>
      <c r="AL1426" s="331"/>
    </row>
    <row r="1427" spans="1:38" ht="24.75" customHeight="1">
      <c r="A1427" s="332" t="s">
        <v>35</v>
      </c>
      <c r="B1427" s="786" t="s">
        <v>36</v>
      </c>
      <c r="C1427" s="787"/>
      <c r="D1427" s="787"/>
      <c r="E1427" s="787"/>
      <c r="F1427" s="787"/>
      <c r="G1427" s="787"/>
      <c r="H1427" s="788"/>
      <c r="I1427" s="789" t="s">
        <v>37</v>
      </c>
      <c r="J1427" s="790"/>
      <c r="K1427" s="790"/>
      <c r="L1427" s="790"/>
      <c r="M1427" s="790"/>
      <c r="N1427" s="790"/>
      <c r="O1427" s="791"/>
      <c r="P1427" s="327"/>
      <c r="Q1427" s="327"/>
      <c r="R1427" s="327"/>
      <c r="S1427" s="327"/>
      <c r="T1427" s="327"/>
      <c r="U1427" s="327"/>
      <c r="V1427" s="327"/>
      <c r="W1427" s="327"/>
      <c r="X1427" s="327"/>
      <c r="Y1427" s="327"/>
      <c r="Z1427" s="327"/>
      <c r="AA1427" s="327"/>
      <c r="AB1427" s="327"/>
      <c r="AC1427" s="327"/>
      <c r="AD1427" s="333"/>
      <c r="AE1427" s="333"/>
      <c r="AF1427" s="327"/>
      <c r="AG1427" s="327"/>
      <c r="AH1427" s="327"/>
      <c r="AI1427" s="327"/>
      <c r="AJ1427" s="327"/>
      <c r="AK1427" s="327"/>
      <c r="AL1427" s="333"/>
    </row>
    <row r="1428" spans="1:38" ht="24.75" customHeight="1">
      <c r="A1428" s="251">
        <v>13</v>
      </c>
      <c r="B1428" s="782" t="s">
        <v>89</v>
      </c>
      <c r="C1428" s="782"/>
      <c r="D1428" s="782"/>
      <c r="E1428" s="782"/>
      <c r="F1428" s="782"/>
      <c r="G1428" s="782"/>
      <c r="H1428" s="782"/>
      <c r="I1428" s="792" t="s">
        <v>80</v>
      </c>
      <c r="J1428" s="793"/>
      <c r="K1428" s="793"/>
      <c r="L1428" s="793"/>
      <c r="M1428" s="793"/>
      <c r="N1428" s="793"/>
      <c r="O1428" s="794"/>
    </row>
    <row r="1429" spans="1:38" ht="24.75" customHeight="1">
      <c r="A1429" s="251">
        <v>14</v>
      </c>
      <c r="B1429" s="782" t="s">
        <v>247</v>
      </c>
      <c r="C1429" s="782"/>
      <c r="D1429" s="782"/>
      <c r="E1429" s="782"/>
      <c r="F1429" s="782"/>
      <c r="G1429" s="782"/>
      <c r="H1429" s="782"/>
      <c r="I1429" s="783" t="s">
        <v>509</v>
      </c>
      <c r="J1429" s="784"/>
      <c r="K1429" s="784"/>
      <c r="L1429" s="784"/>
      <c r="M1429" s="784"/>
      <c r="N1429" s="784"/>
      <c r="O1429" s="785"/>
    </row>
  </sheetData>
  <sheetProtection formatCells="0" formatColumns="0" formatRows="0" sort="0" autoFilter="0" pivotTables="0"/>
  <mergeCells count="884">
    <mergeCell ref="A1113:A1119"/>
    <mergeCell ref="B1113:B1115"/>
    <mergeCell ref="C1113:C1115"/>
    <mergeCell ref="B1118:B1119"/>
    <mergeCell ref="C1118:C1119"/>
    <mergeCell ref="A1419:A1425"/>
    <mergeCell ref="A497:A507"/>
    <mergeCell ref="A807:A813"/>
    <mergeCell ref="B807:B809"/>
    <mergeCell ref="C807:C809"/>
    <mergeCell ref="A1412:A1418"/>
    <mergeCell ref="C968:C969"/>
    <mergeCell ref="A947:G947"/>
    <mergeCell ref="A949:A955"/>
    <mergeCell ref="B949:B951"/>
    <mergeCell ref="C949:C951"/>
    <mergeCell ref="B954:B955"/>
    <mergeCell ref="C954:C955"/>
    <mergeCell ref="A932:A938"/>
    <mergeCell ref="B932:B934"/>
    <mergeCell ref="C932:C934"/>
    <mergeCell ref="B937:B938"/>
    <mergeCell ref="C937:C938"/>
    <mergeCell ref="A939:A945"/>
    <mergeCell ref="D807:D809"/>
    <mergeCell ref="E807:E809"/>
    <mergeCell ref="F807:F809"/>
    <mergeCell ref="B812:B813"/>
    <mergeCell ref="C812:C813"/>
    <mergeCell ref="D812:D813"/>
    <mergeCell ref="E812:E813"/>
    <mergeCell ref="F812:F813"/>
    <mergeCell ref="A1106:A1112"/>
    <mergeCell ref="B1106:B1108"/>
    <mergeCell ref="C1106:C1108"/>
    <mergeCell ref="B1111:B1112"/>
    <mergeCell ref="C1111:C1112"/>
    <mergeCell ref="B982:B983"/>
    <mergeCell ref="C982:C983"/>
    <mergeCell ref="A956:A962"/>
    <mergeCell ref="B956:B958"/>
    <mergeCell ref="C956:C958"/>
    <mergeCell ref="B961:B962"/>
    <mergeCell ref="C961:C962"/>
    <mergeCell ref="A963:A969"/>
    <mergeCell ref="B963:B965"/>
    <mergeCell ref="C963:C965"/>
    <mergeCell ref="B968:B969"/>
    <mergeCell ref="A485:A496"/>
    <mergeCell ref="A800:A806"/>
    <mergeCell ref="B800:B802"/>
    <mergeCell ref="C800:C802"/>
    <mergeCell ref="A1405:A1411"/>
    <mergeCell ref="C1010:C1011"/>
    <mergeCell ref="A984:A990"/>
    <mergeCell ref="B984:B986"/>
    <mergeCell ref="C984:C986"/>
    <mergeCell ref="B989:B990"/>
    <mergeCell ref="C989:C990"/>
    <mergeCell ref="A991:A997"/>
    <mergeCell ref="B991:B993"/>
    <mergeCell ref="C991:C993"/>
    <mergeCell ref="B996:B997"/>
    <mergeCell ref="C996:C997"/>
    <mergeCell ref="A970:A976"/>
    <mergeCell ref="B970:B972"/>
    <mergeCell ref="C970:C972"/>
    <mergeCell ref="B975:B976"/>
    <mergeCell ref="C975:C976"/>
    <mergeCell ref="A977:A983"/>
    <mergeCell ref="B977:B979"/>
    <mergeCell ref="C977:C979"/>
    <mergeCell ref="D800:D802"/>
    <mergeCell ref="E800:E802"/>
    <mergeCell ref="F800:F802"/>
    <mergeCell ref="B805:B806"/>
    <mergeCell ref="C805:C806"/>
    <mergeCell ref="D805:D806"/>
    <mergeCell ref="E805:E806"/>
    <mergeCell ref="F805:F806"/>
    <mergeCell ref="A1099:A1105"/>
    <mergeCell ref="B1099:B1101"/>
    <mergeCell ref="C1099:C1101"/>
    <mergeCell ref="B1104:B1105"/>
    <mergeCell ref="C1104:C1105"/>
    <mergeCell ref="B1024:B1025"/>
    <mergeCell ref="C1024:C1025"/>
    <mergeCell ref="A998:A1004"/>
    <mergeCell ref="B998:B1000"/>
    <mergeCell ref="C998:C1000"/>
    <mergeCell ref="B1003:B1004"/>
    <mergeCell ref="C1003:C1004"/>
    <mergeCell ref="A1005:A1011"/>
    <mergeCell ref="B1005:B1007"/>
    <mergeCell ref="C1005:C1007"/>
    <mergeCell ref="B1010:B1011"/>
    <mergeCell ref="A474:A484"/>
    <mergeCell ref="A793:A799"/>
    <mergeCell ref="B793:B795"/>
    <mergeCell ref="C793:C795"/>
    <mergeCell ref="A1290:A1296"/>
    <mergeCell ref="A1297:A1303"/>
    <mergeCell ref="A1304:A1310"/>
    <mergeCell ref="A1311:A1317"/>
    <mergeCell ref="A1318:A1324"/>
    <mergeCell ref="C1048:C1049"/>
    <mergeCell ref="A1026:A1032"/>
    <mergeCell ref="B1026:B1028"/>
    <mergeCell ref="C1026:C1028"/>
    <mergeCell ref="B1031:B1032"/>
    <mergeCell ref="C1031:C1032"/>
    <mergeCell ref="A1034:G1034"/>
    <mergeCell ref="A1012:A1018"/>
    <mergeCell ref="B1012:B1014"/>
    <mergeCell ref="D793:D795"/>
    <mergeCell ref="E793:E795"/>
    <mergeCell ref="F793:F795"/>
    <mergeCell ref="B798:B799"/>
    <mergeCell ref="C798:C799"/>
    <mergeCell ref="D798:D799"/>
    <mergeCell ref="E798:E799"/>
    <mergeCell ref="F798:F799"/>
    <mergeCell ref="A1283:A1289"/>
    <mergeCell ref="A1245:A1251"/>
    <mergeCell ref="A1253:H1253"/>
    <mergeCell ref="A1255:A1261"/>
    <mergeCell ref="A1262:A1268"/>
    <mergeCell ref="A1269:A1275"/>
    <mergeCell ref="A1276:A1282"/>
    <mergeCell ref="A1036:A1042"/>
    <mergeCell ref="B1036:B1038"/>
    <mergeCell ref="C1036:C1038"/>
    <mergeCell ref="B1041:B1042"/>
    <mergeCell ref="C1041:C1042"/>
    <mergeCell ref="A1043:A1049"/>
    <mergeCell ref="B1043:B1045"/>
    <mergeCell ref="C1043:C1045"/>
    <mergeCell ref="B1048:B1049"/>
    <mergeCell ref="C1012:C1014"/>
    <mergeCell ref="B1017:B1018"/>
    <mergeCell ref="C1017:C1018"/>
    <mergeCell ref="A1019:A1025"/>
    <mergeCell ref="B1019:B1021"/>
    <mergeCell ref="C1019:C1021"/>
    <mergeCell ref="A452:A462"/>
    <mergeCell ref="A779:A785"/>
    <mergeCell ref="B779:B781"/>
    <mergeCell ref="C779:C781"/>
    <mergeCell ref="D779:D781"/>
    <mergeCell ref="A1217:A1223"/>
    <mergeCell ref="A1224:A1230"/>
    <mergeCell ref="A1231:A1237"/>
    <mergeCell ref="A1238:A1244"/>
    <mergeCell ref="A772:A778"/>
    <mergeCell ref="B772:B774"/>
    <mergeCell ref="C772:C774"/>
    <mergeCell ref="D772:D774"/>
    <mergeCell ref="A1137:A1143"/>
    <mergeCell ref="A1144:A1150"/>
    <mergeCell ref="A1151:A1157"/>
    <mergeCell ref="A1158:A1164"/>
    <mergeCell ref="B1057:B1059"/>
    <mergeCell ref="C1057:C1059"/>
    <mergeCell ref="B1062:B1063"/>
    <mergeCell ref="C1062:C1063"/>
    <mergeCell ref="C1085:C1087"/>
    <mergeCell ref="B1090:B1091"/>
    <mergeCell ref="C1090:C1091"/>
    <mergeCell ref="E779:E781"/>
    <mergeCell ref="F779:F781"/>
    <mergeCell ref="B784:B785"/>
    <mergeCell ref="C784:C785"/>
    <mergeCell ref="D784:D785"/>
    <mergeCell ref="E784:E785"/>
    <mergeCell ref="F784:F785"/>
    <mergeCell ref="A1203:A1209"/>
    <mergeCell ref="A1210:A1216"/>
    <mergeCell ref="A1166:H1166"/>
    <mergeCell ref="A1168:A1174"/>
    <mergeCell ref="A1175:A1181"/>
    <mergeCell ref="A1182:A1188"/>
    <mergeCell ref="A1189:A1195"/>
    <mergeCell ref="A1196:A1202"/>
    <mergeCell ref="A1071:A1077"/>
    <mergeCell ref="A1078:A1084"/>
    <mergeCell ref="B1078:B1080"/>
    <mergeCell ref="C1078:C1080"/>
    <mergeCell ref="B1083:B1084"/>
    <mergeCell ref="C1083:C1084"/>
    <mergeCell ref="B1071:B1073"/>
    <mergeCell ref="C1071:C1073"/>
    <mergeCell ref="B1076:B1077"/>
    <mergeCell ref="E772:E774"/>
    <mergeCell ref="F772:F774"/>
    <mergeCell ref="B777:B778"/>
    <mergeCell ref="C777:C778"/>
    <mergeCell ref="D777:D778"/>
    <mergeCell ref="E777:E778"/>
    <mergeCell ref="F777:F778"/>
    <mergeCell ref="A1123:A1129"/>
    <mergeCell ref="A1130:A1136"/>
    <mergeCell ref="A1064:A1070"/>
    <mergeCell ref="B1064:B1066"/>
    <mergeCell ref="C1064:C1066"/>
    <mergeCell ref="B1069:B1070"/>
    <mergeCell ref="C1069:C1070"/>
    <mergeCell ref="A1121:H1121"/>
    <mergeCell ref="C1076:C1077"/>
    <mergeCell ref="A1085:A1091"/>
    <mergeCell ref="B1085:B1087"/>
    <mergeCell ref="A1050:A1056"/>
    <mergeCell ref="B1050:B1052"/>
    <mergeCell ref="C1050:C1052"/>
    <mergeCell ref="B1055:B1056"/>
    <mergeCell ref="C1055:C1056"/>
    <mergeCell ref="A1057:A1063"/>
    <mergeCell ref="A434:A442"/>
    <mergeCell ref="B765:B767"/>
    <mergeCell ref="C765:C767"/>
    <mergeCell ref="D765:D767"/>
    <mergeCell ref="E765:E767"/>
    <mergeCell ref="F765:F767"/>
    <mergeCell ref="B770:B771"/>
    <mergeCell ref="C770:C771"/>
    <mergeCell ref="D770:D771"/>
    <mergeCell ref="E770:E771"/>
    <mergeCell ref="F770:F771"/>
    <mergeCell ref="D763:D764"/>
    <mergeCell ref="E763:E764"/>
    <mergeCell ref="F763:F764"/>
    <mergeCell ref="F749:F750"/>
    <mergeCell ref="C756:C757"/>
    <mergeCell ref="D756:D757"/>
    <mergeCell ref="A744:A750"/>
    <mergeCell ref="B744:B746"/>
    <mergeCell ref="C744:C746"/>
    <mergeCell ref="D744:D746"/>
    <mergeCell ref="E744:E746"/>
    <mergeCell ref="F744:F746"/>
    <mergeCell ref="B749:B750"/>
    <mergeCell ref="B1429:H1429"/>
    <mergeCell ref="I1429:O1429"/>
    <mergeCell ref="A1363:A1369"/>
    <mergeCell ref="A1370:A1376"/>
    <mergeCell ref="B1427:H1427"/>
    <mergeCell ref="I1427:O1427"/>
    <mergeCell ref="B1428:H1428"/>
    <mergeCell ref="I1428:O1428"/>
    <mergeCell ref="A1325:A1331"/>
    <mergeCell ref="A1332:A1338"/>
    <mergeCell ref="A1340:H1340"/>
    <mergeCell ref="A1342:A1348"/>
    <mergeCell ref="A1349:A1355"/>
    <mergeCell ref="A1356:A1362"/>
    <mergeCell ref="A1384:A1390"/>
    <mergeCell ref="A1377:A1383"/>
    <mergeCell ref="A1391:A1397"/>
    <mergeCell ref="B939:B941"/>
    <mergeCell ref="C939:C941"/>
    <mergeCell ref="B944:B945"/>
    <mergeCell ref="C944:C945"/>
    <mergeCell ref="A918:A924"/>
    <mergeCell ref="B918:B920"/>
    <mergeCell ref="C918:C920"/>
    <mergeCell ref="B923:B924"/>
    <mergeCell ref="C923:C924"/>
    <mergeCell ref="A925:A931"/>
    <mergeCell ref="B925:B927"/>
    <mergeCell ref="C925:C927"/>
    <mergeCell ref="B930:B931"/>
    <mergeCell ref="C930:C931"/>
    <mergeCell ref="A904:A910"/>
    <mergeCell ref="B904:B906"/>
    <mergeCell ref="C904:C906"/>
    <mergeCell ref="B909:B910"/>
    <mergeCell ref="C909:C910"/>
    <mergeCell ref="A911:A917"/>
    <mergeCell ref="B911:B913"/>
    <mergeCell ref="C911:C913"/>
    <mergeCell ref="B916:B917"/>
    <mergeCell ref="C916:C917"/>
    <mergeCell ref="A890:A896"/>
    <mergeCell ref="B890:B892"/>
    <mergeCell ref="C890:C892"/>
    <mergeCell ref="B895:B896"/>
    <mergeCell ref="C895:C896"/>
    <mergeCell ref="A897:A903"/>
    <mergeCell ref="B897:B899"/>
    <mergeCell ref="C897:C899"/>
    <mergeCell ref="B902:B903"/>
    <mergeCell ref="C902:C903"/>
    <mergeCell ref="A876:A882"/>
    <mergeCell ref="B876:B878"/>
    <mergeCell ref="C876:C878"/>
    <mergeCell ref="B881:B882"/>
    <mergeCell ref="C881:C882"/>
    <mergeCell ref="A883:A889"/>
    <mergeCell ref="B883:B885"/>
    <mergeCell ref="C883:C885"/>
    <mergeCell ref="B888:B889"/>
    <mergeCell ref="C888:C889"/>
    <mergeCell ref="A862:A868"/>
    <mergeCell ref="B862:B864"/>
    <mergeCell ref="C862:C864"/>
    <mergeCell ref="B867:B868"/>
    <mergeCell ref="C867:C868"/>
    <mergeCell ref="A869:A875"/>
    <mergeCell ref="B869:B871"/>
    <mergeCell ref="C869:C871"/>
    <mergeCell ref="B874:B875"/>
    <mergeCell ref="C874:C875"/>
    <mergeCell ref="A852:A858"/>
    <mergeCell ref="B852:B854"/>
    <mergeCell ref="C852:C854"/>
    <mergeCell ref="B857:B858"/>
    <mergeCell ref="C857:C858"/>
    <mergeCell ref="A860:G860"/>
    <mergeCell ref="A838:A844"/>
    <mergeCell ref="B838:B840"/>
    <mergeCell ref="C838:C840"/>
    <mergeCell ref="B843:B844"/>
    <mergeCell ref="C843:C844"/>
    <mergeCell ref="A845:A851"/>
    <mergeCell ref="B845:B847"/>
    <mergeCell ref="C845:C847"/>
    <mergeCell ref="B850:B851"/>
    <mergeCell ref="C850:C851"/>
    <mergeCell ref="A824:A830"/>
    <mergeCell ref="B824:B826"/>
    <mergeCell ref="C824:C826"/>
    <mergeCell ref="B829:B830"/>
    <mergeCell ref="C829:C830"/>
    <mergeCell ref="A831:A837"/>
    <mergeCell ref="B831:B833"/>
    <mergeCell ref="C831:C833"/>
    <mergeCell ref="B836:B837"/>
    <mergeCell ref="C836:C837"/>
    <mergeCell ref="A815:G815"/>
    <mergeCell ref="A817:A823"/>
    <mergeCell ref="B817:B819"/>
    <mergeCell ref="C817:C819"/>
    <mergeCell ref="B822:B823"/>
    <mergeCell ref="C822:C823"/>
    <mergeCell ref="A765:A771"/>
    <mergeCell ref="E756:E757"/>
    <mergeCell ref="F756:F757"/>
    <mergeCell ref="A758:A764"/>
    <mergeCell ref="B758:B760"/>
    <mergeCell ref="C758:C760"/>
    <mergeCell ref="D758:D760"/>
    <mergeCell ref="E758:E760"/>
    <mergeCell ref="F758:F760"/>
    <mergeCell ref="B763:B764"/>
    <mergeCell ref="C763:C764"/>
    <mergeCell ref="A751:A757"/>
    <mergeCell ref="B751:B753"/>
    <mergeCell ref="C751:C753"/>
    <mergeCell ref="D751:D753"/>
    <mergeCell ref="E751:E753"/>
    <mergeCell ref="F751:F753"/>
    <mergeCell ref="B756:B757"/>
    <mergeCell ref="A737:A743"/>
    <mergeCell ref="B737:B739"/>
    <mergeCell ref="C737:C739"/>
    <mergeCell ref="D737:D739"/>
    <mergeCell ref="E737:E739"/>
    <mergeCell ref="C749:C750"/>
    <mergeCell ref="D749:D750"/>
    <mergeCell ref="E749:E750"/>
    <mergeCell ref="F737:F739"/>
    <mergeCell ref="B742:B743"/>
    <mergeCell ref="C742:C743"/>
    <mergeCell ref="D742:D743"/>
    <mergeCell ref="E742:E743"/>
    <mergeCell ref="F742:F743"/>
    <mergeCell ref="A728:L728"/>
    <mergeCell ref="A730:A736"/>
    <mergeCell ref="B730:B732"/>
    <mergeCell ref="C730:C732"/>
    <mergeCell ref="D730:D732"/>
    <mergeCell ref="E730:E732"/>
    <mergeCell ref="F730:F732"/>
    <mergeCell ref="B735:B736"/>
    <mergeCell ref="C735:C736"/>
    <mergeCell ref="D735:D736"/>
    <mergeCell ref="E735:E736"/>
    <mergeCell ref="F735:F736"/>
    <mergeCell ref="A720:A726"/>
    <mergeCell ref="B720:B722"/>
    <mergeCell ref="C720:C722"/>
    <mergeCell ref="D720:D722"/>
    <mergeCell ref="E720:E722"/>
    <mergeCell ref="F720:F722"/>
    <mergeCell ref="B725:B726"/>
    <mergeCell ref="C725:C726"/>
    <mergeCell ref="D725:D726"/>
    <mergeCell ref="E725:E726"/>
    <mergeCell ref="F725:F726"/>
    <mergeCell ref="F711:F712"/>
    <mergeCell ref="A713:A719"/>
    <mergeCell ref="B713:B715"/>
    <mergeCell ref="C713:C715"/>
    <mergeCell ref="D713:D715"/>
    <mergeCell ref="E713:E715"/>
    <mergeCell ref="F713:F715"/>
    <mergeCell ref="B718:B719"/>
    <mergeCell ref="C718:C719"/>
    <mergeCell ref="D718:D719"/>
    <mergeCell ref="A706:A712"/>
    <mergeCell ref="B706:B708"/>
    <mergeCell ref="C706:C708"/>
    <mergeCell ref="D706:D708"/>
    <mergeCell ref="E706:E708"/>
    <mergeCell ref="F706:F708"/>
    <mergeCell ref="B711:B712"/>
    <mergeCell ref="C711:C712"/>
    <mergeCell ref="D711:D712"/>
    <mergeCell ref="E711:E712"/>
    <mergeCell ref="E718:E719"/>
    <mergeCell ref="F718:F719"/>
    <mergeCell ref="C704:C705"/>
    <mergeCell ref="D704:D705"/>
    <mergeCell ref="E704:E705"/>
    <mergeCell ref="F704:F705"/>
    <mergeCell ref="B697:B698"/>
    <mergeCell ref="C697:C698"/>
    <mergeCell ref="D697:D698"/>
    <mergeCell ref="E697:E698"/>
    <mergeCell ref="F697:F698"/>
    <mergeCell ref="A685:A691"/>
    <mergeCell ref="B685:B687"/>
    <mergeCell ref="C685:C687"/>
    <mergeCell ref="D685:D687"/>
    <mergeCell ref="E685:E687"/>
    <mergeCell ref="F685:F687"/>
    <mergeCell ref="B690:B691"/>
    <mergeCell ref="A699:A705"/>
    <mergeCell ref="B699:B701"/>
    <mergeCell ref="C699:C701"/>
    <mergeCell ref="D699:D701"/>
    <mergeCell ref="E699:E701"/>
    <mergeCell ref="C690:C691"/>
    <mergeCell ref="D690:D691"/>
    <mergeCell ref="E690:E691"/>
    <mergeCell ref="F690:F691"/>
    <mergeCell ref="A692:A698"/>
    <mergeCell ref="B692:B694"/>
    <mergeCell ref="C692:C694"/>
    <mergeCell ref="D692:D694"/>
    <mergeCell ref="E692:E694"/>
    <mergeCell ref="F692:F694"/>
    <mergeCell ref="F699:F701"/>
    <mergeCell ref="B704:B705"/>
    <mergeCell ref="A678:A684"/>
    <mergeCell ref="B678:B680"/>
    <mergeCell ref="C678:C680"/>
    <mergeCell ref="D678:D680"/>
    <mergeCell ref="E678:E680"/>
    <mergeCell ref="F678:F680"/>
    <mergeCell ref="B683:B684"/>
    <mergeCell ref="C683:C684"/>
    <mergeCell ref="D683:D684"/>
    <mergeCell ref="E683:E684"/>
    <mergeCell ref="F683:F684"/>
    <mergeCell ref="F669:F670"/>
    <mergeCell ref="A671:A677"/>
    <mergeCell ref="B671:B673"/>
    <mergeCell ref="C671:C673"/>
    <mergeCell ref="D671:D673"/>
    <mergeCell ref="E671:E673"/>
    <mergeCell ref="F671:F673"/>
    <mergeCell ref="B676:B677"/>
    <mergeCell ref="C676:C677"/>
    <mergeCell ref="D676:D677"/>
    <mergeCell ref="A664:A670"/>
    <mergeCell ref="B664:B666"/>
    <mergeCell ref="C664:C666"/>
    <mergeCell ref="D664:D666"/>
    <mergeCell ref="E664:E666"/>
    <mergeCell ref="F664:F666"/>
    <mergeCell ref="B669:B670"/>
    <mergeCell ref="C669:C670"/>
    <mergeCell ref="D669:D670"/>
    <mergeCell ref="E669:E670"/>
    <mergeCell ref="E676:E677"/>
    <mergeCell ref="F676:F677"/>
    <mergeCell ref="B662:B663"/>
    <mergeCell ref="C662:C663"/>
    <mergeCell ref="D662:D663"/>
    <mergeCell ref="E662:E663"/>
    <mergeCell ref="F662:F663"/>
    <mergeCell ref="B655:B656"/>
    <mergeCell ref="C655:C656"/>
    <mergeCell ref="D655:D656"/>
    <mergeCell ref="E655:E656"/>
    <mergeCell ref="F655:F656"/>
    <mergeCell ref="A641:L641"/>
    <mergeCell ref="A643:A649"/>
    <mergeCell ref="B643:B645"/>
    <mergeCell ref="C643:C645"/>
    <mergeCell ref="D643:D645"/>
    <mergeCell ref="E643:E645"/>
    <mergeCell ref="F643:F645"/>
    <mergeCell ref="B648:B649"/>
    <mergeCell ref="A657:A663"/>
    <mergeCell ref="B657:B659"/>
    <mergeCell ref="C657:C659"/>
    <mergeCell ref="D657:D659"/>
    <mergeCell ref="E657:E659"/>
    <mergeCell ref="C648:C649"/>
    <mergeCell ref="D648:D649"/>
    <mergeCell ref="E648:E649"/>
    <mergeCell ref="F648:F649"/>
    <mergeCell ref="A650:A656"/>
    <mergeCell ref="B650:B652"/>
    <mergeCell ref="C650:C652"/>
    <mergeCell ref="D650:D652"/>
    <mergeCell ref="E650:E652"/>
    <mergeCell ref="F650:F652"/>
    <mergeCell ref="F657:F659"/>
    <mergeCell ref="F631:F632"/>
    <mergeCell ref="A633:A639"/>
    <mergeCell ref="B633:B635"/>
    <mergeCell ref="C633:C635"/>
    <mergeCell ref="D633:D635"/>
    <mergeCell ref="E633:E635"/>
    <mergeCell ref="F633:F635"/>
    <mergeCell ref="B638:B639"/>
    <mergeCell ref="C638:C639"/>
    <mergeCell ref="D638:D639"/>
    <mergeCell ref="A626:A632"/>
    <mergeCell ref="B626:B628"/>
    <mergeCell ref="C626:C628"/>
    <mergeCell ref="D626:D628"/>
    <mergeCell ref="E626:E628"/>
    <mergeCell ref="F626:F628"/>
    <mergeCell ref="B631:B632"/>
    <mergeCell ref="C631:C632"/>
    <mergeCell ref="D631:D632"/>
    <mergeCell ref="E631:E632"/>
    <mergeCell ref="E638:E639"/>
    <mergeCell ref="F638:F639"/>
    <mergeCell ref="C624:C625"/>
    <mergeCell ref="D624:D625"/>
    <mergeCell ref="E624:E625"/>
    <mergeCell ref="F624:F625"/>
    <mergeCell ref="B617:B618"/>
    <mergeCell ref="C617:C618"/>
    <mergeCell ref="D617:D618"/>
    <mergeCell ref="E617:E618"/>
    <mergeCell ref="F617:F618"/>
    <mergeCell ref="A605:A611"/>
    <mergeCell ref="B605:B607"/>
    <mergeCell ref="C605:C607"/>
    <mergeCell ref="D605:D607"/>
    <mergeCell ref="E605:E607"/>
    <mergeCell ref="F605:F607"/>
    <mergeCell ref="B610:B611"/>
    <mergeCell ref="A619:A625"/>
    <mergeCell ref="B619:B621"/>
    <mergeCell ref="C619:C621"/>
    <mergeCell ref="D619:D621"/>
    <mergeCell ref="E619:E621"/>
    <mergeCell ref="C610:C611"/>
    <mergeCell ref="D610:D611"/>
    <mergeCell ref="E610:E611"/>
    <mergeCell ref="F610:F611"/>
    <mergeCell ref="A612:A618"/>
    <mergeCell ref="B612:B614"/>
    <mergeCell ref="C612:C614"/>
    <mergeCell ref="D612:D614"/>
    <mergeCell ref="E612:E614"/>
    <mergeCell ref="F612:F614"/>
    <mergeCell ref="F619:F621"/>
    <mergeCell ref="B624:B625"/>
    <mergeCell ref="A598:A604"/>
    <mergeCell ref="B598:B600"/>
    <mergeCell ref="C598:C600"/>
    <mergeCell ref="D598:D600"/>
    <mergeCell ref="E598:E600"/>
    <mergeCell ref="F598:F600"/>
    <mergeCell ref="B603:B604"/>
    <mergeCell ref="C603:C604"/>
    <mergeCell ref="D603:D604"/>
    <mergeCell ref="E603:E604"/>
    <mergeCell ref="F603:F604"/>
    <mergeCell ref="E575:E576"/>
    <mergeCell ref="F575:F576"/>
    <mergeCell ref="F589:F590"/>
    <mergeCell ref="A591:A597"/>
    <mergeCell ref="B591:B593"/>
    <mergeCell ref="C591:C593"/>
    <mergeCell ref="D591:D593"/>
    <mergeCell ref="E591:E593"/>
    <mergeCell ref="F591:F593"/>
    <mergeCell ref="B596:B597"/>
    <mergeCell ref="C596:C597"/>
    <mergeCell ref="D596:D597"/>
    <mergeCell ref="A584:A590"/>
    <mergeCell ref="B584:B586"/>
    <mergeCell ref="C584:C586"/>
    <mergeCell ref="D584:D586"/>
    <mergeCell ref="E584:E586"/>
    <mergeCell ref="F584:F586"/>
    <mergeCell ref="B589:B590"/>
    <mergeCell ref="C589:C590"/>
    <mergeCell ref="D589:D590"/>
    <mergeCell ref="E589:E590"/>
    <mergeCell ref="E596:E597"/>
    <mergeCell ref="F596:F597"/>
    <mergeCell ref="A577:A583"/>
    <mergeCell ref="B577:B579"/>
    <mergeCell ref="C577:C579"/>
    <mergeCell ref="D577:D579"/>
    <mergeCell ref="E577:E579"/>
    <mergeCell ref="C568:C569"/>
    <mergeCell ref="D568:D569"/>
    <mergeCell ref="E568:E569"/>
    <mergeCell ref="F568:F569"/>
    <mergeCell ref="A570:A576"/>
    <mergeCell ref="B570:B572"/>
    <mergeCell ref="C570:C572"/>
    <mergeCell ref="D570:D572"/>
    <mergeCell ref="E570:E572"/>
    <mergeCell ref="F570:F572"/>
    <mergeCell ref="F577:F579"/>
    <mergeCell ref="B582:B583"/>
    <mergeCell ref="C582:C583"/>
    <mergeCell ref="D582:D583"/>
    <mergeCell ref="E582:E583"/>
    <mergeCell ref="F582:F583"/>
    <mergeCell ref="B575:B576"/>
    <mergeCell ref="C575:C576"/>
    <mergeCell ref="D575:D576"/>
    <mergeCell ref="D561:D562"/>
    <mergeCell ref="E561:E562"/>
    <mergeCell ref="F561:F562"/>
    <mergeCell ref="A563:A569"/>
    <mergeCell ref="B563:B565"/>
    <mergeCell ref="C563:C565"/>
    <mergeCell ref="D563:D565"/>
    <mergeCell ref="E563:E565"/>
    <mergeCell ref="F563:F565"/>
    <mergeCell ref="B568:B569"/>
    <mergeCell ref="F551:F552"/>
    <mergeCell ref="D539:D541"/>
    <mergeCell ref="E539:E541"/>
    <mergeCell ref="F539:F541"/>
    <mergeCell ref="A546:A552"/>
    <mergeCell ref="B546:B548"/>
    <mergeCell ref="C546:C548"/>
    <mergeCell ref="D546:D548"/>
    <mergeCell ref="E546:E548"/>
    <mergeCell ref="F546:F548"/>
    <mergeCell ref="B551:B552"/>
    <mergeCell ref="C551:C552"/>
    <mergeCell ref="D551:D552"/>
    <mergeCell ref="E551:E552"/>
    <mergeCell ref="A532:A538"/>
    <mergeCell ref="B532:B534"/>
    <mergeCell ref="C532:C534"/>
    <mergeCell ref="D532:D534"/>
    <mergeCell ref="E532:E534"/>
    <mergeCell ref="F532:F534"/>
    <mergeCell ref="D544:D545"/>
    <mergeCell ref="E544:E545"/>
    <mergeCell ref="F544:F545"/>
    <mergeCell ref="B537:B538"/>
    <mergeCell ref="C537:C538"/>
    <mergeCell ref="D537:D538"/>
    <mergeCell ref="E537:E538"/>
    <mergeCell ref="F537:F538"/>
    <mergeCell ref="D518:D520"/>
    <mergeCell ref="E518:E520"/>
    <mergeCell ref="F518:F520"/>
    <mergeCell ref="B523:B524"/>
    <mergeCell ref="C523:C524"/>
    <mergeCell ref="D523:D524"/>
    <mergeCell ref="E523:E524"/>
    <mergeCell ref="F523:F524"/>
    <mergeCell ref="A525:A531"/>
    <mergeCell ref="B525:B527"/>
    <mergeCell ref="C525:C527"/>
    <mergeCell ref="D525:D527"/>
    <mergeCell ref="E525:E527"/>
    <mergeCell ref="F525:F527"/>
    <mergeCell ref="B530:B531"/>
    <mergeCell ref="C530:C531"/>
    <mergeCell ref="D530:D531"/>
    <mergeCell ref="E530:E531"/>
    <mergeCell ref="F530:F531"/>
    <mergeCell ref="A387:H387"/>
    <mergeCell ref="A389:A397"/>
    <mergeCell ref="A398:A406"/>
    <mergeCell ref="A407:A415"/>
    <mergeCell ref="A416:A424"/>
    <mergeCell ref="A425:A433"/>
    <mergeCell ref="A347:A365"/>
    <mergeCell ref="B348:B353"/>
    <mergeCell ref="B355:B359"/>
    <mergeCell ref="B360:B362"/>
    <mergeCell ref="B364:B365"/>
    <mergeCell ref="A366:A384"/>
    <mergeCell ref="B367:B372"/>
    <mergeCell ref="B374:B378"/>
    <mergeCell ref="B379:B381"/>
    <mergeCell ref="B383:B384"/>
    <mergeCell ref="A315:A327"/>
    <mergeCell ref="B318:B321"/>
    <mergeCell ref="B322:B324"/>
    <mergeCell ref="B326:B327"/>
    <mergeCell ref="A328:A346"/>
    <mergeCell ref="B329:B334"/>
    <mergeCell ref="B336:B340"/>
    <mergeCell ref="B341:B343"/>
    <mergeCell ref="B345:B346"/>
    <mergeCell ref="A287:A299"/>
    <mergeCell ref="B287:B288"/>
    <mergeCell ref="B292:B295"/>
    <mergeCell ref="B296:B298"/>
    <mergeCell ref="B300:B301"/>
    <mergeCell ref="A302:A314"/>
    <mergeCell ref="B305:B308"/>
    <mergeCell ref="B309:B311"/>
    <mergeCell ref="B313:B314"/>
    <mergeCell ref="A261:A273"/>
    <mergeCell ref="B264:B267"/>
    <mergeCell ref="B268:B270"/>
    <mergeCell ref="B272:B273"/>
    <mergeCell ref="A274:A286"/>
    <mergeCell ref="B277:B280"/>
    <mergeCell ref="B281:B283"/>
    <mergeCell ref="B285:B286"/>
    <mergeCell ref="A235:A247"/>
    <mergeCell ref="B238:B241"/>
    <mergeCell ref="B242:B244"/>
    <mergeCell ref="B246:B247"/>
    <mergeCell ref="A248:A260"/>
    <mergeCell ref="B251:B254"/>
    <mergeCell ref="B255:B257"/>
    <mergeCell ref="B259:B260"/>
    <mergeCell ref="A209:A221"/>
    <mergeCell ref="B212:B215"/>
    <mergeCell ref="B216:B218"/>
    <mergeCell ref="B220:B221"/>
    <mergeCell ref="A222:A234"/>
    <mergeCell ref="B225:B228"/>
    <mergeCell ref="B229:B231"/>
    <mergeCell ref="B233:B234"/>
    <mergeCell ref="A194:A205"/>
    <mergeCell ref="B194:B195"/>
    <mergeCell ref="B197:B199"/>
    <mergeCell ref="B200:B201"/>
    <mergeCell ref="B203:B204"/>
    <mergeCell ref="A207:H207"/>
    <mergeCell ref="A170:A181"/>
    <mergeCell ref="B170:B171"/>
    <mergeCell ref="B173:B175"/>
    <mergeCell ref="B176:B177"/>
    <mergeCell ref="B179:B180"/>
    <mergeCell ref="A182:A193"/>
    <mergeCell ref="B182:B183"/>
    <mergeCell ref="B185:B187"/>
    <mergeCell ref="B188:B189"/>
    <mergeCell ref="B191:B192"/>
    <mergeCell ref="A148:A158"/>
    <mergeCell ref="B150:B152"/>
    <mergeCell ref="B153:B154"/>
    <mergeCell ref="B156:B157"/>
    <mergeCell ref="A159:A169"/>
    <mergeCell ref="B161:B163"/>
    <mergeCell ref="B164:B165"/>
    <mergeCell ref="B167:B168"/>
    <mergeCell ref="A126:A136"/>
    <mergeCell ref="B128:B130"/>
    <mergeCell ref="B131:B132"/>
    <mergeCell ref="B134:B135"/>
    <mergeCell ref="A137:A147"/>
    <mergeCell ref="B139:B141"/>
    <mergeCell ref="B142:B143"/>
    <mergeCell ref="B145:B146"/>
    <mergeCell ref="A104:A114"/>
    <mergeCell ref="B106:B108"/>
    <mergeCell ref="B109:B110"/>
    <mergeCell ref="B112:B113"/>
    <mergeCell ref="A115:A125"/>
    <mergeCell ref="B117:B119"/>
    <mergeCell ref="B120:B121"/>
    <mergeCell ref="B123:B124"/>
    <mergeCell ref="A82:A92"/>
    <mergeCell ref="B84:B86"/>
    <mergeCell ref="B87:B88"/>
    <mergeCell ref="B90:B91"/>
    <mergeCell ref="A93:A103"/>
    <mergeCell ref="B95:B97"/>
    <mergeCell ref="B98:B99"/>
    <mergeCell ref="B101:B102"/>
    <mergeCell ref="A59:A68"/>
    <mergeCell ref="B60:B61"/>
    <mergeCell ref="B63:B64"/>
    <mergeCell ref="B65:B66"/>
    <mergeCell ref="A70:H70"/>
    <mergeCell ref="A72:A81"/>
    <mergeCell ref="B73:B74"/>
    <mergeCell ref="B75:B76"/>
    <mergeCell ref="B77:B78"/>
    <mergeCell ref="A39:A48"/>
    <mergeCell ref="B40:B41"/>
    <mergeCell ref="B43:B44"/>
    <mergeCell ref="B45:B46"/>
    <mergeCell ref="A49:A58"/>
    <mergeCell ref="B50:B51"/>
    <mergeCell ref="B53:B54"/>
    <mergeCell ref="B55:B56"/>
    <mergeCell ref="A19:A28"/>
    <mergeCell ref="B20:B21"/>
    <mergeCell ref="B23:B24"/>
    <mergeCell ref="B25:B26"/>
    <mergeCell ref="A29:A38"/>
    <mergeCell ref="B30:B31"/>
    <mergeCell ref="B33:B34"/>
    <mergeCell ref="B35:B36"/>
    <mergeCell ref="A5:B5"/>
    <mergeCell ref="C5:L5"/>
    <mergeCell ref="A7:H7"/>
    <mergeCell ref="A9:A18"/>
    <mergeCell ref="B10:B11"/>
    <mergeCell ref="B13:B14"/>
    <mergeCell ref="B15:B16"/>
    <mergeCell ref="A1:B3"/>
    <mergeCell ref="C1:L1"/>
    <mergeCell ref="C2:L2"/>
    <mergeCell ref="C3:G3"/>
    <mergeCell ref="H3:L3"/>
    <mergeCell ref="A4:B4"/>
    <mergeCell ref="C4:L4"/>
    <mergeCell ref="D786:D788"/>
    <mergeCell ref="E786:E788"/>
    <mergeCell ref="F786:F788"/>
    <mergeCell ref="B791:B792"/>
    <mergeCell ref="C791:C792"/>
    <mergeCell ref="D791:D792"/>
    <mergeCell ref="E791:E792"/>
    <mergeCell ref="F791:F792"/>
    <mergeCell ref="A443:A451"/>
    <mergeCell ref="A509:L509"/>
    <mergeCell ref="A511:A517"/>
    <mergeCell ref="B511:B513"/>
    <mergeCell ref="C511:C513"/>
    <mergeCell ref="D511:D513"/>
    <mergeCell ref="E511:E513"/>
    <mergeCell ref="F511:F513"/>
    <mergeCell ref="B516:B517"/>
    <mergeCell ref="C516:C517"/>
    <mergeCell ref="D516:D517"/>
    <mergeCell ref="E516:E517"/>
    <mergeCell ref="F516:F517"/>
    <mergeCell ref="A518:A524"/>
    <mergeCell ref="B518:B520"/>
    <mergeCell ref="C518:C520"/>
    <mergeCell ref="A1092:A1098"/>
    <mergeCell ref="B1092:B1094"/>
    <mergeCell ref="C1092:C1094"/>
    <mergeCell ref="B1097:B1098"/>
    <mergeCell ref="C1097:C1098"/>
    <mergeCell ref="A1398:A1404"/>
    <mergeCell ref="A463:A473"/>
    <mergeCell ref="A786:A792"/>
    <mergeCell ref="B786:B788"/>
    <mergeCell ref="C786:C788"/>
    <mergeCell ref="A539:A545"/>
    <mergeCell ref="B539:B541"/>
    <mergeCell ref="C539:C541"/>
    <mergeCell ref="B544:B545"/>
    <mergeCell ref="C544:C545"/>
    <mergeCell ref="A554:L554"/>
    <mergeCell ref="A556:A562"/>
    <mergeCell ref="B556:B558"/>
    <mergeCell ref="C556:C558"/>
    <mergeCell ref="D556:D558"/>
    <mergeCell ref="E556:E558"/>
    <mergeCell ref="F556:F558"/>
    <mergeCell ref="B561:B562"/>
    <mergeCell ref="C561:C562"/>
  </mergeCells>
  <pageMargins left="0.7" right="0.7" top="0.75" bottom="0.75" header="0.3" footer="0.3"/>
  <drawing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GESTIÓN</vt:lpstr>
      <vt:lpstr>INVERSIÓN</vt:lpstr>
      <vt:lpstr>ACTIVIDADES</vt:lpstr>
      <vt:lpstr>TERRITORIALIZACION</vt:lpstr>
      <vt:lpstr>SPI </vt:lpstr>
      <vt:lpstr>ACTIVIDADES!Área_de_impresión</vt:lpstr>
      <vt:lpstr>INVERSIÓN!Área_de_impresión</vt:lpstr>
      <vt:lpstr>ce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alquiler241 SPCI</cp:lastModifiedBy>
  <cp:lastPrinted>2020-01-27T23:43:22Z</cp:lastPrinted>
  <dcterms:created xsi:type="dcterms:W3CDTF">2010-03-25T16:40:43Z</dcterms:created>
  <dcterms:modified xsi:type="dcterms:W3CDTF">2024-01-30T17:52:08Z</dcterms:modified>
</cp:coreProperties>
</file>