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698AF66C-BCF1-4880-AE16-617C6AD2BAF9}" xr6:coauthVersionLast="47" xr6:coauthVersionMax="47" xr10:uidLastSave="{00000000-0000-0000-0000-000000000000}"/>
  <bookViews>
    <workbookView xWindow="-120" yWindow="-120" windowWidth="20730" windowHeight="11160" tabRatio="599" firstSheet="1" activeTab="1" xr2:uid="{00000000-000D-0000-FFFF-FFFF00000000}"/>
  </bookViews>
  <sheets>
    <sheet name="GESTIÓN 2023 SSFFS-SPCI" sheetId="13" state="hidden" r:id="rId1"/>
    <sheet name="GESTIÓN" sheetId="32" r:id="rId2"/>
    <sheet name="INVERSIÓN" sheetId="27" r:id="rId3"/>
    <sheet name="ACT 2024 SSFFS-SPCI " sheetId="33" state="hidden" r:id="rId4"/>
    <sheet name="ACTIVIDADES" sheetId="26" r:id="rId5"/>
    <sheet name="TERRITORIALIZACIÓN" sheetId="36" r:id="rId6"/>
    <sheet name="SPI" sheetId="3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bookmark_1" localSheetId="3">#REF!</definedName>
    <definedName name="__bookmark_1" localSheetId="0">#REF!</definedName>
    <definedName name="__bookmark_1" localSheetId="6">#REF!</definedName>
    <definedName name="__bookmark_1">#REF!</definedName>
    <definedName name="_xlnm._FilterDatabase" localSheetId="4" hidden="1">ACTIVIDADES!$A$8:$AH$8</definedName>
    <definedName name="CONDICION_POBLACIONAL" localSheetId="3">[1]Variables!$C$1:$C$24</definedName>
    <definedName name="CONDICION_POBLACIONAL" localSheetId="0">[1]Variables!$C$1:$C$24</definedName>
    <definedName name="CONDICION_POBLACIONAL" localSheetId="6">[1]Variables!$C$1:$C$24</definedName>
    <definedName name="CONDICION_POBLACIONAL">[2]Variables!$C$1:$C$24</definedName>
    <definedName name="ENCABEZADO" localSheetId="3">#REF!</definedName>
    <definedName name="ENCABEZADO" localSheetId="4">#REF!</definedName>
    <definedName name="ENCABEZADO" localSheetId="1">#REF!</definedName>
    <definedName name="ENCABEZADO">#REF!</definedName>
    <definedName name="GIRO" localSheetId="3">#REF!</definedName>
    <definedName name="GIRO" localSheetId="4">#REF!</definedName>
    <definedName name="GIRO" localSheetId="1">#REF!</definedName>
    <definedName name="GIRO">#REF!</definedName>
    <definedName name="GRUPO_ETAREO" localSheetId="3">[1]Variables!$A$1:$A$8</definedName>
    <definedName name="GRUPO_ETAREO" localSheetId="0">[1]Variables!$A$1:$A$8</definedName>
    <definedName name="GRUPO_ETAREO" localSheetId="6">[1]Variables!$A$1:$A$8</definedName>
    <definedName name="GRUPO_ETAREO">[2]Variables!$A$1:$A$8</definedName>
    <definedName name="GRUPO_ETAREOS" localSheetId="1">#REF!</definedName>
    <definedName name="GRUPO_ETAREOS" localSheetId="6">#REF!</definedName>
    <definedName name="GRUPO_ETAREOS">#REF!</definedName>
    <definedName name="GRUPO_ETARIO" localSheetId="6">#REF!</definedName>
    <definedName name="GRUPO_ETARIO">#REF!</definedName>
    <definedName name="GRUPO_ETNICO" localSheetId="6">#REF!</definedName>
    <definedName name="GRUPO_ETNICO">#REF!</definedName>
    <definedName name="GRUPOETNICO" localSheetId="6">#REF!</definedName>
    <definedName name="GRUPOETNICO">#REF!</definedName>
    <definedName name="GRUPOS_ETNICOS" localSheetId="3">[1]Variables!$H$1:$H$8</definedName>
    <definedName name="GRUPOS_ETNICOS" localSheetId="0">[1]Variables!$H$1:$H$8</definedName>
    <definedName name="GRUPOS_ETNICOS" localSheetId="6">[1]Variables!$H$1:$H$8</definedName>
    <definedName name="GRUPOS_ETNICOS">[2]Variables!$H$1:$H$8</definedName>
    <definedName name="LA" localSheetId="4">#REF!</definedName>
    <definedName name="LA" localSheetId="1">#REF!</definedName>
    <definedName name="LA" localSheetId="6">#REF!</definedName>
    <definedName name="LA">#REF!</definedName>
    <definedName name="LOCALIDAD" localSheetId="6">#REF!</definedName>
    <definedName name="LOCALIDAD">#REF!</definedName>
    <definedName name="LOCALIZACION" localSheetId="6">#REF!</definedName>
    <definedName name="LOCALIZACION">#REF!</definedName>
    <definedName name="Proceso_SIPSE" localSheetId="4">#REF!</definedName>
    <definedName name="Proceso_SIPSE">#REF!</definedName>
    <definedName name="RP" localSheetId="4">#REF!</definedName>
    <definedName name="RP">#REF!</definedName>
    <definedName name="tabla" localSheetId="6">#REF!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6" i="36" l="1"/>
  <c r="I276" i="36"/>
  <c r="W275" i="36"/>
  <c r="V275" i="36"/>
  <c r="U275" i="36"/>
  <c r="T275" i="36"/>
  <c r="K275" i="36"/>
  <c r="J275" i="36"/>
  <c r="I275" i="36"/>
  <c r="H275" i="36"/>
  <c r="G275" i="36"/>
  <c r="E275" i="36"/>
  <c r="W274" i="36"/>
  <c r="W276" i="36" s="1"/>
  <c r="V274" i="36"/>
  <c r="V276" i="36" s="1"/>
  <c r="U274" i="36"/>
  <c r="U276" i="36" s="1"/>
  <c r="T274" i="36"/>
  <c r="T276" i="36" s="1"/>
  <c r="K274" i="36"/>
  <c r="K276" i="36" s="1"/>
  <c r="J274" i="36"/>
  <c r="I274" i="36"/>
  <c r="H274" i="36"/>
  <c r="H276" i="36" s="1"/>
  <c r="G274" i="36"/>
  <c r="G276" i="36" s="1"/>
  <c r="F274" i="36"/>
  <c r="F276" i="36" s="1"/>
  <c r="X273" i="36"/>
  <c r="X272" i="36"/>
  <c r="X271" i="36"/>
  <c r="X275" i="36" s="1"/>
  <c r="X270" i="36"/>
  <c r="X269" i="36"/>
  <c r="X268" i="36"/>
  <c r="X267" i="36"/>
  <c r="X266" i="36"/>
  <c r="E266" i="36"/>
  <c r="X265" i="36"/>
  <c r="X264" i="36"/>
  <c r="X263" i="36"/>
  <c r="E263" i="36"/>
  <c r="X262" i="36"/>
  <c r="E262" i="36"/>
  <c r="W159" i="36"/>
  <c r="K159" i="36"/>
  <c r="AZ142" i="36"/>
  <c r="X141" i="36"/>
  <c r="X140" i="36"/>
  <c r="E140" i="36"/>
  <c r="X137" i="36"/>
  <c r="X136" i="36"/>
  <c r="X135" i="36"/>
  <c r="X134" i="36"/>
  <c r="E134" i="36"/>
  <c r="X133" i="36"/>
  <c r="E132" i="36"/>
  <c r="X131" i="36"/>
  <c r="X274" i="36" s="1"/>
  <c r="X276" i="36" s="1"/>
  <c r="E131" i="36"/>
  <c r="E274" i="36" s="1"/>
  <c r="E276" i="36" s="1"/>
  <c r="E130" i="36"/>
  <c r="AZ10" i="36"/>
  <c r="G28" i="27" l="1"/>
  <c r="G15" i="27"/>
  <c r="G13" i="27"/>
  <c r="G10" i="27"/>
  <c r="ES37" i="27"/>
  <c r="EU37" i="27"/>
  <c r="EU16" i="27"/>
  <c r="EV11" i="27"/>
  <c r="EV10" i="27"/>
  <c r="EU10" i="27"/>
  <c r="ET10" i="27"/>
  <c r="ES10" i="27"/>
  <c r="ER10" i="27"/>
  <c r="G35" i="27"/>
  <c r="G32" i="27"/>
  <c r="G25" i="27"/>
  <c r="G24" i="27"/>
  <c r="G14" i="27"/>
  <c r="G11" i="27"/>
  <c r="ET16" i="27"/>
  <c r="ES16" i="27"/>
  <c r="ER37" i="27"/>
  <c r="ER35" i="27"/>
  <c r="ER34" i="27"/>
  <c r="ER32" i="27"/>
  <c r="ER28" i="27"/>
  <c r="ER27" i="27"/>
  <c r="ER23" i="27"/>
  <c r="ER21" i="27"/>
  <c r="ER20" i="27"/>
  <c r="ER18" i="27"/>
  <c r="ER13" i="27"/>
  <c r="ER11" i="27"/>
  <c r="ER12" i="27"/>
  <c r="ER14" i="27"/>
  <c r="ER15" i="27"/>
  <c r="ER16" i="27"/>
  <c r="ER17" i="27"/>
  <c r="ER19" i="27"/>
  <c r="ER22" i="27"/>
  <c r="ER24" i="27"/>
  <c r="ER25" i="27"/>
  <c r="ER26" i="27"/>
  <c r="ER29" i="27"/>
  <c r="ER30" i="27"/>
  <c r="ER31" i="27"/>
  <c r="ER33" i="27"/>
  <c r="ER36" i="27"/>
  <c r="ET14" i="32"/>
  <c r="EU14" i="32"/>
  <c r="EV14" i="32"/>
  <c r="EW14" i="32"/>
  <c r="EX14" i="32"/>
  <c r="EX13" i="32"/>
  <c r="EW13" i="32"/>
  <c r="EV13" i="32"/>
  <c r="EU13" i="32"/>
  <c r="ES13" i="32"/>
  <c r="ET13" i="32"/>
  <c r="EQ11" i="27" l="1"/>
  <c r="EQ17" i="27" l="1"/>
  <c r="EQ22" i="27" s="1"/>
  <c r="EQ18" i="27"/>
  <c r="EQ19" i="27"/>
  <c r="EQ21" i="27"/>
  <c r="DX36" i="27" l="1"/>
  <c r="EN31" i="27" l="1"/>
  <c r="EO17" i="27" l="1"/>
  <c r="EN17" i="27"/>
  <c r="ES17" i="27" l="1"/>
  <c r="EO11" i="27" l="1"/>
  <c r="EP14" i="32" l="1"/>
  <c r="EQ14" i="32"/>
  <c r="EP13" i="32"/>
  <c r="EQ13" i="32"/>
  <c r="EN10" i="27"/>
  <c r="EM10" i="27"/>
  <c r="DY11" i="27"/>
  <c r="DW24" i="27" l="1"/>
  <c r="EN24" i="27" l="1"/>
  <c r="EM24" i="27"/>
  <c r="G419" i="35"/>
  <c r="G66" i="35"/>
  <c r="EN35" i="27" l="1"/>
  <c r="EN34" i="27"/>
  <c r="EN33" i="27"/>
  <c r="EN32" i="27"/>
  <c r="EN28" i="27"/>
  <c r="EN27" i="27"/>
  <c r="EN26" i="27"/>
  <c r="EN25" i="27"/>
  <c r="EN21" i="27"/>
  <c r="EN19" i="27"/>
  <c r="EN18" i="27"/>
  <c r="EN14" i="27"/>
  <c r="EN13" i="27"/>
  <c r="EN12" i="27"/>
  <c r="EN11" i="27"/>
  <c r="G428" i="35"/>
  <c r="G427" i="35"/>
  <c r="G426" i="35"/>
  <c r="G425" i="35"/>
  <c r="G424" i="35"/>
  <c r="G423" i="35"/>
  <c r="G422" i="35"/>
  <c r="G421" i="35"/>
  <c r="G420" i="35"/>
  <c r="G418" i="35"/>
  <c r="G417" i="35"/>
  <c r="G413" i="35"/>
  <c r="G412" i="35"/>
  <c r="G411" i="35"/>
  <c r="G410" i="35"/>
  <c r="G409" i="35"/>
  <c r="G408" i="35"/>
  <c r="G407" i="35"/>
  <c r="G406" i="35"/>
  <c r="G405" i="35"/>
  <c r="G404" i="35"/>
  <c r="G403" i="35"/>
  <c r="G402" i="35"/>
  <c r="G398" i="35"/>
  <c r="G397" i="35"/>
  <c r="G396" i="35"/>
  <c r="G395" i="35"/>
  <c r="G394" i="35"/>
  <c r="G393" i="35"/>
  <c r="G392" i="35"/>
  <c r="G391" i="35"/>
  <c r="G390" i="35"/>
  <c r="G389" i="35"/>
  <c r="G388" i="35"/>
  <c r="G384" i="35"/>
  <c r="G383" i="35"/>
  <c r="G382" i="35"/>
  <c r="G381" i="35"/>
  <c r="G380" i="35"/>
  <c r="G378" i="35"/>
  <c r="G377" i="35"/>
  <c r="G376" i="35"/>
  <c r="G375" i="35"/>
  <c r="G374" i="35"/>
  <c r="G373" i="35"/>
  <c r="G369" i="35"/>
  <c r="G368" i="35"/>
  <c r="G367" i="35"/>
  <c r="G366" i="35"/>
  <c r="G365" i="35"/>
  <c r="G364" i="35"/>
  <c r="F348" i="35"/>
  <c r="F347" i="35"/>
  <c r="F346" i="35"/>
  <c r="F345" i="35"/>
  <c r="F344" i="35"/>
  <c r="E344" i="35"/>
  <c r="F343" i="35"/>
  <c r="E343" i="35"/>
  <c r="F342" i="35"/>
  <c r="E342" i="35"/>
  <c r="F341" i="35"/>
  <c r="E341" i="35"/>
  <c r="F336" i="35"/>
  <c r="E336" i="35"/>
  <c r="F335" i="35"/>
  <c r="E335" i="35"/>
  <c r="F334" i="35"/>
  <c r="E334" i="35"/>
  <c r="F333" i="35"/>
  <c r="E333" i="35"/>
  <c r="F287" i="35"/>
  <c r="E287" i="35"/>
  <c r="F286" i="35"/>
  <c r="E286" i="35"/>
  <c r="F285" i="35"/>
  <c r="E285" i="35"/>
  <c r="F242" i="35"/>
  <c r="E242" i="35"/>
  <c r="F241" i="35"/>
  <c r="E241" i="35"/>
  <c r="F240" i="35"/>
  <c r="E240" i="35"/>
  <c r="E206" i="35"/>
  <c r="E205" i="35"/>
  <c r="E204" i="35"/>
  <c r="M187" i="35"/>
  <c r="J187" i="35"/>
  <c r="M186" i="35"/>
  <c r="J186" i="35"/>
  <c r="M185" i="35"/>
  <c r="J185" i="35"/>
  <c r="M184" i="35"/>
  <c r="J184" i="35"/>
  <c r="M183" i="35"/>
  <c r="J183" i="35"/>
  <c r="M182" i="35"/>
  <c r="J182" i="35"/>
  <c r="M181" i="35"/>
  <c r="J181" i="35"/>
  <c r="M180" i="35"/>
  <c r="J180" i="35"/>
  <c r="M179" i="35"/>
  <c r="J179" i="35"/>
  <c r="M178" i="35"/>
  <c r="J178" i="35"/>
  <c r="M177" i="35"/>
  <c r="J177" i="35"/>
  <c r="M176" i="35"/>
  <c r="J176" i="35"/>
  <c r="M175" i="35"/>
  <c r="J175" i="35"/>
  <c r="I144" i="35"/>
  <c r="H144" i="35"/>
  <c r="I143" i="35"/>
  <c r="H143" i="35"/>
  <c r="I115" i="35"/>
  <c r="J115" i="35" s="1"/>
  <c r="M114" i="35"/>
  <c r="I114" i="35"/>
  <c r="J114" i="35" s="1"/>
  <c r="I113" i="35"/>
  <c r="J113" i="35" s="1"/>
  <c r="M112" i="35"/>
  <c r="I112" i="35"/>
  <c r="J112" i="35" s="1"/>
  <c r="I111" i="35"/>
  <c r="J111" i="35" s="1"/>
  <c r="M110" i="35"/>
  <c r="I110" i="35"/>
  <c r="J110" i="35" s="1"/>
  <c r="J107" i="35"/>
  <c r="M106" i="35"/>
  <c r="J106" i="35"/>
  <c r="J105" i="35"/>
  <c r="M104" i="35"/>
  <c r="J104" i="35"/>
  <c r="J103" i="35"/>
  <c r="M102" i="35"/>
  <c r="J102" i="35"/>
  <c r="J101" i="35"/>
  <c r="M100" i="35"/>
  <c r="J100" i="35"/>
  <c r="J99" i="35"/>
  <c r="M98" i="35"/>
  <c r="J98" i="35"/>
  <c r="J97" i="35"/>
  <c r="M96" i="35"/>
  <c r="J96" i="35"/>
  <c r="M94" i="35"/>
  <c r="J94" i="35"/>
  <c r="J89" i="35"/>
  <c r="J88" i="35"/>
  <c r="J87" i="35"/>
  <c r="J86" i="35"/>
  <c r="J85" i="35"/>
  <c r="J84" i="35"/>
  <c r="J83" i="35"/>
  <c r="J82" i="35"/>
  <c r="J81" i="35"/>
  <c r="J80" i="35"/>
  <c r="J79" i="35"/>
  <c r="J78" i="35"/>
  <c r="H74" i="35"/>
  <c r="H73" i="35"/>
  <c r="H72" i="35"/>
  <c r="H71" i="35"/>
  <c r="H70" i="35"/>
  <c r="H69" i="35"/>
  <c r="H68" i="35"/>
  <c r="E65" i="35"/>
  <c r="H65" i="35" s="1"/>
  <c r="D65" i="35"/>
  <c r="H64" i="35"/>
  <c r="D64" i="35"/>
  <c r="E63" i="35"/>
  <c r="H63" i="35" s="1"/>
  <c r="D63" i="35"/>
  <c r="F59" i="35"/>
  <c r="G59" i="35" s="1"/>
  <c r="E59" i="35"/>
  <c r="D59" i="35"/>
  <c r="H40" i="35"/>
  <c r="H36" i="35"/>
  <c r="H29" i="35"/>
  <c r="H22" i="35"/>
  <c r="H21" i="35"/>
  <c r="H20" i="35"/>
  <c r="H14" i="35"/>
  <c r="E13" i="35"/>
  <c r="H13" i="35" s="1"/>
  <c r="E12" i="35"/>
  <c r="H12" i="35" s="1"/>
  <c r="E11" i="35"/>
  <c r="H11" i="35" s="1"/>
  <c r="E10" i="35"/>
  <c r="H10" i="35" s="1"/>
  <c r="H9" i="35"/>
  <c r="W11" i="26"/>
  <c r="W13" i="26"/>
  <c r="W15" i="26"/>
  <c r="W17" i="26"/>
  <c r="W19" i="26"/>
  <c r="W21" i="26"/>
  <c r="W23" i="26"/>
  <c r="W25" i="26"/>
  <c r="W27" i="26"/>
  <c r="W9" i="26"/>
  <c r="DT29" i="27"/>
  <c r="DT16" i="27"/>
  <c r="J144" i="35" l="1"/>
  <c r="J143" i="35"/>
  <c r="H59" i="35"/>
  <c r="EO10" i="27" l="1"/>
  <c r="ER13" i="32"/>
  <c r="DQ37" i="27"/>
  <c r="ES11" i="27"/>
  <c r="EP24" i="27"/>
  <c r="DR31" i="27" l="1"/>
  <c r="EO31" i="27" s="1"/>
  <c r="EQ31" i="27" l="1"/>
  <c r="DR15" i="27" l="1"/>
  <c r="DR29" i="27"/>
  <c r="DR36" i="27"/>
  <c r="ES12" i="27"/>
  <c r="EN15" i="27"/>
  <c r="EN16" i="27"/>
  <c r="DP30" i="27" l="1"/>
  <c r="DP16" i="27"/>
  <c r="EO13" i="32"/>
  <c r="EP31" i="27"/>
  <c r="DO22" i="27"/>
  <c r="DR22" i="27"/>
  <c r="DS22" i="27"/>
  <c r="DT22" i="27"/>
  <c r="DU22" i="27"/>
  <c r="DV22" i="27"/>
  <c r="DW22" i="27"/>
  <c r="DX22" i="27"/>
  <c r="DY22" i="27"/>
  <c r="DW14" i="27"/>
  <c r="DQ20" i="27"/>
  <c r="EN20" i="27" s="1"/>
  <c r="DX39" i="27"/>
  <c r="DX38" i="27"/>
  <c r="ES14" i="32"/>
  <c r="ER14" i="32"/>
  <c r="ET31" i="27" l="1"/>
  <c r="DX40" i="27"/>
  <c r="DQ22" i="27"/>
  <c r="EM20" i="27"/>
  <c r="DN22" i="27" l="1"/>
  <c r="DP39" i="27" l="1"/>
  <c r="DN38" i="27"/>
  <c r="DY25" i="27" l="1"/>
  <c r="EM28" i="27"/>
  <c r="EM21" i="27"/>
  <c r="DY18" i="27"/>
  <c r="DX16" i="27"/>
  <c r="DQ16" i="27"/>
  <c r="DO16" i="27"/>
  <c r="EM34" i="27" l="1"/>
  <c r="EM35" i="27"/>
  <c r="EM31" i="27"/>
  <c r="EM27" i="27"/>
  <c r="EM17" i="27"/>
  <c r="EQ10" i="27" l="1"/>
  <c r="EQ35" i="27" l="1"/>
  <c r="EP35" i="27"/>
  <c r="EO35" i="27"/>
  <c r="ES35" i="27" s="1"/>
  <c r="EQ34" i="27"/>
  <c r="EP34" i="27"/>
  <c r="EO34" i="27"/>
  <c r="ES34" i="27" s="1"/>
  <c r="EQ33" i="27"/>
  <c r="EO33" i="27"/>
  <c r="ES33" i="27" s="1"/>
  <c r="EQ32" i="27"/>
  <c r="EO32" i="27"/>
  <c r="ES32" i="27" s="1"/>
  <c r="ES31" i="27"/>
  <c r="EQ28" i="27"/>
  <c r="EP28" i="27"/>
  <c r="EO28" i="27"/>
  <c r="ES28" i="27" s="1"/>
  <c r="EQ27" i="27"/>
  <c r="EP27" i="27"/>
  <c r="EO27" i="27"/>
  <c r="ES27" i="27" s="1"/>
  <c r="EQ26" i="27"/>
  <c r="EO26" i="27"/>
  <c r="ES26" i="27" s="1"/>
  <c r="EQ25" i="27"/>
  <c r="EO25" i="27"/>
  <c r="ES25" i="27" s="1"/>
  <c r="EQ24" i="27"/>
  <c r="EO24" i="27"/>
  <c r="ES24" i="27" s="1"/>
  <c r="EP21" i="27"/>
  <c r="EO21" i="27"/>
  <c r="ES21" i="27" s="1"/>
  <c r="EP20" i="27"/>
  <c r="EO20" i="27"/>
  <c r="EO19" i="27"/>
  <c r="ES19" i="27" s="1"/>
  <c r="EO18" i="27"/>
  <c r="ES18" i="27" s="1"/>
  <c r="EP17" i="27"/>
  <c r="EQ14" i="27"/>
  <c r="EO14" i="27"/>
  <c r="EQ13" i="27"/>
  <c r="EP13" i="27"/>
  <c r="EO13" i="27"/>
  <c r="ES13" i="27" s="1"/>
  <c r="EP10" i="27"/>
  <c r="EM13" i="27"/>
  <c r="EQ39" i="27" l="1"/>
  <c r="ET21" i="27"/>
  <c r="ET24" i="27"/>
  <c r="ET28" i="27"/>
  <c r="ET34" i="27"/>
  <c r="ET35" i="27"/>
  <c r="ET27" i="27"/>
  <c r="ES14" i="27"/>
  <c r="EO16" i="27"/>
  <c r="ES20" i="27"/>
  <c r="ET13" i="27"/>
  <c r="ET20" i="27"/>
  <c r="ET17" i="27"/>
  <c r="EN23" i="27"/>
  <c r="EN37" i="27"/>
  <c r="EN39" i="27"/>
  <c r="EO39" i="27"/>
  <c r="EN36" i="27"/>
  <c r="EQ23" i="27"/>
  <c r="EQ15" i="27"/>
  <c r="EN30" i="27"/>
  <c r="EN38" i="27"/>
  <c r="EQ37" i="27"/>
  <c r="EO23" i="27"/>
  <c r="EO37" i="27"/>
  <c r="EO30" i="27"/>
  <c r="EQ30" i="27"/>
  <c r="EP36" i="27"/>
  <c r="EP15" i="27"/>
  <c r="EN22" i="27"/>
  <c r="EQ29" i="27"/>
  <c r="EP22" i="27"/>
  <c r="EQ36" i="27"/>
  <c r="EN29" i="27"/>
  <c r="EO29" i="27"/>
  <c r="EO15" i="27"/>
  <c r="EP29" i="27"/>
  <c r="EO36" i="27"/>
  <c r="EO22" i="27"/>
  <c r="DN26" i="27"/>
  <c r="DY26" i="27" s="1"/>
  <c r="DY16" i="27"/>
  <c r="DY32" i="27"/>
  <c r="DO36" i="27"/>
  <c r="ET22" i="27" l="1"/>
  <c r="ET29" i="27"/>
  <c r="ES15" i="27"/>
  <c r="ET36" i="27"/>
  <c r="ES30" i="27"/>
  <c r="ES23" i="27"/>
  <c r="ES22" i="27"/>
  <c r="ES36" i="27"/>
  <c r="ET15" i="27"/>
  <c r="ES29" i="27"/>
  <c r="EN40" i="27"/>
  <c r="EP32" i="27"/>
  <c r="EM32" i="27"/>
  <c r="EP25" i="27"/>
  <c r="EM25" i="27"/>
  <c r="EP18" i="27"/>
  <c r="EM18" i="27"/>
  <c r="EP26" i="27"/>
  <c r="ET26" i="27" s="1"/>
  <c r="EM26" i="27"/>
  <c r="EM11" i="27"/>
  <c r="EP11" i="27"/>
  <c r="ET32" i="27" l="1"/>
  <c r="ET18" i="27"/>
  <c r="ET25" i="27"/>
  <c r="EP38" i="27"/>
  <c r="EM38" i="27"/>
  <c r="EP37" i="27"/>
  <c r="EP23" i="27"/>
  <c r="EP30" i="27"/>
  <c r="DL35" i="27"/>
  <c r="DK35" i="27"/>
  <c r="DJ35" i="27"/>
  <c r="DJ31" i="27"/>
  <c r="DJ33" i="27"/>
  <c r="DH36" i="27"/>
  <c r="DG36" i="27"/>
  <c r="DJ25" i="27"/>
  <c r="DJ26" i="27"/>
  <c r="DK26" i="27"/>
  <c r="DI26" i="27"/>
  <c r="DH29" i="27"/>
  <c r="DG29" i="27"/>
  <c r="ET30" i="27" l="1"/>
  <c r="ET23" i="27"/>
  <c r="ET37" i="27"/>
  <c r="EQ12" i="27"/>
  <c r="DN19" i="27"/>
  <c r="DY19" i="27" s="1"/>
  <c r="EM19" i="27" s="1"/>
  <c r="DI19" i="27"/>
  <c r="DJ18" i="27"/>
  <c r="ET11" i="27" l="1"/>
  <c r="EO38" i="27"/>
  <c r="EO40" i="27" s="1"/>
  <c r="EQ16" i="27"/>
  <c r="EQ38" i="27"/>
  <c r="EP19" i="27"/>
  <c r="ET19" i="27" s="1"/>
  <c r="E67" i="35" l="1"/>
  <c r="H67" i="35" s="1"/>
  <c r="EQ40" i="27"/>
  <c r="H66" i="35"/>
  <c r="AL21" i="33"/>
  <c r="AK21" i="33" s="1"/>
  <c r="E36" i="33"/>
  <c r="E35" i="33"/>
  <c r="E34" i="33"/>
  <c r="E33" i="33"/>
  <c r="EO14" i="32"/>
  <c r="G22" i="13"/>
  <c r="E37" i="33" l="1"/>
  <c r="G35" i="33" l="1"/>
  <c r="G34" i="33"/>
  <c r="G36" i="33"/>
  <c r="G33" i="33"/>
  <c r="AN35" i="33"/>
  <c r="AI38" i="33" s="1"/>
  <c r="AI21" i="33"/>
  <c r="AI20" i="33"/>
  <c r="AC5" i="33"/>
  <c r="AJ7" i="33"/>
  <c r="AG8" i="33"/>
  <c r="AH7" i="33" s="1"/>
  <c r="AE20" i="33"/>
  <c r="AH38" i="33" l="1"/>
  <c r="AH5" i="33"/>
  <c r="AH6" i="33"/>
  <c r="AF38" i="33"/>
  <c r="AG38" i="33"/>
  <c r="AE38" i="33"/>
  <c r="AJ8" i="33"/>
  <c r="AK38" i="33"/>
  <c r="AJ38" i="33"/>
  <c r="AM38" i="33"/>
  <c r="AL38" i="33"/>
  <c r="AE22" i="33"/>
  <c r="AF21" i="33" s="1"/>
  <c r="AG21" i="33" s="1"/>
  <c r="AK6" i="33" l="1"/>
  <c r="AK5" i="33"/>
  <c r="AK7" i="33"/>
  <c r="AN6" i="33" s="1"/>
  <c r="AM6" i="33" s="1"/>
  <c r="AF20" i="33"/>
  <c r="AG20" i="33" s="1"/>
  <c r="AE5" i="33" l="1"/>
  <c r="AE7" i="33"/>
  <c r="AE8" i="33" s="1"/>
  <c r="AF7" i="33" l="1"/>
  <c r="AF5" i="33"/>
  <c r="AF6" i="33"/>
  <c r="Y22" i="33"/>
  <c r="W22" i="33"/>
  <c r="U22" i="33"/>
  <c r="S22" i="33"/>
  <c r="Q22" i="33"/>
  <c r="O22" i="33"/>
  <c r="N22" i="33"/>
  <c r="M22" i="33"/>
  <c r="L22" i="33"/>
  <c r="K22" i="33"/>
  <c r="J22" i="33"/>
  <c r="I22" i="33"/>
  <c r="H22" i="33"/>
  <c r="G22" i="33"/>
  <c r="F22" i="33"/>
  <c r="E22" i="33"/>
  <c r="D22" i="33"/>
  <c r="C22" i="33"/>
  <c r="AC21" i="33"/>
  <c r="AB21" i="33"/>
  <c r="AA21" i="33"/>
  <c r="AC20" i="33"/>
  <c r="AB20" i="33"/>
  <c r="AA20" i="33"/>
  <c r="Y8" i="33"/>
  <c r="W8" i="33"/>
  <c r="U8" i="33"/>
  <c r="S8" i="33"/>
  <c r="Q8" i="33"/>
  <c r="O8" i="33"/>
  <c r="N8" i="33"/>
  <c r="M8" i="33"/>
  <c r="L8" i="33"/>
  <c r="K8" i="33"/>
  <c r="J8" i="33"/>
  <c r="I8" i="33"/>
  <c r="H8" i="33"/>
  <c r="G8" i="33"/>
  <c r="F8" i="33"/>
  <c r="E8" i="33"/>
  <c r="D8" i="33"/>
  <c r="AC7" i="33"/>
  <c r="AB7" i="33"/>
  <c r="AA7" i="33"/>
  <c r="AC6" i="33"/>
  <c r="AB6" i="33"/>
  <c r="AA6" i="33"/>
  <c r="U28" i="33" l="1"/>
  <c r="E28" i="33"/>
  <c r="AG28" i="33" s="1"/>
  <c r="X27" i="33"/>
  <c r="I27" i="33"/>
  <c r="AK27" i="33" s="1"/>
  <c r="C27" i="33"/>
  <c r="AE27" i="33" s="1"/>
  <c r="S14" i="33"/>
  <c r="C14" i="33"/>
  <c r="AE14" i="33" s="1"/>
  <c r="X15" i="33"/>
  <c r="K15" i="33"/>
  <c r="AM15" i="33" s="1"/>
  <c r="C15" i="33"/>
  <c r="AE15" i="33" s="1"/>
  <c r="AC22" i="33"/>
  <c r="AB22" i="33"/>
  <c r="L27" i="33"/>
  <c r="T27" i="33"/>
  <c r="Q15" i="33"/>
  <c r="I15" i="33"/>
  <c r="AK15" i="33" s="1"/>
  <c r="Y15" i="33"/>
  <c r="T15" i="33"/>
  <c r="Y27" i="33"/>
  <c r="F28" i="33"/>
  <c r="AH28" i="33" s="1"/>
  <c r="Q28" i="33"/>
  <c r="I28" i="33"/>
  <c r="AK28" i="33" s="1"/>
  <c r="D27" i="33"/>
  <c r="N28" i="33"/>
  <c r="V28" i="33"/>
  <c r="Q27" i="33"/>
  <c r="Y28" i="33"/>
  <c r="G14" i="33"/>
  <c r="AI14" i="33" s="1"/>
  <c r="L14" i="33"/>
  <c r="T14" i="33"/>
  <c r="O14" i="33"/>
  <c r="W14" i="33"/>
  <c r="D15" i="33"/>
  <c r="AC8" i="33"/>
  <c r="D14" i="33"/>
  <c r="L15" i="33"/>
  <c r="E14" i="33"/>
  <c r="AG14" i="33" s="1"/>
  <c r="M14" i="33"/>
  <c r="U14" i="33"/>
  <c r="J15" i="33"/>
  <c r="AL15" i="33" s="1"/>
  <c r="R15" i="33"/>
  <c r="Z15" i="33"/>
  <c r="J27" i="33"/>
  <c r="AL27" i="33" s="1"/>
  <c r="R27" i="33"/>
  <c r="Z27" i="33"/>
  <c r="G28" i="33"/>
  <c r="AI28" i="33" s="1"/>
  <c r="O28" i="33"/>
  <c r="W28" i="33"/>
  <c r="F14" i="33"/>
  <c r="AH14" i="33" s="1"/>
  <c r="N14" i="33"/>
  <c r="V14" i="33"/>
  <c r="S15" i="33"/>
  <c r="K27" i="33"/>
  <c r="AM27" i="33" s="1"/>
  <c r="S27" i="33"/>
  <c r="H28" i="33"/>
  <c r="AJ28" i="33" s="1"/>
  <c r="P28" i="33"/>
  <c r="X28" i="33"/>
  <c r="H14" i="33"/>
  <c r="AJ14" i="33" s="1"/>
  <c r="P14" i="33"/>
  <c r="X14" i="33"/>
  <c r="E15" i="33"/>
  <c r="AG15" i="33" s="1"/>
  <c r="M15" i="33"/>
  <c r="U15" i="33"/>
  <c r="E27" i="33"/>
  <c r="AG27" i="33" s="1"/>
  <c r="M27" i="33"/>
  <c r="U27" i="33"/>
  <c r="J28" i="33"/>
  <c r="AL28" i="33" s="1"/>
  <c r="R28" i="33"/>
  <c r="Z28" i="33"/>
  <c r="I14" i="33"/>
  <c r="AK14" i="33" s="1"/>
  <c r="Q14" i="33"/>
  <c r="Y14" i="33"/>
  <c r="F15" i="33"/>
  <c r="AH15" i="33" s="1"/>
  <c r="N15" i="33"/>
  <c r="V15" i="33"/>
  <c r="F27" i="33"/>
  <c r="AH27" i="33" s="1"/>
  <c r="N27" i="33"/>
  <c r="V27" i="33"/>
  <c r="C28" i="33"/>
  <c r="AE28" i="33" s="1"/>
  <c r="K28" i="33"/>
  <c r="AM28" i="33" s="1"/>
  <c r="S28" i="33"/>
  <c r="J14" i="33"/>
  <c r="AL14" i="33" s="1"/>
  <c r="R14" i="33"/>
  <c r="Z14" i="33"/>
  <c r="G15" i="33"/>
  <c r="AI15" i="33" s="1"/>
  <c r="O15" i="33"/>
  <c r="W15" i="33"/>
  <c r="G27" i="33"/>
  <c r="AI27" i="33" s="1"/>
  <c r="O27" i="33"/>
  <c r="W27" i="33"/>
  <c r="D28" i="33"/>
  <c r="L28" i="33"/>
  <c r="T28" i="33"/>
  <c r="K14" i="33"/>
  <c r="AM14" i="33" s="1"/>
  <c r="H15" i="33"/>
  <c r="AJ15" i="33" s="1"/>
  <c r="P15" i="33"/>
  <c r="AA22" i="33"/>
  <c r="AD20" i="33" s="1"/>
  <c r="H27" i="33"/>
  <c r="AJ27" i="33" s="1"/>
  <c r="P27" i="33"/>
  <c r="M28" i="33"/>
  <c r="AC27" i="33" l="1"/>
  <c r="AF27" i="33"/>
  <c r="AN27" i="33" s="1"/>
  <c r="AC28" i="33"/>
  <c r="AF28" i="33"/>
  <c r="AN28" i="33" s="1"/>
  <c r="AC14" i="33"/>
  <c r="AF14" i="33"/>
  <c r="AN14" i="33" s="1"/>
  <c r="AC15" i="33"/>
  <c r="AF15" i="33"/>
  <c r="AN15" i="33" s="1"/>
  <c r="AB15" i="33"/>
  <c r="AA15" i="33"/>
  <c r="AB28" i="33"/>
  <c r="AA28" i="33"/>
  <c r="AA14" i="33"/>
  <c r="AB14" i="33"/>
  <c r="AD21" i="33"/>
  <c r="AB27" i="33"/>
  <c r="AA27" i="33"/>
  <c r="DZ38" i="27" l="1"/>
  <c r="EA38" i="27"/>
  <c r="DZ39" i="27"/>
  <c r="EA39" i="27"/>
  <c r="EA40" i="27" l="1"/>
  <c r="DZ40" i="27"/>
  <c r="DN33" i="27"/>
  <c r="DY33" i="27" s="1"/>
  <c r="EM33" i="27" s="1"/>
  <c r="EP33" i="27" l="1"/>
  <c r="ET33" i="27" s="1"/>
  <c r="DN12" i="27"/>
  <c r="DY12" i="27" s="1"/>
  <c r="EM12" i="27" s="1"/>
  <c r="EP12" i="27" l="1"/>
  <c r="ET12" i="27" s="1"/>
  <c r="DP15" i="27"/>
  <c r="DQ15" i="27"/>
  <c r="DS15" i="27"/>
  <c r="DT15" i="27"/>
  <c r="DU15" i="27"/>
  <c r="DV15" i="27"/>
  <c r="DW15" i="27"/>
  <c r="DX15" i="27"/>
  <c r="DO15" i="27"/>
  <c r="DP23" i="27"/>
  <c r="DU23" i="27"/>
  <c r="DV23" i="27"/>
  <c r="DW23" i="27"/>
  <c r="DX23" i="27"/>
  <c r="DY23" i="27"/>
  <c r="DO23" i="27"/>
  <c r="DO29" i="27"/>
  <c r="DP22" i="27"/>
  <c r="DO30" i="27"/>
  <c r="DP29" i="27"/>
  <c r="DQ29" i="27"/>
  <c r="DS29" i="27"/>
  <c r="DU29" i="27"/>
  <c r="DV29" i="27"/>
  <c r="DW29" i="27"/>
  <c r="DY29" i="27"/>
  <c r="EA37" i="27"/>
  <c r="DZ37" i="27"/>
  <c r="DU36" i="27"/>
  <c r="DS36" i="27"/>
  <c r="DQ36" i="27"/>
  <c r="DQ30" i="27"/>
  <c r="DR30" i="27"/>
  <c r="DS30" i="27"/>
  <c r="DT30" i="27"/>
  <c r="DU30" i="27"/>
  <c r="DV30" i="27"/>
  <c r="DW30" i="27"/>
  <c r="DX30" i="27"/>
  <c r="DY30" i="27"/>
  <c r="DP37" i="27"/>
  <c r="DU37" i="27"/>
  <c r="DV37" i="27"/>
  <c r="DW37" i="27"/>
  <c r="DX37" i="27"/>
  <c r="DY37" i="27"/>
  <c r="DO37" i="27"/>
  <c r="DN30" i="27"/>
  <c r="DN23" i="27"/>
  <c r="DN16" i="27"/>
  <c r="DO38" i="27"/>
  <c r="DP38" i="27"/>
  <c r="EB38" i="27"/>
  <c r="EC38" i="27"/>
  <c r="ED38" i="27"/>
  <c r="EE38" i="27"/>
  <c r="EF38" i="27"/>
  <c r="EG38" i="27"/>
  <c r="EH38" i="27"/>
  <c r="EI38" i="27"/>
  <c r="EJ38" i="27"/>
  <c r="EK38" i="27"/>
  <c r="DO39" i="27"/>
  <c r="DQ39" i="27"/>
  <c r="DR39" i="27"/>
  <c r="DS39" i="27"/>
  <c r="DT39" i="27"/>
  <c r="DU39" i="27"/>
  <c r="DV39" i="27"/>
  <c r="DW39" i="27"/>
  <c r="EB39" i="27"/>
  <c r="EC39" i="27"/>
  <c r="ED39" i="27"/>
  <c r="EE39" i="27"/>
  <c r="EF39" i="27"/>
  <c r="EG39" i="27"/>
  <c r="EH39" i="27"/>
  <c r="EI39" i="27"/>
  <c r="EJ39" i="27"/>
  <c r="EK39" i="27"/>
  <c r="DP36" i="27"/>
  <c r="DT36" i="27"/>
  <c r="DV36" i="27"/>
  <c r="DW36" i="27"/>
  <c r="DY36" i="27"/>
  <c r="EH40" i="27" l="1"/>
  <c r="EM36" i="27"/>
  <c r="EM29" i="27"/>
  <c r="EM15" i="27"/>
  <c r="EM22" i="27"/>
  <c r="EJ40" i="27"/>
  <c r="EB40" i="27"/>
  <c r="EG40" i="27"/>
  <c r="EE40" i="27"/>
  <c r="ED40" i="27"/>
  <c r="EC40" i="27"/>
  <c r="EK40" i="27"/>
  <c r="EI40" i="27"/>
  <c r="EF40" i="27"/>
  <c r="EM30" i="27"/>
  <c r="DP40" i="27"/>
  <c r="DO40" i="27"/>
  <c r="DM12" i="27" l="1"/>
  <c r="CN28" i="27"/>
  <c r="DJ32" i="27" l="1"/>
  <c r="DJ24" i="27"/>
  <c r="DJ12" i="27"/>
  <c r="DJ17" i="27"/>
  <c r="DJ20" i="27"/>
  <c r="DJ21" i="27"/>
  <c r="DJ27" i="27"/>
  <c r="DJ34" i="27"/>
  <c r="DI35" i="27"/>
  <c r="DI33" i="27"/>
  <c r="DI25" i="27"/>
  <c r="DI18" i="27"/>
  <c r="DI12" i="27"/>
  <c r="DI17" i="27"/>
  <c r="DI20" i="27"/>
  <c r="DI21" i="27"/>
  <c r="DI24" i="27"/>
  <c r="DI27" i="27"/>
  <c r="DI31" i="27"/>
  <c r="DI32" i="27"/>
  <c r="DI34" i="27"/>
  <c r="DH14" i="32"/>
  <c r="DO14" i="32" s="1"/>
  <c r="DG14" i="32"/>
  <c r="DN14" i="32" s="1"/>
  <c r="BF14" i="32"/>
  <c r="BD14" i="32"/>
  <c r="BC14" i="32"/>
  <c r="AV14" i="32"/>
  <c r="BE14" i="32" s="1"/>
  <c r="AA14" i="32"/>
  <c r="AC14" i="32" s="1"/>
  <c r="Y14" i="32"/>
  <c r="Z14" i="32" s="1"/>
  <c r="AB14" i="32" s="1"/>
  <c r="DO13" i="32"/>
  <c r="DN13" i="32"/>
  <c r="DM13" i="32"/>
  <c r="DL13" i="32"/>
  <c r="DK13" i="32"/>
  <c r="BG13" i="32"/>
  <c r="BF13" i="32"/>
  <c r="BE13" i="32"/>
  <c r="BD13" i="32"/>
  <c r="BC13" i="32"/>
  <c r="AA13" i="32"/>
  <c r="AC13" i="32" s="1"/>
  <c r="Y13" i="32"/>
  <c r="Z13" i="32" s="1"/>
  <c r="AB13" i="32" s="1"/>
  <c r="DP13" i="32" l="1"/>
  <c r="CK19" i="32"/>
  <c r="DQ19" i="32"/>
  <c r="CK18" i="32"/>
  <c r="I13" i="32"/>
  <c r="BG14" i="32"/>
  <c r="DP14" i="32" s="1"/>
  <c r="DK14" i="32"/>
  <c r="DL14" i="32"/>
  <c r="DM14" i="32"/>
  <c r="DQ18" i="32" l="1"/>
  <c r="DR18" i="32" s="1"/>
  <c r="DN18" i="32"/>
  <c r="DP19" i="32"/>
  <c r="I14" i="32"/>
  <c r="DN37" i="27"/>
  <c r="DB10" i="27" l="1"/>
  <c r="DM10" i="27" s="1"/>
  <c r="DH39" i="27" l="1"/>
  <c r="DG39" i="27"/>
  <c r="DF39" i="27"/>
  <c r="DE39" i="27"/>
  <c r="DD39" i="27"/>
  <c r="DC39" i="27"/>
  <c r="DB39" i="27"/>
  <c r="DA39" i="27"/>
  <c r="CY39" i="27"/>
  <c r="CX39" i="27"/>
  <c r="CW39" i="27"/>
  <c r="CV39" i="27"/>
  <c r="CU39" i="27"/>
  <c r="CT39" i="27"/>
  <c r="CS39" i="27"/>
  <c r="CR39" i="27"/>
  <c r="CQ39" i="27"/>
  <c r="CP39" i="27"/>
  <c r="CO39" i="27"/>
  <c r="CN39" i="27"/>
  <c r="CL39" i="27"/>
  <c r="CK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B39" i="27"/>
  <c r="AA39" i="27"/>
  <c r="Z39" i="27"/>
  <c r="Y39" i="27"/>
  <c r="X39" i="27"/>
  <c r="W39" i="27"/>
  <c r="V39" i="27"/>
  <c r="U39" i="27"/>
  <c r="T39" i="27"/>
  <c r="S39" i="27"/>
  <c r="R39" i="27"/>
  <c r="Q39" i="27"/>
  <c r="P39" i="27"/>
  <c r="O39" i="27"/>
  <c r="N39" i="27"/>
  <c r="M39" i="27"/>
  <c r="L39" i="27"/>
  <c r="K39" i="27"/>
  <c r="J39" i="27"/>
  <c r="I39" i="27"/>
  <c r="H39" i="27"/>
  <c r="DH38" i="27"/>
  <c r="DG38" i="27"/>
  <c r="DG40" i="27" s="1"/>
  <c r="DE38" i="27"/>
  <c r="DD38" i="27"/>
  <c r="DC38" i="27"/>
  <c r="DB38" i="27"/>
  <c r="DA38" i="27"/>
  <c r="CY38" i="27"/>
  <c r="CX38" i="27"/>
  <c r="CW38" i="27"/>
  <c r="CV38" i="27"/>
  <c r="CU38" i="27"/>
  <c r="CT38" i="27"/>
  <c r="CS38" i="27"/>
  <c r="CR38" i="27"/>
  <c r="CQ38" i="27"/>
  <c r="CO38" i="27"/>
  <c r="CN38" i="27"/>
  <c r="CK38" i="27"/>
  <c r="CJ38" i="27"/>
  <c r="CD38" i="27"/>
  <c r="CC38" i="27"/>
  <c r="CB38" i="27"/>
  <c r="CB40" i="27" s="1"/>
  <c r="CA38" i="27"/>
  <c r="CA40" i="27" s="1"/>
  <c r="BZ38" i="27"/>
  <c r="BY38" i="27"/>
  <c r="BX38" i="27"/>
  <c r="BW38" i="27"/>
  <c r="BV38" i="27"/>
  <c r="BU38" i="27"/>
  <c r="BT38" i="27"/>
  <c r="BS38" i="27"/>
  <c r="BR38" i="27"/>
  <c r="BQ38" i="27"/>
  <c r="BP38" i="27"/>
  <c r="BO38" i="27"/>
  <c r="BN38" i="27"/>
  <c r="BM38" i="27"/>
  <c r="BL38" i="27"/>
  <c r="BL40" i="27" s="1"/>
  <c r="BK38" i="27"/>
  <c r="BJ38" i="27"/>
  <c r="BI38" i="27"/>
  <c r="BH38" i="27"/>
  <c r="BG38" i="27"/>
  <c r="BF38" i="27"/>
  <c r="AZ38" i="27"/>
  <c r="AY38" i="27"/>
  <c r="AY40" i="27" s="1"/>
  <c r="AX38" i="27"/>
  <c r="AX40" i="27" s="1"/>
  <c r="AW38" i="27"/>
  <c r="AV38" i="27"/>
  <c r="AU38" i="27"/>
  <c r="AT38" i="27"/>
  <c r="AS38" i="27"/>
  <c r="AR38" i="27"/>
  <c r="AQ38" i="27"/>
  <c r="AP38" i="27"/>
  <c r="AO38" i="27"/>
  <c r="AN38" i="27"/>
  <c r="AM38" i="27"/>
  <c r="AL38" i="27"/>
  <c r="AK38" i="27"/>
  <c r="AJ38" i="27"/>
  <c r="AI38" i="27"/>
  <c r="AI40" i="27" s="1"/>
  <c r="AG38" i="27"/>
  <c r="AF38" i="27"/>
  <c r="AD38" i="27"/>
  <c r="AC38" i="27"/>
  <c r="AB38" i="27"/>
  <c r="V38" i="27"/>
  <c r="U38" i="27"/>
  <c r="T38" i="27"/>
  <c r="S38" i="27"/>
  <c r="R38" i="27"/>
  <c r="Q38" i="27"/>
  <c r="P38" i="27"/>
  <c r="O38" i="27"/>
  <c r="N38" i="27"/>
  <c r="M38" i="27"/>
  <c r="L38" i="27"/>
  <c r="K38" i="27"/>
  <c r="J38" i="27"/>
  <c r="I38" i="27"/>
  <c r="H38"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AZ37" i="27"/>
  <c r="AY37" i="27"/>
  <c r="AX37" i="27"/>
  <c r="AW37" i="27"/>
  <c r="AV37" i="27"/>
  <c r="AU37" i="27"/>
  <c r="AT37" i="27"/>
  <c r="AS37" i="27"/>
  <c r="AR37" i="27"/>
  <c r="AQ37" i="27"/>
  <c r="AP37" i="27"/>
  <c r="AO37" i="27"/>
  <c r="AN37" i="27"/>
  <c r="AM37" i="27"/>
  <c r="AL37" i="27"/>
  <c r="AK37" i="27"/>
  <c r="AJ37" i="27"/>
  <c r="AI37" i="27"/>
  <c r="AG37" i="27"/>
  <c r="AF37" i="27"/>
  <c r="AD37" i="27"/>
  <c r="AB37" i="27"/>
  <c r="T37" i="27"/>
  <c r="S37" i="27"/>
  <c r="R37" i="27"/>
  <c r="P37" i="27"/>
  <c r="N37" i="27"/>
  <c r="H37" i="27"/>
  <c r="DF36" i="27"/>
  <c r="DE36" i="27"/>
  <c r="DD36" i="27"/>
  <c r="DC36" i="27"/>
  <c r="DB36" i="27"/>
  <c r="DA36" i="27"/>
  <c r="CZ36" i="27"/>
  <c r="CY36" i="27"/>
  <c r="CX36" i="27"/>
  <c r="CW36" i="27"/>
  <c r="CV36" i="27"/>
  <c r="CU36" i="27"/>
  <c r="CT36" i="27"/>
  <c r="CS36" i="27"/>
  <c r="CR36" i="27"/>
  <c r="CQ36" i="27"/>
  <c r="CP36" i="27"/>
  <c r="CO36" i="27"/>
  <c r="CN36" i="27"/>
  <c r="CL36" i="27"/>
  <c r="CK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AZ36" i="27"/>
  <c r="AY36" i="27"/>
  <c r="AX36" i="27"/>
  <c r="AW36" i="27"/>
  <c r="AV36" i="27"/>
  <c r="AU36" i="27"/>
  <c r="AT36" i="27"/>
  <c r="AS36" i="27"/>
  <c r="AR36" i="27"/>
  <c r="AQ36" i="27"/>
  <c r="AP36" i="27"/>
  <c r="AO36" i="27"/>
  <c r="AN36" i="27"/>
  <c r="AL36" i="27"/>
  <c r="AK36" i="27"/>
  <c r="AJ36" i="27"/>
  <c r="AI36" i="27"/>
  <c r="AH36" i="27"/>
  <c r="AG36" i="27"/>
  <c r="AF36" i="27"/>
  <c r="AE36" i="27"/>
  <c r="AD36" i="27"/>
  <c r="AB36" i="27"/>
  <c r="T36" i="27"/>
  <c r="R36" i="27"/>
  <c r="P36" i="27"/>
  <c r="H36" i="27"/>
  <c r="DM35" i="27"/>
  <c r="CI35" i="27"/>
  <c r="CH35" i="27"/>
  <c r="CG35" i="27"/>
  <c r="CF35" i="27"/>
  <c r="CE35" i="27"/>
  <c r="BE35" i="27"/>
  <c r="BC35" i="27"/>
  <c r="AC35" i="27"/>
  <c r="BD35" i="27" s="1"/>
  <c r="DM34" i="27"/>
  <c r="DL34" i="27"/>
  <c r="DK34" i="27"/>
  <c r="CI34" i="27"/>
  <c r="CH34" i="27"/>
  <c r="CG34" i="27"/>
  <c r="CF34" i="27"/>
  <c r="CE34" i="27"/>
  <c r="BE34" i="27"/>
  <c r="BC34" i="27"/>
  <c r="AM34" i="27"/>
  <c r="AM36" i="27" s="1"/>
  <c r="AC34" i="27"/>
  <c r="DM33" i="27"/>
  <c r="DL33" i="27"/>
  <c r="DK33" i="27"/>
  <c r="CI33" i="27"/>
  <c r="CH33" i="27"/>
  <c r="CG33" i="27"/>
  <c r="CF33" i="27"/>
  <c r="CE33" i="27"/>
  <c r="AG33" i="27"/>
  <c r="BB33" i="27" s="1"/>
  <c r="DM32" i="27"/>
  <c r="DL32" i="27"/>
  <c r="DK32" i="27"/>
  <c r="CI32" i="27"/>
  <c r="CH32" i="27"/>
  <c r="CG32" i="27"/>
  <c r="CG37" i="27" s="1"/>
  <c r="CF32" i="27"/>
  <c r="CE32" i="27"/>
  <c r="AH32" i="27"/>
  <c r="AH37" i="27" s="1"/>
  <c r="AE32" i="27"/>
  <c r="BD32" i="27" s="1"/>
  <c r="Y32" i="27"/>
  <c r="AA32" i="27" s="1"/>
  <c r="X32" i="27"/>
  <c r="X37" i="27" s="1"/>
  <c r="W32" i="27"/>
  <c r="W37" i="27" s="1"/>
  <c r="DM31" i="27"/>
  <c r="DL31" i="27"/>
  <c r="DK31" i="27"/>
  <c r="CI31" i="27"/>
  <c r="CH31" i="27"/>
  <c r="CG31" i="27"/>
  <c r="CF31" i="27"/>
  <c r="CE31" i="27"/>
  <c r="BE31" i="27"/>
  <c r="BD31" i="27"/>
  <c r="BC31" i="27"/>
  <c r="BB31" i="27"/>
  <c r="BA31" i="27"/>
  <c r="Y31" i="27"/>
  <c r="AA31" i="27" s="1"/>
  <c r="X31" i="27"/>
  <c r="X36" i="27" s="1"/>
  <c r="W31" i="27"/>
  <c r="W36" i="27" s="1"/>
  <c r="DH30" i="27"/>
  <c r="DG30" i="27"/>
  <c r="DF30" i="27"/>
  <c r="DE30" i="27"/>
  <c r="DD30" i="27"/>
  <c r="DC30" i="27"/>
  <c r="DB30" i="27"/>
  <c r="DA30" i="27"/>
  <c r="CY30" i="27"/>
  <c r="CX30" i="27"/>
  <c r="CW30" i="27"/>
  <c r="CV30" i="27"/>
  <c r="CU30" i="27"/>
  <c r="CT30" i="27"/>
  <c r="CS30" i="27"/>
  <c r="CR30" i="27"/>
  <c r="CQ30" i="27"/>
  <c r="CP30" i="27"/>
  <c r="CO30" i="27"/>
  <c r="CN30" i="27"/>
  <c r="CL30" i="27"/>
  <c r="CK30" i="27"/>
  <c r="CJ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AZ30" i="27"/>
  <c r="AY30" i="27"/>
  <c r="AX30" i="27"/>
  <c r="AW30" i="27"/>
  <c r="AV30" i="27"/>
  <c r="AU30" i="27"/>
  <c r="AT30" i="27"/>
  <c r="AS30" i="27"/>
  <c r="AR30" i="27"/>
  <c r="AQ30" i="27"/>
  <c r="AP30" i="27"/>
  <c r="AO30" i="27"/>
  <c r="AN30" i="27"/>
  <c r="AM30" i="27"/>
  <c r="AL30" i="27"/>
  <c r="AK30" i="27"/>
  <c r="AJ30" i="27"/>
  <c r="AI30" i="27"/>
  <c r="AG30" i="27"/>
  <c r="AF30" i="27"/>
  <c r="AD30" i="27"/>
  <c r="AC30" i="27"/>
  <c r="AB30" i="27"/>
  <c r="T30" i="27"/>
  <c r="S30" i="27"/>
  <c r="R30" i="27"/>
  <c r="P30" i="27"/>
  <c r="L30" i="27"/>
  <c r="H30"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AZ29" i="27"/>
  <c r="AY29" i="27"/>
  <c r="AX29" i="27"/>
  <c r="AW29" i="27"/>
  <c r="AV29" i="27"/>
  <c r="AU29" i="27"/>
  <c r="AT29" i="27"/>
  <c r="AS29" i="27"/>
  <c r="AR29" i="27"/>
  <c r="AQ29" i="27"/>
  <c r="AP29" i="27"/>
  <c r="AO29" i="27"/>
  <c r="AN29" i="27"/>
  <c r="AM29" i="27"/>
  <c r="AL29" i="27"/>
  <c r="AK29" i="27"/>
  <c r="AJ29" i="27"/>
  <c r="AI29" i="27"/>
  <c r="AH29" i="27"/>
  <c r="AG29" i="27"/>
  <c r="AF29" i="27"/>
  <c r="AD29" i="27"/>
  <c r="AC29" i="27"/>
  <c r="AB29" i="27"/>
  <c r="T29" i="27"/>
  <c r="R29" i="27"/>
  <c r="P29" i="27"/>
  <c r="L29" i="27"/>
  <c r="H29" i="27"/>
  <c r="CM28" i="27"/>
  <c r="CI28" i="27"/>
  <c r="CI30" i="27" s="1"/>
  <c r="CH28" i="27"/>
  <c r="CG28" i="27"/>
  <c r="CF28" i="27"/>
  <c r="CE28" i="27"/>
  <c r="BE28" i="27"/>
  <c r="BD28" i="27"/>
  <c r="BC28" i="27"/>
  <c r="BB28" i="27"/>
  <c r="BA28" i="27"/>
  <c r="DM27" i="27"/>
  <c r="DL27" i="27"/>
  <c r="DK27" i="27"/>
  <c r="CI27" i="27"/>
  <c r="CH27" i="27"/>
  <c r="CG27" i="27"/>
  <c r="CF27" i="27"/>
  <c r="CE27" i="27"/>
  <c r="BE27" i="27"/>
  <c r="BD27" i="27"/>
  <c r="BC27" i="27"/>
  <c r="BB27" i="27"/>
  <c r="BA27" i="27"/>
  <c r="DM26" i="27"/>
  <c r="DL26" i="27"/>
  <c r="CI26" i="27"/>
  <c r="CH26" i="27"/>
  <c r="CG26" i="27"/>
  <c r="CF26" i="27"/>
  <c r="CE26" i="27"/>
  <c r="AY26" i="27"/>
  <c r="AW26" i="27"/>
  <c r="AU26" i="27"/>
  <c r="AG26" i="27"/>
  <c r="AH26" i="27" s="1"/>
  <c r="DM25" i="27"/>
  <c r="DL25" i="27"/>
  <c r="DK25" i="27"/>
  <c r="CH25" i="27"/>
  <c r="CG25" i="27"/>
  <c r="CF25" i="27"/>
  <c r="CE25" i="27"/>
  <c r="AH25" i="27"/>
  <c r="AE25" i="27"/>
  <c r="BB25" i="27" s="1"/>
  <c r="Y25" i="27"/>
  <c r="Y30" i="27" s="1"/>
  <c r="X25" i="27"/>
  <c r="Z25" i="27" s="1"/>
  <c r="Z30" i="27" s="1"/>
  <c r="W25" i="27"/>
  <c r="W30" i="27" s="1"/>
  <c r="DM24" i="27"/>
  <c r="DL24" i="27"/>
  <c r="DK24" i="27"/>
  <c r="CI24" i="27"/>
  <c r="CH24" i="27"/>
  <c r="CG24" i="27"/>
  <c r="CF24" i="27"/>
  <c r="CE24" i="27"/>
  <c r="BE24" i="27"/>
  <c r="BC24" i="27"/>
  <c r="AE24" i="27"/>
  <c r="Y24" i="27"/>
  <c r="X24" i="27"/>
  <c r="Z24" i="27" s="1"/>
  <c r="W24" i="27"/>
  <c r="W29" i="27" s="1"/>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BF23" i="27"/>
  <c r="BB23" i="27"/>
  <c r="H23"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BF22" i="27"/>
  <c r="BB22" i="27"/>
  <c r="H22" i="27"/>
  <c r="DM21" i="27"/>
  <c r="DL21" i="27"/>
  <c r="DK21" i="27"/>
  <c r="G20" i="27"/>
  <c r="EV20" i="27" s="1"/>
  <c r="DL20" i="27"/>
  <c r="EU20" i="27" s="1"/>
  <c r="DK20" i="27"/>
  <c r="DM19" i="27"/>
  <c r="DL19" i="27"/>
  <c r="DK19" i="27"/>
  <c r="DM18" i="27"/>
  <c r="DL18" i="27"/>
  <c r="DK18" i="27"/>
  <c r="BB18" i="27"/>
  <c r="DM17" i="27"/>
  <c r="DL17" i="27"/>
  <c r="DK17" i="27"/>
  <c r="BB17" i="27"/>
  <c r="DH16" i="27"/>
  <c r="DG16" i="27"/>
  <c r="DE16" i="27"/>
  <c r="DD16" i="27"/>
  <c r="DC16" i="27"/>
  <c r="DB16" i="27"/>
  <c r="DA16" i="27"/>
  <c r="CY16" i="27"/>
  <c r="CX16" i="27"/>
  <c r="CW16" i="27"/>
  <c r="CV16" i="27"/>
  <c r="CU16" i="27"/>
  <c r="CT16" i="27"/>
  <c r="CS16" i="27"/>
  <c r="CR16" i="27"/>
  <c r="CQ16" i="27"/>
  <c r="CO16" i="27"/>
  <c r="CN16" i="27"/>
  <c r="CK16" i="27"/>
  <c r="CJ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AZ16" i="27"/>
  <c r="AY16" i="27"/>
  <c r="AX16" i="27"/>
  <c r="AW16" i="27"/>
  <c r="AV16" i="27"/>
  <c r="AU16" i="27"/>
  <c r="AT16" i="27"/>
  <c r="AS16" i="27"/>
  <c r="AR16" i="27"/>
  <c r="AQ16" i="27"/>
  <c r="AP16" i="27"/>
  <c r="AO16" i="27"/>
  <c r="AN16" i="27"/>
  <c r="AM16" i="27"/>
  <c r="AL16" i="27"/>
  <c r="AK16" i="27"/>
  <c r="AJ16" i="27"/>
  <c r="AI16" i="27"/>
  <c r="AH16" i="27"/>
  <c r="AG16" i="27"/>
  <c r="AF16" i="27"/>
  <c r="AD16" i="27"/>
  <c r="AB16" i="27"/>
  <c r="T16" i="27"/>
  <c r="S16" i="27"/>
  <c r="R16" i="27"/>
  <c r="P16" i="27"/>
  <c r="L16" i="27"/>
  <c r="H16" i="27"/>
  <c r="DH15" i="27"/>
  <c r="DG15" i="27"/>
  <c r="DF15" i="27"/>
  <c r="DE15" i="27"/>
  <c r="DD15" i="27"/>
  <c r="DC15" i="27"/>
  <c r="DB15" i="27"/>
  <c r="DA15" i="27"/>
  <c r="CZ15" i="27"/>
  <c r="CY15" i="27"/>
  <c r="CX15" i="27"/>
  <c r="CW15" i="27"/>
  <c r="CV15" i="27"/>
  <c r="CU15" i="27"/>
  <c r="CT15" i="27"/>
  <c r="CS15" i="27"/>
  <c r="CR15" i="27"/>
  <c r="CQ15" i="27"/>
  <c r="CP15" i="27"/>
  <c r="CO15" i="27"/>
  <c r="CN15" i="27"/>
  <c r="CL15" i="27"/>
  <c r="CK15" i="27"/>
  <c r="CJ15" i="27"/>
  <c r="CD15" i="27"/>
  <c r="CC15" i="27"/>
  <c r="CB15" i="27"/>
  <c r="CA15" i="27"/>
  <c r="BZ15" i="27"/>
  <c r="BY15" i="27"/>
  <c r="BX15" i="27"/>
  <c r="BW15" i="27"/>
  <c r="BV15" i="27"/>
  <c r="BU15" i="27"/>
  <c r="BT15" i="27"/>
  <c r="BS15" i="27"/>
  <c r="BR15" i="27"/>
  <c r="BQ15" i="27"/>
  <c r="BP15" i="27"/>
  <c r="BO15" i="27"/>
  <c r="BN15" i="27"/>
  <c r="BM15" i="27"/>
  <c r="BL15" i="27"/>
  <c r="BK15" i="27"/>
  <c r="BJ15" i="27"/>
  <c r="BI15" i="27"/>
  <c r="BH15" i="27"/>
  <c r="BG15" i="27"/>
  <c r="BF15" i="27"/>
  <c r="AZ15" i="27"/>
  <c r="AY15" i="27"/>
  <c r="AX15" i="27"/>
  <c r="AW15" i="27"/>
  <c r="AV15" i="27"/>
  <c r="AU15" i="27"/>
  <c r="AT15" i="27"/>
  <c r="AS15" i="27"/>
  <c r="AR15" i="27"/>
  <c r="AQ15" i="27"/>
  <c r="AP15" i="27"/>
  <c r="AO15" i="27"/>
  <c r="AN15" i="27"/>
  <c r="AM15" i="27"/>
  <c r="AL15" i="27"/>
  <c r="AK15" i="27"/>
  <c r="AJ15" i="27"/>
  <c r="AI15" i="27"/>
  <c r="AH15" i="27"/>
  <c r="AF15" i="27"/>
  <c r="AE15" i="27"/>
  <c r="AD15" i="27"/>
  <c r="AC15" i="27"/>
  <c r="AB15" i="27"/>
  <c r="T15" i="27"/>
  <c r="R15" i="27"/>
  <c r="P15" i="27"/>
  <c r="L15" i="27"/>
  <c r="H15" i="27"/>
  <c r="DM14" i="27"/>
  <c r="DK14" i="27"/>
  <c r="CM14" i="27"/>
  <c r="CI14" i="27"/>
  <c r="CH14" i="27"/>
  <c r="CG14" i="27"/>
  <c r="CF14" i="27"/>
  <c r="CE14" i="27"/>
  <c r="BE14" i="27"/>
  <c r="BC14" i="27"/>
  <c r="AC14" i="27"/>
  <c r="BD14" i="27" s="1"/>
  <c r="DM13" i="27"/>
  <c r="DK13" i="27"/>
  <c r="CM13" i="27"/>
  <c r="CI13" i="27"/>
  <c r="CH13" i="27"/>
  <c r="CG13" i="27"/>
  <c r="CF13" i="27"/>
  <c r="CE13" i="27"/>
  <c r="BE13" i="27"/>
  <c r="BD13" i="27"/>
  <c r="BC13" i="27"/>
  <c r="BB13" i="27"/>
  <c r="BA13" i="27"/>
  <c r="DL12" i="27"/>
  <c r="DK12" i="27"/>
  <c r="CI12" i="27"/>
  <c r="CH12" i="27"/>
  <c r="CG12" i="27"/>
  <c r="CF12" i="27"/>
  <c r="CE12" i="27"/>
  <c r="BE12" i="27"/>
  <c r="BC12" i="27"/>
  <c r="AU12" i="27"/>
  <c r="BD12" i="27" s="1"/>
  <c r="CP11" i="27"/>
  <c r="CP38" i="27" s="1"/>
  <c r="CP40" i="27" s="1"/>
  <c r="CM11" i="27"/>
  <c r="DL11" i="27" s="1"/>
  <c r="CL11" i="27"/>
  <c r="CH11" i="27"/>
  <c r="CG11" i="27"/>
  <c r="CF11" i="27"/>
  <c r="CE11" i="27"/>
  <c r="BE11" i="27"/>
  <c r="BC11" i="27"/>
  <c r="AE11" i="27"/>
  <c r="BD11" i="27" s="1"/>
  <c r="Y11" i="27"/>
  <c r="Y16" i="27" s="1"/>
  <c r="X11" i="27"/>
  <c r="X16" i="27" s="1"/>
  <c r="W11" i="27"/>
  <c r="W16" i="27" s="1"/>
  <c r="DK10" i="27"/>
  <c r="CM10" i="27"/>
  <c r="CI10" i="27"/>
  <c r="CH10" i="27"/>
  <c r="CG10" i="27"/>
  <c r="CF10" i="27"/>
  <c r="CE10" i="27"/>
  <c r="BE10" i="27"/>
  <c r="BC10" i="27"/>
  <c r="AG10" i="27"/>
  <c r="AG15" i="27" s="1"/>
  <c r="Y10" i="27"/>
  <c r="Y15" i="27" s="1"/>
  <c r="X10" i="27"/>
  <c r="X15" i="27" s="1"/>
  <c r="W10" i="27"/>
  <c r="W15" i="27" s="1"/>
  <c r="CH37" i="27" l="1"/>
  <c r="EU19" i="27"/>
  <c r="EU35" i="27"/>
  <c r="BK40" i="27"/>
  <c r="CQ40" i="27"/>
  <c r="EU18" i="27"/>
  <c r="EU27" i="27"/>
  <c r="EU21" i="27"/>
  <c r="EU12" i="27"/>
  <c r="EV12" i="27"/>
  <c r="G21" i="27"/>
  <c r="EV21" i="27" s="1"/>
  <c r="G34" i="27"/>
  <c r="EV34" i="27" s="1"/>
  <c r="G18" i="27"/>
  <c r="EV18" i="27" s="1"/>
  <c r="EV19" i="27"/>
  <c r="DN28" i="27"/>
  <c r="G27" i="27"/>
  <c r="EV27" i="27" s="1"/>
  <c r="G31" i="27"/>
  <c r="EV31" i="27" s="1"/>
  <c r="EU17" i="27"/>
  <c r="G17" i="27"/>
  <c r="EV17" i="27" s="1"/>
  <c r="CI29" i="27"/>
  <c r="EV13" i="27"/>
  <c r="EV35" i="27"/>
  <c r="L40" i="27"/>
  <c r="I40" i="27"/>
  <c r="CE39" i="27"/>
  <c r="BD39" i="27"/>
  <c r="T40" i="27"/>
  <c r="CG15" i="27"/>
  <c r="R40" i="27"/>
  <c r="BC39" i="27"/>
  <c r="J40" i="27"/>
  <c r="CX40" i="27"/>
  <c r="Q40" i="27"/>
  <c r="AB40" i="27"/>
  <c r="AP40" i="27"/>
  <c r="BS40" i="27"/>
  <c r="CY40" i="27"/>
  <c r="AQ40" i="27"/>
  <c r="BT40" i="27"/>
  <c r="AD40" i="27"/>
  <c r="CG29" i="27"/>
  <c r="CE30" i="27"/>
  <c r="K40" i="27"/>
  <c r="S40" i="27"/>
  <c r="CH30" i="27"/>
  <c r="DN35" i="27"/>
  <c r="BE39" i="27"/>
  <c r="DN21" i="27"/>
  <c r="DH40" i="27"/>
  <c r="CR40" i="27"/>
  <c r="CG36" i="27"/>
  <c r="CJ35" i="27"/>
  <c r="CJ37" i="27" s="1"/>
  <c r="AJ40" i="27"/>
  <c r="AR40" i="27"/>
  <c r="AZ40" i="27"/>
  <c r="BM40" i="27"/>
  <c r="BU40" i="27"/>
  <c r="CC40" i="27"/>
  <c r="CS40" i="27"/>
  <c r="N40" i="27"/>
  <c r="V40" i="27"/>
  <c r="AK40" i="27"/>
  <c r="AS40" i="27"/>
  <c r="BF40" i="27"/>
  <c r="BN40" i="27"/>
  <c r="BV40" i="27"/>
  <c r="CD40" i="27"/>
  <c r="CH16" i="27"/>
  <c r="AM40" i="27"/>
  <c r="AU40" i="27"/>
  <c r="X29" i="27"/>
  <c r="CG30" i="27"/>
  <c r="CF39" i="27"/>
  <c r="Z31" i="27"/>
  <c r="Z36" i="27" s="1"/>
  <c r="CE29" i="27"/>
  <c r="Z10" i="27"/>
  <c r="Z15" i="27" s="1"/>
  <c r="DJ13" i="27"/>
  <c r="DI13" i="27"/>
  <c r="CF30" i="27"/>
  <c r="CE36" i="27"/>
  <c r="BJ40" i="27"/>
  <c r="BR40" i="27"/>
  <c r="BZ40" i="27"/>
  <c r="CO40" i="27"/>
  <c r="DJ22" i="27"/>
  <c r="DI22" i="27"/>
  <c r="CW40" i="27"/>
  <c r="AA10" i="27"/>
  <c r="DJ11" i="27"/>
  <c r="DI11" i="27"/>
  <c r="DJ29" i="27"/>
  <c r="DI29" i="27"/>
  <c r="DI36" i="27"/>
  <c r="DJ36" i="27"/>
  <c r="BA10" i="27"/>
  <c r="BC36" i="27"/>
  <c r="M40" i="27"/>
  <c r="U40" i="27"/>
  <c r="BB10" i="27"/>
  <c r="CF16" i="27"/>
  <c r="DI23" i="27"/>
  <c r="DJ23" i="27"/>
  <c r="CT40" i="27"/>
  <c r="CE16" i="27"/>
  <c r="DI14" i="27"/>
  <c r="DJ14" i="27"/>
  <c r="AL40" i="27"/>
  <c r="AT40" i="27"/>
  <c r="BG40" i="27"/>
  <c r="BO40" i="27"/>
  <c r="BW40" i="27"/>
  <c r="DL10" i="27"/>
  <c r="DJ10" i="27"/>
  <c r="DI10" i="27"/>
  <c r="DL14" i="27"/>
  <c r="EU14" i="27" s="1"/>
  <c r="DJ37" i="27"/>
  <c r="DI37" i="27"/>
  <c r="DJ28" i="27"/>
  <c r="DI28" i="27"/>
  <c r="DL36" i="27"/>
  <c r="DL38" i="27"/>
  <c r="DL23" i="27"/>
  <c r="DC40" i="27"/>
  <c r="CH15" i="27"/>
  <c r="CP16" i="27"/>
  <c r="CE37" i="27"/>
  <c r="AG40" i="27"/>
  <c r="CG38" i="27"/>
  <c r="BA12" i="27"/>
  <c r="BA15" i="27"/>
  <c r="CH29" i="27"/>
  <c r="CJ34" i="27"/>
  <c r="CJ36" i="27" s="1"/>
  <c r="BD34" i="27"/>
  <c r="EU34" i="27" s="1"/>
  <c r="Y37" i="27"/>
  <c r="BC16" i="27"/>
  <c r="CF29" i="27"/>
  <c r="CI37" i="27"/>
  <c r="CI36" i="27"/>
  <c r="CF37" i="27"/>
  <c r="O40" i="27"/>
  <c r="CU40" i="27"/>
  <c r="DD40" i="27"/>
  <c r="Z11" i="27"/>
  <c r="BB12" i="27"/>
  <c r="BB34" i="27"/>
  <c r="BE36" i="27"/>
  <c r="AC37" i="27"/>
  <c r="H40" i="27"/>
  <c r="P40" i="27"/>
  <c r="BH40" i="27"/>
  <c r="BP40" i="27"/>
  <c r="BX40" i="27"/>
  <c r="CK40" i="27"/>
  <c r="CV40" i="27"/>
  <c r="DE40" i="27"/>
  <c r="CH38" i="27"/>
  <c r="CG39" i="27"/>
  <c r="BB11" i="27"/>
  <c r="CM16" i="27"/>
  <c r="DI16" i="27" s="1"/>
  <c r="AC39" i="27"/>
  <c r="AC40" i="27" s="1"/>
  <c r="CH39" i="27"/>
  <c r="CF15" i="27"/>
  <c r="BD25" i="27"/>
  <c r="BD38" i="27" s="1"/>
  <c r="BC32" i="27"/>
  <c r="CF36" i="27"/>
  <c r="AN40" i="27"/>
  <c r="AV40" i="27"/>
  <c r="BI40" i="27"/>
  <c r="BQ40" i="27"/>
  <c r="BY40" i="27"/>
  <c r="CN40" i="27"/>
  <c r="CF38" i="27"/>
  <c r="DL13" i="27"/>
  <c r="EU13" i="27" s="1"/>
  <c r="CI15" i="27"/>
  <c r="BD10" i="27"/>
  <c r="BB14" i="27"/>
  <c r="AE30" i="27"/>
  <c r="BD30" i="27" s="1"/>
  <c r="BE32" i="27"/>
  <c r="DL37" i="27"/>
  <c r="BE37" i="27"/>
  <c r="AF40" i="27"/>
  <c r="AO40" i="27"/>
  <c r="AW40" i="27"/>
  <c r="DK36" i="27"/>
  <c r="DK15" i="27"/>
  <c r="DA40" i="27"/>
  <c r="DB40" i="27"/>
  <c r="DM15" i="27"/>
  <c r="K27" i="13" s="1"/>
  <c r="DK23" i="27"/>
  <c r="DM23" i="27"/>
  <c r="DM36" i="27"/>
  <c r="BA33" i="27"/>
  <c r="BD33" i="27"/>
  <c r="DM29" i="27"/>
  <c r="K15" i="13" s="1"/>
  <c r="DK22" i="27"/>
  <c r="AA24" i="27"/>
  <c r="Y29" i="27"/>
  <c r="BB15" i="27"/>
  <c r="BD15" i="27"/>
  <c r="BB24" i="27"/>
  <c r="AE29" i="27"/>
  <c r="BA29" i="27" s="1"/>
  <c r="BD24" i="27"/>
  <c r="BA24" i="27"/>
  <c r="DL22" i="27"/>
  <c r="Z29" i="27"/>
  <c r="AA36" i="27"/>
  <c r="CE15" i="27"/>
  <c r="AA15" i="27"/>
  <c r="DM22" i="27"/>
  <c r="CI16" i="27"/>
  <c r="CI39" i="27"/>
  <c r="BC15" i="27"/>
  <c r="BE26" i="27"/>
  <c r="BC26" i="27"/>
  <c r="BE29" i="27"/>
  <c r="DK29" i="27"/>
  <c r="AA37" i="27"/>
  <c r="CL38" i="27"/>
  <c r="CL40" i="27" s="1"/>
  <c r="CL16" i="27"/>
  <c r="DL28" i="27"/>
  <c r="DL30" i="27" s="1"/>
  <c r="CM30" i="27"/>
  <c r="AA11" i="27"/>
  <c r="Y38" i="27"/>
  <c r="Y40" i="27" s="1"/>
  <c r="BE25" i="27"/>
  <c r="BC25" i="27"/>
  <c r="AH38" i="27"/>
  <c r="AH40" i="27" s="1"/>
  <c r="AH30" i="27"/>
  <c r="BC30" i="27" s="1"/>
  <c r="BE16" i="27"/>
  <c r="BD26" i="27"/>
  <c r="AA25" i="27"/>
  <c r="Z32" i="27"/>
  <c r="Z37" i="27" s="1"/>
  <c r="BA35" i="27"/>
  <c r="AC36" i="27"/>
  <c r="DK37" i="27"/>
  <c r="W38" i="27"/>
  <c r="W40" i="27" s="1"/>
  <c r="AE38" i="27"/>
  <c r="AE40" i="27" s="1"/>
  <c r="CI38" i="27"/>
  <c r="BA11" i="27"/>
  <c r="BE15" i="27"/>
  <c r="AC16" i="27"/>
  <c r="CG16" i="27"/>
  <c r="BC29" i="27"/>
  <c r="AH33" i="27"/>
  <c r="BA34" i="27"/>
  <c r="BB35" i="27"/>
  <c r="CH36" i="27"/>
  <c r="X38" i="27"/>
  <c r="X40" i="27" s="1"/>
  <c r="DM37" i="27"/>
  <c r="CM15" i="27"/>
  <c r="DJ15" i="27" s="1"/>
  <c r="AE16" i="27"/>
  <c r="BA25" i="27"/>
  <c r="BA26" i="27"/>
  <c r="BA14" i="27"/>
  <c r="BB26" i="27"/>
  <c r="BA32" i="27"/>
  <c r="Y36" i="27"/>
  <c r="AE37" i="27"/>
  <c r="BC37" i="27"/>
  <c r="CE38" i="27"/>
  <c r="CM38" i="27"/>
  <c r="DI38" i="27" s="1"/>
  <c r="CM39" i="27"/>
  <c r="BB32" i="27"/>
  <c r="DL29" i="27"/>
  <c r="X30" i="27"/>
  <c r="CF40" i="27" l="1"/>
  <c r="EU26" i="27"/>
  <c r="EU32" i="27"/>
  <c r="EU22" i="27"/>
  <c r="EU25" i="27"/>
  <c r="CE40" i="27"/>
  <c r="EV26" i="27"/>
  <c r="EV32" i="27"/>
  <c r="Z38" i="27"/>
  <c r="Z40" i="27" s="1"/>
  <c r="EU23" i="27"/>
  <c r="EU24" i="27"/>
  <c r="EV24" i="27"/>
  <c r="Z16" i="27"/>
  <c r="EU31" i="27"/>
  <c r="G36" i="27"/>
  <c r="EV36" i="27" s="1"/>
  <c r="EV25" i="27"/>
  <c r="DY47" i="27"/>
  <c r="BD40" i="27"/>
  <c r="BD37" i="27"/>
  <c r="BB39" i="27"/>
  <c r="DN31" i="27"/>
  <c r="DN36" i="27" s="1"/>
  <c r="CJ39" i="27"/>
  <c r="CJ40" i="27" s="1"/>
  <c r="BC38" i="27"/>
  <c r="BC40" i="27" s="1"/>
  <c r="BE38" i="27"/>
  <c r="BE40" i="27" s="1"/>
  <c r="DL16" i="27"/>
  <c r="DJ38" i="27"/>
  <c r="BB37" i="27"/>
  <c r="BA30" i="27"/>
  <c r="CI40" i="27"/>
  <c r="BA37" i="27"/>
  <c r="DJ16" i="27"/>
  <c r="DI15" i="27"/>
  <c r="DJ30" i="27"/>
  <c r="DI30" i="27"/>
  <c r="DJ39" i="27"/>
  <c r="DI39" i="27"/>
  <c r="DL15" i="27"/>
  <c r="EU15" i="27" s="1"/>
  <c r="CG40" i="27"/>
  <c r="BB38" i="27"/>
  <c r="BB30" i="27"/>
  <c r="CH40" i="27"/>
  <c r="BA38" i="27"/>
  <c r="G22" i="27"/>
  <c r="EV22" i="27" s="1"/>
  <c r="DL39" i="27"/>
  <c r="DL40" i="27" s="1"/>
  <c r="BE30" i="27"/>
  <c r="BA39" i="27"/>
  <c r="AA16" i="27"/>
  <c r="AA38" i="27"/>
  <c r="AA40" i="27" s="1"/>
  <c r="BE33" i="27"/>
  <c r="EU33" i="27" s="1"/>
  <c r="BC33" i="27"/>
  <c r="AA29" i="27"/>
  <c r="AA30" i="27"/>
  <c r="BD29" i="27"/>
  <c r="BB29" i="27"/>
  <c r="CM40" i="27"/>
  <c r="DI40" i="27" s="1"/>
  <c r="BD16" i="27"/>
  <c r="BA16" i="27"/>
  <c r="BB16" i="27"/>
  <c r="G23" i="27"/>
  <c r="EV23" i="27" s="1"/>
  <c r="BD36" i="27"/>
  <c r="EU36" i="27" s="1"/>
  <c r="BB36" i="27"/>
  <c r="BA36" i="27"/>
  <c r="EU29" i="27" l="1"/>
  <c r="BB40" i="27"/>
  <c r="EV33" i="27"/>
  <c r="DN10" i="27"/>
  <c r="DN15" i="27" s="1"/>
  <c r="G37" i="27"/>
  <c r="EV37" i="27" s="1"/>
  <c r="BA40" i="27"/>
  <c r="DJ40" i="27"/>
  <c r="DN29" i="27"/>
  <c r="G29" i="27" l="1"/>
  <c r="EV29" i="27" s="1"/>
  <c r="EV15" i="27" l="1"/>
  <c r="U29" i="26"/>
  <c r="S28" i="26"/>
  <c r="S27" i="26"/>
  <c r="S26" i="26"/>
  <c r="S25" i="26"/>
  <c r="S24" i="26"/>
  <c r="S23" i="26"/>
  <c r="S22" i="26"/>
  <c r="S21" i="26"/>
  <c r="S20" i="26"/>
  <c r="S19" i="26"/>
  <c r="S18" i="26"/>
  <c r="S16" i="26"/>
  <c r="S15" i="26"/>
  <c r="S14" i="26"/>
  <c r="S13" i="26"/>
  <c r="S12" i="26"/>
  <c r="S11" i="26"/>
  <c r="S10" i="26"/>
  <c r="S9" i="26"/>
  <c r="T29" i="26" l="1"/>
  <c r="J17" i="13" l="1"/>
  <c r="I17" i="13"/>
  <c r="H17" i="13"/>
  <c r="AF6" i="13"/>
  <c r="AG6" i="13" s="1"/>
  <c r="AG4" i="13"/>
  <c r="AA4" i="13"/>
  <c r="W9" i="13" l="1"/>
  <c r="J22" i="13"/>
  <c r="K9" i="13"/>
  <c r="G9" i="13"/>
  <c r="C9" i="13"/>
  <c r="I9" i="13"/>
  <c r="E9" i="13"/>
  <c r="L27" i="13"/>
  <c r="L22" i="13" s="1"/>
  <c r="V9" i="13"/>
  <c r="X9" i="13"/>
  <c r="L9" i="13"/>
  <c r="Y9" i="13"/>
  <c r="P9" i="13"/>
  <c r="N9" i="13"/>
  <c r="Q9" i="13"/>
  <c r="F9" i="13"/>
  <c r="S9" i="13"/>
  <c r="D9" i="13"/>
  <c r="H9" i="13"/>
  <c r="T9" i="13"/>
  <c r="K17" i="13"/>
  <c r="L17" i="13" s="1"/>
  <c r="J9" i="13"/>
  <c r="R9" i="13"/>
  <c r="Z9" i="13"/>
  <c r="M9" i="13"/>
  <c r="U9" i="13"/>
  <c r="AA5" i="13"/>
  <c r="O9" i="13"/>
  <c r="AA9" i="13" l="1"/>
  <c r="K10" i="13"/>
  <c r="E10" i="13"/>
  <c r="G10" i="13"/>
  <c r="I10" i="13"/>
  <c r="C10" i="13"/>
  <c r="T10" i="13"/>
  <c r="L10" i="13"/>
  <c r="D10" i="13"/>
  <c r="S10" i="13"/>
  <c r="Q10" i="13"/>
  <c r="P10" i="13"/>
  <c r="Z10" i="13"/>
  <c r="R10" i="13"/>
  <c r="J10" i="13"/>
  <c r="Y10" i="13"/>
  <c r="X10" i="13"/>
  <c r="W10" i="13"/>
  <c r="O10" i="13"/>
  <c r="V10" i="13"/>
  <c r="U10" i="13"/>
  <c r="F10" i="13"/>
  <c r="N10" i="13"/>
  <c r="M10" i="13"/>
  <c r="H10" i="13"/>
  <c r="AA10" i="13" l="1"/>
  <c r="CZ16" i="27"/>
  <c r="CZ38" i="27"/>
  <c r="CZ39" i="27" l="1"/>
  <c r="CZ40" i="27" s="1"/>
  <c r="DK28" i="27"/>
  <c r="DK30" i="27" s="1"/>
  <c r="CZ30" i="27"/>
  <c r="DM28" i="27"/>
  <c r="EU28" i="27" s="1"/>
  <c r="EV28" i="27" l="1"/>
  <c r="DK39" i="27"/>
  <c r="DM30" i="27"/>
  <c r="EU30" i="27" s="1"/>
  <c r="DM39" i="27"/>
  <c r="G30" i="27" l="1"/>
  <c r="EV30" i="27"/>
  <c r="DM11" i="27"/>
  <c r="DF16" i="27"/>
  <c r="DF38" i="27"/>
  <c r="DF40" i="27" s="1"/>
  <c r="DK11" i="27"/>
  <c r="EU11" i="27" l="1"/>
  <c r="G38" i="27"/>
  <c r="DN14" i="27"/>
  <c r="DM16" i="27"/>
  <c r="DK38" i="27"/>
  <c r="DK40" i="27" s="1"/>
  <c r="DK16" i="27"/>
  <c r="DM38" i="27"/>
  <c r="DN39" i="27" l="1"/>
  <c r="D67" i="35" s="1"/>
  <c r="DM40" i="27"/>
  <c r="AB5" i="33"/>
  <c r="AB8" i="33" s="1"/>
  <c r="C8" i="33"/>
  <c r="AA5" i="33"/>
  <c r="DN40" i="27" l="1"/>
  <c r="J13" i="33"/>
  <c r="AL13" i="33" s="1"/>
  <c r="AH8" i="33"/>
  <c r="V13" i="33"/>
  <c r="AA8" i="33"/>
  <c r="L13" i="33"/>
  <c r="R13" i="33"/>
  <c r="S13" i="33"/>
  <c r="I13" i="33"/>
  <c r="AK13" i="33" s="1"/>
  <c r="H13" i="33"/>
  <c r="AJ13" i="33" s="1"/>
  <c r="C13" i="33"/>
  <c r="AE13" i="33" s="1"/>
  <c r="Z13" i="33"/>
  <c r="Q13" i="33"/>
  <c r="F13" i="33"/>
  <c r="AH13" i="33" s="1"/>
  <c r="N13" i="33"/>
  <c r="W13" i="33"/>
  <c r="E13" i="33"/>
  <c r="AG13" i="33" s="1"/>
  <c r="Y13" i="33"/>
  <c r="D13" i="33"/>
  <c r="O13" i="33"/>
  <c r="G13" i="33"/>
  <c r="AI13" i="33" s="1"/>
  <c r="M13" i="33"/>
  <c r="K13" i="33"/>
  <c r="AM13" i="33" s="1"/>
  <c r="P13" i="33"/>
  <c r="U13" i="33"/>
  <c r="X13" i="33"/>
  <c r="T13" i="33"/>
  <c r="AC13" i="33" l="1"/>
  <c r="AF13" i="33"/>
  <c r="AN13" i="33" s="1"/>
  <c r="AA13" i="33"/>
  <c r="AB13" i="33"/>
  <c r="DS16" i="27" l="1"/>
  <c r="DR16" i="27"/>
  <c r="DU16" i="27" l="1"/>
  <c r="DU38" i="27"/>
  <c r="DU40" i="27" l="1"/>
  <c r="DV16" i="27"/>
  <c r="DV38" i="27"/>
  <c r="DV40" i="27" s="1"/>
  <c r="DW16" i="27" l="1"/>
  <c r="EM16" i="27" s="1"/>
  <c r="DW38" i="27"/>
  <c r="DW40" i="27" s="1"/>
  <c r="DY38" i="27"/>
  <c r="DR23" i="27"/>
  <c r="DT23" i="27"/>
  <c r="DS23" i="27"/>
  <c r="DQ23" i="27"/>
  <c r="DQ38" i="27"/>
  <c r="DT38" i="27"/>
  <c r="DT40" i="27" s="1"/>
  <c r="DT37" i="27"/>
  <c r="DR38" i="27"/>
  <c r="DR40" i="27" s="1"/>
  <c r="DR37" i="27"/>
  <c r="DS38" i="27"/>
  <c r="DS40" i="27" s="1"/>
  <c r="DS37" i="27"/>
  <c r="EM37" i="27" l="1"/>
  <c r="EM23" i="27"/>
  <c r="DQ40" i="27"/>
  <c r="S17" i="26"/>
  <c r="DY39" i="27" l="1"/>
  <c r="DY40" i="27" s="1"/>
  <c r="EM14" i="27"/>
  <c r="EP14" i="27"/>
  <c r="EP39" i="27" l="1"/>
  <c r="ET14" i="27"/>
  <c r="EV14" i="27"/>
  <c r="EM39" i="27"/>
  <c r="EM40" i="27" s="1"/>
  <c r="EP16" i="27"/>
  <c r="EP40" i="27" l="1"/>
  <c r="G39" i="27"/>
  <c r="G40" i="27" s="1"/>
  <c r="G16" i="27"/>
  <c r="EV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Z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100-000008000000}">
      <text/>
    </comment>
    <comment ref="FC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H11" authorId="0" shapeId="0" xr:uid="{00000000-0006-0000-0100-00000C000000}">
      <text>
        <r>
          <rPr>
            <b/>
            <sz val="9"/>
            <color indexed="81"/>
            <rFont val="Tahoma"/>
            <family val="2"/>
          </rPr>
          <t>YULIED.PENARANDA:</t>
        </r>
        <r>
          <rPr>
            <sz val="9"/>
            <color indexed="81"/>
            <rFont val="Tahoma"/>
            <family val="2"/>
          </rPr>
          <t xml:space="preserve">
Año 3</t>
        </r>
      </text>
    </comment>
    <comment ref="CL11" authorId="0" shapeId="0" xr:uid="{00000000-0006-0000-0100-00000D000000}">
      <text>
        <r>
          <rPr>
            <b/>
            <sz val="9"/>
            <color indexed="81"/>
            <rFont val="Tahoma"/>
            <family val="2"/>
          </rPr>
          <t>YULIED.PENARANDA:</t>
        </r>
        <r>
          <rPr>
            <sz val="9"/>
            <color indexed="81"/>
            <rFont val="Tahoma"/>
            <family val="2"/>
          </rPr>
          <t xml:space="preserve">
Año 4</t>
        </r>
      </text>
    </comment>
    <comment ref="DP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W7" authorId="0" shapeId="0" xr:uid="{B3F1AB61-6CC2-42B3-8652-6D6C2946BF8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4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5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6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7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9" authorId="0" shapeId="0" xr:uid="{00000000-0006-0000-0200-00000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0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0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0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0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0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0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0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1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1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1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1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1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1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1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18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1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1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1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1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1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1F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2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2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2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2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2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2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2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2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4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4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4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4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4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4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4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4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4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400-00000D000000}">
      <text>
        <r>
          <rPr>
            <b/>
            <sz val="9"/>
            <color indexed="81"/>
            <rFont val="Tahoma"/>
            <family val="2"/>
          </rPr>
          <t>YULIED.PENARANDA:</t>
        </r>
        <r>
          <rPr>
            <sz val="9"/>
            <color indexed="81"/>
            <rFont val="Tahoma"/>
            <family val="2"/>
          </rPr>
          <t xml:space="preserve">
Máximo dos decimales</t>
        </r>
      </text>
    </comment>
    <comment ref="H8" authorId="0" shapeId="0" xr:uid="{00000000-0006-0000-0400-00000E000000}">
      <text>
        <r>
          <rPr>
            <b/>
            <sz val="9"/>
            <color indexed="81"/>
            <rFont val="Tahoma"/>
            <family val="2"/>
          </rPr>
          <t>YULIED.PENARANDA:</t>
        </r>
        <r>
          <rPr>
            <sz val="9"/>
            <color indexed="81"/>
            <rFont val="Tahoma"/>
            <family val="2"/>
          </rPr>
          <t xml:space="preserve">
Máximo dos decimales</t>
        </r>
      </text>
    </comment>
    <comment ref="I8" authorId="0" shapeId="0" xr:uid="{00000000-0006-0000-0400-00000F000000}">
      <text>
        <r>
          <rPr>
            <b/>
            <sz val="9"/>
            <color indexed="81"/>
            <rFont val="Tahoma"/>
            <family val="2"/>
          </rPr>
          <t>YULIED.PENARANDA:</t>
        </r>
        <r>
          <rPr>
            <sz val="9"/>
            <color indexed="81"/>
            <rFont val="Tahoma"/>
            <family val="2"/>
          </rPr>
          <t xml:space="preserve">
Máximo dos decimales</t>
        </r>
      </text>
    </comment>
    <comment ref="J8" authorId="0" shapeId="0" xr:uid="{00000000-0006-0000-0400-000010000000}">
      <text>
        <r>
          <rPr>
            <b/>
            <sz val="9"/>
            <color indexed="81"/>
            <rFont val="Tahoma"/>
            <family val="2"/>
          </rPr>
          <t>YULIED.PENARANDA:</t>
        </r>
        <r>
          <rPr>
            <sz val="9"/>
            <color indexed="81"/>
            <rFont val="Tahoma"/>
            <family val="2"/>
          </rPr>
          <t xml:space="preserve">
Máximo dos decimales</t>
        </r>
      </text>
    </comment>
    <comment ref="K8" authorId="0" shapeId="0" xr:uid="{00000000-0006-0000-0400-000011000000}">
      <text>
        <r>
          <rPr>
            <b/>
            <sz val="9"/>
            <color indexed="81"/>
            <rFont val="Tahoma"/>
            <family val="2"/>
          </rPr>
          <t>YULIED.PENARANDA:</t>
        </r>
        <r>
          <rPr>
            <sz val="9"/>
            <color indexed="81"/>
            <rFont val="Tahoma"/>
            <family val="2"/>
          </rPr>
          <t xml:space="preserve">
Máximo dos decimales</t>
        </r>
      </text>
    </comment>
    <comment ref="L8" authorId="0" shapeId="0" xr:uid="{00000000-0006-0000-0400-000012000000}">
      <text>
        <r>
          <rPr>
            <b/>
            <sz val="9"/>
            <color indexed="81"/>
            <rFont val="Tahoma"/>
            <family val="2"/>
          </rPr>
          <t>YULIED.PENARANDA:</t>
        </r>
        <r>
          <rPr>
            <sz val="9"/>
            <color indexed="81"/>
            <rFont val="Tahoma"/>
            <family val="2"/>
          </rPr>
          <t xml:space="preserve">
Máximo dos decimales</t>
        </r>
      </text>
    </comment>
    <comment ref="M8" authorId="0" shapeId="0" xr:uid="{00000000-0006-0000-0400-000013000000}">
      <text>
        <r>
          <rPr>
            <b/>
            <sz val="9"/>
            <color indexed="81"/>
            <rFont val="Tahoma"/>
            <family val="2"/>
          </rPr>
          <t>YULIED.PENARANDA:</t>
        </r>
        <r>
          <rPr>
            <sz val="9"/>
            <color indexed="81"/>
            <rFont val="Tahoma"/>
            <family val="2"/>
          </rPr>
          <t xml:space="preserve">
Máximo dos decimales</t>
        </r>
      </text>
    </comment>
    <comment ref="N8" authorId="0" shapeId="0" xr:uid="{00000000-0006-0000-0400-000014000000}">
      <text>
        <r>
          <rPr>
            <b/>
            <sz val="9"/>
            <color indexed="81"/>
            <rFont val="Tahoma"/>
            <family val="2"/>
          </rPr>
          <t>YULIED.PENARANDA:</t>
        </r>
        <r>
          <rPr>
            <sz val="9"/>
            <color indexed="81"/>
            <rFont val="Tahoma"/>
            <family val="2"/>
          </rPr>
          <t xml:space="preserve">
Máximo dos decimales</t>
        </r>
      </text>
    </comment>
    <comment ref="O8" authorId="0" shapeId="0" xr:uid="{00000000-0006-0000-0400-000015000000}">
      <text>
        <r>
          <rPr>
            <b/>
            <sz val="9"/>
            <color indexed="81"/>
            <rFont val="Tahoma"/>
            <family val="2"/>
          </rPr>
          <t>YULIED.PENARANDA:</t>
        </r>
        <r>
          <rPr>
            <sz val="9"/>
            <color indexed="81"/>
            <rFont val="Tahoma"/>
            <family val="2"/>
          </rPr>
          <t xml:space="preserve">
Máximo dos decimales</t>
        </r>
      </text>
    </comment>
    <comment ref="P8" authorId="0" shapeId="0" xr:uid="{00000000-0006-0000-0400-000016000000}">
      <text>
        <r>
          <rPr>
            <b/>
            <sz val="9"/>
            <color indexed="81"/>
            <rFont val="Tahoma"/>
            <family val="2"/>
          </rPr>
          <t>YULIED.PENARANDA:</t>
        </r>
        <r>
          <rPr>
            <sz val="9"/>
            <color indexed="81"/>
            <rFont val="Tahoma"/>
            <family val="2"/>
          </rPr>
          <t xml:space="preserve">
Máximo dos decimales</t>
        </r>
      </text>
    </comment>
    <comment ref="Q8" authorId="0" shapeId="0" xr:uid="{00000000-0006-0000-0400-000017000000}">
      <text>
        <r>
          <rPr>
            <b/>
            <sz val="9"/>
            <color indexed="81"/>
            <rFont val="Tahoma"/>
            <family val="2"/>
          </rPr>
          <t>YULIED.PENARANDA:</t>
        </r>
        <r>
          <rPr>
            <sz val="9"/>
            <color indexed="81"/>
            <rFont val="Tahoma"/>
            <family val="2"/>
          </rPr>
          <t xml:space="preserve">
Máximo dos decimales</t>
        </r>
      </text>
    </comment>
    <comment ref="R8" authorId="0" shapeId="0" xr:uid="{00000000-0006-0000-0400-000018000000}">
      <text>
        <r>
          <rPr>
            <b/>
            <sz val="9"/>
            <color indexed="81"/>
            <rFont val="Tahoma"/>
            <family val="2"/>
          </rPr>
          <t>YULIED.PENARANDA:</t>
        </r>
        <r>
          <rPr>
            <sz val="9"/>
            <color indexed="81"/>
            <rFont val="Tahoma"/>
            <family val="2"/>
          </rPr>
          <t xml:space="preserve">
Máximo dos decimales</t>
        </r>
      </text>
    </comment>
    <comment ref="S8" authorId="0" shapeId="0" xr:uid="{00000000-0006-0000-04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4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4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4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4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4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4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4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4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4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4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4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4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4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4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4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4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4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4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4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400-00002E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4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4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4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4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4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400-000034000000}">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00000000-0006-0000-0400-000035000000}">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00000000-0006-0000-0400-00003600000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0000000-0006-0000-0400-00003700000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00000000-0006-0000-0400-000038000000}">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00000000-0006-0000-0400-000039000000}">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00000000-0006-0000-0400-00003A000000}">
      <text>
        <r>
          <rPr>
            <b/>
            <sz val="9"/>
            <color indexed="81"/>
            <rFont val="Tahoma"/>
            <family val="2"/>
          </rPr>
          <t>YULIED.PENARANDA:</t>
        </r>
        <r>
          <rPr>
            <sz val="9"/>
            <color indexed="81"/>
            <rFont val="Tahoma"/>
            <family val="2"/>
          </rPr>
          <t xml:space="preserve">
Verificar las sumas, que no sea inferior ni superior al 100%</t>
        </r>
      </text>
    </comment>
    <comment ref="S27" authorId="0" shapeId="0" xr:uid="{00000000-0006-0000-0400-00003C000000}">
      <text>
        <r>
          <rPr>
            <b/>
            <sz val="9"/>
            <color indexed="81"/>
            <rFont val="Tahoma"/>
            <family val="2"/>
          </rPr>
          <t>YULIED.PENARANDA:</t>
        </r>
        <r>
          <rPr>
            <sz val="9"/>
            <color indexed="81"/>
            <rFont val="Tahoma"/>
            <family val="2"/>
          </rPr>
          <t xml:space="preserve">
Verificar las sumas, que no sea inferior ni superior al 100%</t>
        </r>
      </text>
    </comment>
    <comment ref="S28" authorId="0" shapeId="0" xr:uid="{00000000-0006-0000-0400-00003D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400-00003E000000}">
      <text>
        <r>
          <rPr>
            <b/>
            <sz val="9"/>
            <color indexed="81"/>
            <rFont val="Tahoma"/>
            <family val="2"/>
          </rPr>
          <t>YULIED.PENARANDA:</t>
        </r>
        <r>
          <rPr>
            <sz val="9"/>
            <color indexed="81"/>
            <rFont val="Tahoma"/>
            <family val="2"/>
          </rPr>
          <t xml:space="preserve">
Nos debe dar 100%</t>
        </r>
      </text>
    </comment>
    <comment ref="U29" authorId="0" shapeId="0" xr:uid="{00000000-0006-0000-0400-00003F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600-000027000000}">
      <text>
        <r>
          <rPr>
            <b/>
            <sz val="9"/>
            <color indexed="81"/>
            <rFont val="Tahoma"/>
            <family val="2"/>
          </rPr>
          <t>YULIED.PENARANDA:</t>
        </r>
        <r>
          <rPr>
            <sz val="9"/>
            <color indexed="81"/>
            <rFont val="Tahoma"/>
            <family val="2"/>
          </rPr>
          <t xml:space="preserve">
Vigencia a reportar</t>
        </r>
      </text>
    </comment>
    <comment ref="B77"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600-000030000000}">
      <text>
        <r>
          <rPr>
            <b/>
            <sz val="9"/>
            <color indexed="81"/>
            <rFont val="Tahoma"/>
            <family val="2"/>
          </rPr>
          <t>YULIED.PENARANDA:</t>
        </r>
        <r>
          <rPr>
            <sz val="9"/>
            <color indexed="81"/>
            <rFont val="Tahoma"/>
            <family val="2"/>
          </rPr>
          <t xml:space="preserve">
Vigencia a reportar</t>
        </r>
      </text>
    </comment>
    <comment ref="B93"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600-000039000000}">
      <text>
        <r>
          <rPr>
            <b/>
            <sz val="9"/>
            <color indexed="81"/>
            <rFont val="Tahoma"/>
            <family val="2"/>
          </rPr>
          <t>YULIED.PENARANDA:</t>
        </r>
        <r>
          <rPr>
            <sz val="9"/>
            <color indexed="81"/>
            <rFont val="Tahoma"/>
            <family val="2"/>
          </rPr>
          <t xml:space="preserve">
Vigencia a reportar</t>
        </r>
      </text>
    </comment>
    <comment ref="B120"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00000000-0006-0000-0600-000042000000}">
      <text>
        <r>
          <rPr>
            <b/>
            <sz val="9"/>
            <color indexed="81"/>
            <rFont val="Tahoma"/>
            <family val="2"/>
          </rPr>
          <t>YULIED.PENARANDA:</t>
        </r>
        <r>
          <rPr>
            <sz val="9"/>
            <color indexed="81"/>
            <rFont val="Tahoma"/>
            <family val="2"/>
          </rPr>
          <t xml:space="preserve">
Vigencia a reportar</t>
        </r>
      </text>
    </comment>
    <comment ref="B147"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600-00004B000000}">
      <text>
        <r>
          <rPr>
            <b/>
            <sz val="9"/>
            <color indexed="81"/>
            <rFont val="Tahoma"/>
            <family val="2"/>
          </rPr>
          <t>YULIED.PENARANDA:</t>
        </r>
        <r>
          <rPr>
            <sz val="9"/>
            <color indexed="81"/>
            <rFont val="Tahoma"/>
            <family val="2"/>
          </rPr>
          <t xml:space="preserve">
Vigencia a reportar</t>
        </r>
      </text>
    </comment>
    <comment ref="B174"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1" authorId="0" shapeId="0" xr:uid="{00000000-0006-0000-0600-000054000000}">
      <text>
        <r>
          <rPr>
            <b/>
            <sz val="9"/>
            <color indexed="81"/>
            <rFont val="Tahoma"/>
            <family val="2"/>
          </rPr>
          <t>YULIED.PENARANDA:</t>
        </r>
        <r>
          <rPr>
            <sz val="9"/>
            <color indexed="81"/>
            <rFont val="Tahoma"/>
            <family val="2"/>
          </rPr>
          <t xml:space="preserve">
Vigencia a reportar</t>
        </r>
      </text>
    </comment>
    <comment ref="B191"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1"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1"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1"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211"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2" authorId="0" shapeId="0" xr:uid="{00000000-0006-0000-0600-00005A000000}">
      <text>
        <r>
          <rPr>
            <b/>
            <sz val="9"/>
            <color indexed="81"/>
            <rFont val="Tahoma"/>
            <family val="2"/>
          </rPr>
          <t>YULIED.PENARANDA:</t>
        </r>
        <r>
          <rPr>
            <sz val="9"/>
            <color indexed="81"/>
            <rFont val="Tahoma"/>
            <family val="2"/>
          </rPr>
          <t xml:space="preserve">
Vigencia a reportar</t>
        </r>
      </text>
    </comment>
    <comment ref="B212"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2"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2"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2"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600-000060000000}">
      <text>
        <r>
          <rPr>
            <b/>
            <sz val="9"/>
            <color indexed="81"/>
            <rFont val="Tahoma"/>
            <family val="2"/>
          </rPr>
          <t>YULIED.PENARANDA:</t>
        </r>
        <r>
          <rPr>
            <sz val="9"/>
            <color indexed="81"/>
            <rFont val="Tahoma"/>
            <family val="2"/>
          </rPr>
          <t xml:space="preserve">
Vigencia a reportar</t>
        </r>
      </text>
    </comment>
    <comment ref="B251"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0" authorId="0" shapeId="0" xr:uid="{00000000-0006-0000-0600-000066000000}">
      <text>
        <r>
          <rPr>
            <b/>
            <sz val="9"/>
            <color indexed="81"/>
            <rFont val="Tahoma"/>
            <family val="2"/>
          </rPr>
          <t>YULIED.PENARANDA:</t>
        </r>
        <r>
          <rPr>
            <sz val="9"/>
            <color indexed="81"/>
            <rFont val="Tahoma"/>
            <family val="2"/>
          </rPr>
          <t xml:space="preserve">
Vigencia a reportar</t>
        </r>
      </text>
    </comment>
    <comment ref="B290"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0"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0"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0"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0" authorId="0" shapeId="0" xr:uid="{00000000-0006-0000-0600-00006C000000}">
      <text>
        <r>
          <rPr>
            <b/>
            <sz val="9"/>
            <color indexed="81"/>
            <rFont val="Tahoma"/>
            <family val="2"/>
          </rPr>
          <t>YULIED.PENARANDA:</t>
        </r>
        <r>
          <rPr>
            <sz val="9"/>
            <color indexed="81"/>
            <rFont val="Tahoma"/>
            <family val="2"/>
          </rPr>
          <t xml:space="preserve">
Vigencia a reportar</t>
        </r>
      </text>
    </comment>
    <comment ref="B340"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0"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0"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0"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362"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3" authorId="0" shapeId="0" xr:uid="{00000000-0006-0000-0600-000072000000}">
      <text>
        <r>
          <rPr>
            <b/>
            <sz val="9"/>
            <color indexed="81"/>
            <rFont val="Tahoma"/>
            <family val="2"/>
          </rPr>
          <t>YULIED.PENARANDA:</t>
        </r>
        <r>
          <rPr>
            <sz val="9"/>
            <color indexed="81"/>
            <rFont val="Tahoma"/>
            <family val="2"/>
          </rPr>
          <t xml:space="preserve">
Vigencia a reportar</t>
        </r>
      </text>
    </comment>
    <comment ref="B363"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3"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3"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3"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71"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2" authorId="0" shapeId="0" xr:uid="{00000000-0006-0000-0600-000078000000}">
      <text>
        <r>
          <rPr>
            <b/>
            <sz val="9"/>
            <color indexed="81"/>
            <rFont val="Tahoma"/>
            <family val="2"/>
          </rPr>
          <t>YULIED.PENARANDA:</t>
        </r>
        <r>
          <rPr>
            <sz val="9"/>
            <color indexed="81"/>
            <rFont val="Tahoma"/>
            <family val="2"/>
          </rPr>
          <t xml:space="preserve">
Vigencia a reportar</t>
        </r>
      </text>
    </comment>
    <comment ref="B372"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2"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2"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2"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386"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7" authorId="0" shapeId="0" xr:uid="{00000000-0006-0000-0600-00007E000000}">
      <text>
        <r>
          <rPr>
            <b/>
            <sz val="9"/>
            <color indexed="81"/>
            <rFont val="Tahoma"/>
            <family val="2"/>
          </rPr>
          <t>YULIED.PENARANDA:</t>
        </r>
        <r>
          <rPr>
            <sz val="9"/>
            <color indexed="81"/>
            <rFont val="Tahoma"/>
            <family val="2"/>
          </rPr>
          <t xml:space="preserve">
Vigencia a reportar</t>
        </r>
      </text>
    </comment>
    <comment ref="B387"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7"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7"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7"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1" authorId="0" shapeId="0" xr:uid="{00000000-0006-0000-0600-000084000000}">
      <text>
        <r>
          <rPr>
            <b/>
            <sz val="9"/>
            <color indexed="81"/>
            <rFont val="Tahoma"/>
            <family val="2"/>
          </rPr>
          <t>YULIED.PENARANDA:</t>
        </r>
        <r>
          <rPr>
            <sz val="9"/>
            <color indexed="81"/>
            <rFont val="Tahoma"/>
            <family val="2"/>
          </rPr>
          <t xml:space="preserve">
Vigencia a reportar</t>
        </r>
      </text>
    </comment>
    <comment ref="B401"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1"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415"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6" authorId="0" shapeId="0" xr:uid="{00000000-0006-0000-0600-00008A000000}">
      <text>
        <r>
          <rPr>
            <b/>
            <sz val="9"/>
            <color indexed="81"/>
            <rFont val="Tahoma"/>
            <family val="2"/>
          </rPr>
          <t>YULIED.PENARANDA:</t>
        </r>
        <r>
          <rPr>
            <sz val="9"/>
            <color indexed="81"/>
            <rFont val="Tahoma"/>
            <family val="2"/>
          </rPr>
          <t xml:space="preserve">
Vigencia a reportar</t>
        </r>
      </text>
    </comment>
    <comment ref="B416"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6"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6"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6"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<sst xmlns="http://schemas.openxmlformats.org/spreadsheetml/2006/main" count="3435" uniqueCount="453">
  <si>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</si>
  <si>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</si>
  <si>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</si>
  <si>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</si>
  <si>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</si>
  <si>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</si>
  <si>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</si>
  <si>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</si>
  <si>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</si>
  <si>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</si>
  <si>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</si>
  <si>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</si>
  <si>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</si>
  <si>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</si>
  <si>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</si>
  <si>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</si>
  <si>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</si>
  <si>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</si>
  <si>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</si>
  <si>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</si>
  <si>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</si>
  <si>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</si>
  <si>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</si>
  <si>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</si>
  <si>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</si>
  <si>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</si>
  <si>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</si>
  <si>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</si>
  <si>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</si>
  <si>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</si>
  <si>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</si>
  <si>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</si>
  <si>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</si>
  <si>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</si>
  <si>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</si>
  <si>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</si>
  <si>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</si>
  <si>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</si>
  <si>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</si>
  <si>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</si>
  <si>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</si>
  <si>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</si>
  <si>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</si>
  <si>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</si>
  <si>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</si>
  <si>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</si>
  <si>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</si>
  <si>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</si>
  <si>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</si>
  <si>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</si>
  <si>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</si>
  <si>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</si>
  <si>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</si>
  <si>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</si>
  <si>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</si>
  <si>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</si>
  <si>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PROGRAMADO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</si>
  <si>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</si>
  <si>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</si>
  <si>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</si>
  <si>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</si>
  <si>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</si>
  <si>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</si>
  <si>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</si>
  <si>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</si>
  <si>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</si>
  <si>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</si>
  <si>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</si>
  <si>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</si>
  <si>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</si>
  <si>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</si>
  <si>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</si>
  <si>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</si>
  <si>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</si>
  <si>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</si>
  <si>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</si>
  <si>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</si>
  <si>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</si>
  <si>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</si>
  <si>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</si>
  <si>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</si>
  <si>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</si>
  <si>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</si>
  <si>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</si>
  <si>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</si>
  <si>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</si>
  <si>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</si>
  <si>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</si>
  <si>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</si>
  <si>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</si>
  <si>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</si>
  <si>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</si>
  <si>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</si>
  <si>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</si>
  <si>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</si>
  <si>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</si>
  <si>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</si>
  <si>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</si>
  <si>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</si>
  <si>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</si>
  <si>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</si>
  <si>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</si>
  <si>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</si>
  <si>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</si>
  <si>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</si>
  <si>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</si>
  <si>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</si>
  <si>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</si>
  <si>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</si>
  <si>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</si>
  <si>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</si>
  <si>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</si>
  <si>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</si>
  <si>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</si>
  <si>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</si>
  <si>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</si>
  <si>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</si>
  <si>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</si>
  <si>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</si>
  <si>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</si>
  <si>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</si>
  <si>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</si>
  <si>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</si>
  <si>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</si>
  <si>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</si>
  <si>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</si>
  <si>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</si>
  <si>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</si>
  <si>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</si>
  <si>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</si>
  <si>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</si>
  <si>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</si>
  <si>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</si>
  <si>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</si>
  <si>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</si>
  <si>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</si>
  <si>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</si>
  <si>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</si>
  <si>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</si>
  <si>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</si>
  <si>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</si>
  <si>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</si>
  <si>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</si>
  <si>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</si>
  <si>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</si>
  <si>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</si>
  <si>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</si>
  <si>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t>X</t>
  </si>
  <si>
    <t>Programado</t>
  </si>
  <si>
    <t>Ejecutado</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</si>
  <si>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</si>
  <si>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</si>
  <si>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Se agregan  en el componente de gestión y de inversión nuevas columnas para establecer más patrones de medición</t>
  </si>
  <si>
    <t>Versión: 14</t>
  </si>
  <si>
    <t>3,EJECUTADO</t>
  </si>
  <si>
    <t>1,1 COD. META</t>
  </si>
  <si>
    <t>1,2, Meta Proyecto</t>
  </si>
  <si>
    <t>4.2 UPZ(S)</t>
  </si>
  <si>
    <t>6.2 NÚMERO DE HOMBRES</t>
  </si>
  <si>
    <t>6.3 NÚMERO DE MUJERES</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</si>
  <si>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</si>
  <si>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</si>
  <si>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</si>
  <si>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</si>
  <si>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</si>
  <si>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</si>
  <si>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</si>
  <si>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</si>
  <si>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</si>
  <si>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</si>
  <si>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</si>
  <si>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</si>
  <si>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</si>
  <si>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</si>
  <si>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</si>
  <si>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</si>
  <si>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</si>
  <si>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</si>
  <si>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</si>
  <si>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</si>
  <si>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</si>
  <si>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</si>
  <si>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19 LOCALIDADES</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</si>
  <si>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</si>
  <si>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</si>
  <si>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</si>
  <si>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</si>
  <si>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</si>
  <si>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</si>
  <si>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</si>
  <si>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</si>
  <si>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</si>
  <si>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</si>
  <si>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</si>
  <si>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</si>
  <si>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</si>
  <si>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</si>
  <si>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</si>
  <si>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</si>
  <si>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</si>
  <si>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</si>
  <si>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</si>
  <si>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</si>
  <si>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</si>
  <si>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</si>
  <si>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</si>
  <si>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</si>
  <si>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</si>
  <si>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</si>
  <si>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</si>
  <si>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</si>
  <si>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</si>
  <si>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</si>
  <si>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</si>
  <si>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</si>
  <si>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</si>
  <si>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</si>
  <si>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</si>
  <si>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</si>
  <si>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</si>
  <si>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</si>
  <si>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</si>
  <si>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</si>
  <si>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</si>
  <si>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</si>
  <si>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</si>
  <si>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</si>
  <si>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</si>
  <si>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</si>
  <si>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</si>
  <si>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</si>
  <si>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</si>
  <si>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</si>
  <si>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</si>
  <si>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</si>
  <si>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</si>
  <si>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</si>
  <si>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</si>
  <si>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</si>
  <si>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</si>
  <si>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</si>
  <si>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</si>
  <si>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</si>
  <si>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</si>
  <si>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</si>
  <si>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</si>
  <si>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</si>
  <si>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</si>
  <si>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</si>
  <si>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</si>
  <si>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</si>
  <si>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</si>
  <si>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</si>
  <si>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</si>
  <si>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</si>
  <si>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</si>
  <si>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</si>
  <si>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</si>
  <si>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</si>
  <si>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</si>
  <si>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</si>
  <si>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</si>
  <si>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</si>
  <si>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</si>
  <si>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</si>
  <si>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</si>
  <si>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</si>
  <si>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</si>
  <si>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</si>
  <si>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</si>
  <si>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</si>
  <si>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</si>
  <si>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</si>
  <si>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</si>
  <si>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</si>
  <si>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</si>
  <si>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</si>
  <si>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</si>
  <si>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</si>
  <si>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</si>
  <si>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</si>
  <si>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</si>
  <si>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</si>
  <si>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</si>
  <si>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</si>
  <si>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</si>
  <si>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</si>
  <si>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</si>
  <si>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</si>
  <si>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</si>
  <si>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</si>
  <si>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</si>
  <si>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</si>
  <si>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</si>
  <si>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</si>
  <si>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</si>
  <si>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</si>
  <si>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</si>
  <si>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</si>
  <si>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</si>
  <si>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</si>
  <si>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</si>
  <si>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</si>
  <si>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</si>
  <si>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</si>
  <si>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</si>
  <si>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</si>
  <si>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META 1</t>
  </si>
  <si>
    <t>ACTIVIDAD</t>
  </si>
  <si>
    <t>TOTAL</t>
  </si>
  <si>
    <t>PROGRAMADO AL PERIODO</t>
  </si>
  <si>
    <t>EJECUTADO ACUMULADO</t>
  </si>
  <si>
    <t>PROGRAMADO</t>
  </si>
  <si>
    <t>EJECUTADO</t>
  </si>
  <si>
    <t>1. ACTUACIONES TÉCNICAS SOBRE EL ARBOLADO</t>
  </si>
  <si>
    <t>2. ACTUACIONES DE PREVENCIÓN</t>
  </si>
  <si>
    <t>3. ACTOS ADMINISTRATIVOS</t>
  </si>
  <si>
    <t>META 3</t>
  </si>
  <si>
    <t>4. ACTUACIONES DE EVALUACIÓN, CONTROL Y SEGUIMIENTO</t>
  </si>
  <si>
    <t>5. JORNADAS PEDAGÓGICAS</t>
  </si>
  <si>
    <t>1. EJECUTAR ACTUACIONES TÉCNICAS DE EVALUACIÓN, CONTROL Y SEGUIMIENTO SOBRE EL RECURSO ARBÓREO DE LA CIUDAD.</t>
  </si>
  <si>
    <t>2.  REALIZAR JORNADAS DE CONCIENTIZACIÓN Y SENSIBILIZACIÓN TENDIENTES A POTENCIALIZAR LA APROPIACIÓN DEL ARBOLADO URBANO POR PARTE DE LA COMUNIDAD.</t>
  </si>
  <si>
    <t xml:space="preserve">3.  ELABORAR ACTOS ADMINISTRATIVOS DE ORDEN PERMISIVO Y RESIDUAL PARA LA PROTECCIÓN Y CONSERVACIÓN DEL RECURSO ARBÓREO DE LA CIUDAD. </t>
  </si>
  <si>
    <t xml:space="preserve">MPD </t>
  </si>
  <si>
    <t>237. ACTUACIONES ARBOLADO</t>
  </si>
  <si>
    <t>3 Y 4</t>
  </si>
  <si>
    <t>239. ACTUACIONES FLORA</t>
  </si>
  <si>
    <t>MPD</t>
  </si>
  <si>
    <t>FLORA</t>
  </si>
  <si>
    <t>2. REALIZAR 4 INVESTIGACIONES SOBRE ARBOLADO URBANO</t>
  </si>
  <si>
    <t>4. DESARROLLAR INVESTIGACIONES QUE CONTRIBUYAN A MEJORAR LA GESTIÓN Y/O TOMA DE DECISIONES SOBRE LA PLANIFICACIÓN Y/O EL MANEJO DEL ARBOLADO URBANO.</t>
  </si>
  <si>
    <t>5. REALIZAR EVALUACIÓN, CONTROL Y SEGUIMIENTO A LA MOVILIZACIÓN, TENENCIA, USO O COMERCIALIZACIÓN DEL RECURSO FLORA.</t>
  </si>
  <si>
    <t xml:space="preserve">6. REALIZAR JORNADAS PEDAGÓGICAS TENDIENTES A POTENCIALIZAR LA APROPIACIÓN DEL RECURSO FLORA Y PREVENIR SU TRÁFICO ILEGAL.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</si>
  <si>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</si>
  <si>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</si>
  <si>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</si>
  <si>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</si>
  <si>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r>
      <t xml:space="preserve">DISTRITAL
Total MPI No. 2 
</t>
    </r>
    <r>
      <rPr>
        <sz val="9"/>
        <color rgb="FF000000"/>
        <rFont val="Arial"/>
        <family val="2"/>
      </rPr>
      <t>Desarrollo de investigaciones que contribuyan a mejorar la gestión y/o toma de decisiones sobre la planificación y/o el manejo del arbolado urbano.</t>
    </r>
    <r>
      <rPr>
        <b/>
        <sz val="9"/>
        <color rgb="FF000000"/>
        <rFont val="Arial"/>
        <family val="2"/>
      </rPr>
      <t xml:space="preserve">
</t>
    </r>
  </si>
  <si>
    <t>Tomando como referencia que 25, equivale al 100% de las actividades programadas y cumplidas en el Plan de Acción, el avance registrado corresponde al promedio del cumplimiento acumulado de las 4 actividades previstas para la vigencia.</t>
  </si>
  <si>
    <t>Inversión - Adquisición de Bienes y Servicios: Realizar investigaciones sobre arbolado urbano.</t>
  </si>
  <si>
    <t>SILVICULTURA</t>
  </si>
  <si>
    <t>DCA</t>
  </si>
  <si>
    <t xml:space="preserve">TOTAL </t>
  </si>
  <si>
    <t>EJECUTADO ACUMUALDO AL PERIODO
 AÑO 2023</t>
  </si>
  <si>
    <t>EJECUTADO ACUMUALDO  SEGPLAN
 AÑO 2023</t>
  </si>
  <si>
    <t>EJECUTADO ACUMUALDO AL PERIODO
 AÑO 2020</t>
  </si>
  <si>
    <t>EJECUTADO ACUMUALDO  SEGPLAN
 AÑO 2020</t>
  </si>
  <si>
    <t>EJECUTADO ACUMUALDO AL PERIODO
 AÑO 2021</t>
  </si>
  <si>
    <t>EJECUTADO ACUMUALDO  SEGPLAN
 AÑO 2021</t>
  </si>
  <si>
    <t>EJECUTADO ACUMUALDO AL PERIODO
 AÑO 2022</t>
  </si>
  <si>
    <t>EJECUTADO ACUMUALDO  SEGPLAN
 AÑO 2022</t>
  </si>
  <si>
    <t>EJECUTADO ACUMUALDO AL PERIODO
 AÑO 2024</t>
  </si>
  <si>
    <t>EJECUTADO ACUMUALDO  SEGPLAN
 AÑO 2024</t>
  </si>
  <si>
    <r>
      <t>PROGRAMADO</t>
    </r>
    <r>
      <rPr>
        <b/>
        <sz val="12"/>
        <rFont val="Arial"/>
        <family val="2"/>
      </rPr>
      <t xml:space="preserve"> ABR.</t>
    </r>
  </si>
  <si>
    <t>5, PONDERACIÓN HORIZONTAL AÑO: 2024</t>
  </si>
  <si>
    <t>Se suministran bases de datos.</t>
  </si>
  <si>
    <t>DISTRITAL
Corresponde a:
1. Comunicaciones y PQRS.
2. Capacitaciones y/o sensibilizacioones virtuales.
3. Conceptos e Informes Técnicos que inciden sobre varias localidades.</t>
  </si>
  <si>
    <t>Tomando como referencia que 12,5, equivale al 100% de las actividades programadas y cumplidas en el Plan de Acción, el avance registrado corresponde al promedio del cumplimiento acumulado de las 4 actividades previstas para la vigencia.</t>
  </si>
  <si>
    <t>Tomando como referencia que 12,5 equivale al 100% de las actividades programadas y cumplidas en el Plan de Acción, el avance registrado corresponde al promedio del cumplimiento acumulado de las 4 actividades previstas para la vigencia.</t>
  </si>
  <si>
    <r>
      <t>Versión:</t>
    </r>
    <r>
      <rPr>
        <b/>
        <sz val="12"/>
        <color rgb="FFFF0000"/>
        <rFont val="Arial"/>
        <family val="2"/>
      </rPr>
      <t xml:space="preserve"> </t>
    </r>
    <r>
      <rPr>
        <b/>
        <sz val="12"/>
        <rFont val="Arial"/>
        <family val="2"/>
      </rPr>
      <t>14</t>
    </r>
  </si>
  <si>
    <t>Documentos firmados y numerados registrados en los reportes del sistema de correspondencia de la entidad - FOREST -</t>
  </si>
  <si>
    <t>Desde el grupo de flora, se justifica que no fue posible cumplir con la meta propuesta para el mes de marzo, ya que para dicho mes el grupo contaba solamente con el 36 % de profesionales con contratación activa, por lo tanto, teniendo en cuenta las contrataciones para los próximos meses se proyecta el cumplimiento de la meta propuesta por planeación.</t>
  </si>
  <si>
    <t xml:space="preserve">Actas registradas bajo procedimiento de la SDA.
Reportes del sistema de correspondencia de la entidad - FOREST -
Archivos de la Dirección de Control Ambiental </t>
  </si>
  <si>
    <t>Árticulos, Bases de Datos, Presentación.</t>
  </si>
  <si>
    <t>Actas registradas bajo procedimiento de la SDA, comunicaciones externas, reportes del sistema de correspondencia de la entidad - FOREST -</t>
  </si>
  <si>
    <t xml:space="preserve">Sistema de información ambiental FOREST 
Archivos de la Dirección de Control Ambiental </t>
  </si>
  <si>
    <t>DJRECCJONAMJENTO ESTRATÉGJCO</t>
  </si>
  <si>
    <t>Formato: ProgramacJón, ActualJzacJón y SeguJmJento del Plan de AccJón - Componente de  TerrJtorJalJzacJón</t>
  </si>
  <si>
    <t>CodJgo:PE01-PR02-F2</t>
  </si>
  <si>
    <t>VersJón: 14</t>
  </si>
  <si>
    <t>DEPENDENCJA:</t>
  </si>
  <si>
    <t>SUBDJRECCJÓN DE SJLVJCULTURA, FLORA Y FAUNA SJLVESTRE</t>
  </si>
  <si>
    <t>CÓDJGO Y NOMBRE PROYECTO:</t>
  </si>
  <si>
    <t>7710:  CONTROL A LOS FACTORES DE DETERJORO DEL ARBOLADO URBANO Y LA FLORA EN BOGOTÁ.</t>
  </si>
  <si>
    <t>PERJODO:</t>
  </si>
  <si>
    <t>1 JNFORMACJÓN META DE PROYECTO</t>
  </si>
  <si>
    <t>4, LOCALJZACJÓN GEOGRÁFJCA</t>
  </si>
  <si>
    <t>5, ORJENTACJÓN</t>
  </si>
  <si>
    <t>6. POBLACJÓN</t>
  </si>
  <si>
    <t>7, LECCJONES APRENDJDAS - OBSERVACJONES</t>
  </si>
  <si>
    <t>1,3. JdentJfJcacJón del punto de JnvesJón</t>
  </si>
  <si>
    <t>1,4, VarJable</t>
  </si>
  <si>
    <t>1.6.REPROGRAMACJÓN VJGENCJA</t>
  </si>
  <si>
    <t>DJc</t>
  </si>
  <si>
    <t>ObservacJones</t>
  </si>
  <si>
    <t>ObservacJones y/o descrJpcJon de accJones en el punto de JnversJón</t>
  </si>
  <si>
    <t>4,1 LOCALJDAD(ES)</t>
  </si>
  <si>
    <t>4,3 BARRJO(S)</t>
  </si>
  <si>
    <t>4,4 GEORREFERENCJACJÓN</t>
  </si>
  <si>
    <t>4,5 ÁREA DE JNFLUENCJA E JNCJDENCJA</t>
  </si>
  <si>
    <t>5,1 POLÍGONO DE MEJORAMJENTO JNTEGRAL</t>
  </si>
  <si>
    <t>5,2 POLÍTJCA</t>
  </si>
  <si>
    <t>6.1 POBLACJÓN RELACJONADA A LA LOCALJZACJÓN</t>
  </si>
  <si>
    <t xml:space="preserve">6.4 NÚMERO JNTERSEXUAL </t>
  </si>
  <si>
    <t>6.5  GRUPO ETARJO</t>
  </si>
  <si>
    <t>6.6  NÚMERO PERSONAS POR GRUPO ETARJO</t>
  </si>
  <si>
    <t>6.7  CONDJCJON POBLACJONAL</t>
  </si>
  <si>
    <t>6.8 NUMERO PERSONAS POR CONDJCJÓN POBLACJONAL</t>
  </si>
  <si>
    <t>6.9  GRUPOS ETNJCOS</t>
  </si>
  <si>
    <t>6.10 NÚMERO DE PERSONAS POR GRUPOS ETNJCOS</t>
  </si>
  <si>
    <t>6.11  SEGUJMJENTO A LA POBLACJÓN
PERSONAS/CANTJDAD</t>
  </si>
  <si>
    <t>EJECUTAR 115.000 ACTUACJONES TÉCNJCAS O JURÍDJCAS DE EVALUACJÓN, CONTROL, SEGUJMJENTO Y PREVENCJÓN SOBRE EL ARBOLADO URBANO DE BOGOTÁ D.C.</t>
  </si>
  <si>
    <t>MAGNJTUD  FÍSJCA</t>
  </si>
  <si>
    <t>Se sumJnJstran bases de datos.</t>
  </si>
  <si>
    <t>1. POLÍTJCA NACJONAL PARA LA GESTJÓN JNTEGRAL DE LA BJODJVERSJDAD Y SUS SERVJCJOS ECOSJSTÉMJCOS.
2.POLÍTJCA PARA LA GESTJÓN DE LA CONSERVACJÓN DE LA BJODJVERSJDAD EN EL DJSTRJTO CAPJTAL.</t>
  </si>
  <si>
    <t>COMUNJDAD EN GENERAL</t>
  </si>
  <si>
    <t>PRESUPUESTO VJGENCJA</t>
  </si>
  <si>
    <t>MAGNJTUD FÍSJCA RESERVAS</t>
  </si>
  <si>
    <t>TOTAL MAGNJTUD FÍSJCA</t>
  </si>
  <si>
    <t>2-CHAPJNERO</t>
  </si>
  <si>
    <t>4-SAN CRJSTOBAL</t>
  </si>
  <si>
    <t>6-TUNJUELJTO</t>
  </si>
  <si>
    <t>9-FONTJBON</t>
  </si>
  <si>
    <t>10-ENGATJVA</t>
  </si>
  <si>
    <t>12-BARRJOS UNJDOS</t>
  </si>
  <si>
    <t>13-TEUSAQUJLLO</t>
  </si>
  <si>
    <t>14-LOS MARTJRES</t>
  </si>
  <si>
    <t>15-ANTONJO NARJÑO</t>
  </si>
  <si>
    <t>17-CANDELARJA</t>
  </si>
  <si>
    <t>18-RAFAEL URJBE URJBE</t>
  </si>
  <si>
    <t>19-CJUDAD BOLJVAR</t>
  </si>
  <si>
    <t>DJSTRJTAL</t>
  </si>
  <si>
    <t>DJSTRJTAL
Corresponde a:
1. ComunJcacJones y PQRS.
2. CapacJtacJones y/o sensJbJlJzacJoones vJrtuales.
3. Conceptos e Jnformes TécnJcos que JncJden sobre varJas localJdades.</t>
  </si>
  <si>
    <t>19 LOCALJDADES</t>
  </si>
  <si>
    <t>Total MPJ No. 1 
ActuacJones técnJcas o jurídJcas adelantadas por la autorJdad ambJental en cumplJmJento con lo establecJdo en el marco normatJvo que regula el recurso forestal de la cJudad, con el fJn de contrJbuJr con una mejor gestJón del arbolado urbano y prevenJr el deterJoro del recurso.</t>
  </si>
  <si>
    <t xml:space="preserve">En el periodo del 1 de enero al 24 de mayo de 2024 se adelantaron los registros del Libro de Operaciones Forestales de veinticinco (25) nuevas industrias, las cuales se encuentran cumpliendo con la normatividad ambiental vigente hasta la fecha. Por otro lado, se atendieron cuarenta y nueve (58) peticiones, quejas y reclamos (PQR) de los ciudadanos en los tiempos establecidos para tal fin.
Mediante la práctica de visitas de vigilancia, control y seguimiento al registro de las industrias forestales que adelantan sus actividades comerciales y/o productivas en la ciudad, se lograron inventariar 15.907 m3 de madera en primer grado de transformación (bloque, tabla, planchones, rolliza),23,01 m3  de Guadua, 1250 unidades de follaje, ciento treinta seis (136) plantas reproducidas en vivero con algún grado de vulnerabilidad CITES, 500 frutos objeto de comercialización y 28080 kg de semillas.
En cuanto a las actividades de verificación de exportación de individuos de la flora silvestre solicitadas por los usuarios, se evaluaron 843 muestras de herbario, 2119 muestras de ADN, 6 unidades de follaje, 108 muestras de suelo y 608.725 plantas vivas de diferentes especies (Tillandsia sp., Vriesea sp., Aechmea sp., Neoregelia sp., Guzmania sp., Quesnelia sp., Racinaea sp.). En cuanto a las verificaciones de importación, se validaron en total 507.760 plantas de diferentes especies tales cómo Guzmania sp., Tillandsia sp., Vriesea sp., Anthurium andraeanum, Phalaenopsis sp., Pachira aquatica Aubl., entre otras.
En cuanto a las solicitudes de expedición de Salvoconductos Únicos Nacionales (SUNL), fue viable la expedición de seis (6) para la movilización de 40,62 m3 de madera de la especie Tabebuia rosea (Bertol.) DC., Pinus radiata D.Don, Eucalyptus globulus Labill y Dialyanthera gracilipes (12,89 m3, 4,18 m3, 5,19 m3 y 18,36 m3 respectivamente); por otro lado, se negaron otras seis (6) solicitudes, al adjuntar recibos presentados en solicitudes anteriores y al no presentar el formulario de solicitud firmado.
Dentro de las actividades desarrolladas en el marco del Plan de Protección de Palmas Silvestres 2024, se realizaron 41 actividades de prevención (que incluyen todas aquellas a actividades pedagógicas, recorridos y reuniones), de divulgación (1 actuación) y de control (34 actuaciones) en diferentes zonas de la ciudad con acompañamiento de la seccional de Carabineros y Protección Ambiental (SECAR) y el grupo Policía Ambiental y Recursos Naturales (GUMBIM) de la Policía Nacional de Colombia. En total dentro del Plan de protección a la Palma, se recuperaron 5,84 bultos de Attalea butyracea, equivalentes a 292,4 Kilogramos, y se incautaron 40,60 Kg los cuales fueron dispuestos en el Parque Entrenubes para su compostaje
Por otro lado, en el marco del Plan de Protección de Laurel de Cera se realizaron 47 actividades de prevención (que incluyen todas aquellas a actividades pedagógicas, recorridos y reuniones), de divulgación (1 actuación) y de control (29 actuaciones). Durante las actividades enmarcadas en el Plan de Protección de Laurel de Cera, se lograron recuperar e incautar dos (2) kg de Palo Santo (Bursera graveolens Triana &amp; Planch.) equivalentes a 0,1 bultos y 73 plantas vivas orquídeas extraídas del medio natural pertenecientes a la familia Orchidiaceae, de las cuales el usuario no demostró la adquisición legal de las mismas. Durante los operativos realizados en compañía de la seccional de Carabineros y Protección Ambiental (SECAR) y el grupo Policía Ambiental y Recursos Naturales (GUMBIM) de la Policía Nacional de Colombia, donde se lograron recuperar 316 Kg de Laurel de cera (Morella Sp) y se incautaron 118,7 Kg de Laurel de cera equivalentes a 8,7 bultos en total. 
</t>
  </si>
  <si>
    <t xml:space="preserve">Durnate el mes de mayo se realizo una campaña de socilización y prevención de arboles en riesgo </t>
  </si>
  <si>
    <t xml:space="preserve">En el marco del proceso de evaluación, control y seguimiento al arbolado urbano, la Secretaría Distrital de Ambiente a través de la Subdirección de Silvicultura, Flora y Fauna Silvestre, durante la vigencia 2024 sustanció y emitió 8.336 Actos Administrativos </t>
  </si>
  <si>
    <t>A continuación se describen las actividades relacionadas con la investigación que se adelanta para identificación y georreferenciación de las áreas de influencia de los CT de infraestructura de las vigencias 2021, 2022 y 2023
INVESTIGACION 3:
► Se solicitaron los datos consolidados de las novedades reportadas al JBB y UAESP.
► Se realizó la revisión de la información de investigaciones de novedades reportadas para los años 2020, 2021, 2022, 2023 y 2024 (hasta marzo). 
► Se consolidó la información de las novedades de los operadores ASE1, ASE2, ASE3, ASE4 y ASE5 para los cinco años anteriormente mencionados.
► Se estandarizaron los datos de las novedades reportadas para las doce (12) variables con información reportada por los cinco (5) operadores de aseo.
► Se desarrolló el análisis exploratorio de los datos de las novedades reportadas para las variables (Año, Operador, Localidad, Emplazamiento, Especie, Situación).  
► Se realizó la reestructuración preliminar del documento en los capítulos 3. Objetivos, 4. Marco de referencia, 6. Resultados y análisis de resultados. 
INVESTIGACIÓN 4:
► Se consolidó un total de 900 conceptos técnicos para los años mencionados de los cuales 402 (45%) corresponden a tratamientos silviculturales autorizados en espacio privado y 498 (55%) corresponden a tratamientos silviculturales autorizados en espacio  público.
► Se está dando prioridad a las áreas de influencia del megaproyecto Metro de Bogotá por lo que se ha georreferenciado a la fecha 43 conceptos técnicos de infraestructura relacionados con este megaproyecto (2 del año 2022 y 41 del año 2023)
► En total se han georreferenciado 270 polígonos de la misma cantidad de conceptos técnicos de los cuales 211 corresponden a espacio privado (8 del 2021 y 116 del 2022 y 87 del 2023) y 61 a espacio publico (5 del 2021, 10 del 2022 y 46 del 2023).
►Se registra avance total a corte de mayo 2024 del 30%.</t>
  </si>
  <si>
    <t>Con el objeto de ejercer evaluación, control y seguimiento a la movilización, tenencia, uso o comercialización del recurso flora, y prevenir su tráfico ilegal, en lo transcurrido del 2024, la SDA ejecutó 1.895 actuaciones técnicas y jurídicas sobre el recurso flora, con un avance del 96,35% de ejecución en el cuatrienio que corresponden a: 
► Visitas de evaluación y seguimiento a empresas forestales: 349
► Visitas de verificación de especímenes de la flora silvestre, exportados o importados con permiso CITES y NO CITES: 99
► Visitas para expedición de salvoconductos: 4
► Expedición de salvoconductos: 7
► Visitas de inventarios de control y seguimiento a empresas forestales: 154
► Visitas de control para registro del libro de operaciones: 38
► Nuevos registros del libro de operaciones: 23
► Certificaciones de exportación e importación a empresas forestales: 14
► Certificaciones de registro y cumplimiento de empresas forestales: 39
► Oficios de negación de certificación: 20
► Reportes de movimientos del libro de operaciones verificados e ingresados al sistema FOREST: 692
► Operativos de control especies de flora silvestre: 44
► Operativos de control maderables: 3
► Estrategias de divulgación:2
► Recorridos de prevención:32
► Recorridos de contro:2
► Actividades de estrategias de prevención :60
► Incautaciones:2
► Documentos proyectados: 300</t>
  </si>
  <si>
    <t xml:space="preserve">Durante el mes de MAYO de 2024, no se relaizaron jornadas de sensibilización </t>
  </si>
  <si>
    <t>La ejecución de las 8.285 actuaciones técnicas y jurídicas sobre el recurso arbóreo de la ciudad, dieron lugar a:
1. Definir las intervenciones más adecuadas a autorizar sobre la estructura física y sistémica de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</si>
  <si>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t>Con el objeto de contribuir con una mejor gestión sobre el arbolado urbano y prevenir el deterioro del recurso, la Secretaría Distrital de Ambiente - SDA en la vigencia 2024 ejecutó 8.285 actuaciones técnicas y jurídicas de evaluación, control y seguimiento sobre el recurso arbóreo de la ciudad, cuya distribución se relaciona a continuación:
► Conceptos técnicos de manejo silvicultural: 787
► Conceptos técnicos de atención de emergencias silviculturales: 1453
► Conceptos técnicos de infraestructura: 71
► Conceptos técnicos de atención de seguimiento: 600
►Informe técnico de seguimiento: 25
►Concepto técnico de seguimiento a plantaciones15
►Informe técnico de seguimiento a plantaciones: 31
►requerimientos: 678
► Conceptos técnicos para la autorización de actividades silviculturales para la realización, remodelación o ampliación de obras públicas o privadas de infraestructura, construcciones, instalaciones y similares: 71
► Expedición o negación de salvoconductos: 16
► Actas de Visitas Técnicas de Evaluación y Seguimiento: 4051
► Jornadas de sensibilización: 4
► Actos administrativos: 248
NUMERO DE ARBOLES EVALUADOS: 11.209
NUMERO DE ARBOLES SEGUIMIENTO CTS:12.108
NUMERO DE ARBOLES SEGUIMIENTO ITS: 919
NUMERO DE ARBOLES SEGUIMIENTO CTP: 122
NUMERO DE ARBOLES SEGUIMIENTO ITP: 630
NOTA: El Fondo Distrital de Gestión de Riesgos y Cambio Climático – FONDIGER, aportó al cumplimiento de la meta a través de la asignación de recursos, mediante los mecanismos de: Plan de Acción Especifico – PAE y Proyecto de Cofinanciación.</t>
  </si>
  <si>
    <t xml:space="preserve"> La postergación en el cumplimiento de la meta, es principalmente causado por la inactividad de la ejecución de este proyecto de los dos primeros años del cuatrienio y los tiempos para la contratación de los profesionales en esta segunda etapa de las investigaciones a desarrollar el 2024.  </t>
  </si>
  <si>
    <t>El desarrollo de la presente investigación beneficiará de manera directa e indirecta a toda la población de Bogotá D.C, ya que por medio de esta se espera identificar algunas especies que puedan ser más apropiadas para ser plantadas en la ciudad, donde generen un mayor efecto de mitigación de la isla de calor en la ciudad y, por lo tanto, poder brindar espacios de mejor calidad de vida a los habitantes de Bogotá.
Con el desarrollo de esta investigación la población de la ciudad de Bogotá D.C se verá beneficiada directa e indirectamente, ya que a través de esta se espera identificar las zonas duras donde se pueda hacer la reconversión a zonas verdes por medio de la plantación de arbolado, lo que a largo plazo traerá una mejor calidad del aire a la población en general.</t>
  </si>
  <si>
    <t xml:space="preserve">En el marco de las acciones de evaluación, control y seguimiento a los factores de deterioro ambiental como los son los silvicultura y Flora, la Secretaría Distrital de Ambiente durante el periodo comprendido entre el 01 enero al 31 de mayo del año 2024, atendió el 100% de los conceptos técnicos que recomiendan una actuación administrativa sancionatoria, distribuida así:
N° de Conceptos Técnicos que recomiendan actuaciones administrativas sancionatorias: 75
N° de Conceptos Técnicos acogidos jurídicamente mediante acto administrativo: 75
 </t>
  </si>
  <si>
    <t>Cuando la autoridad ambiental inicia procedimiento sancionatorio 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</si>
  <si>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conceptos técnicos que recomiendan actuaciones administrativas en el marco del trámite sancionatorio así:
Apertura: 155			
Inserción: 88			
Encarpetado de expedientes: 214			
Préstamo de expedientes: 533			
Organización: 230			
Hoja de control: 287			
Asociación de radicados- forest: 429			
Alistamiento trasferencias documentales DCA: 208			
Inserción, revisión, depuración, levantamiento base de datos expedientes permisivos DCA: 51	
Foliación: 128			
Control de Calidad: 39			
Inserciones expedientes sancionatorios: 161			
Recepción de Expedientes a protech: 258			
Digitalización de expedientes: 151			
Recepciones planillas de radicados (sancionatorios): 754			
Atención ventanilla: 104			
Acumulaciones: 208			
Perdida o extravió de documentos: 85</t>
  </si>
  <si>
    <t>Durante el periodo comprendido entre el 01 de enero al 31 de mayo del 2024, se notificaron 158 actuaciones administrativas derivadas de las acciones del tramite sancionatorio.</t>
  </si>
  <si>
    <t xml:space="preserve">Esta actividad se ejectura mediante acciones de informes técnicos de criterio para la tasación de multas los cuales deben surtir diferentes etapas como lo son proyeccion, revision, aprobacion y firma para que se de por cumplida la accion, frente a lo cual en este proyecto no se logro finalizar con dichas etapas y estas seran reportadas una vez surtan todos los procesos administrativos. </t>
  </si>
  <si>
    <t xml:space="preserve">MAYO </t>
  </si>
  <si>
    <t>En la búsqueda de tener un mayor avance previo a la finalización del plan de desarrollo se proyectó la contratación de dos (2) profesionales cuyo objeto es el desarrollo de una investigación cada uno; contratación que se dio inicio en los meses de marzo y abril del 2024, con unas proyecciones en tiempo de cuatro meses y medio y tres meses y medio, para termino de la presente investigación a cierre del mes de julio.</t>
  </si>
  <si>
    <t>Desde el grupo de flora, se justifica que no fue posible cumplir con la meta propuesta para el mes de marzo, ya que para dicho mes el grupo contaba solamente con el 36 % de profesionales con contratación activa, lo anterior en atención a lo dispuesto en el Decreto 062 de 2024.</t>
  </si>
  <si>
    <t xml:space="preserve">9. RETRASOS 
</t>
  </si>
  <si>
    <t>Con el objeto de contribuir con una mejor gestión sobre el arbolado urbano y prevenir el deterioro del recurso, la Secretaría Distrital de Ambiente - SDA avanzó en las actuaciones técnicas y jurídicas de evaluación, control y seguimiento sobre el recurso arbóreo de la ciudad, con un avance del 15% cumpliendo con el 100% de lo previsto en la MPDD 2020 al 2024, así: vigencia 2020 II semestre: 1,06%; vigencia 2021: 3,53%; vigencia 2022: 5,08%; vigencia 2023: 4,25%; vigencia 2024 a mayo: 1.08%, cuyas gestiones se describen a continuación:
Conceptos técnicos de manejo silvicultural del arbolado urbano: 7.234 acumulado al PDD 2020 al 2024.
Conceptos técnicos de atención de emergencias silviculturales: 11.804 acumulado al PDD 2020 al 2024.
Conceptos técnicos para la autorización de actividades silviculturales para la realización, remodelación o ampliación de obras públicas o privadas de infraestructura, construcciones, instalaciones y similares: 1.005 acumulado al PDD 2020 al 2024. 
Informes técnicos de evaluación:8.125 acumulado al PDD 2020 al 2024.
Salvoconductos expedidos o negados:640 acumulado al PDD 2020 al 2024.
Conceptos técnicos de seguimiento silvicultural: 6.149 acumulado al PDD 2020 al 2024.
Conceptos técnicos de seguimiento a la plantación y mantenimiento básico del arbolado urbano:5.448 acumulado al PDD 2020 al 2024.
Informes técnicos de seguimiento:556 acumulado al PDD 2020 al 2024.
Conceptos técnicos sancionatorios:1.419 acumulado al PDD 2020 al 2024.
Informe técnico sancionatorio:244 acumulado al PDD 2020 al 2024
Jornadas pedagógicas: 58 acumulado al PDD 2020 al 2024.
Autos:200 acumulado al PDD 2020 al 2024.
Resoluciones: 433 acumulado al PDD 2020 al 2024.
Requerimientos y oficios de respuesta a comunicaciones y PQRS:42.789 acumulado al PDD 2020 al 2024
Requerimientos y oficios de respuesta a comunicaciones y PQRS: 12.969 acumulado al PDD 2020 al 2024
Acta visitas técnicas de evaluación: 103.293 acumulado al PDD 2020 al 2024</t>
  </si>
  <si>
    <t>A continuación se describen las actividades relacionadas con la investigación que se adelanta para identificación y georreferenciación de las áreas de influencia de los CT de infraestructura de las vigencias 2021, 2022 y 2023
► A partir de la capa de árboles autorizados para tratamientos silviculturales en general 2010 a 2023 y la base de datos de conceptos técnicos total se realizó el consolidado de los conceptos técnicos de infraestructura generados en la Subdirección de Silvicultura, que por lo general soportan los actos administrativos (resoluciones) para los años 2021, 2022 y 2023.
►Producto de la consolidación se generó una base de datos de los CT de infraestructura con la mayoría de los atributos o campos de la capa de arboles, adicionando otros campos importantes como el volumen de madera movilizado (si aplica), el balance de zonas verdes y si hay o no endurecimiento de áreas verdes en esos conceptos técnicos, junto con el área aprobada por acta con el JBB.
► Se consolidó un total de 900 conceptos técnico para los años mencionados de los cuales 402 (45%) corresponden a tratamientos silviculturales autorizados en espacio privado y 498 (55%) corresponde a tratamientos silviculturales autorizados en espacio  público
► Se está dando prioridad a las áreas de influencia del megaproyecto Metro de Bogotá por lo que se ha revisado a la fecha 43 conceptos técnicos de infraestructura relacionados con este megaproyecto (todos del año 2023) de estos se ha georreferenciado  3 polígonos, de igual forma del año 2021 se han revisado 2 CT correspondientes al año 2021, uno en espacio público y otro en espacio privada
►Se registra avance real de 5%</t>
  </si>
  <si>
    <t>Con el objeto de ejercer evaluación, control y seguimiento a la movilización, tenencia, uso o comercialización del recurso flora, y prevenir su tráfico ilegal, la Secretaría Distrital de Ambiente - SDA avanzó en las actuaciones técnicas y jurídicas de evaluación, control y seguimiento sobre el recurso flora, con un avance acumulado al PDD del 14,79% que equivale a un cumplimiento del 98,60% con lo previsto en la MPDD 2020 al 2024 así:
Los avances por vigencia se distribuyen así: 2020 II: 1,69%; 2021: 2,50%; 2022: 5,33%; 2023: 4,46%; 2024: 0,81%, como se describen a continuación:
visitas de evaluación y seguimiento a empresas forestales:5804 acumulado al PDD 2020 al 2024
visitas de verificación de especímenes de la flora silvestre, CITES Y NO CITES: 963 acumulado al PDD 2020 al 2024
Visitas para expedición de salvoconductos: 31 acumulado al PDD 2020 al 2024
visitas de inventarios de control y seguimiento a empresa forestales:1868 acumulado al PDD 2020 al 2024
visitas de control para registro de libro de operaciones:455 acumulado al PDD 2020 al 2024
certificaciones de exportación e importación a empresas forestales:229 acumulado al PDD 2020 al 2024
certificaciones de registro y cumplimiento de empresas forestales:351 acumulado al PDD 2020 al 2024
oficios de negación de certificación:112 acumulado al PDD 2020 al 2024
rondas de control:1910 acumulado al PDD 2020 al 2024
rondas de prevención:218 acumulado al PDD 2020 al 2024
jornadas pedagógicas:558 acumulado al PDD 2020 al 2024
reporte del libro de movimientos de operaciones verificados e ingresados al sistema FOREST:7831 acumulado al PDD 2020 al 2024
operativos de control: 205 acumulado al PDD 2020 al 2024
recorridos de prevención:275 acumulado al PDD 2020 al 2024
incautaciones:25 acumulado al PDD 2020 al 2024
actos administrativos:1142 acumulado al PDD 2020 al 2024
recorridos de control: 37 acumulado al PDD 2020 al 2024
recepciones externas:12 acumulado al PDD 2020 al 2024
verificación de inspecciones:4 acumulado al PDD 2020 al 2024
conceptos técnicos y comunicaciones externas:2023 acumulado al PDD 2020 al 2024
nuevos registros libros de operaciones:111 acumulado al PDD 2020 al 2024
expedición de salvoconductos:7 acumulado al PDD 2020 al 2024
estrategias de divulgación:2 acumulado al PDD 2020 al 2024
actividades estratégicas de prevención:2 acumulado al PDD 2020 al 2024</t>
  </si>
  <si>
    <t>La ejecución de las 8.285 actuaciones técnicas y jurídicas sobre el recurso arbóreo de la ciudad, dieron lugar a:
1. Definir las intervenciones más adecuadas a autorizar sobre la estructura física y sistémica de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</si>
  <si>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t>En el periodo del 1 de enero al 30 de mayo de 2024 se adelantaron los registros del Libro de Operaciones Forestales de dieciocho (18) nuevas industrias, las cuales se encuentran cumpliendo con la normatividad ambiental vigente hasta la fecha. Por otro lado, se atendieron cuarenta y nueve (49) peticiones, quejas y reclamos (PQR) de los ciudadanos en los tiempos establecidos para tal fin.
Mediante la práctica de visitas de vigilancia, control y seguimiento al registro de las industrias forestales que adelantan sus actividades comerciales y/o productivas en la ciudad, se lograron inventariar 12.300 m3 de madera en primer grado de transformación (bloque, table, planchones, rolliza), 800 unidades de follaje, cuarenta (40) plantas reproducidas en vivero con algún grado de vulnerabilidad CITES, 500 frutos objeto de comercialización y 28080 kg de semillas.
En cuanto a las actividades de verificación de exportación de individuos de la flora silvestre solicitadas por los usuarios, se evaluaron 416 muestras de herbario, 1960 muestras de ADN, 6 unidades de follaje, 108 muestras de suelo y 534.253 plantas vivas de diferentes especies (Tillandsia sp., Vriesea sp., Aechmea sp., Neoregelia sp., Guzmania sp., Quesnelia sp., Racinaea sp.). En cuanto a las verificaciones de importación, se validaron en total 376.455 plantas de diferentes especies tales cómo Guzmania sp., Tillandsia sp., Vriesea sp., Anthurium andraeanum, Phalaenopsis sp., Pachira aquatica Aubl., entre otras.</t>
  </si>
  <si>
    <t>7, LOGROS CORTE A MAYO AÑO 2024</t>
  </si>
  <si>
    <t>CORTE MAYO DE 2024</t>
  </si>
  <si>
    <t>1, 5. PROGRAMACIÓN INICIAL AÑO 2024</t>
  </si>
  <si>
    <t xml:space="preserve">2, ACTUALJZACIÓN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</si>
</sst>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quot;$&quot;\ * #,##0_-;\-&quot;$&quot;\ * #,##0_-;_-&quot;$&quot;\ * &quot;-&quot;??_-;_-@_-"/>
    <numFmt numFmtId="175" formatCode="_-&quot;$&quot;\ * #,##0.0_-;\-&quot;$&quot;\ * #,##0.0_-;_-&quot;$&quot;\ * &quot;-&quot;?_-;_-@_-"/>
    <numFmt numFmtId="176" formatCode="0.000"/>
    <numFmt numFmtId="177" formatCode="_-&quot;$&quot;\ * #,##0.00_-;\-&quot;$&quot;\ * #,##0.00_-;_-&quot;$&quot;\ * &quot;-&quot;_-;_-@_-"/>
  </numFmts>
  <fonts count="8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name val="Arial"/>
      <family val="2"/>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4"/>
      <name val="Arial"/>
      <family val="2"/>
    </font>
    <font>
      <sz val="14"/>
      <color indexed="8"/>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0"/>
      <name val="Arial"/>
      <family val="2"/>
    </font>
    <font>
      <b/>
      <sz val="8"/>
      <name val="Arial"/>
      <family val="2"/>
    </font>
    <font>
      <sz val="8"/>
      <name val="Arial"/>
      <family val="2"/>
    </font>
    <font>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4"/>
      <color theme="0"/>
      <name val="Calibri"/>
      <family val="2"/>
      <scheme val="minor"/>
    </font>
    <font>
      <sz val="14"/>
      <color theme="1"/>
      <name val="Calibri"/>
      <family val="2"/>
      <scheme val="minor"/>
    </font>
    <font>
      <sz val="9"/>
      <color rgb="FF000000"/>
      <name val="Arial"/>
      <family val="2"/>
    </font>
    <font>
      <sz val="24"/>
      <color theme="1"/>
      <name val="Arial"/>
      <family val="2"/>
    </font>
    <font>
      <b/>
      <sz val="20"/>
      <color theme="1"/>
      <name val="Arial"/>
      <family val="2"/>
    </font>
    <font>
      <sz val="20"/>
      <color theme="1"/>
      <name val="Arial"/>
      <family val="2"/>
    </font>
    <font>
      <sz val="10.5"/>
      <color theme="1"/>
      <name val="Arial"/>
      <family val="2"/>
    </font>
    <font>
      <b/>
      <sz val="18"/>
      <color theme="1"/>
      <name val="Arial"/>
      <family val="2"/>
    </font>
    <font>
      <b/>
      <sz val="24"/>
      <name val="Arial"/>
      <family val="2"/>
    </font>
    <font>
      <sz val="12"/>
      <color theme="1"/>
      <name val="Arial"/>
      <family val="2"/>
    </font>
    <font>
      <sz val="12"/>
      <color theme="1"/>
      <name val="Arial Narrow"/>
      <family val="2"/>
    </font>
    <font>
      <sz val="10"/>
      <color theme="1"/>
      <name val="Arial"/>
      <family val="2"/>
    </font>
    <font>
      <sz val="11"/>
      <color rgb="FF000000"/>
      <name val="Calibri"/>
      <family val="2"/>
    </font>
    <font>
      <sz val="10"/>
      <color theme="0"/>
      <name val="Arial"/>
      <family val="2"/>
    </font>
    <font>
      <sz val="9"/>
      <color rgb="FFFF0000"/>
      <name val="Arial"/>
      <family val="2"/>
    </font>
    <font>
      <b/>
      <sz val="12"/>
      <color rgb="FFFF0000"/>
      <name val="Arial"/>
      <family val="2"/>
    </font>
    <font>
      <sz val="11"/>
      <color theme="0"/>
      <name val="Arial"/>
      <family val="2"/>
    </font>
    <font>
      <sz val="12"/>
      <color theme="0"/>
      <name val="Arial"/>
      <family val="2"/>
    </font>
    <font>
      <sz val="10"/>
      <name val="Calibri"/>
      <family val="2"/>
      <scheme val="minor"/>
    </font>
    <font>
      <sz val="12"/>
      <color rgb="FFFF0000"/>
      <name val="Arial"/>
      <family val="2"/>
    </font>
    <font>
      <sz val="11"/>
      <color rgb="FF00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A3FFFF"/>
        <bgColor indexed="64"/>
      </patternFill>
    </fill>
    <fill>
      <patternFill patternType="solid">
        <fgColor rgb="FF002060"/>
        <bgColor indexed="64"/>
      </patternFill>
    </fill>
    <fill>
      <patternFill patternType="solid">
        <fgColor rgb="FF76933C"/>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E5FFFF"/>
        <bgColor indexed="64"/>
      </patternFill>
    </fill>
    <fill>
      <patternFill patternType="solid">
        <fgColor theme="9" tint="-0.249977111117893"/>
        <bgColor indexed="64"/>
      </patternFill>
    </fill>
    <fill>
      <patternFill patternType="solid">
        <fgColor rgb="FF578537"/>
        <bgColor indexed="64"/>
      </patternFill>
    </fill>
    <fill>
      <patternFill patternType="solid">
        <fgColor theme="0"/>
        <bgColor rgb="FF3AEE3A"/>
      </patternFill>
    </fill>
    <fill>
      <patternFill patternType="solid">
        <fgColor theme="0" tint="-0.249977111117893"/>
        <bgColor indexed="64"/>
      </patternFill>
    </fill>
  </fills>
  <borders count="7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s>
  <cellStyleXfs count="163">
    <xf numFmtId="0" fontId="0" fillId="0" borderId="0"/>
    <xf numFmtId="165" fontId="12" fillId="0" borderId="0" applyFont="0" applyFill="0" applyBorder="0" applyAlignment="0" applyProtection="0"/>
    <xf numFmtId="42" fontId="1"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32" fillId="0" borderId="0"/>
    <xf numFmtId="0" fontId="32" fillId="0" borderId="0"/>
    <xf numFmtId="165" fontId="12" fillId="0" borderId="0" applyFont="0" applyFill="0" applyBorder="0" applyAlignment="0" applyProtection="0"/>
    <xf numFmtId="0" fontId="58"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7"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6"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13">
    <xf numFmtId="0" fontId="0" fillId="0" borderId="0" xfId="0"/>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wrapText="1"/>
    </xf>
    <xf numFmtId="0" fontId="10" fillId="0" borderId="0" xfId="0" applyFont="1"/>
    <xf numFmtId="0" fontId="11" fillId="3" borderId="24"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top"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vertical="center"/>
    </xf>
    <xf numFmtId="2" fontId="10" fillId="0" borderId="0" xfId="0" applyNumberFormat="1" applyFont="1" applyAlignment="1">
      <alignment horizontal="center" vertical="center"/>
    </xf>
    <xf numFmtId="167" fontId="14" fillId="0" borderId="0" xfId="0" applyNumberFormat="1" applyFont="1" applyAlignment="1">
      <alignment horizontal="center" vertical="center" wrapText="1"/>
    </xf>
    <xf numFmtId="10" fontId="14" fillId="0" borderId="0" xfId="3" applyNumberFormat="1" applyFont="1" applyFill="1" applyBorder="1" applyAlignment="1">
      <alignment horizontal="center" vertical="center" wrapText="1"/>
    </xf>
    <xf numFmtId="9" fontId="14" fillId="0" borderId="0" xfId="3" applyFont="1" applyFill="1" applyBorder="1" applyAlignment="1">
      <alignment horizontal="center" vertical="center" wrapText="1"/>
    </xf>
    <xf numFmtId="2" fontId="9"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3" fontId="0" fillId="0" borderId="0" xfId="0" applyNumberFormat="1"/>
    <xf numFmtId="0" fontId="0" fillId="0" borderId="22" xfId="0" applyBorder="1" applyAlignment="1">
      <alignment horizontal="center" vertical="center"/>
    </xf>
    <xf numFmtId="0" fontId="0" fillId="0" borderId="0" xfId="0" applyAlignment="1">
      <alignment horizontal="center" vertical="center"/>
    </xf>
    <xf numFmtId="0" fontId="39" fillId="0" borderId="0" xfId="0" applyFont="1"/>
    <xf numFmtId="0" fontId="48" fillId="11" borderId="0" xfId="0" applyFont="1" applyFill="1"/>
    <xf numFmtId="4" fontId="48" fillId="11" borderId="0" xfId="0" applyNumberFormat="1" applyFont="1" applyFill="1"/>
    <xf numFmtId="0" fontId="48" fillId="11" borderId="0" xfId="0" applyFont="1" applyFill="1" applyAlignment="1">
      <alignment horizontal="center"/>
    </xf>
    <xf numFmtId="0" fontId="49" fillId="11" borderId="0" xfId="0" applyFont="1" applyFill="1"/>
    <xf numFmtId="0" fontId="49" fillId="12" borderId="22" xfId="0" applyFont="1" applyFill="1" applyBorder="1" applyAlignment="1">
      <alignment horizontal="center" vertical="center"/>
    </xf>
    <xf numFmtId="171" fontId="0" fillId="0" borderId="0" xfId="0" applyNumberFormat="1"/>
    <xf numFmtId="0" fontId="24" fillId="0" borderId="0" xfId="0" applyFont="1"/>
    <xf numFmtId="164" fontId="0" fillId="0" borderId="22" xfId="3" applyNumberFormat="1" applyFont="1" applyBorder="1" applyAlignment="1">
      <alignment horizontal="center" vertical="center"/>
    </xf>
    <xf numFmtId="10" fontId="0" fillId="0" borderId="22" xfId="3" applyNumberFormat="1" applyFont="1" applyBorder="1" applyAlignment="1">
      <alignment horizontal="center" vertical="center"/>
    </xf>
    <xf numFmtId="10" fontId="0" fillId="0" borderId="22" xfId="3" applyNumberFormat="1" applyFont="1" applyFill="1" applyBorder="1" applyAlignment="1">
      <alignment horizontal="center" vertical="center"/>
    </xf>
    <xf numFmtId="10" fontId="10" fillId="0" borderId="0" xfId="11" applyNumberFormat="1" applyFont="1" applyAlignment="1">
      <alignment horizontal="center" vertical="center"/>
    </xf>
    <xf numFmtId="0" fontId="3" fillId="9" borderId="22" xfId="0" applyFont="1" applyFill="1" applyBorder="1" applyAlignment="1">
      <alignment horizontal="center" vertical="center" wrapText="1"/>
    </xf>
    <xf numFmtId="164" fontId="0" fillId="0" borderId="0" xfId="0" applyNumberFormat="1"/>
    <xf numFmtId="166" fontId="0" fillId="0" borderId="0" xfId="1" applyNumberFormat="1" applyFont="1"/>
    <xf numFmtId="0" fontId="60" fillId="16" borderId="0" xfId="0" applyFont="1" applyFill="1" applyAlignment="1">
      <alignment horizontal="center" vertical="center"/>
    </xf>
    <xf numFmtId="0" fontId="3" fillId="14" borderId="22" xfId="0" applyFont="1" applyFill="1" applyBorder="1" applyAlignment="1">
      <alignment horizontal="center" vertical="center"/>
    </xf>
    <xf numFmtId="0" fontId="61" fillId="0" borderId="0" xfId="0" applyFont="1"/>
    <xf numFmtId="0" fontId="62" fillId="9" borderId="22" xfId="0" applyFont="1" applyFill="1" applyBorder="1" applyAlignment="1">
      <alignment horizontal="center" vertical="center"/>
    </xf>
    <xf numFmtId="0" fontId="0" fillId="14" borderId="22" xfId="0" applyFill="1" applyBorder="1" applyAlignment="1">
      <alignment horizontal="center" vertical="center" wrapText="1"/>
    </xf>
    <xf numFmtId="171" fontId="0" fillId="0" borderId="22" xfId="7" applyNumberFormat="1" applyFont="1" applyBorder="1" applyAlignment="1">
      <alignment horizontal="center" vertical="center"/>
    </xf>
    <xf numFmtId="171" fontId="0" fillId="0" borderId="22" xfId="1" applyNumberFormat="1" applyFont="1" applyBorder="1" applyAlignment="1">
      <alignment horizontal="center" vertical="center"/>
    </xf>
    <xf numFmtId="10" fontId="3" fillId="0" borderId="49" xfId="3" applyNumberFormat="1" applyFont="1" applyFill="1" applyBorder="1" applyAlignment="1">
      <alignment horizontal="center" vertical="center"/>
    </xf>
    <xf numFmtId="9" fontId="0" fillId="0" borderId="0" xfId="3" applyFont="1"/>
    <xf numFmtId="10" fontId="0" fillId="0" borderId="0" xfId="3" applyNumberFormat="1" applyFont="1"/>
    <xf numFmtId="171" fontId="3" fillId="9" borderId="22" xfId="7" applyNumberFormat="1" applyFont="1" applyFill="1" applyBorder="1" applyAlignment="1">
      <alignment horizontal="center" vertical="center"/>
    </xf>
    <xf numFmtId="0" fontId="0" fillId="0" borderId="0" xfId="0" applyAlignment="1">
      <alignment vertical="center" wrapText="1"/>
    </xf>
    <xf numFmtId="9" fontId="0" fillId="0" borderId="0" xfId="0" applyNumberFormat="1"/>
    <xf numFmtId="0" fontId="63" fillId="9" borderId="22" xfId="0" applyFont="1" applyFill="1" applyBorder="1" applyAlignment="1">
      <alignment horizontal="center" vertical="center"/>
    </xf>
    <xf numFmtId="9" fontId="39" fillId="0" borderId="0" xfId="0" applyNumberFormat="1" applyFont="1"/>
    <xf numFmtId="10" fontId="39" fillId="0" borderId="0" xfId="3" applyNumberFormat="1" applyFont="1"/>
    <xf numFmtId="10" fontId="0" fillId="0" borderId="0" xfId="0" applyNumberFormat="1"/>
    <xf numFmtId="3" fontId="16" fillId="0" borderId="18" xfId="0" applyNumberFormat="1" applyFont="1" applyBorder="1" applyAlignment="1">
      <alignment horizontal="center" vertical="center" wrapText="1"/>
    </xf>
    <xf numFmtId="0" fontId="64" fillId="16" borderId="57" xfId="0" applyFont="1" applyFill="1" applyBorder="1" applyAlignment="1">
      <alignment horizontal="center" vertical="center"/>
    </xf>
    <xf numFmtId="3" fontId="16" fillId="0" borderId="22" xfId="4" applyNumberFormat="1" applyFont="1" applyFill="1" applyBorder="1" applyAlignment="1">
      <alignment horizontal="center" vertical="center" wrapText="1"/>
    </xf>
    <xf numFmtId="0" fontId="65" fillId="0" borderId="0" xfId="0" applyFont="1"/>
    <xf numFmtId="3" fontId="16" fillId="0" borderId="22" xfId="0" applyNumberFormat="1" applyFont="1" applyBorder="1" applyAlignment="1">
      <alignment horizontal="center" vertical="center" wrapText="1"/>
    </xf>
    <xf numFmtId="0" fontId="4" fillId="16" borderId="57" xfId="0" applyFont="1" applyFill="1" applyBorder="1" applyAlignment="1">
      <alignment horizontal="center" vertical="center"/>
    </xf>
    <xf numFmtId="171" fontId="1" fillId="0" borderId="22" xfId="7" applyNumberFormat="1" applyFont="1" applyBorder="1" applyAlignment="1">
      <alignment horizontal="center" vertical="center"/>
    </xf>
    <xf numFmtId="10" fontId="1" fillId="0" borderId="22" xfId="3" applyNumberFormat="1" applyFont="1" applyBorder="1" applyAlignment="1">
      <alignment horizontal="center" vertical="center"/>
    </xf>
    <xf numFmtId="171" fontId="1" fillId="0" borderId="22" xfId="1" applyNumberFormat="1" applyFont="1" applyBorder="1" applyAlignment="1">
      <alignment horizontal="center" vertical="center"/>
    </xf>
    <xf numFmtId="9" fontId="0" fillId="0" borderId="0" xfId="11" applyFont="1"/>
    <xf numFmtId="10" fontId="0" fillId="0" borderId="0" xfId="11" applyNumberFormat="1" applyFont="1"/>
    <xf numFmtId="3" fontId="16" fillId="0" borderId="21" xfId="4" applyNumberFormat="1" applyFont="1" applyFill="1" applyBorder="1" applyAlignment="1">
      <alignment horizontal="center" vertical="center" wrapText="1"/>
    </xf>
    <xf numFmtId="171" fontId="0" fillId="0" borderId="0" xfId="0" applyNumberFormat="1" applyAlignment="1">
      <alignment horizontal="center" vertical="center"/>
    </xf>
    <xf numFmtId="9" fontId="0" fillId="0" borderId="0" xfId="0" applyNumberFormat="1" applyAlignment="1">
      <alignment horizontal="center" vertical="center"/>
    </xf>
    <xf numFmtId="171" fontId="0" fillId="19" borderId="0" xfId="0" applyNumberFormat="1" applyFill="1" applyAlignment="1">
      <alignment horizontal="center" vertical="center"/>
    </xf>
    <xf numFmtId="10" fontId="0" fillId="19" borderId="0" xfId="11" applyNumberFormat="1" applyFont="1" applyFill="1" applyAlignment="1">
      <alignment horizontal="center" vertical="center"/>
    </xf>
    <xf numFmtId="0" fontId="24" fillId="2" borderId="0" xfId="0" applyFont="1" applyFill="1"/>
    <xf numFmtId="0" fontId="24" fillId="2" borderId="0" xfId="0" applyFont="1" applyFill="1" applyAlignment="1">
      <alignment horizontal="center"/>
    </xf>
    <xf numFmtId="0" fontId="67" fillId="0" borderId="0" xfId="0" applyFont="1"/>
    <xf numFmtId="0" fontId="69" fillId="0" borderId="0" xfId="0" applyFont="1"/>
    <xf numFmtId="0" fontId="70" fillId="0" borderId="0" xfId="0" applyFont="1" applyAlignment="1">
      <alignment horizontal="center" vertical="center"/>
    </xf>
    <xf numFmtId="10" fontId="24" fillId="0" borderId="0" xfId="0" applyNumberFormat="1" applyFont="1" applyAlignment="1">
      <alignment horizontal="center"/>
    </xf>
    <xf numFmtId="9" fontId="55" fillId="0" borderId="0" xfId="3" applyFont="1" applyFill="1" applyBorder="1" applyAlignment="1">
      <alignment horizontal="center" vertical="center"/>
    </xf>
    <xf numFmtId="10" fontId="55" fillId="0" borderId="0" xfId="3" applyNumberFormat="1" applyFont="1" applyFill="1" applyBorder="1" applyAlignment="1">
      <alignment horizontal="center" vertical="center" wrapText="1"/>
    </xf>
    <xf numFmtId="10" fontId="71" fillId="0" borderId="0" xfId="3" applyNumberFormat="1" applyFont="1" applyFill="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wrapText="1"/>
    </xf>
    <xf numFmtId="0" fontId="25" fillId="2" borderId="0" xfId="0" applyFont="1" applyFill="1"/>
    <xf numFmtId="41" fontId="24" fillId="0" borderId="0" xfId="0" applyNumberFormat="1" applyFont="1" applyAlignment="1">
      <alignment horizontal="center"/>
    </xf>
    <xf numFmtId="2" fontId="24" fillId="0" borderId="0" xfId="0" applyNumberFormat="1" applyFont="1" applyAlignment="1">
      <alignment horizontal="center"/>
    </xf>
    <xf numFmtId="43" fontId="68" fillId="0" borderId="0" xfId="0" applyNumberFormat="1" applyFont="1"/>
    <xf numFmtId="43" fontId="24" fillId="0" borderId="0" xfId="0" applyNumberFormat="1" applyFont="1" applyAlignment="1">
      <alignment horizontal="center"/>
    </xf>
    <xf numFmtId="3" fontId="24" fillId="0" borderId="0" xfId="0" applyNumberFormat="1" applyFont="1"/>
    <xf numFmtId="0" fontId="24" fillId="0" borderId="0" xfId="0" applyFont="1" applyAlignment="1">
      <alignment wrapText="1"/>
    </xf>
    <xf numFmtId="0" fontId="24" fillId="0" borderId="22" xfId="0" applyFont="1" applyBorder="1" applyAlignment="1">
      <alignment horizontal="center" vertical="center"/>
    </xf>
    <xf numFmtId="0" fontId="0" fillId="0" borderId="0" xfId="0" applyAlignment="1">
      <alignment wrapText="1"/>
    </xf>
    <xf numFmtId="3" fontId="0" fillId="0" borderId="0" xfId="0" applyNumberFormat="1" applyAlignment="1">
      <alignment horizontal="center"/>
    </xf>
    <xf numFmtId="3" fontId="3" fillId="20" borderId="0" xfId="0" applyNumberFormat="1" applyFont="1" applyFill="1" applyAlignment="1">
      <alignment horizontal="center"/>
    </xf>
    <xf numFmtId="3" fontId="3" fillId="0" borderId="0" xfId="0" applyNumberFormat="1" applyFont="1" applyAlignment="1">
      <alignment horizontal="center"/>
    </xf>
    <xf numFmtId="0" fontId="3" fillId="15" borderId="0" xfId="0" applyFont="1" applyFill="1" applyAlignment="1">
      <alignment horizontal="center" vertical="center"/>
    </xf>
    <xf numFmtId="174" fontId="20" fillId="0" borderId="22" xfId="20" applyNumberFormat="1" applyFont="1" applyFill="1" applyBorder="1" applyAlignment="1" applyProtection="1">
      <alignment horizontal="center" vertical="center" wrapText="1"/>
    </xf>
    <xf numFmtId="10" fontId="0" fillId="0" borderId="0" xfId="3" applyNumberFormat="1" applyFont="1" applyFill="1" applyAlignment="1" applyProtection="1">
      <alignment horizontal="center" vertical="center"/>
    </xf>
    <xf numFmtId="42" fontId="20" fillId="0" borderId="0" xfId="2" applyFont="1" applyFill="1" applyAlignment="1" applyProtection="1">
      <alignment horizontal="center" vertical="top"/>
    </xf>
    <xf numFmtId="168" fontId="26" fillId="0" borderId="0" xfId="4" applyNumberFormat="1" applyFont="1" applyFill="1" applyBorder="1" applyAlignment="1" applyProtection="1">
      <alignment horizontal="center" vertical="top"/>
    </xf>
    <xf numFmtId="165" fontId="20" fillId="0" borderId="0" xfId="1" applyFont="1" applyFill="1" applyBorder="1" applyAlignment="1" applyProtection="1">
      <alignment horizontal="center" vertical="top"/>
    </xf>
    <xf numFmtId="174" fontId="20" fillId="0" borderId="22" xfId="20" applyNumberFormat="1" applyFont="1" applyFill="1" applyBorder="1" applyAlignment="1" applyProtection="1">
      <alignment horizontal="right" vertical="center" wrapText="1"/>
    </xf>
    <xf numFmtId="0" fontId="0" fillId="0" borderId="0" xfId="0" applyAlignment="1">
      <alignment vertical="top"/>
    </xf>
    <xf numFmtId="0" fontId="0" fillId="2" borderId="0" xfId="0" applyFill="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0" fillId="2" borderId="0" xfId="0" applyFont="1" applyFill="1" applyAlignment="1">
      <alignment horizontal="center" vertical="top"/>
    </xf>
    <xf numFmtId="0" fontId="20" fillId="0" borderId="0" xfId="0" applyFont="1" applyAlignment="1">
      <alignment horizontal="center" vertical="top"/>
    </xf>
    <xf numFmtId="166" fontId="0" fillId="2" borderId="0" xfId="0" applyNumberFormat="1" applyFill="1" applyAlignment="1">
      <alignment horizontal="center" vertical="top"/>
    </xf>
    <xf numFmtId="0" fontId="22" fillId="0" borderId="0" xfId="0" applyFont="1" applyAlignment="1">
      <alignment horizontal="center" vertical="center"/>
    </xf>
    <xf numFmtId="0" fontId="8" fillId="3" borderId="40" xfId="0" applyFont="1" applyFill="1" applyBorder="1" applyAlignment="1">
      <alignment horizontal="center" vertical="center" wrapText="1"/>
    </xf>
    <xf numFmtId="168" fontId="0" fillId="0" borderId="0" xfId="0" applyNumberFormat="1" applyAlignment="1">
      <alignment horizontal="center" vertical="center"/>
    </xf>
    <xf numFmtId="169" fontId="0" fillId="0" borderId="0" xfId="0" applyNumberFormat="1" applyAlignment="1">
      <alignment horizontal="center" vertical="center"/>
    </xf>
    <xf numFmtId="0" fontId="20" fillId="0" borderId="0" xfId="0" applyFont="1" applyAlignment="1">
      <alignment vertical="top"/>
    </xf>
    <xf numFmtId="0" fontId="21" fillId="0" borderId="0" xfId="0" applyFont="1" applyAlignment="1">
      <alignment vertical="top"/>
    </xf>
    <xf numFmtId="0" fontId="28" fillId="0" borderId="0" xfId="0" applyFont="1" applyAlignment="1">
      <alignment vertical="top"/>
    </xf>
    <xf numFmtId="3" fontId="0" fillId="0" borderId="0" xfId="0" applyNumberFormat="1" applyAlignment="1">
      <alignment vertical="top"/>
    </xf>
    <xf numFmtId="4" fontId="0" fillId="0" borderId="0" xfId="0" applyNumberFormat="1" applyAlignment="1">
      <alignment vertical="top"/>
    </xf>
    <xf numFmtId="3" fontId="20" fillId="0" borderId="0" xfId="0" applyNumberFormat="1" applyFont="1" applyAlignment="1">
      <alignment horizontal="center" vertical="top"/>
    </xf>
    <xf numFmtId="0" fontId="28" fillId="9" borderId="22" xfId="0" applyFont="1" applyFill="1" applyBorder="1" applyAlignment="1">
      <alignment horizontal="center" vertical="top"/>
    </xf>
    <xf numFmtId="0" fontId="29" fillId="0" borderId="22" xfId="0" applyFont="1" applyBorder="1" applyAlignment="1">
      <alignment horizontal="center" vertical="top"/>
    </xf>
    <xf numFmtId="3" fontId="30" fillId="0" borderId="0" xfId="0" applyNumberFormat="1" applyFont="1" applyAlignment="1">
      <alignment vertical="top"/>
    </xf>
    <xf numFmtId="168" fontId="20" fillId="0" borderId="0" xfId="0" applyNumberFormat="1" applyFont="1" applyAlignment="1">
      <alignment horizontal="center" vertical="top"/>
    </xf>
    <xf numFmtId="168" fontId="26" fillId="0" borderId="0" xfId="0" applyNumberFormat="1" applyFont="1" applyAlignment="1">
      <alignment horizontal="center" vertical="top"/>
    </xf>
    <xf numFmtId="169" fontId="20" fillId="0" borderId="0" xfId="0" applyNumberFormat="1" applyFont="1" applyAlignment="1">
      <alignment horizontal="center" vertical="top"/>
    </xf>
    <xf numFmtId="8" fontId="20" fillId="0" borderId="0" xfId="0" applyNumberFormat="1" applyFont="1" applyAlignment="1">
      <alignment horizontal="center" vertical="top"/>
    </xf>
    <xf numFmtId="43" fontId="20" fillId="0" borderId="0" xfId="0" applyNumberFormat="1" applyFont="1" applyAlignment="1">
      <alignment horizontal="center" vertical="top"/>
    </xf>
    <xf numFmtId="0" fontId="32" fillId="0" borderId="0" xfId="5" applyAlignment="1">
      <alignment vertical="center"/>
    </xf>
    <xf numFmtId="0" fontId="32" fillId="10" borderId="0" xfId="5" applyFill="1" applyAlignment="1">
      <alignment vertical="center"/>
    </xf>
    <xf numFmtId="0" fontId="34" fillId="3" borderId="29" xfId="5" applyFont="1" applyFill="1" applyBorder="1" applyAlignment="1">
      <alignment horizontal="center" vertical="center" textRotation="90" wrapText="1"/>
    </xf>
    <xf numFmtId="164" fontId="35" fillId="3" borderId="18" xfId="0" applyNumberFormat="1" applyFont="1" applyFill="1" applyBorder="1" applyAlignment="1">
      <alignment vertical="center"/>
    </xf>
    <xf numFmtId="10" fontId="35" fillId="3" borderId="19" xfId="0" applyNumberFormat="1" applyFont="1" applyFill="1" applyBorder="1" applyAlignment="1">
      <alignment vertical="center"/>
    </xf>
    <xf numFmtId="164" fontId="35" fillId="4" borderId="29" xfId="0" applyNumberFormat="1" applyFont="1" applyFill="1" applyBorder="1" applyAlignment="1">
      <alignment vertical="center"/>
    </xf>
    <xf numFmtId="10" fontId="35" fillId="4" borderId="30" xfId="0" applyNumberFormat="1" applyFont="1" applyFill="1" applyBorder="1" applyAlignment="1">
      <alignment vertical="center"/>
    </xf>
    <xf numFmtId="164" fontId="35" fillId="4" borderId="62" xfId="0" applyNumberFormat="1" applyFont="1" applyFill="1" applyBorder="1" applyAlignment="1">
      <alignment vertical="center"/>
    </xf>
    <xf numFmtId="10" fontId="33" fillId="3" borderId="25" xfId="5" applyNumberFormat="1" applyFont="1" applyFill="1" applyBorder="1" applyAlignment="1">
      <alignment horizontal="center" vertical="center" wrapText="1"/>
    </xf>
    <xf numFmtId="10" fontId="33" fillId="3" borderId="25" xfId="3" applyNumberFormat="1" applyFont="1" applyFill="1" applyBorder="1" applyAlignment="1" applyProtection="1">
      <alignment horizontal="center" vertical="center" wrapText="1"/>
    </xf>
    <xf numFmtId="0" fontId="33" fillId="3" borderId="26" xfId="5" applyFont="1" applyFill="1" applyBorder="1" applyAlignment="1">
      <alignment horizontal="center" vertical="center" wrapText="1"/>
    </xf>
    <xf numFmtId="0" fontId="35" fillId="0" borderId="0" xfId="5" applyFont="1" applyAlignment="1">
      <alignment vertical="center"/>
    </xf>
    <xf numFmtId="0" fontId="33" fillId="0" borderId="0" xfId="5" applyFont="1" applyAlignment="1">
      <alignment horizontal="center" vertical="center" wrapText="1"/>
    </xf>
    <xf numFmtId="10" fontId="33" fillId="0" borderId="0" xfId="5" applyNumberFormat="1" applyFont="1" applyAlignment="1">
      <alignment horizontal="center" vertical="center" wrapText="1"/>
    </xf>
    <xf numFmtId="10" fontId="33" fillId="0" borderId="0" xfId="3" applyNumberFormat="1" applyFont="1" applyFill="1" applyBorder="1" applyAlignment="1" applyProtection="1">
      <alignment horizontal="center" vertical="center" wrapText="1"/>
    </xf>
    <xf numFmtId="0" fontId="3" fillId="9" borderId="22" xfId="0" applyFont="1" applyFill="1" applyBorder="1" applyAlignment="1">
      <alignment horizontal="center" vertical="center"/>
    </xf>
    <xf numFmtId="10" fontId="32" fillId="10" borderId="0" xfId="5" applyNumberFormat="1" applyFill="1" applyAlignment="1">
      <alignment vertical="center"/>
    </xf>
    <xf numFmtId="0" fontId="32" fillId="0" borderId="0" xfId="5" applyAlignment="1">
      <alignment horizontal="left" vertical="center"/>
    </xf>
    <xf numFmtId="0" fontId="32" fillId="0" borderId="0" xfId="5" applyAlignment="1">
      <alignment horizontal="center" vertical="center"/>
    </xf>
    <xf numFmtId="10" fontId="32" fillId="0" borderId="0" xfId="5" applyNumberFormat="1" applyAlignment="1">
      <alignment vertical="center"/>
    </xf>
    <xf numFmtId="0" fontId="32" fillId="10" borderId="0" xfId="5" applyFill="1" applyAlignment="1">
      <alignment horizontal="left" vertical="center"/>
    </xf>
    <xf numFmtId="0" fontId="32" fillId="10" borderId="0" xfId="5" applyFill="1" applyAlignment="1">
      <alignment horizontal="center" vertical="center"/>
    </xf>
    <xf numFmtId="0" fontId="11" fillId="3" borderId="60" xfId="0" applyFont="1" applyFill="1" applyBorder="1" applyAlignment="1">
      <alignment vertical="center" wrapText="1"/>
    </xf>
    <xf numFmtId="0" fontId="11" fillId="3" borderId="45" xfId="0" applyFont="1" applyFill="1" applyBorder="1" applyAlignment="1">
      <alignment vertical="center" wrapText="1"/>
    </xf>
    <xf numFmtId="0" fontId="11" fillId="4" borderId="40"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4" fillId="0" borderId="0" xfId="0" applyFont="1" applyAlignment="1">
      <alignment horizontal="center" vertical="center"/>
    </xf>
    <xf numFmtId="0" fontId="8" fillId="22" borderId="1" xfId="0" applyFont="1" applyFill="1" applyBorder="1" applyAlignment="1">
      <alignment horizontal="center" vertical="center" wrapText="1"/>
    </xf>
    <xf numFmtId="0" fontId="33" fillId="3" borderId="63" xfId="0" applyFont="1" applyFill="1" applyBorder="1" applyAlignment="1">
      <alignment horizontal="center" vertical="center" wrapText="1"/>
    </xf>
    <xf numFmtId="0" fontId="41" fillId="3" borderId="22" xfId="0" applyFont="1" applyFill="1" applyBorder="1" applyAlignment="1">
      <alignment horizontal="left" vertical="center" wrapText="1"/>
    </xf>
    <xf numFmtId="168" fontId="41" fillId="4" borderId="22" xfId="0" applyNumberFormat="1" applyFont="1" applyFill="1" applyBorder="1" applyAlignment="1">
      <alignment horizontal="left" vertical="center" wrapText="1"/>
    </xf>
    <xf numFmtId="171" fontId="48" fillId="11" borderId="0" xfId="0" applyNumberFormat="1" applyFont="1" applyFill="1"/>
    <xf numFmtId="4" fontId="48" fillId="11" borderId="0" xfId="0" applyNumberFormat="1" applyFont="1" applyFill="1" applyAlignment="1">
      <alignment horizontal="center"/>
    </xf>
    <xf numFmtId="0" fontId="50" fillId="11" borderId="0" xfId="0" applyFont="1" applyFill="1"/>
    <xf numFmtId="0" fontId="50" fillId="11" borderId="0" xfId="0" applyFont="1" applyFill="1" applyAlignment="1">
      <alignment horizontal="center"/>
    </xf>
    <xf numFmtId="0" fontId="51" fillId="11" borderId="0" xfId="0" applyFont="1" applyFill="1" applyAlignment="1">
      <alignment horizontal="center"/>
    </xf>
    <xf numFmtId="3" fontId="48" fillId="11" borderId="0" xfId="0" applyNumberFormat="1" applyFont="1" applyFill="1"/>
    <xf numFmtId="0" fontId="48" fillId="0" borderId="0" xfId="0" applyFont="1"/>
    <xf numFmtId="171" fontId="48" fillId="0" borderId="0" xfId="0" applyNumberFormat="1" applyFont="1"/>
    <xf numFmtId="3" fontId="48" fillId="0" borderId="0" xfId="0" applyNumberFormat="1" applyFont="1"/>
    <xf numFmtId="0" fontId="48" fillId="0" borderId="0" xfId="0" applyFont="1" applyAlignment="1">
      <alignment horizontal="center"/>
    </xf>
    <xf numFmtId="4" fontId="48" fillId="0" borderId="0" xfId="0" applyNumberFormat="1" applyFont="1"/>
    <xf numFmtId="172" fontId="11" fillId="0" borderId="0" xfId="0" applyNumberFormat="1" applyFont="1" applyAlignment="1">
      <alignment horizontal="center"/>
    </xf>
    <xf numFmtId="171" fontId="40" fillId="0" borderId="23" xfId="7" applyNumberFormat="1" applyFont="1" applyFill="1" applyBorder="1" applyAlignment="1" applyProtection="1">
      <alignment horizontal="center" vertical="center" wrapText="1"/>
      <protection locked="0"/>
    </xf>
    <xf numFmtId="171" fontId="21" fillId="0" borderId="67" xfId="7" applyNumberFormat="1" applyFont="1" applyFill="1" applyBorder="1" applyAlignment="1" applyProtection="1">
      <alignment horizontal="center" vertical="center"/>
      <protection locked="0"/>
    </xf>
    <xf numFmtId="171" fontId="45" fillId="0" borderId="47" xfId="7" applyNumberFormat="1" applyFont="1" applyFill="1" applyBorder="1" applyAlignment="1" applyProtection="1">
      <alignment horizontal="center" vertical="center"/>
      <protection locked="0"/>
    </xf>
    <xf numFmtId="171" fontId="45" fillId="0" borderId="56" xfId="7" applyNumberFormat="1" applyFont="1" applyFill="1" applyBorder="1" applyAlignment="1" applyProtection="1">
      <alignment horizontal="center" vertical="center"/>
      <protection locked="0"/>
    </xf>
    <xf numFmtId="171" fontId="45" fillId="0" borderId="51" xfId="7" applyNumberFormat="1" applyFont="1" applyFill="1" applyBorder="1" applyAlignment="1" applyProtection="1">
      <alignment horizontal="center" vertical="center"/>
      <protection locked="0"/>
    </xf>
    <xf numFmtId="171" fontId="44" fillId="0" borderId="23" xfId="7" applyNumberFormat="1" applyFont="1" applyFill="1" applyBorder="1" applyAlignment="1" applyProtection="1">
      <alignment horizontal="center" vertical="center" wrapText="1"/>
      <protection locked="0"/>
    </xf>
    <xf numFmtId="171" fontId="23" fillId="0" borderId="51" xfId="7" applyNumberFormat="1" applyFont="1" applyFill="1" applyBorder="1" applyAlignment="1" applyProtection="1">
      <alignment horizontal="center" vertical="center"/>
      <protection locked="0"/>
    </xf>
    <xf numFmtId="3" fontId="21" fillId="0" borderId="47" xfId="7" applyNumberFormat="1" applyFont="1" applyFill="1" applyBorder="1" applyAlignment="1" applyProtection="1">
      <alignment horizontal="center" vertical="center"/>
      <protection locked="0"/>
    </xf>
    <xf numFmtId="3" fontId="21" fillId="0" borderId="56" xfId="7" applyNumberFormat="1" applyFont="1" applyFill="1" applyBorder="1" applyAlignment="1" applyProtection="1">
      <alignment horizontal="center" vertical="center"/>
      <protection locked="0"/>
    </xf>
    <xf numFmtId="171" fontId="44" fillId="0" borderId="47" xfId="7" applyNumberFormat="1" applyFont="1" applyFill="1" applyBorder="1" applyAlignment="1" applyProtection="1">
      <alignment horizontal="center" vertical="center" wrapText="1"/>
      <protection locked="0"/>
    </xf>
    <xf numFmtId="10" fontId="21" fillId="0" borderId="47" xfId="3" applyNumberFormat="1" applyFont="1" applyFill="1" applyBorder="1" applyAlignment="1" applyProtection="1">
      <alignment horizontal="center" vertical="center"/>
      <protection locked="0"/>
    </xf>
    <xf numFmtId="10" fontId="23" fillId="0" borderId="47" xfId="3" applyNumberFormat="1" applyFont="1" applyFill="1" applyBorder="1" applyAlignment="1" applyProtection="1">
      <alignment horizontal="center" vertical="center"/>
      <protection locked="0"/>
    </xf>
    <xf numFmtId="10" fontId="21" fillId="0" borderId="43" xfId="3" applyNumberFormat="1" applyFont="1" applyFill="1" applyBorder="1" applyAlignment="1" applyProtection="1">
      <alignment horizontal="center" vertical="center" wrapText="1"/>
      <protection locked="0"/>
    </xf>
    <xf numFmtId="0" fontId="33" fillId="3" borderId="29" xfId="5" applyFont="1" applyFill="1" applyBorder="1" applyAlignment="1">
      <alignment horizontal="center" vertical="center" wrapText="1"/>
    </xf>
    <xf numFmtId="0" fontId="0" fillId="0" borderId="0" xfId="0" applyAlignment="1">
      <alignment horizontal="center" vertical="top"/>
    </xf>
    <xf numFmtId="169" fontId="19" fillId="9" borderId="24" xfId="20" applyNumberFormat="1" applyFont="1" applyFill="1" applyBorder="1" applyAlignment="1" applyProtection="1">
      <alignment horizontal="center" vertical="center" wrapText="1"/>
    </xf>
    <xf numFmtId="169" fontId="19" fillId="9" borderId="24" xfId="20" applyNumberFormat="1" applyFont="1" applyFill="1" applyBorder="1" applyAlignment="1" applyProtection="1">
      <alignment horizontal="right" vertical="center" wrapText="1"/>
    </xf>
    <xf numFmtId="0" fontId="6" fillId="0" borderId="10" xfId="0" applyFont="1" applyBorder="1" applyAlignment="1">
      <alignment horizontal="left" vertical="center" wrapText="1"/>
    </xf>
    <xf numFmtId="0" fontId="25" fillId="9" borderId="22" xfId="0" applyFont="1" applyFill="1" applyBorder="1" applyAlignment="1">
      <alignment horizontal="center" vertical="center"/>
    </xf>
    <xf numFmtId="0" fontId="24" fillId="0" borderId="0" xfId="0" applyFont="1" applyAlignment="1">
      <alignment horizontal="center"/>
    </xf>
    <xf numFmtId="174" fontId="20" fillId="0" borderId="48" xfId="20" applyNumberFormat="1" applyFont="1" applyFill="1" applyBorder="1" applyAlignment="1" applyProtection="1">
      <alignment horizontal="right" vertical="center" wrapText="1"/>
    </xf>
    <xf numFmtId="169" fontId="19" fillId="9" borderId="13" xfId="20" applyNumberFormat="1" applyFont="1" applyFill="1" applyBorder="1" applyAlignment="1" applyProtection="1">
      <alignment horizontal="right" vertical="center" wrapText="1"/>
    </xf>
    <xf numFmtId="0" fontId="8" fillId="3" borderId="45" xfId="0" applyFont="1" applyFill="1" applyBorder="1" applyAlignment="1">
      <alignment horizontal="center" vertical="center" wrapText="1"/>
    </xf>
    <xf numFmtId="166" fontId="0" fillId="0" borderId="0" xfId="1" applyNumberFormat="1" applyFont="1" applyAlignment="1">
      <alignment horizontal="center" vertical="center"/>
    </xf>
    <xf numFmtId="10" fontId="0" fillId="0" borderId="0" xfId="11" applyNumberFormat="1" applyFont="1" applyAlignment="1">
      <alignment horizontal="center" vertical="center"/>
    </xf>
    <xf numFmtId="2" fontId="0" fillId="0" borderId="0" xfId="0" applyNumberFormat="1"/>
    <xf numFmtId="1" fontId="0" fillId="0" borderId="0" xfId="0" applyNumberFormat="1"/>
    <xf numFmtId="10" fontId="0" fillId="0" borderId="0" xfId="3" applyNumberFormat="1" applyFont="1" applyAlignment="1">
      <alignment vertical="center"/>
    </xf>
    <xf numFmtId="10" fontId="0" fillId="0" borderId="0" xfId="0" applyNumberFormat="1" applyAlignment="1">
      <alignment vertical="center"/>
    </xf>
    <xf numFmtId="0" fontId="33" fillId="3" borderId="45" xfId="0" applyFont="1" applyFill="1" applyBorder="1" applyAlignment="1">
      <alignment horizontal="center" vertical="center" wrapText="1"/>
    </xf>
    <xf numFmtId="0" fontId="23" fillId="3" borderId="38"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41" fillId="3" borderId="18" xfId="0" applyFont="1" applyFill="1" applyBorder="1" applyAlignment="1">
      <alignment horizontal="left" vertical="center" wrapText="1"/>
    </xf>
    <xf numFmtId="168" fontId="41" fillId="4" borderId="29" xfId="0" applyNumberFormat="1" applyFont="1" applyFill="1" applyBorder="1" applyAlignment="1">
      <alignment horizontal="left" vertical="center" wrapText="1"/>
    </xf>
    <xf numFmtId="171" fontId="40" fillId="0" borderId="22" xfId="7" applyNumberFormat="1" applyFont="1" applyFill="1" applyBorder="1" applyAlignment="1" applyProtection="1">
      <alignment horizontal="center" vertical="center" wrapText="1"/>
      <protection locked="0"/>
    </xf>
    <xf numFmtId="3" fontId="21" fillId="0" borderId="22" xfId="7" applyNumberFormat="1" applyFont="1" applyFill="1" applyBorder="1" applyAlignment="1" applyProtection="1">
      <alignment horizontal="center" vertical="center"/>
      <protection locked="0"/>
    </xf>
    <xf numFmtId="3" fontId="21" fillId="0" borderId="23" xfId="7" applyNumberFormat="1" applyFont="1" applyFill="1" applyBorder="1" applyAlignment="1" applyProtection="1">
      <alignment horizontal="center" vertical="center"/>
      <protection locked="0"/>
    </xf>
    <xf numFmtId="171" fontId="21" fillId="0" borderId="62" xfId="7" applyNumberFormat="1" applyFont="1" applyFill="1" applyBorder="1" applyAlignment="1" applyProtection="1">
      <alignment horizontal="center" vertical="center"/>
      <protection locked="0"/>
    </xf>
    <xf numFmtId="3" fontId="21" fillId="0" borderId="62" xfId="7" applyNumberFormat="1" applyFont="1" applyFill="1" applyBorder="1" applyAlignment="1" applyProtection="1">
      <alignment horizontal="center" vertical="center"/>
      <protection locked="0"/>
    </xf>
    <xf numFmtId="3" fontId="21" fillId="0" borderId="67" xfId="7" applyNumberFormat="1" applyFont="1" applyFill="1" applyBorder="1" applyAlignment="1" applyProtection="1">
      <alignment horizontal="center" vertical="center"/>
      <protection locked="0"/>
    </xf>
    <xf numFmtId="171" fontId="45" fillId="0" borderId="22" xfId="7" applyNumberFormat="1" applyFont="1" applyFill="1" applyBorder="1" applyAlignment="1" applyProtection="1">
      <alignment horizontal="center" vertical="center"/>
      <protection locked="0"/>
    </xf>
    <xf numFmtId="171" fontId="45" fillId="0" borderId="23" xfId="7" applyNumberFormat="1" applyFont="1" applyFill="1" applyBorder="1" applyAlignment="1" applyProtection="1">
      <alignment horizontal="center" vertical="center"/>
      <protection locked="0"/>
    </xf>
    <xf numFmtId="171" fontId="45" fillId="0" borderId="62" xfId="7" applyNumberFormat="1" applyFont="1" applyFill="1" applyBorder="1" applyAlignment="1" applyProtection="1">
      <alignment horizontal="center" vertical="center"/>
      <protection locked="0"/>
    </xf>
    <xf numFmtId="171" fontId="45" fillId="0" borderId="67" xfId="7" applyNumberFormat="1" applyFont="1" applyFill="1" applyBorder="1" applyAlignment="1" applyProtection="1">
      <alignment horizontal="center" vertical="center"/>
      <protection locked="0"/>
    </xf>
    <xf numFmtId="171" fontId="45" fillId="0" borderId="29" xfId="7" applyNumberFormat="1" applyFont="1" applyFill="1" applyBorder="1" applyAlignment="1" applyProtection="1">
      <alignment horizontal="center" vertical="center"/>
      <protection locked="0"/>
    </xf>
    <xf numFmtId="171" fontId="45" fillId="0" borderId="30" xfId="7" applyNumberFormat="1" applyFont="1" applyFill="1" applyBorder="1" applyAlignment="1" applyProtection="1">
      <alignment horizontal="center" vertical="center"/>
      <protection locked="0"/>
    </xf>
    <xf numFmtId="171" fontId="44" fillId="0" borderId="22" xfId="7" applyNumberFormat="1" applyFont="1" applyFill="1" applyBorder="1" applyAlignment="1" applyProtection="1">
      <alignment horizontal="center" vertical="center" wrapText="1"/>
      <protection locked="0"/>
    </xf>
    <xf numFmtId="171" fontId="23" fillId="0" borderId="62" xfId="7" applyNumberFormat="1" applyFont="1" applyFill="1" applyBorder="1" applyAlignment="1" applyProtection="1">
      <alignment horizontal="center" vertical="center"/>
      <protection locked="0"/>
    </xf>
    <xf numFmtId="171" fontId="23" fillId="0" borderId="29" xfId="7" applyNumberFormat="1" applyFont="1" applyFill="1" applyBorder="1" applyAlignment="1" applyProtection="1">
      <alignment horizontal="center" vertical="center"/>
      <protection locked="0"/>
    </xf>
    <xf numFmtId="171" fontId="23" fillId="0" borderId="30" xfId="7" applyNumberFormat="1" applyFont="1" applyFill="1" applyBorder="1" applyAlignment="1" applyProtection="1">
      <alignment horizontal="center" vertical="center"/>
      <protection locked="0"/>
    </xf>
    <xf numFmtId="10" fontId="21" fillId="0" borderId="18" xfId="3" applyNumberFormat="1" applyFont="1" applyFill="1" applyBorder="1" applyAlignment="1" applyProtection="1">
      <alignment horizontal="center" vertical="center" wrapText="1"/>
      <protection locked="0"/>
    </xf>
    <xf numFmtId="10" fontId="21" fillId="0" borderId="19" xfId="3" applyNumberFormat="1" applyFont="1" applyFill="1" applyBorder="1" applyAlignment="1" applyProtection="1">
      <alignment horizontal="center" vertical="center" wrapText="1"/>
      <protection locked="0"/>
    </xf>
    <xf numFmtId="10" fontId="21" fillId="0" borderId="22" xfId="3" applyNumberFormat="1" applyFont="1" applyFill="1" applyBorder="1" applyAlignment="1" applyProtection="1">
      <alignment horizontal="center" vertical="center"/>
      <protection locked="0"/>
    </xf>
    <xf numFmtId="10" fontId="21" fillId="0" borderId="23" xfId="3" applyNumberFormat="1" applyFont="1" applyFill="1" applyBorder="1" applyAlignment="1" applyProtection="1">
      <alignment horizontal="center" vertical="center"/>
      <protection locked="0"/>
    </xf>
    <xf numFmtId="10" fontId="23" fillId="0" borderId="22" xfId="3" applyNumberFormat="1" applyFont="1" applyFill="1" applyBorder="1" applyAlignment="1" applyProtection="1">
      <alignment horizontal="center" vertical="center"/>
      <protection locked="0"/>
    </xf>
    <xf numFmtId="10" fontId="23" fillId="0" borderId="23" xfId="3" applyNumberFormat="1" applyFont="1" applyFill="1" applyBorder="1" applyAlignment="1" applyProtection="1">
      <alignment horizontal="center" vertical="center"/>
      <protection locked="0"/>
    </xf>
    <xf numFmtId="10" fontId="33" fillId="3" borderId="74" xfId="5" applyNumberFormat="1" applyFont="1" applyFill="1" applyBorder="1" applyAlignment="1">
      <alignment horizontal="center" vertical="center" wrapText="1"/>
    </xf>
    <xf numFmtId="0" fontId="48" fillId="11" borderId="0" xfId="0" applyFont="1" applyFill="1" applyAlignment="1">
      <alignment wrapText="1"/>
    </xf>
    <xf numFmtId="0" fontId="48" fillId="0" borderId="0" xfId="0" applyFont="1" applyAlignment="1">
      <alignment wrapText="1"/>
    </xf>
    <xf numFmtId="174" fontId="0" fillId="0" borderId="0" xfId="20" applyNumberFormat="1" applyFont="1"/>
    <xf numFmtId="175" fontId="20" fillId="0" borderId="0" xfId="0" applyNumberFormat="1" applyFont="1" applyAlignment="1">
      <alignment horizontal="center" vertical="top"/>
    </xf>
    <xf numFmtId="44" fontId="20" fillId="0" borderId="0" xfId="0" applyNumberFormat="1" applyFont="1" applyAlignment="1">
      <alignment horizontal="center" vertical="top"/>
    </xf>
    <xf numFmtId="174" fontId="20" fillId="0" borderId="0" xfId="0" applyNumberFormat="1" applyFont="1" applyAlignment="1">
      <alignment horizontal="center" vertical="top"/>
    </xf>
    <xf numFmtId="0" fontId="8" fillId="21" borderId="16" xfId="0" applyFont="1" applyFill="1" applyBorder="1" applyAlignment="1">
      <alignment horizontal="center" vertical="center" wrapText="1"/>
    </xf>
    <xf numFmtId="0" fontId="8" fillId="3" borderId="41" xfId="0" applyFont="1" applyFill="1" applyBorder="1" applyAlignment="1">
      <alignment horizontal="center" vertical="center" wrapText="1"/>
    </xf>
    <xf numFmtId="174" fontId="20" fillId="0" borderId="21" xfId="20" applyNumberFormat="1" applyFont="1" applyFill="1" applyBorder="1" applyAlignment="1" applyProtection="1">
      <alignment horizontal="center" vertical="center" wrapText="1"/>
    </xf>
    <xf numFmtId="2" fontId="20" fillId="0" borderId="62" xfId="20" applyNumberFormat="1" applyFont="1" applyFill="1" applyBorder="1" applyAlignment="1" applyProtection="1">
      <alignment horizontal="center" vertical="center" wrapText="1"/>
    </xf>
    <xf numFmtId="1" fontId="20" fillId="0" borderId="62" xfId="20" applyNumberFormat="1" applyFont="1" applyFill="1" applyBorder="1" applyAlignment="1" applyProtection="1">
      <alignment horizontal="center" vertical="center" wrapText="1"/>
    </xf>
    <xf numFmtId="174" fontId="19" fillId="9" borderId="25" xfId="20" applyNumberFormat="1" applyFont="1" applyFill="1" applyBorder="1" applyAlignment="1" applyProtection="1">
      <alignment horizontal="center" vertical="center" wrapText="1"/>
    </xf>
    <xf numFmtId="176" fontId="20" fillId="0" borderId="0" xfId="0" applyNumberFormat="1" applyFont="1" applyAlignment="1">
      <alignment horizontal="center" vertical="top"/>
    </xf>
    <xf numFmtId="5" fontId="0" fillId="2" borderId="22" xfId="0" applyNumberFormat="1" applyFill="1" applyBorder="1"/>
    <xf numFmtId="44" fontId="0" fillId="2" borderId="22" xfId="0" applyNumberFormat="1" applyFill="1" applyBorder="1"/>
    <xf numFmtId="3" fontId="21" fillId="0" borderId="73" xfId="7" applyNumberFormat="1" applyFont="1" applyFill="1" applyBorder="1" applyAlignment="1" applyProtection="1">
      <alignment horizontal="center" vertical="center"/>
      <protection locked="0"/>
    </xf>
    <xf numFmtId="3" fontId="21" fillId="0" borderId="34" xfId="7" applyNumberFormat="1" applyFont="1" applyFill="1" applyBorder="1" applyAlignment="1" applyProtection="1">
      <alignment horizontal="center" vertical="center"/>
      <protection locked="0"/>
    </xf>
    <xf numFmtId="0" fontId="33" fillId="3" borderId="60" xfId="0" applyFont="1" applyFill="1" applyBorder="1" applyAlignment="1">
      <alignment horizontal="center" vertical="center" wrapText="1"/>
    </xf>
    <xf numFmtId="10" fontId="33" fillId="3" borderId="45" xfId="5" applyNumberFormat="1"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3" fillId="3" borderId="72" xfId="0" applyFont="1" applyFill="1" applyBorder="1" applyAlignment="1">
      <alignment horizontal="center" vertical="center" wrapText="1"/>
    </xf>
    <xf numFmtId="171" fontId="21" fillId="0" borderId="29" xfId="7" applyNumberFormat="1" applyFont="1" applyFill="1" applyBorder="1" applyAlignment="1" applyProtection="1">
      <alignment horizontal="center" vertical="center"/>
      <protection locked="0"/>
    </xf>
    <xf numFmtId="3" fontId="21" fillId="0" borderId="29" xfId="7" applyNumberFormat="1" applyFont="1" applyFill="1" applyBorder="1" applyAlignment="1" applyProtection="1">
      <alignment horizontal="center" vertical="center"/>
      <protection locked="0"/>
    </xf>
    <xf numFmtId="3" fontId="21" fillId="0" borderId="30" xfId="7" applyNumberFormat="1" applyFont="1" applyFill="1" applyBorder="1" applyAlignment="1" applyProtection="1">
      <alignment horizontal="center" vertical="center"/>
      <protection locked="0"/>
    </xf>
    <xf numFmtId="171" fontId="40" fillId="0" borderId="47" xfId="7" applyNumberFormat="1" applyFont="1" applyFill="1" applyBorder="1" applyAlignment="1" applyProtection="1">
      <alignment horizontal="center" vertical="center" wrapText="1"/>
    </xf>
    <xf numFmtId="171" fontId="21" fillId="0" borderId="51" xfId="7" applyNumberFormat="1" applyFont="1" applyFill="1" applyBorder="1" applyAlignment="1" applyProtection="1">
      <alignment horizontal="center" vertical="center"/>
    </xf>
    <xf numFmtId="0" fontId="33" fillId="3" borderId="64" xfId="0" applyFont="1" applyFill="1" applyBorder="1" applyAlignment="1">
      <alignment horizontal="center" vertical="center" wrapText="1"/>
    </xf>
    <xf numFmtId="0" fontId="33" fillId="3" borderId="60" xfId="6" applyFont="1" applyFill="1" applyBorder="1" applyAlignment="1">
      <alignment horizontal="center" vertical="center" wrapText="1"/>
    </xf>
    <xf numFmtId="0" fontId="33" fillId="3" borderId="3" xfId="0" applyFont="1" applyFill="1" applyBorder="1" applyAlignment="1">
      <alignment horizontal="center" vertical="center" wrapText="1"/>
    </xf>
    <xf numFmtId="171" fontId="44" fillId="0" borderId="47" xfId="7" applyNumberFormat="1" applyFont="1" applyFill="1" applyBorder="1" applyAlignment="1" applyProtection="1">
      <alignment horizontal="center" vertical="center" wrapText="1"/>
    </xf>
    <xf numFmtId="171" fontId="23" fillId="0" borderId="51" xfId="7" applyNumberFormat="1" applyFont="1" applyFill="1" applyBorder="1" applyAlignment="1" applyProtection="1">
      <alignment horizontal="center" vertical="center"/>
    </xf>
    <xf numFmtId="171" fontId="23" fillId="0" borderId="67" xfId="7" applyNumberFormat="1" applyFont="1" applyFill="1" applyBorder="1" applyAlignment="1" applyProtection="1">
      <alignment horizontal="center" vertical="center"/>
      <protection locked="0"/>
    </xf>
    <xf numFmtId="171" fontId="21" fillId="0" borderId="30" xfId="7" applyNumberFormat="1" applyFont="1" applyFill="1" applyBorder="1" applyAlignment="1" applyProtection="1">
      <alignment horizontal="center" vertical="center"/>
      <protection locked="0"/>
    </xf>
    <xf numFmtId="0" fontId="8" fillId="21" borderId="40" xfId="0" applyFont="1" applyFill="1" applyBorder="1" applyAlignment="1">
      <alignment horizontal="center" vertical="center" wrapText="1"/>
    </xf>
    <xf numFmtId="10" fontId="25" fillId="9" borderId="25" xfId="3" applyNumberFormat="1" applyFont="1" applyFill="1" applyBorder="1" applyAlignment="1" applyProtection="1">
      <alignment horizontal="center" vertical="center" wrapText="1"/>
    </xf>
    <xf numFmtId="10" fontId="25" fillId="9" borderId="26" xfId="3" applyNumberFormat="1" applyFont="1" applyFill="1" applyBorder="1" applyAlignment="1" applyProtection="1">
      <alignment horizontal="center" vertical="center" wrapText="1"/>
    </xf>
    <xf numFmtId="10" fontId="20" fillId="0" borderId="57" xfId="3" applyNumberFormat="1" applyFont="1" applyFill="1" applyBorder="1" applyAlignment="1" applyProtection="1">
      <alignment horizontal="center" vertical="center" wrapText="1"/>
    </xf>
    <xf numFmtId="44" fontId="19" fillId="24" borderId="24" xfId="20" applyFont="1" applyFill="1" applyBorder="1" applyAlignment="1" applyProtection="1">
      <alignment horizontal="center" vertical="center" wrapText="1"/>
    </xf>
    <xf numFmtId="44" fontId="19" fillId="24" borderId="24" xfId="20" applyFont="1" applyFill="1" applyBorder="1" applyAlignment="1" applyProtection="1">
      <alignment horizontal="right" vertical="center" wrapText="1"/>
    </xf>
    <xf numFmtId="174" fontId="19" fillId="24" borderId="24" xfId="20" applyNumberFormat="1" applyFont="1" applyFill="1" applyBorder="1" applyAlignment="1" applyProtection="1">
      <alignment horizontal="right" vertical="center" wrapText="1"/>
    </xf>
    <xf numFmtId="174" fontId="19" fillId="24" borderId="13" xfId="20" applyNumberFormat="1" applyFont="1" applyFill="1" applyBorder="1" applyAlignment="1" applyProtection="1">
      <alignment horizontal="right" vertical="center" wrapText="1"/>
    </xf>
    <xf numFmtId="44" fontId="19" fillId="24" borderId="14" xfId="20" applyFont="1" applyFill="1" applyBorder="1" applyAlignment="1" applyProtection="1">
      <alignment horizontal="center" vertical="center" wrapText="1"/>
    </xf>
    <xf numFmtId="3" fontId="20" fillId="24" borderId="18" xfId="4" applyNumberFormat="1" applyFont="1" applyFill="1" applyBorder="1" applyAlignment="1" applyProtection="1">
      <alignment horizontal="center" vertical="center" wrapText="1"/>
    </xf>
    <xf numFmtId="44" fontId="25" fillId="24" borderId="14" xfId="20" applyFont="1" applyFill="1" applyBorder="1" applyAlignment="1" applyProtection="1">
      <alignment horizontal="center" vertical="center" wrapText="1"/>
    </xf>
    <xf numFmtId="174" fontId="25" fillId="24" borderId="24" xfId="20" applyNumberFormat="1" applyFont="1" applyFill="1" applyBorder="1" applyAlignment="1" applyProtection="1">
      <alignment horizontal="right" vertical="center" wrapText="1"/>
    </xf>
    <xf numFmtId="3" fontId="20" fillId="24" borderId="22" xfId="4" applyNumberFormat="1" applyFont="1" applyFill="1" applyBorder="1" applyAlignment="1" applyProtection="1">
      <alignment horizontal="center" vertical="center" wrapText="1"/>
    </xf>
    <xf numFmtId="0" fontId="8" fillId="0" borderId="30" xfId="0" applyFont="1" applyBorder="1" applyAlignment="1">
      <alignment horizontal="center" vertical="center" wrapText="1"/>
    </xf>
    <xf numFmtId="171" fontId="40" fillId="0" borderId="48" xfId="7" applyNumberFormat="1" applyFont="1" applyFill="1" applyBorder="1" applyAlignment="1" applyProtection="1">
      <alignment horizontal="center" vertical="center" wrapText="1"/>
    </xf>
    <xf numFmtId="171" fontId="21" fillId="0" borderId="53" xfId="7" applyNumberFormat="1" applyFont="1" applyFill="1" applyBorder="1" applyAlignment="1" applyProtection="1">
      <alignment horizontal="center" vertical="center"/>
    </xf>
    <xf numFmtId="171" fontId="44" fillId="0" borderId="48" xfId="7" applyNumberFormat="1" applyFont="1" applyFill="1" applyBorder="1" applyAlignment="1" applyProtection="1">
      <alignment horizontal="center" vertical="center" wrapText="1"/>
    </xf>
    <xf numFmtId="171" fontId="23" fillId="0" borderId="53" xfId="7" applyNumberFormat="1" applyFont="1" applyFill="1" applyBorder="1" applyAlignment="1" applyProtection="1">
      <alignment horizontal="center" vertical="center"/>
    </xf>
    <xf numFmtId="42" fontId="23" fillId="3" borderId="17" xfId="0" applyNumberFormat="1" applyFont="1" applyFill="1" applyBorder="1" applyAlignment="1">
      <alignment horizontal="center" vertical="center" wrapText="1"/>
    </xf>
    <xf numFmtId="42" fontId="23" fillId="3" borderId="42" xfId="0" applyNumberFormat="1" applyFont="1" applyFill="1" applyBorder="1" applyAlignment="1">
      <alignment horizontal="center" vertical="center" wrapText="1"/>
    </xf>
    <xf numFmtId="42" fontId="23" fillId="3" borderId="19" xfId="0" applyNumberFormat="1" applyFont="1" applyFill="1" applyBorder="1" applyAlignment="1">
      <alignment horizontal="justify" vertical="center" wrapText="1"/>
    </xf>
    <xf numFmtId="42" fontId="23" fillId="3" borderId="21" xfId="0" applyNumberFormat="1" applyFont="1" applyFill="1" applyBorder="1" applyAlignment="1">
      <alignment horizontal="center" vertical="center" wrapText="1"/>
    </xf>
    <xf numFmtId="42" fontId="23" fillId="3" borderId="46" xfId="0" applyNumberFormat="1" applyFont="1" applyFill="1" applyBorder="1" applyAlignment="1">
      <alignment horizontal="center" vertical="center" wrapText="1"/>
    </xf>
    <xf numFmtId="42" fontId="23" fillId="3" borderId="23" xfId="0" applyNumberFormat="1" applyFont="1" applyFill="1" applyBorder="1" applyAlignment="1">
      <alignment horizontal="justify" vertical="center" wrapText="1"/>
    </xf>
    <xf numFmtId="42" fontId="23" fillId="3" borderId="28" xfId="0" applyNumberFormat="1" applyFont="1" applyFill="1" applyBorder="1" applyAlignment="1">
      <alignment horizontal="center" vertical="center" wrapText="1"/>
    </xf>
    <xf numFmtId="42" fontId="23" fillId="3" borderId="52" xfId="0" applyNumberFormat="1" applyFont="1" applyFill="1" applyBorder="1" applyAlignment="1">
      <alignment horizontal="center" vertical="center" wrapText="1"/>
    </xf>
    <xf numFmtId="42" fontId="23" fillId="3" borderId="30" xfId="0" applyNumberFormat="1" applyFont="1" applyFill="1" applyBorder="1" applyAlignment="1">
      <alignment horizontal="justify" vertical="center" wrapText="1"/>
    </xf>
    <xf numFmtId="0" fontId="0" fillId="0" borderId="22" xfId="0" applyBorder="1" applyAlignment="1">
      <alignment horizontal="center"/>
    </xf>
    <xf numFmtId="0" fontId="0" fillId="0" borderId="0" xfId="0" applyAlignment="1">
      <alignment vertical="center"/>
    </xf>
    <xf numFmtId="0" fontId="50" fillId="11" borderId="0" xfId="0" applyFont="1" applyFill="1" applyProtection="1">
      <protection locked="0"/>
    </xf>
    <xf numFmtId="0" fontId="50" fillId="11" borderId="0" xfId="0" applyFont="1" applyFill="1" applyAlignment="1" applyProtection="1">
      <alignment horizontal="center"/>
      <protection locked="0"/>
    </xf>
    <xf numFmtId="0" fontId="51" fillId="11" borderId="0" xfId="0" applyFont="1" applyFill="1" applyAlignment="1" applyProtection="1">
      <alignment horizontal="center"/>
      <protection locked="0"/>
    </xf>
    <xf numFmtId="0" fontId="57" fillId="4" borderId="46" xfId="0" applyFont="1" applyFill="1" applyBorder="1" applyAlignment="1">
      <alignment horizontal="center" vertical="center"/>
    </xf>
    <xf numFmtId="0" fontId="57" fillId="13" borderId="22" xfId="8" applyFont="1" applyFill="1" applyBorder="1" applyAlignment="1">
      <alignment horizontal="center" vertical="center" wrapText="1"/>
    </xf>
    <xf numFmtId="0" fontId="57" fillId="13" borderId="23" xfId="8" applyFont="1" applyFill="1" applyBorder="1" applyAlignment="1">
      <alignment horizontal="center" vertical="center" wrapText="1"/>
    </xf>
    <xf numFmtId="0" fontId="0" fillId="0" borderId="46"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2" xfId="0" applyBorder="1"/>
    <xf numFmtId="166" fontId="1" fillId="0" borderId="29" xfId="7" applyNumberFormat="1" applyFont="1" applyBorder="1" applyAlignment="1">
      <alignment horizontal="left"/>
    </xf>
    <xf numFmtId="166" fontId="1" fillId="0" borderId="29" xfId="7" applyNumberFormat="1" applyFont="1" applyFill="1" applyBorder="1" applyAlignment="1">
      <alignment horizontal="center"/>
    </xf>
    <xf numFmtId="10" fontId="1" fillId="0" borderId="30"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29"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4" borderId="22" xfId="0" applyFill="1" applyBorder="1"/>
    <xf numFmtId="0" fontId="0" fillId="14" borderId="22" xfId="0" applyFill="1" applyBorder="1" applyAlignment="1">
      <alignment horizontal="center" vertical="center"/>
    </xf>
    <xf numFmtId="3" fontId="0" fillId="14" borderId="22" xfId="0" applyNumberFormat="1" applyFill="1" applyBorder="1" applyAlignment="1">
      <alignment horizontal="center" vertical="center"/>
    </xf>
    <xf numFmtId="9" fontId="0" fillId="14" borderId="22" xfId="3" applyFont="1" applyFill="1" applyBorder="1" applyAlignment="1">
      <alignment horizontal="center" vertical="center"/>
    </xf>
    <xf numFmtId="0" fontId="0" fillId="14" borderId="23" xfId="0" applyFill="1" applyBorder="1"/>
    <xf numFmtId="9" fontId="0" fillId="0" borderId="22" xfId="3" applyFont="1" applyFill="1" applyBorder="1" applyAlignment="1">
      <alignment horizontal="center" vertical="center"/>
    </xf>
    <xf numFmtId="3" fontId="0" fillId="0" borderId="62" xfId="0" applyNumberFormat="1" applyBorder="1" applyAlignment="1">
      <alignment horizontal="center" vertical="center"/>
    </xf>
    <xf numFmtId="0" fontId="0" fillId="0" borderId="62" xfId="0" applyBorder="1"/>
    <xf numFmtId="0" fontId="0" fillId="0" borderId="29" xfId="0" applyBorder="1" applyAlignment="1">
      <alignment horizontal="center" vertical="center"/>
    </xf>
    <xf numFmtId="3" fontId="0" fillId="0" borderId="29" xfId="0" applyNumberFormat="1" applyBorder="1" applyAlignment="1">
      <alignment horizontal="center" vertical="center"/>
    </xf>
    <xf numFmtId="9" fontId="0" fillId="0" borderId="29" xfId="3" applyFont="1" applyFill="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0" fillId="14" borderId="22" xfId="0" applyFill="1" applyBorder="1" applyAlignment="1">
      <alignment vertical="center"/>
    </xf>
    <xf numFmtId="0" fontId="0" fillId="14" borderId="23" xfId="0" applyFill="1" applyBorder="1" applyAlignment="1">
      <alignment vertical="center"/>
    </xf>
    <xf numFmtId="164" fontId="0" fillId="14" borderId="22" xfId="3" applyNumberFormat="1" applyFont="1" applyFill="1" applyBorder="1" applyAlignment="1">
      <alignment horizontal="center" vertical="center"/>
    </xf>
    <xf numFmtId="0" fontId="0" fillId="0" borderId="30" xfId="0" applyBorder="1"/>
    <xf numFmtId="0" fontId="57" fillId="13" borderId="22" xfId="8" applyFont="1" applyFill="1" applyBorder="1" applyAlignment="1">
      <alignment horizontal="center" vertical="top" wrapText="1"/>
    </xf>
    <xf numFmtId="0" fontId="57" fillId="13" borderId="29" xfId="8" applyFont="1" applyFill="1" applyBorder="1" applyAlignment="1">
      <alignment horizontal="center" vertical="center" wrapText="1"/>
    </xf>
    <xf numFmtId="0" fontId="57" fillId="13" borderId="30" xfId="8" applyFont="1" applyFill="1" applyBorder="1" applyAlignment="1">
      <alignment horizontal="center" vertical="center" wrapText="1"/>
    </xf>
    <xf numFmtId="0" fontId="0" fillId="0" borderId="39" xfId="0" applyBorder="1" applyAlignment="1">
      <alignment vertical="center"/>
    </xf>
    <xf numFmtId="166" fontId="0" fillId="0" borderId="22" xfId="7" applyNumberFormat="1" applyFont="1" applyBorder="1" applyAlignment="1">
      <alignment horizontal="center" vertical="center"/>
    </xf>
    <xf numFmtId="166" fontId="0" fillId="0" borderId="39" xfId="7" applyNumberFormat="1" applyFont="1" applyBorder="1" applyAlignment="1">
      <alignment horizontal="center" vertical="center"/>
    </xf>
    <xf numFmtId="0" fontId="0" fillId="0" borderId="55" xfId="0" applyBorder="1" applyAlignment="1">
      <alignment vertical="center"/>
    </xf>
    <xf numFmtId="0" fontId="4" fillId="0" borderId="0" xfId="0" applyFont="1" applyAlignment="1">
      <alignment vertical="center"/>
    </xf>
    <xf numFmtId="0" fontId="0" fillId="14" borderId="39" xfId="0" applyFill="1" applyBorder="1" applyAlignment="1">
      <alignment vertical="center"/>
    </xf>
    <xf numFmtId="166" fontId="0" fillId="14" borderId="39" xfId="7" applyNumberFormat="1" applyFont="1" applyFill="1" applyBorder="1" applyAlignment="1">
      <alignment horizontal="center" vertical="center"/>
    </xf>
    <xf numFmtId="0" fontId="0" fillId="14" borderId="55" xfId="0" applyFill="1" applyBorder="1" applyAlignment="1">
      <alignment vertical="center"/>
    </xf>
    <xf numFmtId="166" fontId="0" fillId="0" borderId="22" xfId="7" applyNumberFormat="1" applyFont="1" applyFill="1" applyBorder="1" applyAlignment="1">
      <alignment horizontal="center" vertical="center"/>
    </xf>
    <xf numFmtId="166" fontId="0" fillId="0" borderId="39"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4" borderId="39" xfId="0" applyNumberFormat="1" applyFill="1" applyBorder="1" applyAlignment="1">
      <alignment vertical="center"/>
    </xf>
    <xf numFmtId="2" fontId="0" fillId="14" borderId="55" xfId="0" applyNumberFormat="1" applyFill="1" applyBorder="1" applyAlignment="1">
      <alignment vertical="center"/>
    </xf>
    <xf numFmtId="2" fontId="0" fillId="14" borderId="29" xfId="0" applyNumberFormat="1" applyFill="1" applyBorder="1" applyAlignment="1">
      <alignment vertical="center"/>
    </xf>
    <xf numFmtId="166" fontId="0" fillId="14" borderId="29" xfId="7" applyNumberFormat="1" applyFont="1" applyFill="1" applyBorder="1" applyAlignment="1">
      <alignment horizontal="center" vertical="center"/>
    </xf>
    <xf numFmtId="2" fontId="0" fillId="14" borderId="30" xfId="0" applyNumberFormat="1" applyFill="1" applyBorder="1" applyAlignment="1">
      <alignment vertical="center"/>
    </xf>
    <xf numFmtId="166" fontId="16" fillId="0" borderId="39" xfId="7" applyNumberFormat="1" applyFont="1" applyBorder="1" applyAlignment="1">
      <alignment horizontal="center" vertical="center"/>
    </xf>
    <xf numFmtId="166" fontId="16" fillId="14" borderId="39" xfId="7" applyNumberFormat="1" applyFont="1" applyFill="1" applyBorder="1" applyAlignment="1">
      <alignment horizontal="center" vertical="center"/>
    </xf>
    <xf numFmtId="0" fontId="0" fillId="0" borderId="6" xfId="0" applyBorder="1"/>
    <xf numFmtId="0" fontId="2" fillId="0" borderId="0" xfId="0" applyFont="1"/>
    <xf numFmtId="164" fontId="0" fillId="0" borderId="22" xfId="3" applyNumberFormat="1" applyFont="1" applyFill="1" applyBorder="1" applyAlignment="1">
      <alignment horizontal="center" vertical="center"/>
    </xf>
    <xf numFmtId="166" fontId="16" fillId="0" borderId="39" xfId="7" applyNumberFormat="1" applyFont="1" applyFill="1" applyBorder="1" applyAlignment="1">
      <alignment horizontal="center" vertical="center"/>
    </xf>
    <xf numFmtId="0" fontId="0" fillId="0" borderId="46"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0" fontId="16" fillId="0" borderId="0" xfId="0" applyFont="1"/>
    <xf numFmtId="166" fontId="16" fillId="0" borderId="23" xfId="7" applyNumberFormat="1" applyFont="1" applyBorder="1" applyAlignment="1">
      <alignment horizontal="center" vertical="center"/>
    </xf>
    <xf numFmtId="166" fontId="16" fillId="0" borderId="55" xfId="7" applyNumberFormat="1" applyFont="1" applyBorder="1" applyAlignment="1">
      <alignment horizontal="center" vertical="center"/>
    </xf>
    <xf numFmtId="166" fontId="16" fillId="14" borderId="55" xfId="7" applyNumberFormat="1" applyFont="1" applyFill="1" applyBorder="1" applyAlignment="1">
      <alignment horizontal="center" vertical="center"/>
    </xf>
    <xf numFmtId="10" fontId="20" fillId="0" borderId="22" xfId="3" applyNumberFormat="1" applyFont="1" applyFill="1" applyBorder="1" applyAlignment="1" applyProtection="1">
      <alignment horizontal="center" vertical="center" wrapText="1"/>
    </xf>
    <xf numFmtId="3" fontId="20" fillId="0" borderId="22" xfId="4" applyNumberFormat="1" applyFont="1" applyFill="1" applyBorder="1" applyAlignment="1" applyProtection="1">
      <alignment horizontal="center" vertical="center" wrapText="1"/>
    </xf>
    <xf numFmtId="3" fontId="20" fillId="0" borderId="62" xfId="4" applyNumberFormat="1" applyFont="1" applyFill="1" applyBorder="1" applyAlignment="1" applyProtection="1">
      <alignment horizontal="center" vertical="center" wrapText="1"/>
    </xf>
    <xf numFmtId="10" fontId="20" fillId="0" borderId="62" xfId="3" applyNumberFormat="1" applyFont="1" applyFill="1" applyBorder="1" applyAlignment="1" applyProtection="1">
      <alignment horizontal="center" vertical="center" wrapText="1"/>
    </xf>
    <xf numFmtId="10" fontId="20" fillId="0" borderId="39" xfId="3" applyNumberFormat="1" applyFont="1" applyFill="1" applyBorder="1" applyAlignment="1" applyProtection="1">
      <alignment horizontal="center" vertical="center" wrapText="1"/>
    </xf>
    <xf numFmtId="10" fontId="21" fillId="3" borderId="35" xfId="3" applyNumberFormat="1" applyFont="1" applyFill="1" applyBorder="1" applyAlignment="1" applyProtection="1">
      <alignment horizontal="left" vertical="center" wrapText="1"/>
    </xf>
    <xf numFmtId="10" fontId="20" fillId="0" borderId="39" xfId="11" applyNumberFormat="1" applyFont="1" applyFill="1" applyBorder="1" applyAlignment="1" applyProtection="1">
      <alignment horizontal="center" vertical="center" wrapText="1"/>
    </xf>
    <xf numFmtId="10" fontId="21" fillId="3" borderId="71" xfId="3" applyNumberFormat="1" applyFont="1" applyFill="1" applyBorder="1" applyAlignment="1" applyProtection="1">
      <alignment horizontal="left" vertical="center" wrapText="1"/>
    </xf>
    <xf numFmtId="10" fontId="26" fillId="0" borderId="22" xfId="3" applyNumberFormat="1" applyFont="1" applyFill="1" applyBorder="1" applyAlignment="1" applyProtection="1">
      <alignment horizontal="center" vertical="center"/>
    </xf>
    <xf numFmtId="9" fontId="26" fillId="0" borderId="22" xfId="3" applyFont="1" applyFill="1" applyBorder="1" applyAlignment="1" applyProtection="1">
      <alignment horizontal="center" vertical="center"/>
    </xf>
    <xf numFmtId="10" fontId="20" fillId="0" borderId="62" xfId="11" applyNumberFormat="1" applyFont="1" applyFill="1" applyBorder="1" applyAlignment="1" applyProtection="1">
      <alignment horizontal="center" vertical="center" wrapText="1"/>
    </xf>
    <xf numFmtId="10" fontId="26" fillId="0" borderId="62" xfId="3" applyNumberFormat="1" applyFont="1" applyFill="1" applyBorder="1" applyAlignment="1" applyProtection="1">
      <alignment horizontal="center" vertical="center"/>
    </xf>
    <xf numFmtId="3" fontId="20" fillId="0" borderId="62" xfId="4" applyNumberFormat="1" applyFont="1" applyFill="1" applyBorder="1" applyAlignment="1" applyProtection="1">
      <alignment horizontal="right" vertical="center" wrapText="1"/>
    </xf>
    <xf numFmtId="4" fontId="20" fillId="0" borderId="62" xfId="4" applyNumberFormat="1" applyFont="1" applyFill="1" applyBorder="1" applyAlignment="1" applyProtection="1">
      <alignment horizontal="right" vertical="center" wrapText="1"/>
    </xf>
    <xf numFmtId="10" fontId="20" fillId="0" borderId="39" xfId="11" applyNumberFormat="1" applyFont="1" applyFill="1" applyBorder="1" applyAlignment="1" applyProtection="1">
      <alignment horizontal="right" vertical="center" wrapText="1"/>
    </xf>
    <xf numFmtId="10" fontId="26" fillId="0" borderId="22" xfId="11" applyNumberFormat="1" applyFont="1" applyFill="1" applyBorder="1" applyAlignment="1" applyProtection="1">
      <alignment horizontal="right" vertical="center"/>
    </xf>
    <xf numFmtId="10" fontId="20" fillId="0" borderId="62" xfId="11" applyNumberFormat="1" applyFont="1" applyFill="1" applyBorder="1" applyAlignment="1" applyProtection="1">
      <alignment horizontal="right" vertical="center" wrapText="1"/>
    </xf>
    <xf numFmtId="10" fontId="73" fillId="0" borderId="22" xfId="3" applyNumberFormat="1" applyFont="1" applyFill="1" applyBorder="1" applyAlignment="1" applyProtection="1">
      <alignment horizontal="center" vertical="center"/>
    </xf>
    <xf numFmtId="10" fontId="10" fillId="0" borderId="22" xfId="3" applyNumberFormat="1" applyFont="1" applyFill="1" applyBorder="1" applyAlignment="1" applyProtection="1">
      <alignment horizontal="center" vertical="center"/>
    </xf>
    <xf numFmtId="3" fontId="20" fillId="0" borderId="70" xfId="4" applyNumberFormat="1" applyFont="1" applyFill="1" applyBorder="1" applyAlignment="1" applyProtection="1">
      <alignment horizontal="right" vertical="center" wrapText="1"/>
    </xf>
    <xf numFmtId="10" fontId="0" fillId="0" borderId="29" xfId="11" applyNumberFormat="1" applyFont="1" applyBorder="1" applyAlignment="1">
      <alignment horizontal="center"/>
    </xf>
    <xf numFmtId="166" fontId="16" fillId="0" borderId="0" xfId="7" applyNumberFormat="1" applyFont="1" applyFill="1" applyBorder="1" applyAlignment="1">
      <alignment horizontal="center" vertical="center"/>
    </xf>
    <xf numFmtId="167" fontId="20" fillId="0" borderId="62" xfId="4" applyNumberFormat="1" applyFont="1" applyFill="1" applyBorder="1" applyAlignment="1" applyProtection="1">
      <alignment horizontal="center" vertical="center" wrapText="1"/>
    </xf>
    <xf numFmtId="164" fontId="20" fillId="0" borderId="62" xfId="11" applyNumberFormat="1" applyFont="1" applyFill="1" applyBorder="1" applyAlignment="1" applyProtection="1">
      <alignment horizontal="center" vertical="center" wrapText="1"/>
    </xf>
    <xf numFmtId="10" fontId="24" fillId="0" borderId="22" xfId="3" applyNumberFormat="1" applyFont="1" applyFill="1" applyBorder="1" applyAlignment="1" applyProtection="1">
      <alignment horizontal="center" vertical="center" wrapText="1"/>
    </xf>
    <xf numFmtId="164" fontId="10" fillId="0" borderId="22" xfId="3" applyNumberFormat="1" applyFont="1" applyFill="1" applyBorder="1" applyAlignment="1" applyProtection="1">
      <alignment horizontal="center" vertical="center"/>
    </xf>
    <xf numFmtId="10" fontId="11" fillId="0" borderId="22" xfId="3" applyNumberFormat="1" applyFont="1" applyFill="1" applyBorder="1" applyAlignment="1" applyProtection="1">
      <alignment horizontal="center" vertical="center"/>
    </xf>
    <xf numFmtId="10" fontId="11" fillId="0" borderId="22" xfId="3" applyNumberFormat="1" applyFont="1" applyFill="1" applyBorder="1" applyAlignment="1" applyProtection="1">
      <alignment horizontal="center" vertical="center" wrapText="1"/>
    </xf>
    <xf numFmtId="10" fontId="20" fillId="0" borderId="38" xfId="3" applyNumberFormat="1" applyFont="1" applyFill="1" applyBorder="1" applyAlignment="1" applyProtection="1">
      <alignment horizontal="center" vertical="center" wrapText="1"/>
    </xf>
    <xf numFmtId="10" fontId="24" fillId="0" borderId="62" xfId="3" applyNumberFormat="1" applyFont="1" applyFill="1" applyBorder="1" applyAlignment="1" applyProtection="1">
      <alignment horizontal="center" vertical="center" wrapText="1"/>
    </xf>
    <xf numFmtId="10" fontId="24" fillId="0" borderId="39" xfId="3" applyNumberFormat="1" applyFont="1" applyFill="1" applyBorder="1" applyAlignment="1" applyProtection="1">
      <alignment horizontal="center" vertical="center" wrapText="1"/>
    </xf>
    <xf numFmtId="0" fontId="0" fillId="0" borderId="23" xfId="0" applyBorder="1" applyAlignment="1">
      <alignment vertical="center" wrapText="1"/>
    </xf>
    <xf numFmtId="0" fontId="0" fillId="14" borderId="23" xfId="0" applyFill="1" applyBorder="1" applyAlignment="1">
      <alignment vertical="center" wrapText="1"/>
    </xf>
    <xf numFmtId="166" fontId="16" fillId="2" borderId="39" xfId="7" applyNumberFormat="1" applyFont="1" applyFill="1" applyBorder="1" applyAlignment="1">
      <alignment horizontal="center" vertical="center"/>
    </xf>
    <xf numFmtId="166" fontId="16" fillId="2" borderId="23" xfId="7" applyNumberFormat="1" applyFont="1" applyFill="1" applyBorder="1" applyAlignment="1">
      <alignment horizontal="center" vertical="center"/>
    </xf>
    <xf numFmtId="166" fontId="16" fillId="2" borderId="55" xfId="7" applyNumberFormat="1" applyFont="1" applyFill="1" applyBorder="1" applyAlignment="1">
      <alignment horizontal="center" vertical="center"/>
    </xf>
    <xf numFmtId="0" fontId="0" fillId="2" borderId="22" xfId="0" applyFill="1" applyBorder="1"/>
    <xf numFmtId="0" fontId="0" fillId="2" borderId="22" xfId="0" applyFill="1" applyBorder="1" applyAlignment="1">
      <alignment horizontal="center" vertical="center"/>
    </xf>
    <xf numFmtId="166" fontId="1" fillId="2" borderId="22" xfId="7" applyNumberFormat="1" applyFont="1" applyFill="1" applyBorder="1" applyAlignment="1">
      <alignment horizontal="center" vertical="center"/>
    </xf>
    <xf numFmtId="166" fontId="1" fillId="2" borderId="22" xfId="7" applyNumberFormat="1" applyFont="1" applyFill="1" applyBorder="1" applyAlignment="1">
      <alignment horizontal="right" vertical="center"/>
    </xf>
    <xf numFmtId="9" fontId="0" fillId="2" borderId="22" xfId="11" applyFont="1" applyFill="1" applyBorder="1" applyAlignment="1">
      <alignment horizontal="center" vertical="center"/>
    </xf>
    <xf numFmtId="0" fontId="75" fillId="23" borderId="22" xfId="8" applyFont="1" applyFill="1" applyBorder="1" applyAlignment="1">
      <alignment horizontal="center" vertical="center" wrapText="1"/>
    </xf>
    <xf numFmtId="3" fontId="0" fillId="2" borderId="22" xfId="0" applyNumberFormat="1" applyFill="1" applyBorder="1" applyAlignment="1">
      <alignment horizontal="center" vertical="center"/>
    </xf>
    <xf numFmtId="174" fontId="0" fillId="2" borderId="22" xfId="0" applyNumberFormat="1" applyFill="1" applyBorder="1"/>
    <xf numFmtId="9" fontId="0" fillId="0" borderId="22" xfId="11" applyFont="1" applyBorder="1" applyAlignment="1">
      <alignment horizontal="center"/>
    </xf>
    <xf numFmtId="9" fontId="0" fillId="2" borderId="23" xfId="11" applyFont="1" applyFill="1" applyBorder="1" applyAlignment="1">
      <alignment horizontal="center"/>
    </xf>
    <xf numFmtId="9" fontId="0" fillId="0" borderId="23" xfId="11" applyFont="1" applyBorder="1" applyAlignment="1">
      <alignment horizontal="center"/>
    </xf>
    <xf numFmtId="0" fontId="80" fillId="0" borderId="0" xfId="0" applyFont="1" applyAlignment="1">
      <alignment horizontal="center"/>
    </xf>
    <xf numFmtId="10" fontId="80" fillId="0" borderId="0" xfId="0" applyNumberFormat="1" applyFont="1" applyAlignment="1">
      <alignment horizontal="center"/>
    </xf>
    <xf numFmtId="0" fontId="80" fillId="0" borderId="0" xfId="0" applyFont="1"/>
    <xf numFmtId="164" fontId="80" fillId="0" borderId="0" xfId="11" applyNumberFormat="1" applyFont="1" applyAlignment="1">
      <alignment horizontal="center"/>
    </xf>
    <xf numFmtId="0" fontId="81" fillId="0" borderId="0" xfId="0" applyFont="1" applyAlignment="1">
      <alignment vertical="center"/>
    </xf>
    <xf numFmtId="4" fontId="0" fillId="0" borderId="0" xfId="0" applyNumberFormat="1"/>
    <xf numFmtId="174" fontId="0" fillId="0" borderId="0" xfId="0" applyNumberFormat="1"/>
    <xf numFmtId="167" fontId="0" fillId="0" borderId="0" xfId="0" applyNumberFormat="1"/>
    <xf numFmtId="44" fontId="0" fillId="0" borderId="22" xfId="20" applyFont="1" applyBorder="1"/>
    <xf numFmtId="0" fontId="21" fillId="3" borderId="35" xfId="0" applyFont="1" applyFill="1" applyBorder="1" applyAlignment="1">
      <alignment horizontal="left" vertical="center" wrapText="1"/>
    </xf>
    <xf numFmtId="168" fontId="21" fillId="4" borderId="71" xfId="0" applyNumberFormat="1" applyFont="1" applyFill="1" applyBorder="1" applyAlignment="1">
      <alignment horizontal="left" vertical="center" wrapText="1"/>
    </xf>
    <xf numFmtId="168" fontId="21" fillId="17" borderId="71" xfId="0" applyNumberFormat="1" applyFont="1" applyFill="1" applyBorder="1" applyAlignment="1">
      <alignment horizontal="left" vertical="center" wrapText="1"/>
    </xf>
    <xf numFmtId="0" fontId="21" fillId="3" borderId="71" xfId="0" applyFont="1" applyFill="1" applyBorder="1" applyAlignment="1">
      <alignment horizontal="left" vertical="center" wrapText="1"/>
    </xf>
    <xf numFmtId="169" fontId="21" fillId="4" borderId="58" xfId="0" applyNumberFormat="1" applyFont="1" applyFill="1" applyBorder="1" applyAlignment="1">
      <alignment horizontal="left" vertical="center" wrapText="1"/>
    </xf>
    <xf numFmtId="169" fontId="27" fillId="9" borderId="25" xfId="0" applyNumberFormat="1" applyFont="1" applyFill="1" applyBorder="1" applyAlignment="1">
      <alignment horizontal="center" vertical="center"/>
    </xf>
    <xf numFmtId="169" fontId="27" fillId="9" borderId="75" xfId="0" applyNumberFormat="1" applyFont="1" applyFill="1" applyBorder="1" applyAlignment="1">
      <alignment horizontal="center" vertical="center"/>
    </xf>
    <xf numFmtId="169" fontId="27" fillId="9" borderId="24" xfId="0" applyNumberFormat="1" applyFont="1" applyFill="1" applyBorder="1" applyAlignment="1">
      <alignment horizontal="center" vertical="center"/>
    </xf>
    <xf numFmtId="174" fontId="24" fillId="0" borderId="0" xfId="20" applyNumberFormat="1" applyFont="1" applyFill="1" applyAlignment="1" applyProtection="1">
      <alignment horizontal="center" vertical="center"/>
    </xf>
    <xf numFmtId="169" fontId="27" fillId="9" borderId="25" xfId="0" applyNumberFormat="1" applyFont="1" applyFill="1" applyBorder="1" applyAlignment="1">
      <alignment horizontal="right" vertical="center"/>
    </xf>
    <xf numFmtId="9" fontId="20" fillId="0" borderId="39" xfId="11" applyFont="1" applyFill="1" applyBorder="1" applyAlignment="1" applyProtection="1">
      <alignment horizontal="center" vertical="center" wrapText="1"/>
    </xf>
    <xf numFmtId="164" fontId="20" fillId="0" borderId="39" xfId="11" applyNumberFormat="1" applyFont="1" applyFill="1" applyBorder="1" applyAlignment="1" applyProtection="1">
      <alignment horizontal="center" vertical="center" wrapText="1"/>
    </xf>
    <xf numFmtId="9" fontId="20" fillId="0" borderId="22" xfId="11" applyFont="1" applyFill="1" applyBorder="1" applyAlignment="1" applyProtection="1">
      <alignment horizontal="center" vertical="center" wrapText="1"/>
    </xf>
    <xf numFmtId="174" fontId="20" fillId="0" borderId="39" xfId="11" applyNumberFormat="1" applyFont="1" applyFill="1" applyBorder="1" applyAlignment="1" applyProtection="1">
      <alignment horizontal="center" vertical="center" wrapText="1"/>
    </xf>
    <xf numFmtId="168" fontId="21" fillId="3" borderId="35" xfId="0" applyNumberFormat="1" applyFont="1" applyFill="1" applyBorder="1" applyAlignment="1">
      <alignment horizontal="left" vertical="center" wrapText="1"/>
    </xf>
    <xf numFmtId="168" fontId="21" fillId="3" borderId="58" xfId="0" applyNumberFormat="1" applyFont="1" applyFill="1" applyBorder="1" applyAlignment="1">
      <alignment horizontal="left" vertical="center" wrapText="1"/>
    </xf>
    <xf numFmtId="3" fontId="19" fillId="24" borderId="29" xfId="0" applyNumberFormat="1" applyFont="1" applyFill="1" applyBorder="1" applyAlignment="1">
      <alignment horizontal="center" vertical="center" wrapText="1"/>
    </xf>
    <xf numFmtId="164" fontId="35" fillId="3" borderId="18" xfId="0" applyNumberFormat="1" applyFont="1" applyFill="1" applyBorder="1" applyAlignment="1" applyProtection="1">
      <alignment vertical="center"/>
      <protection locked="0"/>
    </xf>
    <xf numFmtId="164" fontId="35" fillId="4" borderId="29" xfId="0" applyNumberFormat="1" applyFont="1" applyFill="1" applyBorder="1" applyAlignment="1" applyProtection="1">
      <alignment vertical="center"/>
      <protection locked="0"/>
    </xf>
    <xf numFmtId="0" fontId="19" fillId="3" borderId="22" xfId="0" applyFont="1" applyFill="1" applyBorder="1" applyAlignment="1">
      <alignment horizontal="center" vertical="center" wrapText="1"/>
    </xf>
    <xf numFmtId="44" fontId="0" fillId="0" borderId="22" xfId="0" applyNumberFormat="1" applyBorder="1"/>
    <xf numFmtId="0" fontId="16" fillId="0" borderId="29" xfId="0" applyFont="1" applyBorder="1"/>
    <xf numFmtId="0" fontId="16" fillId="0" borderId="30" xfId="0" applyFont="1" applyBorder="1"/>
    <xf numFmtId="9" fontId="16" fillId="0" borderId="0" xfId="0" applyNumberFormat="1" applyFont="1"/>
    <xf numFmtId="0" fontId="7" fillId="4" borderId="4" xfId="0" applyFont="1" applyFill="1" applyBorder="1" applyAlignment="1">
      <alignment horizontal="center"/>
    </xf>
    <xf numFmtId="0" fontId="7" fillId="4" borderId="5" xfId="0" applyFont="1" applyFill="1" applyBorder="1" applyAlignment="1">
      <alignment horizontal="center"/>
    </xf>
    <xf numFmtId="164" fontId="16" fillId="0" borderId="0" xfId="0" applyNumberFormat="1" applyFont="1"/>
    <xf numFmtId="0" fontId="33" fillId="13" borderId="23" xfId="8" applyFont="1" applyFill="1" applyBorder="1" applyAlignment="1">
      <alignment horizontal="center" vertical="center" wrapText="1"/>
    </xf>
    <xf numFmtId="0" fontId="16" fillId="0" borderId="22" xfId="0" applyFont="1" applyBorder="1" applyAlignment="1">
      <alignment horizontal="center" vertical="center"/>
    </xf>
    <xf numFmtId="10" fontId="16" fillId="0" borderId="22" xfId="3" applyNumberFormat="1" applyFont="1" applyBorder="1" applyAlignment="1">
      <alignment horizontal="center" vertical="center"/>
    </xf>
    <xf numFmtId="0" fontId="16" fillId="0" borderId="23" xfId="0" applyFont="1" applyBorder="1"/>
    <xf numFmtId="10" fontId="16" fillId="0" borderId="0" xfId="0" applyNumberFormat="1" applyFont="1"/>
    <xf numFmtId="10" fontId="16" fillId="0" borderId="0" xfId="3" applyNumberFormat="1" applyFont="1"/>
    <xf numFmtId="173" fontId="16" fillId="0" borderId="22" xfId="0" applyNumberFormat="1" applyFont="1" applyBorder="1" applyAlignment="1">
      <alignment horizontal="center" vertical="center"/>
    </xf>
    <xf numFmtId="2" fontId="16" fillId="0" borderId="22" xfId="0" applyNumberFormat="1" applyFont="1" applyBorder="1" applyAlignment="1">
      <alignment horizontal="center" vertical="center"/>
    </xf>
    <xf numFmtId="10" fontId="16" fillId="0" borderId="22" xfId="3" applyNumberFormat="1" applyFont="1" applyFill="1" applyBorder="1" applyAlignment="1">
      <alignment horizontal="center" vertical="center"/>
    </xf>
    <xf numFmtId="0" fontId="16" fillId="0" borderId="29" xfId="0" applyFont="1" applyBorder="1" applyAlignment="1">
      <alignment horizontal="center" vertical="center"/>
    </xf>
    <xf numFmtId="0" fontId="16" fillId="0" borderId="29" xfId="0" applyFont="1" applyBorder="1" applyAlignment="1">
      <alignment horizontal="center"/>
    </xf>
    <xf numFmtId="10" fontId="16" fillId="0" borderId="29" xfId="3"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173" fontId="16" fillId="0" borderId="0" xfId="0" applyNumberFormat="1" applyFont="1"/>
    <xf numFmtId="164" fontId="16" fillId="0" borderId="0" xfId="3" applyNumberFormat="1" applyFont="1"/>
    <xf numFmtId="0" fontId="16" fillId="0" borderId="22" xfId="0" applyFont="1" applyBorder="1" applyAlignment="1">
      <alignment horizontal="center"/>
    </xf>
    <xf numFmtId="2" fontId="16" fillId="0" borderId="22" xfId="0" applyNumberFormat="1" applyFont="1" applyBorder="1" applyAlignment="1">
      <alignment horizontal="center"/>
    </xf>
    <xf numFmtId="165" fontId="16" fillId="0" borderId="0" xfId="7" applyFont="1" applyFill="1"/>
    <xf numFmtId="43" fontId="16" fillId="0" borderId="0" xfId="7" applyNumberFormat="1" applyFont="1" applyFill="1"/>
    <xf numFmtId="0" fontId="16" fillId="2" borderId="22" xfId="0" applyFont="1" applyFill="1" applyBorder="1" applyAlignment="1">
      <alignment horizontal="center" vertical="center"/>
    </xf>
    <xf numFmtId="0" fontId="16" fillId="2" borderId="22" xfId="0" applyFont="1" applyFill="1" applyBorder="1" applyAlignment="1">
      <alignment horizontal="center"/>
    </xf>
    <xf numFmtId="10" fontId="16" fillId="2" borderId="22" xfId="3" applyNumberFormat="1" applyFont="1" applyFill="1" applyBorder="1" applyAlignment="1">
      <alignment horizontal="center" vertical="center"/>
    </xf>
    <xf numFmtId="0" fontId="16" fillId="2" borderId="23" xfId="0" applyFont="1" applyFill="1" applyBorder="1"/>
    <xf numFmtId="43" fontId="16" fillId="0" borderId="0" xfId="7" applyNumberFormat="1" applyFont="1" applyFill="1" applyAlignment="1">
      <alignment horizontal="center" vertical="center"/>
    </xf>
    <xf numFmtId="9" fontId="16" fillId="0" borderId="22" xfId="11" applyFont="1" applyBorder="1" applyAlignment="1">
      <alignment horizontal="center" vertical="center"/>
    </xf>
    <xf numFmtId="0" fontId="16" fillId="0" borderId="23" xfId="0" applyFont="1" applyBorder="1" applyAlignment="1">
      <alignment horizontal="center" vertical="center" wrapText="1"/>
    </xf>
    <xf numFmtId="0" fontId="16" fillId="0" borderId="23" xfId="0" applyFont="1" applyBorder="1" applyAlignment="1">
      <alignment horizontal="center" wrapText="1"/>
    </xf>
    <xf numFmtId="0" fontId="16" fillId="0" borderId="22" xfId="0" applyFont="1" applyBorder="1"/>
    <xf numFmtId="0" fontId="16" fillId="0" borderId="39" xfId="0" applyFont="1" applyBorder="1" applyAlignment="1">
      <alignment vertical="center"/>
    </xf>
    <xf numFmtId="0" fontId="16" fillId="14" borderId="39" xfId="0" applyFont="1" applyFill="1" applyBorder="1" applyAlignment="1">
      <alignment vertical="center"/>
    </xf>
    <xf numFmtId="0" fontId="16" fillId="2" borderId="39" xfId="0" applyFont="1" applyFill="1" applyBorder="1" applyAlignment="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xf numFmtId="0" fontId="33" fillId="4" borderId="46" xfId="0" applyFont="1" applyFill="1" applyBorder="1" applyAlignment="1">
      <alignment horizontal="center" vertical="center"/>
    </xf>
    <xf numFmtId="0" fontId="33" fillId="13" borderId="29" xfId="8" applyFont="1" applyFill="1" applyBorder="1" applyAlignment="1">
      <alignment horizontal="center" vertical="center" wrapText="1"/>
    </xf>
    <xf numFmtId="0" fontId="33" fillId="13" borderId="30" xfId="8" applyFont="1" applyFill="1" applyBorder="1" applyAlignment="1">
      <alignment horizontal="center" vertical="center" wrapText="1"/>
    </xf>
    <xf numFmtId="174" fontId="32" fillId="23" borderId="62" xfId="20" applyNumberFormat="1" applyFont="1" applyFill="1" applyBorder="1" applyAlignment="1">
      <alignment horizontal="center" vertical="center" wrapText="1"/>
    </xf>
    <xf numFmtId="0" fontId="33" fillId="23" borderId="67" xfId="8" applyFont="1" applyFill="1" applyBorder="1" applyAlignment="1">
      <alignment horizontal="center" vertical="center" wrapText="1"/>
    </xf>
    <xf numFmtId="174" fontId="82" fillId="2" borderId="22" xfId="20" applyNumberFormat="1" applyFont="1" applyFill="1" applyBorder="1" applyAlignment="1">
      <alignment horizontal="center"/>
    </xf>
    <xf numFmtId="174" fontId="16" fillId="2" borderId="22" xfId="20" applyNumberFormat="1" applyFont="1" applyFill="1" applyBorder="1"/>
    <xf numFmtId="174" fontId="16" fillId="0" borderId="39" xfId="20" applyNumberFormat="1" applyFont="1" applyBorder="1"/>
    <xf numFmtId="0" fontId="16" fillId="0" borderId="55" xfId="0" applyFont="1" applyBorder="1"/>
    <xf numFmtId="174" fontId="16" fillId="0" borderId="22" xfId="20" applyNumberFormat="1" applyFont="1" applyBorder="1"/>
    <xf numFmtId="0" fontId="16" fillId="0" borderId="62" xfId="0" applyFont="1" applyBorder="1"/>
    <xf numFmtId="174" fontId="16" fillId="0" borderId="62" xfId="20" applyNumberFormat="1" applyFont="1" applyBorder="1"/>
    <xf numFmtId="0" fontId="16" fillId="0" borderId="67" xfId="0" applyFont="1" applyBorder="1"/>
    <xf numFmtId="0" fontId="16" fillId="0" borderId="52" xfId="0" applyFont="1" applyBorder="1"/>
    <xf numFmtId="0" fontId="7" fillId="4" borderId="15" xfId="0" applyFont="1" applyFill="1" applyBorder="1" applyAlignment="1">
      <alignment horizontal="center"/>
    </xf>
    <xf numFmtId="0" fontId="33" fillId="13" borderId="22" xfId="8" applyFont="1" applyFill="1" applyBorder="1" applyAlignment="1">
      <alignment horizontal="center" vertical="center" wrapText="1"/>
    </xf>
    <xf numFmtId="0" fontId="16" fillId="0" borderId="46" xfId="0" applyFont="1" applyBorder="1"/>
    <xf numFmtId="0" fontId="7" fillId="4" borderId="15" xfId="0" applyFont="1" applyFill="1" applyBorder="1" applyAlignment="1">
      <alignment horizontal="center" vertical="center"/>
    </xf>
    <xf numFmtId="0" fontId="16" fillId="2" borderId="52" xfId="0" applyFont="1" applyFill="1" applyBorder="1"/>
    <xf numFmtId="0" fontId="16" fillId="2" borderId="22" xfId="0" applyFont="1" applyFill="1" applyBorder="1"/>
    <xf numFmtId="0" fontId="16" fillId="0" borderId="46" xfId="0" applyFont="1" applyBorder="1" applyAlignment="1">
      <alignment horizontal="center" vertical="center"/>
    </xf>
    <xf numFmtId="0" fontId="16" fillId="0" borderId="22" xfId="0" applyFont="1" applyBorder="1" applyAlignment="1">
      <alignment horizontal="center" vertical="center" wrapText="1"/>
    </xf>
    <xf numFmtId="43" fontId="16" fillId="0" borderId="0" xfId="0" applyNumberFormat="1" applyFont="1"/>
    <xf numFmtId="9" fontId="0" fillId="0" borderId="22" xfId="11" applyFont="1" applyBorder="1" applyAlignment="1">
      <alignment horizontal="center" vertical="center"/>
    </xf>
    <xf numFmtId="0" fontId="83" fillId="0" borderId="0" xfId="0" applyFont="1" applyAlignment="1">
      <alignment vertical="center"/>
    </xf>
    <xf numFmtId="0" fontId="20" fillId="0" borderId="0" xfId="0" applyFont="1" applyAlignment="1">
      <alignment horizontal="center"/>
    </xf>
    <xf numFmtId="10" fontId="20" fillId="0" borderId="0" xfId="0" applyNumberFormat="1" applyFont="1" applyAlignment="1">
      <alignment horizontal="center"/>
    </xf>
    <xf numFmtId="0" fontId="20" fillId="0" borderId="0" xfId="0" applyFont="1"/>
    <xf numFmtId="10" fontId="20" fillId="0" borderId="0" xfId="11" applyNumberFormat="1" applyFont="1" applyAlignment="1">
      <alignment horizontal="center"/>
    </xf>
    <xf numFmtId="0" fontId="19" fillId="0" borderId="0" xfId="0" applyFont="1" applyAlignment="1">
      <alignment horizontal="center"/>
    </xf>
    <xf numFmtId="177" fontId="0" fillId="0" borderId="22" xfId="2" applyNumberFormat="1" applyFont="1" applyBorder="1"/>
    <xf numFmtId="42" fontId="16" fillId="0" borderId="22" xfId="2" applyFont="1" applyBorder="1"/>
    <xf numFmtId="42" fontId="16" fillId="0" borderId="62" xfId="2" applyFont="1" applyBorder="1"/>
    <xf numFmtId="42" fontId="16" fillId="0" borderId="29" xfId="2" applyFont="1" applyBorder="1"/>
    <xf numFmtId="10" fontId="0" fillId="0" borderId="0" xfId="0" applyNumberFormat="1" applyAlignment="1">
      <alignment vertical="top"/>
    </xf>
    <xf numFmtId="171" fontId="40" fillId="0" borderId="21" xfId="7" applyNumberFormat="1" applyFont="1" applyFill="1" applyBorder="1" applyAlignment="1" applyProtection="1">
      <alignment horizontal="center" vertical="center" wrapText="1"/>
    </xf>
    <xf numFmtId="171" fontId="21" fillId="0" borderId="28" xfId="7" applyNumberFormat="1" applyFont="1" applyFill="1" applyBorder="1" applyAlignment="1" applyProtection="1">
      <alignment horizontal="center" vertical="center"/>
    </xf>
    <xf numFmtId="171" fontId="44" fillId="0" borderId="21" xfId="7" applyNumberFormat="1" applyFont="1" applyFill="1" applyBorder="1" applyAlignment="1" applyProtection="1">
      <alignment horizontal="center" vertical="center" wrapText="1"/>
    </xf>
    <xf numFmtId="171" fontId="23" fillId="0" borderId="28" xfId="7" applyNumberFormat="1" applyFont="1" applyFill="1" applyBorder="1" applyAlignment="1" applyProtection="1">
      <alignment horizontal="center" vertical="center"/>
    </xf>
    <xf numFmtId="0" fontId="48" fillId="0" borderId="22" xfId="0" applyFont="1" applyBorder="1" applyAlignment="1">
      <alignment horizontal="center" vertical="center"/>
    </xf>
    <xf numFmtId="0" fontId="33" fillId="3" borderId="26"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10" fontId="10" fillId="0" borderId="22" xfId="3" applyNumberFormat="1" applyFont="1" applyFill="1" applyBorder="1" applyAlignment="1" applyProtection="1">
      <alignment horizontal="center" vertical="center"/>
      <protection locked="0"/>
    </xf>
    <xf numFmtId="10" fontId="10" fillId="0" borderId="39" xfId="3" applyNumberFormat="1" applyFont="1" applyFill="1" applyBorder="1" applyAlignment="1" applyProtection="1">
      <alignment horizontal="left" vertical="center" wrapText="1"/>
    </xf>
    <xf numFmtId="0" fontId="10" fillId="0" borderId="22" xfId="0" applyFont="1" applyBorder="1" applyAlignment="1" applyProtection="1">
      <alignment horizontal="center" vertical="center" wrapText="1"/>
      <protection locked="0"/>
    </xf>
    <xf numFmtId="0" fontId="11" fillId="0" borderId="22" xfId="0" applyFont="1" applyBorder="1" applyAlignment="1" applyProtection="1">
      <alignment horizontal="justify" vertical="center" wrapText="1"/>
      <protection locked="0"/>
    </xf>
    <xf numFmtId="10" fontId="10" fillId="0" borderId="22" xfId="3" applyNumberFormat="1" applyFont="1" applyFill="1" applyBorder="1" applyAlignment="1" applyProtection="1">
      <alignment horizontal="center" vertical="top" wrapText="1"/>
    </xf>
    <xf numFmtId="3" fontId="20" fillId="0" borderId="22" xfId="0" applyNumberFormat="1" applyFont="1" applyBorder="1" applyAlignment="1">
      <alignment horizontal="center" vertical="center" wrapText="1"/>
    </xf>
    <xf numFmtId="3" fontId="20" fillId="0" borderId="22" xfId="0" applyNumberFormat="1" applyFont="1" applyBorder="1" applyAlignment="1">
      <alignment horizontal="right" vertical="center" wrapText="1"/>
    </xf>
    <xf numFmtId="3" fontId="20" fillId="0" borderId="21" xfId="0" applyNumberFormat="1" applyFont="1" applyBorder="1" applyAlignment="1">
      <alignment horizontal="center" vertical="center" wrapText="1"/>
    </xf>
    <xf numFmtId="3" fontId="20" fillId="0" borderId="22" xfId="0" applyNumberFormat="1" applyFont="1" applyBorder="1" applyAlignment="1" applyProtection="1">
      <alignment horizontal="center" vertical="center" wrapText="1"/>
      <protection locked="0"/>
    </xf>
    <xf numFmtId="174" fontId="0" fillId="0" borderId="0" xfId="0" applyNumberFormat="1" applyAlignment="1">
      <alignment horizontal="center" vertical="center"/>
    </xf>
    <xf numFmtId="174" fontId="20" fillId="0" borderId="22" xfId="20" applyNumberFormat="1" applyFont="1" applyFill="1" applyBorder="1" applyAlignment="1" applyProtection="1">
      <alignment horizontal="right" vertical="center" wrapText="1"/>
      <protection locked="0"/>
    </xf>
    <xf numFmtId="3" fontId="26" fillId="0" borderId="22" xfId="0" applyNumberFormat="1" applyFont="1" applyBorder="1" applyAlignment="1">
      <alignment horizontal="center" vertical="center"/>
    </xf>
    <xf numFmtId="169" fontId="26" fillId="0" borderId="22" xfId="0" applyNumberFormat="1" applyFont="1" applyBorder="1" applyAlignment="1">
      <alignment horizontal="right" vertical="center"/>
    </xf>
    <xf numFmtId="0" fontId="26" fillId="0" borderId="22" xfId="0" applyFont="1" applyBorder="1" applyAlignment="1">
      <alignment horizontal="center" vertical="center"/>
    </xf>
    <xf numFmtId="3" fontId="26" fillId="0" borderId="22" xfId="0" applyNumberFormat="1" applyFont="1" applyBorder="1" applyAlignment="1">
      <alignment horizontal="right" vertical="center"/>
    </xf>
    <xf numFmtId="0" fontId="26" fillId="0" borderId="22" xfId="0" applyFont="1" applyBorder="1" applyAlignment="1">
      <alignment horizontal="right" vertical="center"/>
    </xf>
    <xf numFmtId="0" fontId="26" fillId="0" borderId="48" xfId="0" applyFont="1" applyBorder="1" applyAlignment="1">
      <alignment horizontal="right" vertical="center"/>
    </xf>
    <xf numFmtId="174" fontId="20" fillId="0" borderId="21" xfId="0" applyNumberFormat="1" applyFont="1" applyBorder="1" applyAlignment="1">
      <alignment horizontal="center" vertical="center"/>
    </xf>
    <xf numFmtId="3" fontId="26" fillId="0" borderId="22" xfId="0" applyNumberFormat="1" applyFont="1" applyBorder="1" applyAlignment="1" applyProtection="1">
      <alignment horizontal="center" vertical="center"/>
      <protection locked="0"/>
    </xf>
    <xf numFmtId="174" fontId="26" fillId="0" borderId="22" xfId="0" applyNumberFormat="1" applyFont="1" applyBorder="1" applyAlignment="1">
      <alignment horizontal="center" vertical="center"/>
    </xf>
    <xf numFmtId="3" fontId="20" fillId="0" borderId="62" xfId="0" applyNumberFormat="1" applyFont="1" applyBorder="1" applyAlignment="1">
      <alignment horizontal="center" vertical="center" wrapText="1"/>
    </xf>
    <xf numFmtId="3" fontId="26" fillId="0" borderId="62" xfId="0" applyNumberFormat="1" applyFont="1" applyBorder="1" applyAlignment="1">
      <alignment horizontal="center" vertical="center"/>
    </xf>
    <xf numFmtId="3" fontId="20" fillId="0" borderId="62" xfId="4" applyNumberFormat="1" applyFont="1" applyFill="1" applyBorder="1" applyAlignment="1" applyProtection="1">
      <alignment horizontal="center" vertical="center" wrapText="1"/>
      <protection locked="0"/>
    </xf>
    <xf numFmtId="3" fontId="20" fillId="0" borderId="39" xfId="0" applyNumberFormat="1" applyFont="1" applyBorder="1" applyAlignment="1">
      <alignment horizontal="center" vertical="center" wrapText="1"/>
    </xf>
    <xf numFmtId="3" fontId="26" fillId="0" borderId="39" xfId="0" applyNumberFormat="1" applyFont="1" applyBorder="1" applyAlignment="1">
      <alignment horizontal="center" vertical="center"/>
    </xf>
    <xf numFmtId="3" fontId="20" fillId="0" borderId="39" xfId="0" applyNumberFormat="1" applyFont="1" applyBorder="1" applyAlignment="1">
      <alignment horizontal="right" vertical="center" wrapText="1"/>
    </xf>
    <xf numFmtId="4" fontId="20" fillId="0" borderId="39" xfId="0" applyNumberFormat="1" applyFont="1" applyBorder="1" applyAlignment="1">
      <alignment horizontal="right" vertical="center" wrapText="1"/>
    </xf>
    <xf numFmtId="167" fontId="20" fillId="0" borderId="38" xfId="0" applyNumberFormat="1" applyFont="1" applyBorder="1" applyAlignment="1">
      <alignment horizontal="center" vertical="center" wrapText="1"/>
    </xf>
    <xf numFmtId="4" fontId="20" fillId="0" borderId="39" xfId="0" applyNumberFormat="1" applyFont="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167" fontId="20" fillId="0" borderId="39" xfId="0" applyNumberFormat="1" applyFont="1" applyBorder="1" applyAlignment="1">
      <alignment horizontal="center" vertical="center" wrapText="1"/>
    </xf>
    <xf numFmtId="4" fontId="26" fillId="0" borderId="22" xfId="0" applyNumberFormat="1" applyFont="1" applyBorder="1" applyAlignment="1">
      <alignment horizontal="right" vertical="center"/>
    </xf>
    <xf numFmtId="173" fontId="20" fillId="0" borderId="21" xfId="0" applyNumberFormat="1" applyFont="1" applyBorder="1" applyAlignment="1">
      <alignment horizontal="center" vertical="center"/>
    </xf>
    <xf numFmtId="0" fontId="26" fillId="0" borderId="22" xfId="0" applyFont="1" applyBorder="1" applyAlignment="1" applyProtection="1">
      <alignment horizontal="center" vertical="center"/>
      <protection locked="0"/>
    </xf>
    <xf numFmtId="167" fontId="20" fillId="0" borderId="22" xfId="0" applyNumberFormat="1" applyFont="1" applyBorder="1" applyAlignment="1">
      <alignment horizontal="center" vertical="center" wrapText="1"/>
    </xf>
    <xf numFmtId="4" fontId="20" fillId="0" borderId="22" xfId="0" applyNumberFormat="1" applyFont="1" applyBorder="1" applyAlignment="1">
      <alignment horizontal="center" vertical="center" wrapText="1"/>
    </xf>
    <xf numFmtId="4" fontId="20" fillId="0" borderId="22" xfId="0" applyNumberFormat="1" applyFont="1" applyBorder="1" applyAlignment="1">
      <alignment horizontal="right" vertical="center" wrapText="1"/>
    </xf>
    <xf numFmtId="167" fontId="20" fillId="0" borderId="62" xfId="4" applyNumberFormat="1" applyFont="1" applyFill="1" applyBorder="1" applyAlignment="1" applyProtection="1">
      <alignment horizontal="center" vertical="center" wrapText="1"/>
      <protection locked="0"/>
    </xf>
    <xf numFmtId="4" fontId="20" fillId="0" borderId="62" xfId="0" applyNumberFormat="1" applyFont="1" applyBorder="1" applyAlignment="1">
      <alignment horizontal="center" vertical="center" wrapText="1"/>
    </xf>
    <xf numFmtId="167" fontId="20" fillId="0" borderId="62" xfId="0" applyNumberFormat="1" applyFont="1" applyBorder="1" applyAlignment="1">
      <alignment horizontal="center" vertical="center" wrapText="1"/>
    </xf>
    <xf numFmtId="3" fontId="20" fillId="0" borderId="38" xfId="0" applyNumberFormat="1" applyFont="1" applyBorder="1" applyAlignment="1">
      <alignment horizontal="center" vertical="center" wrapText="1"/>
    </xf>
    <xf numFmtId="3" fontId="20" fillId="0" borderId="39" xfId="0" applyNumberFormat="1" applyFont="1" applyBorder="1" applyAlignment="1" applyProtection="1">
      <alignment horizontal="center" vertical="center" wrapText="1"/>
      <protection locked="0"/>
    </xf>
    <xf numFmtId="10" fontId="20" fillId="0" borderId="39" xfId="0" applyNumberFormat="1" applyFont="1" applyBorder="1" applyAlignment="1">
      <alignment horizontal="center" vertical="center" wrapText="1"/>
    </xf>
    <xf numFmtId="10" fontId="20" fillId="0" borderId="39" xfId="11" applyNumberFormat="1" applyFont="1" applyFill="1" applyBorder="1" applyAlignment="1" applyProtection="1">
      <alignment horizontal="center" vertical="center" wrapText="1"/>
      <protection locked="0"/>
    </xf>
    <xf numFmtId="8" fontId="84" fillId="0" borderId="0" xfId="0" applyNumberFormat="1" applyFont="1"/>
    <xf numFmtId="10" fontId="26" fillId="0" borderId="22" xfId="0" applyNumberFormat="1" applyFont="1" applyBorder="1" applyAlignment="1">
      <alignment horizontal="center" vertical="center"/>
    </xf>
    <xf numFmtId="9" fontId="26" fillId="0" borderId="22" xfId="0" applyNumberFormat="1" applyFont="1" applyBorder="1" applyAlignment="1">
      <alignment horizontal="center" vertical="center"/>
    </xf>
    <xf numFmtId="0" fontId="20" fillId="0" borderId="21" xfId="0" applyFont="1" applyBorder="1" applyAlignment="1">
      <alignment horizontal="center" vertical="center"/>
    </xf>
    <xf numFmtId="164" fontId="26" fillId="0" borderId="22" xfId="0" applyNumberFormat="1" applyFont="1" applyBorder="1" applyAlignment="1">
      <alignment horizontal="center" vertical="center"/>
    </xf>
    <xf numFmtId="164" fontId="26" fillId="0" borderId="22" xfId="0" applyNumberFormat="1" applyFont="1" applyBorder="1" applyAlignment="1" applyProtection="1">
      <alignment horizontal="center" vertical="center"/>
      <protection locked="0"/>
    </xf>
    <xf numFmtId="164" fontId="20" fillId="0" borderId="62" xfId="11" applyNumberFormat="1" applyFont="1" applyFill="1" applyBorder="1" applyAlignment="1" applyProtection="1">
      <alignment horizontal="center" vertical="center" wrapText="1"/>
      <protection locked="0"/>
    </xf>
    <xf numFmtId="10" fontId="24" fillId="9" borderId="25" xfId="3" applyNumberFormat="1" applyFont="1" applyFill="1" applyBorder="1" applyAlignment="1" applyProtection="1">
      <alignment horizontal="center" vertical="center" wrapText="1"/>
    </xf>
    <xf numFmtId="10" fontId="24" fillId="0" borderId="49" xfId="3" applyNumberFormat="1" applyFont="1" applyFill="1" applyBorder="1" applyAlignment="1" applyProtection="1">
      <alignment horizontal="center" vertical="center" wrapText="1"/>
    </xf>
    <xf numFmtId="10" fontId="35" fillId="0" borderId="22" xfId="5" applyNumberFormat="1" applyFont="1" applyBorder="1" applyAlignment="1">
      <alignment horizontal="center" vertical="center" wrapText="1"/>
    </xf>
    <xf numFmtId="164" fontId="35" fillId="0" borderId="22" xfId="5" applyNumberFormat="1" applyFont="1" applyBorder="1" applyAlignment="1">
      <alignment horizontal="center" vertical="center" wrapText="1"/>
    </xf>
    <xf numFmtId="10" fontId="35" fillId="0" borderId="22" xfId="5" applyNumberFormat="1" applyFont="1" applyBorder="1" applyAlignment="1" applyProtection="1">
      <alignment horizontal="center" vertical="center"/>
      <protection locked="0"/>
    </xf>
    <xf numFmtId="10" fontId="35" fillId="0" borderId="22" xfId="5" applyNumberFormat="1" applyFont="1" applyBorder="1" applyAlignment="1" applyProtection="1">
      <alignment horizontal="center" vertical="center" wrapText="1"/>
      <protection locked="0"/>
    </xf>
    <xf numFmtId="10" fontId="32" fillId="3" borderId="62" xfId="5" applyNumberFormat="1" applyFill="1" applyBorder="1" applyAlignment="1">
      <alignment horizontal="center" vertical="center" wrapText="1"/>
    </xf>
    <xf numFmtId="10" fontId="35" fillId="0" borderId="22" xfId="5" applyNumberFormat="1" applyFont="1" applyBorder="1" applyAlignment="1">
      <alignment horizontal="center" vertical="center"/>
    </xf>
    <xf numFmtId="10" fontId="35" fillId="0" borderId="22" xfId="11" applyNumberFormat="1" applyFont="1" applyFill="1" applyBorder="1" applyAlignment="1" applyProtection="1">
      <alignment horizontal="center" vertical="center" wrapText="1"/>
    </xf>
    <xf numFmtId="10" fontId="35" fillId="0" borderId="22" xfId="3" applyNumberFormat="1" applyFont="1" applyFill="1" applyBorder="1" applyAlignment="1" applyProtection="1">
      <alignment horizontal="center" vertical="center"/>
    </xf>
    <xf numFmtId="10" fontId="35" fillId="0" borderId="22" xfId="3" applyNumberFormat="1" applyFont="1" applyFill="1" applyBorder="1" applyAlignment="1" applyProtection="1">
      <alignment horizontal="center" vertical="center"/>
      <protection locked="0"/>
    </xf>
    <xf numFmtId="3" fontId="42" fillId="0" borderId="44" xfId="0" applyNumberFormat="1" applyFont="1" applyBorder="1" applyAlignment="1">
      <alignment horizontal="center" vertical="center"/>
    </xf>
    <xf numFmtId="3" fontId="42" fillId="0" borderId="43" xfId="0" applyNumberFormat="1" applyFont="1" applyBorder="1" applyAlignment="1">
      <alignment horizontal="center" vertical="center"/>
    </xf>
    <xf numFmtId="3" fontId="42" fillId="0" borderId="17" xfId="0" applyNumberFormat="1" applyFont="1" applyBorder="1" applyAlignment="1">
      <alignment horizontal="center" vertical="center"/>
    </xf>
    <xf numFmtId="3" fontId="42" fillId="0" borderId="18" xfId="0" applyNumberFormat="1" applyFont="1" applyBorder="1" applyAlignment="1" applyProtection="1">
      <alignment horizontal="center" vertical="center"/>
      <protection locked="0"/>
    </xf>
    <xf numFmtId="3" fontId="42" fillId="0" borderId="18" xfId="0" applyNumberFormat="1" applyFont="1" applyBorder="1" applyAlignment="1">
      <alignment horizontal="center" vertical="center"/>
    </xf>
    <xf numFmtId="3" fontId="21" fillId="0" borderId="18" xfId="0" applyNumberFormat="1" applyFont="1" applyBorder="1" applyAlignment="1" applyProtection="1">
      <alignment horizontal="center" vertical="center"/>
      <protection locked="0"/>
    </xf>
    <xf numFmtId="3" fontId="21" fillId="0" borderId="18" xfId="0" applyNumberFormat="1" applyFont="1" applyBorder="1" applyAlignment="1">
      <alignment horizontal="center" vertical="center"/>
    </xf>
    <xf numFmtId="3" fontId="42" fillId="0" borderId="19" xfId="0" applyNumberFormat="1" applyFont="1" applyBorder="1" applyAlignment="1">
      <alignment horizontal="center" vertical="center"/>
    </xf>
    <xf numFmtId="3" fontId="21" fillId="0" borderId="5" xfId="0" applyNumberFormat="1" applyFont="1" applyBorder="1" applyAlignment="1" applyProtection="1">
      <alignment horizontal="center" vertical="center"/>
      <protection locked="0"/>
    </xf>
    <xf numFmtId="171" fontId="40" fillId="0" borderId="22" xfId="7" applyNumberFormat="1" applyFont="1" applyFill="1" applyBorder="1" applyAlignment="1" applyProtection="1">
      <alignment horizontal="center" vertical="center" wrapText="1"/>
    </xf>
    <xf numFmtId="3" fontId="21" fillId="0" borderId="22" xfId="0" applyNumberFormat="1" applyFont="1" applyBorder="1" applyAlignment="1" applyProtection="1">
      <alignment horizontal="center" vertical="center"/>
      <protection locked="0"/>
    </xf>
    <xf numFmtId="3" fontId="21" fillId="0" borderId="22" xfId="0" applyNumberFormat="1" applyFont="1" applyBorder="1" applyAlignment="1">
      <alignment horizontal="center" vertical="center"/>
    </xf>
    <xf numFmtId="3" fontId="21" fillId="0" borderId="48" xfId="0" applyNumberFormat="1" applyFont="1" applyBorder="1" applyAlignment="1">
      <alignment horizontal="center" vertical="center"/>
    </xf>
    <xf numFmtId="3" fontId="21" fillId="0" borderId="47" xfId="0" applyNumberFormat="1" applyFont="1" applyBorder="1" applyAlignment="1">
      <alignment horizontal="center" vertical="center"/>
    </xf>
    <xf numFmtId="3" fontId="21" fillId="0" borderId="21" xfId="0" applyNumberFormat="1" applyFont="1" applyBorder="1" applyAlignment="1">
      <alignment horizontal="center" vertical="center"/>
    </xf>
    <xf numFmtId="3" fontId="21" fillId="0" borderId="23" xfId="0" applyNumberFormat="1" applyFont="1" applyBorder="1" applyAlignment="1" applyProtection="1">
      <alignment horizontal="center" vertical="center"/>
      <protection locked="0"/>
    </xf>
    <xf numFmtId="3" fontId="21" fillId="0" borderId="73" xfId="0" applyNumberFormat="1" applyFont="1" applyBorder="1" applyAlignment="1" applyProtection="1">
      <alignment horizontal="center" vertical="center"/>
      <protection locked="0"/>
    </xf>
    <xf numFmtId="171" fontId="21" fillId="0" borderId="29" xfId="7" applyNumberFormat="1" applyFont="1" applyFill="1" applyBorder="1" applyAlignment="1" applyProtection="1">
      <alignment horizontal="center" vertical="center"/>
    </xf>
    <xf numFmtId="3" fontId="21" fillId="0" borderId="29" xfId="7" applyNumberFormat="1" applyFont="1" applyFill="1" applyBorder="1" applyAlignment="1" applyProtection="1">
      <alignment horizontal="center" vertical="center"/>
    </xf>
    <xf numFmtId="3" fontId="42" fillId="0" borderId="38" xfId="0" applyNumberFormat="1" applyFont="1" applyBorder="1" applyAlignment="1">
      <alignment horizontal="center" vertical="center"/>
    </xf>
    <xf numFmtId="3" fontId="21" fillId="0" borderId="39" xfId="0" applyNumberFormat="1" applyFont="1" applyBorder="1" applyAlignment="1" applyProtection="1">
      <alignment horizontal="center" vertical="center"/>
      <protection locked="0"/>
    </xf>
    <xf numFmtId="3" fontId="21" fillId="0" borderId="39" xfId="0" applyNumberFormat="1" applyFont="1" applyBorder="1" applyAlignment="1">
      <alignment horizontal="center" vertical="center"/>
    </xf>
    <xf numFmtId="3" fontId="21" fillId="0" borderId="55" xfId="0" applyNumberFormat="1" applyFont="1" applyBorder="1" applyAlignment="1" applyProtection="1">
      <alignment horizontal="center" vertical="center"/>
      <protection locked="0"/>
    </xf>
    <xf numFmtId="3" fontId="21" fillId="0" borderId="43" xfId="0" applyNumberFormat="1" applyFont="1" applyBorder="1" applyAlignment="1" applyProtection="1">
      <alignment horizontal="center" vertical="center"/>
      <protection locked="0"/>
    </xf>
    <xf numFmtId="3" fontId="21" fillId="0" borderId="47" xfId="0" applyNumberFormat="1" applyFont="1" applyBorder="1" applyAlignment="1" applyProtection="1">
      <alignment horizontal="center" vertical="center"/>
      <protection locked="0"/>
    </xf>
    <xf numFmtId="171" fontId="21" fillId="0" borderId="66" xfId="7" applyNumberFormat="1" applyFont="1" applyFill="1" applyBorder="1" applyAlignment="1" applyProtection="1">
      <alignment horizontal="center" vertical="center"/>
    </xf>
    <xf numFmtId="3" fontId="21" fillId="0" borderId="62" xfId="7" applyNumberFormat="1" applyFont="1" applyFill="1" applyBorder="1" applyAlignment="1" applyProtection="1">
      <alignment horizontal="center" vertical="center"/>
    </xf>
    <xf numFmtId="3" fontId="21" fillId="0" borderId="19" xfId="0" applyNumberFormat="1" applyFont="1" applyBorder="1" applyAlignment="1" applyProtection="1">
      <alignment horizontal="center" vertical="center"/>
      <protection locked="0"/>
    </xf>
    <xf numFmtId="174" fontId="75" fillId="0" borderId="0" xfId="14" applyNumberFormat="1" applyFont="1" applyAlignment="1">
      <alignment vertical="center"/>
    </xf>
    <xf numFmtId="3" fontId="21" fillId="0" borderId="17" xfId="0" applyNumberFormat="1" applyFont="1" applyBorder="1" applyAlignment="1">
      <alignment horizontal="center" vertical="center"/>
    </xf>
    <xf numFmtId="171" fontId="21" fillId="0" borderId="22" xfId="7" applyNumberFormat="1" applyFont="1" applyFill="1" applyBorder="1" applyAlignment="1" applyProtection="1">
      <alignment horizontal="center" vertical="center" wrapText="1"/>
      <protection locked="0"/>
    </xf>
    <xf numFmtId="171" fontId="21" fillId="0" borderId="21" xfId="7" applyNumberFormat="1" applyFont="1" applyFill="1" applyBorder="1" applyAlignment="1" applyProtection="1">
      <alignment horizontal="center" vertical="center" wrapText="1"/>
    </xf>
    <xf numFmtId="174" fontId="32" fillId="0" borderId="0" xfId="14" applyNumberFormat="1" applyFont="1" applyAlignment="1">
      <alignment vertical="center"/>
    </xf>
    <xf numFmtId="3" fontId="45" fillId="0" borderId="44" xfId="0" applyNumberFormat="1" applyFont="1" applyBorder="1" applyAlignment="1">
      <alignment horizontal="center" vertical="center"/>
    </xf>
    <xf numFmtId="3" fontId="45" fillId="0" borderId="43" xfId="0" applyNumberFormat="1" applyFont="1" applyBorder="1" applyAlignment="1">
      <alignment horizontal="center" vertical="center"/>
    </xf>
    <xf numFmtId="3" fontId="45" fillId="0" borderId="17" xfId="0" applyNumberFormat="1" applyFont="1" applyBorder="1" applyAlignment="1">
      <alignment horizontal="center" vertical="center"/>
    </xf>
    <xf numFmtId="3" fontId="45" fillId="0" borderId="18" xfId="0" applyNumberFormat="1" applyFont="1" applyBorder="1" applyAlignment="1" applyProtection="1">
      <alignment horizontal="center" vertical="center"/>
      <protection locked="0"/>
    </xf>
    <xf numFmtId="3" fontId="23" fillId="0" borderId="17" xfId="0" applyNumberFormat="1" applyFont="1" applyBorder="1" applyAlignment="1">
      <alignment horizontal="center" vertical="center"/>
    </xf>
    <xf numFmtId="3" fontId="23" fillId="0" borderId="18" xfId="0" applyNumberFormat="1" applyFont="1" applyBorder="1" applyAlignment="1" applyProtection="1">
      <alignment horizontal="center" vertical="center"/>
      <protection locked="0"/>
    </xf>
    <xf numFmtId="3" fontId="23" fillId="0" borderId="18" xfId="0" applyNumberFormat="1" applyFont="1" applyBorder="1" applyAlignment="1">
      <alignment horizontal="center" vertical="center"/>
    </xf>
    <xf numFmtId="3" fontId="23" fillId="0" borderId="18" xfId="0" applyNumberFormat="1" applyFont="1" applyBorder="1" applyAlignment="1" applyProtection="1">
      <alignment horizontal="center" vertical="center" wrapText="1"/>
      <protection locked="0"/>
    </xf>
    <xf numFmtId="3" fontId="44" fillId="0" borderId="18" xfId="0" applyNumberFormat="1" applyFont="1" applyBorder="1" applyAlignment="1" applyProtection="1">
      <alignment horizontal="center" vertical="center" wrapText="1"/>
      <protection locked="0"/>
    </xf>
    <xf numFmtId="3" fontId="44" fillId="0" borderId="19" xfId="0" applyNumberFormat="1" applyFont="1" applyBorder="1" applyAlignment="1" applyProtection="1">
      <alignment horizontal="center" vertical="center" wrapText="1"/>
      <protection locked="0"/>
    </xf>
    <xf numFmtId="3" fontId="44" fillId="0" borderId="43" xfId="0" applyNumberFormat="1" applyFont="1" applyBorder="1" applyAlignment="1" applyProtection="1">
      <alignment horizontal="center" vertical="center" wrapText="1"/>
      <protection locked="0"/>
    </xf>
    <xf numFmtId="174" fontId="33" fillId="0" borderId="0" xfId="14" applyNumberFormat="1" applyFont="1" applyAlignment="1">
      <alignment vertical="center"/>
    </xf>
    <xf numFmtId="3" fontId="23" fillId="0" borderId="22" xfId="0" applyNumberFormat="1" applyFont="1" applyBorder="1" applyAlignment="1" applyProtection="1">
      <alignment horizontal="center" vertical="center"/>
      <protection locked="0"/>
    </xf>
    <xf numFmtId="174" fontId="23" fillId="0" borderId="22" xfId="161" applyNumberFormat="1" applyFont="1" applyFill="1" applyBorder="1" applyAlignment="1">
      <alignment horizontal="center" vertical="center"/>
    </xf>
    <xf numFmtId="171" fontId="23" fillId="0" borderId="22" xfId="7" applyNumberFormat="1" applyFont="1" applyFill="1" applyBorder="1" applyAlignment="1" applyProtection="1">
      <alignment horizontal="center" vertical="center"/>
      <protection locked="0"/>
    </xf>
    <xf numFmtId="3" fontId="23" fillId="0" borderId="48" xfId="0" applyNumberFormat="1" applyFont="1" applyBorder="1" applyAlignment="1">
      <alignment horizontal="center" vertical="center"/>
    </xf>
    <xf numFmtId="3" fontId="23" fillId="0" borderId="47" xfId="0" applyNumberFormat="1" applyFont="1" applyBorder="1" applyAlignment="1">
      <alignment horizontal="center" vertical="center"/>
    </xf>
    <xf numFmtId="3" fontId="23" fillId="0" borderId="21" xfId="0" applyNumberFormat="1" applyFont="1" applyBorder="1" applyAlignment="1">
      <alignment horizontal="center" vertical="center"/>
    </xf>
    <xf numFmtId="3" fontId="23" fillId="0" borderId="22" xfId="0" applyNumberFormat="1" applyFont="1" applyBorder="1" applyAlignment="1">
      <alignment horizontal="center" vertical="center"/>
    </xf>
    <xf numFmtId="174" fontId="23" fillId="0" borderId="22" xfId="0" applyNumberFormat="1" applyFont="1" applyBorder="1" applyAlignment="1">
      <alignment horizontal="center" vertical="center"/>
    </xf>
    <xf numFmtId="171" fontId="23" fillId="0" borderId="66" xfId="7" applyNumberFormat="1" applyFont="1" applyFill="1" applyBorder="1" applyAlignment="1" applyProtection="1">
      <alignment horizontal="center" vertical="center"/>
    </xf>
    <xf numFmtId="3" fontId="23" fillId="0" borderId="62" xfId="7" applyNumberFormat="1" applyFont="1" applyFill="1" applyBorder="1" applyAlignment="1" applyProtection="1">
      <alignment horizontal="center" vertical="center"/>
      <protection locked="0"/>
    </xf>
    <xf numFmtId="3" fontId="23" fillId="0" borderId="62" xfId="7" applyNumberFormat="1" applyFont="1" applyFill="1" applyBorder="1" applyAlignment="1" applyProtection="1">
      <alignment horizontal="center" vertical="center"/>
    </xf>
    <xf numFmtId="3" fontId="45" fillId="0" borderId="18" xfId="0" applyNumberFormat="1" applyFont="1" applyBorder="1" applyAlignment="1">
      <alignment horizontal="center" vertical="center"/>
    </xf>
    <xf numFmtId="4" fontId="23" fillId="0" borderId="18" xfId="0" applyNumberFormat="1" applyFont="1" applyBorder="1" applyAlignment="1">
      <alignment horizontal="center" vertical="center"/>
    </xf>
    <xf numFmtId="4" fontId="23" fillId="0" borderId="18" xfId="0" applyNumberFormat="1" applyFont="1" applyBorder="1" applyAlignment="1" applyProtection="1">
      <alignment horizontal="center" vertical="center"/>
      <protection locked="0"/>
    </xf>
    <xf numFmtId="4" fontId="45" fillId="0" borderId="18" xfId="0" applyNumberFormat="1" applyFont="1" applyBorder="1" applyAlignment="1" applyProtection="1">
      <alignment horizontal="center" vertical="center"/>
      <protection locked="0"/>
    </xf>
    <xf numFmtId="4" fontId="45" fillId="0" borderId="19" xfId="0" applyNumberFormat="1" applyFont="1" applyBorder="1" applyAlignment="1" applyProtection="1">
      <alignment horizontal="center" vertical="center"/>
      <protection locked="0"/>
    </xf>
    <xf numFmtId="4" fontId="45" fillId="0" borderId="43" xfId="0" applyNumberFormat="1" applyFont="1" applyBorder="1" applyAlignment="1" applyProtection="1">
      <alignment horizontal="center" vertical="center"/>
      <protection locked="0"/>
    </xf>
    <xf numFmtId="171" fontId="44" fillId="0" borderId="22" xfId="7" applyNumberFormat="1" applyFont="1" applyFill="1" applyBorder="1" applyAlignment="1" applyProtection="1">
      <alignment horizontal="center" vertical="center" wrapText="1"/>
    </xf>
    <xf numFmtId="44" fontId="23" fillId="0" borderId="22" xfId="161" applyFont="1" applyFill="1" applyBorder="1" applyAlignment="1" applyProtection="1">
      <alignment horizontal="center" vertical="center" wrapText="1"/>
    </xf>
    <xf numFmtId="171" fontId="23" fillId="0" borderId="22" xfId="7" applyNumberFormat="1" applyFont="1" applyFill="1" applyBorder="1" applyAlignment="1" applyProtection="1">
      <alignment horizontal="center" vertical="center" wrapText="1"/>
      <protection locked="0"/>
    </xf>
    <xf numFmtId="167" fontId="23" fillId="0" borderId="21" xfId="0" applyNumberFormat="1" applyFont="1" applyBorder="1" applyAlignment="1">
      <alignment horizontal="center" vertical="center"/>
    </xf>
    <xf numFmtId="167" fontId="23" fillId="0" borderId="22" xfId="0" applyNumberFormat="1" applyFont="1" applyBorder="1" applyAlignment="1" applyProtection="1">
      <alignment horizontal="center" vertical="center"/>
      <protection locked="0"/>
    </xf>
    <xf numFmtId="167" fontId="23" fillId="0" borderId="22" xfId="0" applyNumberFormat="1" applyFont="1" applyBorder="1" applyAlignment="1">
      <alignment horizontal="center" vertical="center"/>
    </xf>
    <xf numFmtId="4" fontId="23" fillId="0" borderId="22" xfId="0" applyNumberFormat="1" applyFont="1" applyBorder="1" applyAlignment="1" applyProtection="1">
      <alignment horizontal="center" vertical="center"/>
      <protection locked="0"/>
    </xf>
    <xf numFmtId="3" fontId="23" fillId="0" borderId="23" xfId="0" applyNumberFormat="1" applyFont="1" applyBorder="1" applyAlignment="1" applyProtection="1">
      <alignment horizontal="center" vertical="center"/>
      <protection locked="0"/>
    </xf>
    <xf numFmtId="3" fontId="23" fillId="0" borderId="47" xfId="0" applyNumberFormat="1" applyFont="1" applyBorder="1" applyAlignment="1" applyProtection="1">
      <alignment horizontal="center" vertical="center"/>
      <protection locked="0"/>
    </xf>
    <xf numFmtId="4" fontId="23" fillId="0" borderId="23" xfId="0" applyNumberFormat="1" applyFont="1" applyBorder="1" applyAlignment="1" applyProtection="1">
      <alignment horizontal="center" vertical="center"/>
      <protection locked="0"/>
    </xf>
    <xf numFmtId="4" fontId="23" fillId="0" borderId="47" xfId="0" applyNumberFormat="1" applyFont="1" applyBorder="1" applyAlignment="1" applyProtection="1">
      <alignment horizontal="center" vertical="center"/>
      <protection locked="0"/>
    </xf>
    <xf numFmtId="171" fontId="23" fillId="0" borderId="29" xfId="7" applyNumberFormat="1" applyFont="1" applyFill="1" applyBorder="1" applyAlignment="1" applyProtection="1">
      <alignment horizontal="center" vertical="center"/>
    </xf>
    <xf numFmtId="171" fontId="23" fillId="0" borderId="62" xfId="7" applyNumberFormat="1" applyFont="1" applyFill="1" applyBorder="1" applyAlignment="1" applyProtection="1">
      <alignment horizontal="center" vertical="center"/>
    </xf>
    <xf numFmtId="3" fontId="42" fillId="0" borderId="42" xfId="0" applyNumberFormat="1" applyFont="1" applyBorder="1" applyAlignment="1">
      <alignment horizontal="center" vertical="center"/>
    </xf>
    <xf numFmtId="3" fontId="21" fillId="0" borderId="18" xfId="0" applyNumberFormat="1" applyFont="1" applyBorder="1" applyAlignment="1" applyProtection="1">
      <alignment horizontal="center" vertical="center" wrapText="1"/>
      <protection locked="0"/>
    </xf>
    <xf numFmtId="3" fontId="21" fillId="0" borderId="18" xfId="0" applyNumberFormat="1" applyFont="1" applyBorder="1" applyAlignment="1">
      <alignment horizontal="center" vertical="center" wrapText="1"/>
    </xf>
    <xf numFmtId="3" fontId="42" fillId="0" borderId="19" xfId="0" applyNumberFormat="1" applyFont="1" applyBorder="1" applyAlignment="1" applyProtection="1">
      <alignment horizontal="center" vertical="center"/>
      <protection locked="0"/>
    </xf>
    <xf numFmtId="3" fontId="21" fillId="0" borderId="47" xfId="0" applyNumberFormat="1" applyFont="1" applyBorder="1" applyAlignment="1" applyProtection="1">
      <alignment horizontal="center" vertical="center" wrapText="1"/>
      <protection locked="0"/>
    </xf>
    <xf numFmtId="171" fontId="40" fillId="0" borderId="46" xfId="7" applyNumberFormat="1" applyFont="1" applyFill="1" applyBorder="1" applyAlignment="1" applyProtection="1">
      <alignment horizontal="center" vertical="center" wrapText="1"/>
    </xf>
    <xf numFmtId="3" fontId="21" fillId="0" borderId="22" xfId="0" applyNumberFormat="1" applyFont="1" applyBorder="1" applyAlignment="1" applyProtection="1">
      <alignment horizontal="center" vertical="center" wrapText="1"/>
      <protection locked="0"/>
    </xf>
    <xf numFmtId="3" fontId="21" fillId="0" borderId="46" xfId="0" applyNumberFormat="1" applyFont="1" applyBorder="1" applyAlignment="1">
      <alignment horizontal="center" vertical="center"/>
    </xf>
    <xf numFmtId="0" fontId="21" fillId="0" borderId="22" xfId="0" applyFont="1" applyBorder="1" applyAlignment="1" applyProtection="1">
      <alignment horizontal="center" vertical="center"/>
      <protection locked="0"/>
    </xf>
    <xf numFmtId="0" fontId="21" fillId="0" borderId="22" xfId="0" applyFont="1" applyBorder="1" applyAlignment="1">
      <alignment horizontal="center" vertical="center"/>
    </xf>
    <xf numFmtId="0" fontId="21" fillId="0" borderId="47" xfId="0" applyFont="1" applyBorder="1" applyAlignment="1" applyProtection="1">
      <alignment horizontal="center" vertical="center"/>
      <protection locked="0"/>
    </xf>
    <xf numFmtId="171" fontId="21" fillId="0" borderId="52" xfId="7" applyNumberFormat="1" applyFont="1" applyFill="1" applyBorder="1" applyAlignment="1" applyProtection="1">
      <alignment horizontal="center" vertical="center"/>
    </xf>
    <xf numFmtId="171" fontId="21" fillId="0" borderId="29" xfId="0" applyNumberFormat="1" applyFont="1" applyBorder="1" applyAlignment="1" applyProtection="1">
      <alignment horizontal="center" vertical="center"/>
      <protection locked="0"/>
    </xf>
    <xf numFmtId="3" fontId="21" fillId="0" borderId="29" xfId="0" applyNumberFormat="1" applyFont="1" applyBorder="1" applyAlignment="1">
      <alignment horizontal="center" vertical="center"/>
    </xf>
    <xf numFmtId="3" fontId="21" fillId="0" borderId="29" xfId="0" applyNumberFormat="1" applyFont="1" applyBorder="1" applyAlignment="1" applyProtection="1">
      <alignment horizontal="center" vertical="center"/>
      <protection locked="0"/>
    </xf>
    <xf numFmtId="3" fontId="21" fillId="0" borderId="51" xfId="0" applyNumberFormat="1" applyFont="1" applyBorder="1" applyAlignment="1" applyProtection="1">
      <alignment horizontal="center" vertical="center"/>
      <protection locked="0"/>
    </xf>
    <xf numFmtId="3" fontId="78" fillId="0" borderId="18" xfId="0" applyNumberFormat="1" applyFont="1" applyBorder="1" applyAlignment="1" applyProtection="1">
      <alignment horizontal="center" vertical="center"/>
      <protection locked="0"/>
    </xf>
    <xf numFmtId="3" fontId="78" fillId="0" borderId="18" xfId="0" applyNumberFormat="1" applyFont="1" applyBorder="1" applyAlignment="1" applyProtection="1">
      <alignment horizontal="center" vertical="center" wrapText="1"/>
      <protection locked="0"/>
    </xf>
    <xf numFmtId="3" fontId="78" fillId="0" borderId="39" xfId="0" applyNumberFormat="1" applyFont="1" applyBorder="1" applyAlignment="1">
      <alignment horizontal="center" vertical="center" wrapText="1"/>
    </xf>
    <xf numFmtId="3" fontId="21" fillId="0" borderId="39" xfId="0" applyNumberFormat="1" applyFont="1" applyBorder="1" applyAlignment="1" applyProtection="1">
      <alignment horizontal="center" vertical="center" wrapText="1"/>
      <protection locked="0"/>
    </xf>
    <xf numFmtId="3" fontId="78" fillId="0" borderId="22" xfId="0" applyNumberFormat="1" applyFont="1" applyBorder="1" applyAlignment="1" applyProtection="1">
      <alignment horizontal="center" vertical="center"/>
      <protection locked="0"/>
    </xf>
    <xf numFmtId="3" fontId="78" fillId="0" borderId="22" xfId="0" applyNumberFormat="1" applyFont="1" applyBorder="1" applyAlignment="1">
      <alignment horizontal="center" vertical="center"/>
    </xf>
    <xf numFmtId="171" fontId="78" fillId="0" borderId="22" xfId="7" applyNumberFormat="1" applyFont="1" applyFill="1" applyBorder="1" applyAlignment="1" applyProtection="1">
      <alignment horizontal="center" vertical="center" wrapText="1"/>
    </xf>
    <xf numFmtId="3" fontId="78" fillId="0" borderId="29" xfId="0" applyNumberFormat="1" applyFont="1" applyBorder="1" applyAlignment="1">
      <alignment horizontal="center" vertical="center"/>
    </xf>
    <xf numFmtId="3" fontId="21" fillId="0" borderId="39" xfId="0" applyNumberFormat="1" applyFont="1" applyBorder="1" applyAlignment="1">
      <alignment horizontal="center" vertical="center" wrapText="1"/>
    </xf>
    <xf numFmtId="3" fontId="42" fillId="0" borderId="5" xfId="0" applyNumberFormat="1" applyFont="1" applyBorder="1" applyAlignment="1">
      <alignment horizontal="center" vertical="center"/>
    </xf>
    <xf numFmtId="171" fontId="21" fillId="0" borderId="22" xfId="0" applyNumberFormat="1" applyFont="1" applyBorder="1" applyAlignment="1" applyProtection="1">
      <alignment horizontal="center" vertical="center"/>
      <protection locked="0"/>
    </xf>
    <xf numFmtId="0" fontId="42" fillId="0" borderId="22" xfId="0" applyFont="1" applyBorder="1" applyAlignment="1">
      <alignment horizontal="center" vertical="center"/>
    </xf>
    <xf numFmtId="171" fontId="21" fillId="0" borderId="21" xfId="0" applyNumberFormat="1" applyFont="1" applyBorder="1" applyAlignment="1">
      <alignment horizontal="center" vertical="center"/>
    </xf>
    <xf numFmtId="3" fontId="23" fillId="0" borderId="39" xfId="0" applyNumberFormat="1" applyFont="1" applyBorder="1" applyAlignment="1" applyProtection="1">
      <alignment horizontal="center" vertical="center" wrapText="1"/>
      <protection locked="0"/>
    </xf>
    <xf numFmtId="0" fontId="23" fillId="0" borderId="22" xfId="0" applyFont="1" applyBorder="1" applyAlignment="1" applyProtection="1">
      <alignment horizontal="center" vertical="center"/>
      <protection locked="0"/>
    </xf>
    <xf numFmtId="3" fontId="44" fillId="0" borderId="18" xfId="0" applyNumberFormat="1" applyFont="1" applyBorder="1" applyAlignment="1">
      <alignment horizontal="center" vertical="center" wrapText="1"/>
    </xf>
    <xf numFmtId="171" fontId="45" fillId="0" borderId="21" xfId="7" applyNumberFormat="1" applyFont="1" applyFill="1" applyBorder="1" applyAlignment="1" applyProtection="1">
      <alignment horizontal="center" vertical="center"/>
    </xf>
    <xf numFmtId="44" fontId="44" fillId="0" borderId="22" xfId="161" applyFont="1" applyFill="1" applyBorder="1" applyAlignment="1" applyProtection="1">
      <alignment horizontal="center" vertical="center" wrapText="1"/>
    </xf>
    <xf numFmtId="171" fontId="45" fillId="0" borderId="66" xfId="7" applyNumberFormat="1" applyFont="1" applyFill="1" applyBorder="1" applyAlignment="1" applyProtection="1">
      <alignment horizontal="center" vertical="center"/>
    </xf>
    <xf numFmtId="171" fontId="45" fillId="0" borderId="62" xfId="7" applyNumberFormat="1" applyFont="1" applyFill="1" applyBorder="1" applyAlignment="1" applyProtection="1">
      <alignment horizontal="center" vertical="center"/>
    </xf>
    <xf numFmtId="44" fontId="45" fillId="0" borderId="62" xfId="161" applyFont="1" applyFill="1" applyBorder="1" applyAlignment="1" applyProtection="1">
      <alignment horizontal="center" vertical="center"/>
    </xf>
    <xf numFmtId="171" fontId="45" fillId="0" borderId="28" xfId="7" applyNumberFormat="1" applyFont="1" applyFill="1" applyBorder="1" applyAlignment="1" applyProtection="1">
      <alignment horizontal="center" vertical="center"/>
    </xf>
    <xf numFmtId="171" fontId="23" fillId="0" borderId="29" xfId="0" applyNumberFormat="1" applyFont="1" applyBorder="1" applyAlignment="1" applyProtection="1">
      <alignment horizontal="center" vertical="center"/>
      <protection locked="0"/>
    </xf>
    <xf numFmtId="171" fontId="45" fillId="0" borderId="29" xfId="7" applyNumberFormat="1" applyFont="1" applyFill="1" applyBorder="1" applyAlignment="1" applyProtection="1">
      <alignment horizontal="center" vertical="center"/>
    </xf>
    <xf numFmtId="3" fontId="44" fillId="0" borderId="17" xfId="0" applyNumberFormat="1" applyFont="1" applyBorder="1" applyAlignment="1">
      <alignment horizontal="center" vertical="center" wrapText="1"/>
    </xf>
    <xf numFmtId="10" fontId="45" fillId="0" borderId="18" xfId="3" applyNumberFormat="1" applyFont="1" applyFill="1" applyBorder="1" applyAlignment="1" applyProtection="1">
      <alignment horizontal="center" vertical="center"/>
    </xf>
    <xf numFmtId="10" fontId="21" fillId="0" borderId="18" xfId="3" applyNumberFormat="1" applyFont="1" applyFill="1" applyBorder="1" applyAlignment="1" applyProtection="1">
      <alignment horizontal="center" vertical="center"/>
      <protection locked="0"/>
    </xf>
    <xf numFmtId="174" fontId="44" fillId="0" borderId="22" xfId="7" applyNumberFormat="1" applyFont="1" applyFill="1" applyBorder="1" applyAlignment="1" applyProtection="1">
      <alignment horizontal="center" vertical="center" wrapText="1"/>
    </xf>
    <xf numFmtId="174" fontId="23" fillId="0" borderId="22" xfId="3" applyNumberFormat="1" applyFont="1" applyFill="1" applyBorder="1" applyAlignment="1" applyProtection="1">
      <alignment horizontal="center" vertical="center"/>
    </xf>
    <xf numFmtId="44" fontId="23" fillId="0" borderId="22" xfId="161" applyFont="1" applyFill="1" applyBorder="1" applyAlignment="1">
      <alignment horizontal="center" vertical="center"/>
    </xf>
    <xf numFmtId="0" fontId="59" fillId="4" borderId="48" xfId="0" applyFont="1" applyFill="1" applyBorder="1" applyAlignment="1">
      <alignment horizontal="center" vertical="center"/>
    </xf>
    <xf numFmtId="0" fontId="59" fillId="4" borderId="21" xfId="0" applyFont="1" applyFill="1" applyBorder="1" applyAlignment="1">
      <alignment horizontal="center" vertical="center"/>
    </xf>
    <xf numFmtId="0" fontId="59" fillId="4" borderId="22" xfId="0" applyFont="1" applyFill="1" applyBorder="1" applyAlignment="1">
      <alignment horizontal="center" vertical="center" wrapText="1"/>
    </xf>
    <xf numFmtId="0" fontId="59" fillId="4" borderId="62" xfId="0" applyFont="1" applyFill="1" applyBorder="1" applyAlignment="1">
      <alignment horizontal="center" vertical="center"/>
    </xf>
    <xf numFmtId="0" fontId="59" fillId="4" borderId="39" xfId="0" applyFont="1" applyFill="1" applyBorder="1" applyAlignment="1">
      <alignment horizontal="center" vertical="center"/>
    </xf>
    <xf numFmtId="0" fontId="59" fillId="4" borderId="62" xfId="0" applyFont="1" applyFill="1" applyBorder="1" applyAlignment="1">
      <alignment horizontal="center" vertical="center" wrapText="1"/>
    </xf>
    <xf numFmtId="0" fontId="59" fillId="4" borderId="39" xfId="0" applyFont="1" applyFill="1" applyBorder="1" applyAlignment="1">
      <alignment horizontal="center" vertical="center" wrapText="1"/>
    </xf>
    <xf numFmtId="0" fontId="59" fillId="4" borderId="22" xfId="0" applyFont="1" applyFill="1" applyBorder="1" applyAlignment="1">
      <alignment horizontal="center" vertical="center"/>
    </xf>
    <xf numFmtId="9" fontId="59" fillId="4" borderId="62" xfId="3" applyFont="1" applyFill="1" applyBorder="1" applyAlignment="1">
      <alignment horizontal="center" vertical="center"/>
    </xf>
    <xf numFmtId="9" fontId="59" fillId="4" borderId="39" xfId="3" applyFont="1" applyFill="1" applyBorder="1" applyAlignment="1">
      <alignment horizontal="center" vertical="center"/>
    </xf>
    <xf numFmtId="0" fontId="8" fillId="21" borderId="16"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7" fillId="0" borderId="1" xfId="0" applyFont="1" applyBorder="1" applyAlignment="1">
      <alignment horizontal="center"/>
    </xf>
    <xf numFmtId="0" fontId="67" fillId="0" borderId="2" xfId="0" applyFont="1" applyBorder="1" applyAlignment="1">
      <alignment horizontal="center"/>
    </xf>
    <xf numFmtId="0" fontId="67" fillId="0" borderId="3" xfId="0" applyFont="1" applyBorder="1" applyAlignment="1">
      <alignment horizontal="center"/>
    </xf>
    <xf numFmtId="0" fontId="67" fillId="0" borderId="6" xfId="0" applyFont="1" applyBorder="1" applyAlignment="1">
      <alignment horizontal="center"/>
    </xf>
    <xf numFmtId="0" fontId="67" fillId="0" borderId="0" xfId="0" applyFont="1" applyAlignment="1">
      <alignment horizontal="center"/>
    </xf>
    <xf numFmtId="0" fontId="67" fillId="0" borderId="7" xfId="0" applyFont="1" applyBorder="1" applyAlignment="1">
      <alignment horizontal="center"/>
    </xf>
    <xf numFmtId="0" fontId="67" fillId="0" borderId="9" xfId="0" applyFont="1" applyBorder="1" applyAlignment="1">
      <alignment horizontal="center"/>
    </xf>
    <xf numFmtId="0" fontId="67" fillId="0" borderId="10" xfId="0" applyFont="1" applyBorder="1" applyAlignment="1">
      <alignment horizontal="center"/>
    </xf>
    <xf numFmtId="0" fontId="67" fillId="0" borderId="11" xfId="0" applyFont="1" applyBorder="1" applyAlignment="1">
      <alignment horizontal="center"/>
    </xf>
    <xf numFmtId="0" fontId="72" fillId="3" borderId="4" xfId="0" applyFont="1" applyFill="1" applyBorder="1" applyAlignment="1">
      <alignment horizontal="center" vertical="center" wrapText="1"/>
    </xf>
    <xf numFmtId="0" fontId="72" fillId="3" borderId="5" xfId="0" applyFont="1" applyFill="1" applyBorder="1" applyAlignment="1">
      <alignment horizontal="center" vertical="center" wrapText="1"/>
    </xf>
    <xf numFmtId="0" fontId="72" fillId="3" borderId="8" xfId="0" applyFont="1" applyFill="1" applyBorder="1" applyAlignment="1">
      <alignment horizontal="center"/>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2" xfId="0" applyFont="1" applyBorder="1" applyAlignment="1">
      <alignment horizontal="left" vertical="center"/>
    </xf>
    <xf numFmtId="0" fontId="7" fillId="21" borderId="12" xfId="0" applyFont="1" applyFill="1" applyBorder="1" applyAlignment="1">
      <alignment horizontal="center" vertical="center"/>
    </xf>
    <xf numFmtId="0" fontId="7" fillId="21" borderId="13"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22" xfId="0" applyFont="1" applyFill="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7" fillId="21" borderId="14" xfId="0" applyFont="1" applyFill="1" applyBorder="1" applyAlignment="1">
      <alignment horizontal="center" vertical="center"/>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top"/>
    </xf>
    <xf numFmtId="168" fontId="0" fillId="0" borderId="0" xfId="0" applyNumberFormat="1" applyAlignment="1">
      <alignment horizontal="left" vertical="top"/>
    </xf>
    <xf numFmtId="0" fontId="0" fillId="0" borderId="0" xfId="0" applyAlignment="1">
      <alignment horizontal="left" vertical="top"/>
    </xf>
    <xf numFmtId="168" fontId="20" fillId="3" borderId="1" xfId="0" applyNumberFormat="1" applyFont="1" applyFill="1" applyBorder="1" applyAlignment="1">
      <alignment horizontal="center" vertical="center" wrapText="1"/>
    </xf>
    <xf numFmtId="168" fontId="20" fillId="3" borderId="2" xfId="0" applyNumberFormat="1" applyFont="1" applyFill="1" applyBorder="1" applyAlignment="1">
      <alignment horizontal="center" vertical="center" wrapText="1"/>
    </xf>
    <xf numFmtId="168" fontId="20" fillId="3" borderId="3" xfId="0" applyNumberFormat="1" applyFont="1" applyFill="1" applyBorder="1" applyAlignment="1">
      <alignment horizontal="center" vertical="center" wrapText="1"/>
    </xf>
    <xf numFmtId="168" fontId="20" fillId="3" borderId="6" xfId="0" applyNumberFormat="1" applyFont="1" applyFill="1" applyBorder="1" applyAlignment="1">
      <alignment horizontal="center" vertical="center" wrapText="1"/>
    </xf>
    <xf numFmtId="168" fontId="20" fillId="3" borderId="0" xfId="0" applyNumberFormat="1" applyFont="1" applyFill="1" applyAlignment="1">
      <alignment horizontal="center" vertical="center" wrapText="1"/>
    </xf>
    <xf numFmtId="168" fontId="20" fillId="3" borderId="7" xfId="0" applyNumberFormat="1" applyFont="1" applyFill="1" applyBorder="1" applyAlignment="1">
      <alignment horizontal="center" vertical="center" wrapText="1"/>
    </xf>
    <xf numFmtId="168" fontId="20" fillId="3" borderId="9" xfId="0" applyNumberFormat="1" applyFont="1" applyFill="1" applyBorder="1" applyAlignment="1">
      <alignment horizontal="center" vertical="center" wrapText="1"/>
    </xf>
    <xf numFmtId="168" fontId="20" fillId="3" borderId="10" xfId="0" applyNumberFormat="1" applyFont="1" applyFill="1" applyBorder="1" applyAlignment="1">
      <alignment horizontal="center" vertical="center" wrapText="1"/>
    </xf>
    <xf numFmtId="168" fontId="20" fillId="3" borderId="11" xfId="0" applyNumberFormat="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67" xfId="0" applyFont="1" applyBorder="1" applyAlignment="1">
      <alignment horizontal="center" vertical="center" wrapText="1"/>
    </xf>
    <xf numFmtId="10" fontId="24" fillId="0" borderId="2" xfId="3" applyNumberFormat="1" applyFont="1" applyFill="1" applyBorder="1" applyAlignment="1" applyProtection="1">
      <alignment horizontal="center" vertical="top" wrapText="1"/>
    </xf>
    <xf numFmtId="10" fontId="24" fillId="0" borderId="0" xfId="3" applyNumberFormat="1" applyFont="1" applyFill="1" applyBorder="1" applyAlignment="1" applyProtection="1">
      <alignment horizontal="center" vertical="top" wrapText="1"/>
    </xf>
    <xf numFmtId="10" fontId="24" fillId="0" borderId="10" xfId="3" applyNumberFormat="1" applyFont="1" applyFill="1" applyBorder="1" applyAlignment="1" applyProtection="1">
      <alignment horizontal="center" vertical="top" wrapText="1"/>
    </xf>
    <xf numFmtId="168" fontId="0" fillId="3" borderId="1" xfId="0" applyNumberFormat="1" applyFill="1" applyBorder="1" applyAlignment="1">
      <alignment horizontal="center" vertical="center" wrapText="1"/>
    </xf>
    <xf numFmtId="168" fontId="0" fillId="3" borderId="2" xfId="0" applyNumberFormat="1" applyFill="1" applyBorder="1" applyAlignment="1">
      <alignment horizontal="center" vertical="center" wrapText="1"/>
    </xf>
    <xf numFmtId="168" fontId="0" fillId="3" borderId="3" xfId="0" applyNumberFormat="1" applyFill="1" applyBorder="1" applyAlignment="1">
      <alignment horizontal="center" vertical="center" wrapText="1"/>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7" xfId="0" applyNumberFormat="1" applyFill="1" applyBorder="1" applyAlignment="1">
      <alignment horizontal="center" vertical="center" wrapText="1"/>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1" xfId="0" applyNumberFormat="1" applyFill="1" applyBorder="1" applyAlignment="1">
      <alignment horizontal="center" vertical="center" wrapText="1"/>
    </xf>
    <xf numFmtId="0" fontId="3" fillId="9" borderId="22" xfId="0" applyFont="1" applyFill="1" applyBorder="1" applyAlignment="1">
      <alignment horizontal="center" vertical="top"/>
    </xf>
    <xf numFmtId="0" fontId="3" fillId="9" borderId="22" xfId="0" applyFont="1" applyFill="1" applyBorder="1" applyAlignment="1">
      <alignment horizontal="center" vertical="top" wrapText="1"/>
    </xf>
    <xf numFmtId="0" fontId="3" fillId="0" borderId="0" xfId="0" applyFont="1" applyAlignment="1">
      <alignment horizontal="center" vertical="top" wrapText="1"/>
    </xf>
    <xf numFmtId="0" fontId="24" fillId="0" borderId="45"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0" fillId="0" borderId="45" xfId="0" applyFont="1" applyBorder="1" applyAlignment="1" applyProtection="1">
      <alignment horizontal="justify" vertical="center" wrapText="1"/>
      <protection locked="0"/>
    </xf>
    <xf numFmtId="0" fontId="20" fillId="0" borderId="49" xfId="0" applyFont="1" applyBorder="1" applyAlignment="1" applyProtection="1">
      <alignment horizontal="justify" vertical="center" wrapText="1"/>
      <protection locked="0"/>
    </xf>
    <xf numFmtId="0" fontId="20" fillId="0" borderId="31" xfId="0" applyFont="1" applyBorder="1" applyAlignment="1" applyProtection="1">
      <alignment horizontal="justify" vertical="center" wrapText="1"/>
      <protection locked="0"/>
    </xf>
    <xf numFmtId="0" fontId="24" fillId="0" borderId="40"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45" xfId="0" applyFont="1" applyBorder="1" applyAlignment="1" applyProtection="1">
      <alignment horizontal="justify" vertical="top" wrapText="1"/>
      <protection locked="0"/>
    </xf>
    <xf numFmtId="0" fontId="24" fillId="0" borderId="49" xfId="0" applyFont="1" applyBorder="1" applyAlignment="1" applyProtection="1">
      <alignment horizontal="justify" vertical="top" wrapText="1"/>
      <protection locked="0"/>
    </xf>
    <xf numFmtId="0" fontId="24" fillId="0" borderId="31" xfId="0" applyFont="1" applyBorder="1" applyAlignment="1" applyProtection="1">
      <alignment horizontal="justify" vertical="top" wrapText="1"/>
      <protection locked="0"/>
    </xf>
    <xf numFmtId="0" fontId="20" fillId="0" borderId="40"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10" fontId="24" fillId="0" borderId="3" xfId="3" applyNumberFormat="1" applyFont="1" applyFill="1" applyBorder="1" applyAlignment="1" applyProtection="1">
      <alignment horizontal="center" vertical="top" wrapText="1"/>
    </xf>
    <xf numFmtId="10" fontId="24" fillId="0" borderId="7" xfId="3" applyNumberFormat="1" applyFont="1" applyFill="1" applyBorder="1" applyAlignment="1" applyProtection="1">
      <alignment horizontal="center" vertical="top" wrapText="1"/>
    </xf>
    <xf numFmtId="10" fontId="24" fillId="0" borderId="11" xfId="3" applyNumberFormat="1" applyFont="1" applyFill="1" applyBorder="1" applyAlignment="1" applyProtection="1">
      <alignment horizontal="center" vertical="top" wrapText="1"/>
    </xf>
    <xf numFmtId="10" fontId="24" fillId="0" borderId="72" xfId="3" applyNumberFormat="1" applyFont="1" applyFill="1" applyBorder="1" applyAlignment="1" applyProtection="1">
      <alignment horizontal="center" vertical="top" wrapText="1"/>
    </xf>
    <xf numFmtId="10" fontId="24" fillId="0" borderId="57" xfId="3" applyNumberFormat="1" applyFont="1" applyFill="1" applyBorder="1" applyAlignment="1" applyProtection="1">
      <alignment horizontal="center" vertical="top" wrapText="1"/>
    </xf>
    <xf numFmtId="10" fontId="24" fillId="0" borderId="76" xfId="3" applyNumberFormat="1" applyFont="1" applyFill="1" applyBorder="1" applyAlignment="1" applyProtection="1">
      <alignment horizontal="center" vertical="top" wrapText="1"/>
    </xf>
    <xf numFmtId="0" fontId="7" fillId="22" borderId="35" xfId="0" applyFont="1" applyFill="1" applyBorder="1" applyAlignment="1">
      <alignment horizontal="center" vertical="center"/>
    </xf>
    <xf numFmtId="0" fontId="7" fillId="22" borderId="36" xfId="0" applyFont="1" applyFill="1" applyBorder="1" applyAlignment="1">
      <alignment horizontal="center" vertical="center"/>
    </xf>
    <xf numFmtId="0" fontId="7" fillId="22" borderId="37" xfId="0" applyFont="1" applyFill="1" applyBorder="1" applyAlignment="1">
      <alignment horizontal="center" vertical="center"/>
    </xf>
    <xf numFmtId="0" fontId="7" fillId="22" borderId="38" xfId="0" applyFont="1" applyFill="1" applyBorder="1" applyAlignment="1">
      <alignment horizontal="center" vertical="center"/>
    </xf>
    <xf numFmtId="0" fontId="7" fillId="22" borderId="39"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20" fillId="0" borderId="45" xfId="0" applyFont="1" applyBorder="1" applyAlignment="1" applyProtection="1">
      <alignment horizontal="justify" vertical="top" wrapText="1"/>
      <protection locked="0"/>
    </xf>
    <xf numFmtId="0" fontId="20" fillId="0" borderId="49" xfId="0" applyFont="1" applyBorder="1" applyAlignment="1" applyProtection="1">
      <alignment horizontal="justify" vertical="top" wrapText="1"/>
      <protection locked="0"/>
    </xf>
    <xf numFmtId="0" fontId="20" fillId="0" borderId="31" xfId="0" applyFont="1" applyBorder="1" applyAlignment="1" applyProtection="1">
      <alignment horizontal="justify" vertical="top" wrapText="1"/>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9" fillId="3" borderId="4" xfId="0" applyFont="1" applyFill="1" applyBorder="1" applyAlignment="1">
      <alignment horizontal="center" vertical="top" wrapText="1"/>
    </xf>
    <xf numFmtId="0" fontId="19" fillId="3" borderId="5" xfId="0" applyFont="1" applyFill="1" applyBorder="1" applyAlignment="1">
      <alignment horizontal="center" vertical="top" wrapText="1"/>
    </xf>
    <xf numFmtId="0" fontId="20" fillId="3" borderId="32" xfId="0" applyFont="1" applyFill="1" applyBorder="1" applyAlignment="1">
      <alignment horizontal="center" vertical="top" wrapText="1"/>
    </xf>
    <xf numFmtId="0" fontId="20" fillId="3" borderId="33" xfId="0" applyFont="1" applyFill="1" applyBorder="1" applyAlignment="1">
      <alignment horizontal="center" vertical="top" wrapText="1"/>
    </xf>
    <xf numFmtId="0" fontId="20" fillId="3" borderId="34" xfId="0" applyFont="1" applyFill="1" applyBorder="1" applyAlignment="1">
      <alignment horizontal="center" vertical="top" wrapText="1"/>
    </xf>
    <xf numFmtId="0" fontId="19" fillId="0" borderId="13"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19" fillId="3" borderId="13"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6" fillId="22" borderId="16" xfId="0" applyFont="1" applyFill="1" applyBorder="1" applyAlignment="1">
      <alignment horizontal="center" vertical="center" wrapText="1"/>
    </xf>
    <xf numFmtId="0" fontId="6" fillId="22" borderId="20"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7" fillId="22" borderId="12" xfId="0" applyFont="1" applyFill="1" applyBorder="1" applyAlignment="1">
      <alignment horizontal="center" vertical="center"/>
    </xf>
    <xf numFmtId="0" fontId="7" fillId="22" borderId="14" xfId="0" applyFont="1" applyFill="1" applyBorder="1" applyAlignment="1">
      <alignment horizontal="center" vertical="center"/>
    </xf>
    <xf numFmtId="0" fontId="7" fillId="22" borderId="13" xfId="0" applyFont="1" applyFill="1" applyBorder="1" applyAlignment="1">
      <alignment horizontal="center" vertical="center"/>
    </xf>
    <xf numFmtId="0" fontId="59" fillId="18" borderId="22" xfId="0" applyFont="1" applyFill="1" applyBorder="1" applyAlignment="1">
      <alignment horizontal="center" vertical="center"/>
    </xf>
    <xf numFmtId="0" fontId="59" fillId="18" borderId="22" xfId="0" applyFont="1" applyFill="1" applyBorder="1" applyAlignment="1">
      <alignment horizontal="center" vertical="center" wrapText="1"/>
    </xf>
    <xf numFmtId="0" fontId="59" fillId="18" borderId="62" xfId="0" applyFont="1" applyFill="1" applyBorder="1" applyAlignment="1">
      <alignment horizontal="center" vertical="center"/>
    </xf>
    <xf numFmtId="0" fontId="59" fillId="18" borderId="39" xfId="0" applyFont="1" applyFill="1" applyBorder="1" applyAlignment="1">
      <alignment horizontal="center" vertical="center"/>
    </xf>
    <xf numFmtId="9" fontId="3" fillId="14" borderId="48" xfId="3" applyFont="1" applyFill="1" applyBorder="1" applyAlignment="1">
      <alignment horizontal="center" vertical="center"/>
    </xf>
    <xf numFmtId="9" fontId="3" fillId="14" borderId="32" xfId="3" applyFont="1" applyFill="1" applyBorder="1" applyAlignment="1">
      <alignment horizontal="center" vertical="center"/>
    </xf>
    <xf numFmtId="9" fontId="3" fillId="14" borderId="21" xfId="3" applyFont="1" applyFill="1" applyBorder="1" applyAlignment="1">
      <alignment horizontal="center" vertical="center"/>
    </xf>
    <xf numFmtId="0" fontId="59" fillId="18" borderId="62" xfId="0" applyFont="1" applyFill="1" applyBorder="1" applyAlignment="1">
      <alignment horizontal="center" vertical="center" wrapText="1"/>
    </xf>
    <xf numFmtId="0" fontId="59" fillId="18" borderId="39" xfId="0" applyFont="1" applyFill="1" applyBorder="1" applyAlignment="1">
      <alignment horizontal="center" vertical="center" wrapText="1"/>
    </xf>
    <xf numFmtId="0" fontId="59" fillId="18" borderId="48" xfId="0" applyFont="1" applyFill="1" applyBorder="1" applyAlignment="1">
      <alignment horizontal="center" vertical="center"/>
    </xf>
    <xf numFmtId="0" fontId="59" fillId="18" borderId="21" xfId="0" applyFont="1" applyFill="1" applyBorder="1" applyAlignment="1">
      <alignment horizontal="center" vertical="center"/>
    </xf>
    <xf numFmtId="9" fontId="3" fillId="14" borderId="22" xfId="3" applyFont="1" applyFill="1" applyBorder="1" applyAlignment="1">
      <alignment horizontal="center" vertical="center"/>
    </xf>
    <xf numFmtId="0" fontId="3" fillId="9" borderId="48" xfId="0" applyFont="1" applyFill="1" applyBorder="1" applyAlignment="1">
      <alignment horizontal="center" vertical="center"/>
    </xf>
    <xf numFmtId="0" fontId="3" fillId="9" borderId="32"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48"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33" fillId="3" borderId="24" xfId="5" applyFont="1" applyFill="1" applyBorder="1" applyAlignment="1">
      <alignment horizontal="center" vertical="center" wrapText="1"/>
    </xf>
    <xf numFmtId="0" fontId="33" fillId="3" borderId="25" xfId="5" applyFont="1" applyFill="1" applyBorder="1" applyAlignment="1">
      <alignment horizontal="center" vertical="center" wrapText="1"/>
    </xf>
    <xf numFmtId="0" fontId="33" fillId="3" borderId="31" xfId="5" applyFont="1" applyFill="1" applyBorder="1" applyAlignment="1">
      <alignment horizontal="center" vertical="center" wrapText="1"/>
    </xf>
    <xf numFmtId="0" fontId="35" fillId="0" borderId="22" xfId="0" applyFont="1" applyBorder="1" applyAlignment="1">
      <alignment horizontal="center" vertical="center" wrapText="1"/>
    </xf>
    <xf numFmtId="10" fontId="35" fillId="0" borderId="62" xfId="0" applyNumberFormat="1" applyFont="1" applyBorder="1" applyAlignment="1">
      <alignment horizontal="center" vertical="center" wrapText="1"/>
    </xf>
    <xf numFmtId="10" fontId="35" fillId="0" borderId="39" xfId="0" applyNumberFormat="1" applyFont="1" applyBorder="1" applyAlignment="1">
      <alignment horizontal="center" vertical="center" wrapText="1"/>
    </xf>
    <xf numFmtId="0" fontId="36" fillId="0" borderId="62" xfId="5" applyFont="1" applyBorder="1" applyAlignment="1" applyProtection="1">
      <alignment horizontal="left" vertical="center" wrapText="1"/>
      <protection locked="0"/>
    </xf>
    <xf numFmtId="0" fontId="36" fillId="0" borderId="39" xfId="5" applyFont="1" applyBorder="1" applyAlignment="1" applyProtection="1">
      <alignment horizontal="left" vertical="center" wrapText="1"/>
      <protection locked="0"/>
    </xf>
    <xf numFmtId="0" fontId="35" fillId="0" borderId="22" xfId="5" applyFont="1" applyBorder="1" applyAlignment="1">
      <alignment horizontal="justify" vertical="center" wrapText="1"/>
    </xf>
    <xf numFmtId="0" fontId="35" fillId="0" borderId="62" xfId="5" applyFont="1" applyBorder="1" applyAlignment="1" applyProtection="1">
      <alignment horizontal="center" vertical="center" wrapText="1"/>
      <protection locked="0"/>
    </xf>
    <xf numFmtId="0" fontId="35" fillId="0" borderId="39" xfId="5" applyFont="1" applyBorder="1" applyAlignment="1" applyProtection="1">
      <alignment horizontal="center" vertical="center" wrapText="1"/>
      <protection locked="0"/>
    </xf>
    <xf numFmtId="0" fontId="35" fillId="0" borderId="64" xfId="5" applyFont="1" applyBorder="1" applyAlignment="1">
      <alignment horizontal="center" vertical="center" wrapText="1"/>
    </xf>
    <xf numFmtId="0" fontId="35" fillId="0" borderId="29" xfId="5" applyFont="1" applyBorder="1" applyAlignment="1">
      <alignment horizontal="justify" vertical="center" wrapText="1"/>
    </xf>
    <xf numFmtId="0" fontId="35" fillId="0" borderId="29" xfId="0" applyFont="1" applyBorder="1" applyAlignment="1">
      <alignment horizontal="center" vertical="center" wrapText="1"/>
    </xf>
    <xf numFmtId="10" fontId="35" fillId="0" borderId="31" xfId="0" applyNumberFormat="1" applyFont="1" applyBorder="1" applyAlignment="1">
      <alignment horizontal="center" vertical="center" wrapText="1"/>
    </xf>
    <xf numFmtId="0" fontId="35" fillId="0" borderId="31" xfId="5" applyFont="1" applyBorder="1" applyAlignment="1" applyProtection="1">
      <alignment horizontal="center" vertical="center" wrapText="1"/>
      <protection locked="0"/>
    </xf>
    <xf numFmtId="10" fontId="35" fillId="0" borderId="45" xfId="0" applyNumberFormat="1" applyFont="1" applyBorder="1" applyAlignment="1">
      <alignment horizontal="center" vertical="center" wrapText="1"/>
    </xf>
    <xf numFmtId="0" fontId="36" fillId="0" borderId="45" xfId="5" applyFont="1" applyBorder="1" applyAlignment="1" applyProtection="1">
      <alignment horizontal="center" vertical="center" wrapText="1"/>
      <protection locked="0"/>
    </xf>
    <xf numFmtId="0" fontId="36" fillId="0" borderId="39" xfId="5" applyFont="1" applyBorder="1" applyAlignment="1" applyProtection="1">
      <alignment horizontal="center" vertical="center" wrapText="1"/>
      <protection locked="0"/>
    </xf>
    <xf numFmtId="0" fontId="35" fillId="0" borderId="42" xfId="5" applyFont="1" applyBorder="1" applyAlignment="1">
      <alignment horizontal="center" vertical="center" wrapText="1"/>
    </xf>
    <xf numFmtId="0" fontId="35" fillId="0" borderId="46" xfId="5" applyFont="1" applyBorder="1" applyAlignment="1">
      <alignment horizontal="center" vertical="center" wrapText="1"/>
    </xf>
    <xf numFmtId="0" fontId="35" fillId="0" borderId="52" xfId="5" applyFont="1" applyBorder="1" applyAlignment="1">
      <alignment horizontal="center" vertical="center" wrapText="1"/>
    </xf>
    <xf numFmtId="0" fontId="35" fillId="0" borderId="18" xfId="5" applyFont="1" applyBorder="1" applyAlignment="1">
      <alignment horizontal="justify" vertical="center" wrapText="1"/>
    </xf>
    <xf numFmtId="0" fontId="35" fillId="0" borderId="18" xfId="0" applyFont="1" applyBorder="1" applyAlignment="1">
      <alignment horizontal="center" vertical="center" wrapText="1"/>
    </xf>
    <xf numFmtId="10" fontId="35" fillId="0" borderId="18" xfId="0" applyNumberFormat="1" applyFont="1" applyBorder="1" applyAlignment="1">
      <alignment horizontal="center" vertical="center" wrapText="1"/>
    </xf>
    <xf numFmtId="10" fontId="35" fillId="0" borderId="22" xfId="0" applyNumberFormat="1" applyFont="1" applyBorder="1" applyAlignment="1">
      <alignment horizontal="center" vertical="center" wrapText="1"/>
    </xf>
    <xf numFmtId="10" fontId="35" fillId="0" borderId="29" xfId="0" applyNumberFormat="1" applyFont="1" applyBorder="1" applyAlignment="1">
      <alignment horizontal="center" vertical="center" wrapText="1"/>
    </xf>
    <xf numFmtId="0" fontId="35" fillId="0" borderId="60" xfId="5" applyFont="1" applyBorder="1" applyAlignment="1">
      <alignment horizontal="center" vertical="center" wrapText="1"/>
    </xf>
    <xf numFmtId="0" fontId="35" fillId="0" borderId="63" xfId="5" applyFont="1" applyBorder="1" applyAlignment="1">
      <alignment horizontal="center" vertical="center" wrapText="1"/>
    </xf>
    <xf numFmtId="0" fontId="35" fillId="0" borderId="61" xfId="5" applyFont="1" applyBorder="1" applyAlignment="1">
      <alignment horizontal="center" vertical="center" wrapText="1"/>
    </xf>
    <xf numFmtId="0" fontId="35" fillId="0" borderId="62" xfId="5" applyFont="1" applyBorder="1" applyAlignment="1" applyProtection="1">
      <alignment horizontal="left" vertical="center" wrapText="1"/>
      <protection locked="0"/>
    </xf>
    <xf numFmtId="0" fontId="35" fillId="0" borderId="39" xfId="5" applyFont="1" applyBorder="1" applyAlignment="1" applyProtection="1">
      <alignment horizontal="left" vertical="center" wrapText="1"/>
      <protection locked="0"/>
    </xf>
    <xf numFmtId="0" fontId="35" fillId="0" borderId="65" xfId="5" applyFont="1" applyBorder="1" applyAlignment="1">
      <alignment horizontal="center" vertical="center" wrapText="1"/>
    </xf>
    <xf numFmtId="0" fontId="35" fillId="0" borderId="62" xfId="5" applyFont="1" applyBorder="1" applyAlignment="1">
      <alignment horizontal="justify" vertical="center" wrapText="1"/>
    </xf>
    <xf numFmtId="0" fontId="35" fillId="0" borderId="49" xfId="5" applyFont="1" applyBorder="1" applyAlignment="1">
      <alignment horizontal="justify" vertical="center" wrapText="1"/>
    </xf>
    <xf numFmtId="0" fontId="35" fillId="0" borderId="45" xfId="5" applyFont="1" applyBorder="1" applyAlignment="1" applyProtection="1">
      <alignment horizontal="center" vertical="center" wrapText="1"/>
      <protection locked="0"/>
    </xf>
    <xf numFmtId="10" fontId="35" fillId="0" borderId="49" xfId="0" applyNumberFormat="1" applyFont="1" applyBorder="1" applyAlignment="1">
      <alignment horizontal="center" vertical="center" wrapText="1"/>
    </xf>
    <xf numFmtId="0" fontId="35" fillId="0" borderId="45" xfId="5" applyFont="1" applyBorder="1" applyAlignment="1" applyProtection="1">
      <alignment horizontal="left" vertical="center" wrapText="1"/>
      <protection locked="0"/>
    </xf>
    <xf numFmtId="0" fontId="35" fillId="0" borderId="45" xfId="0" applyFont="1" applyBorder="1" applyAlignment="1">
      <alignment horizontal="center" vertical="center" wrapText="1"/>
    </xf>
    <xf numFmtId="0" fontId="35" fillId="0" borderId="49" xfId="0" applyFont="1" applyBorder="1" applyAlignment="1">
      <alignment horizontal="center" vertical="center" wrapText="1"/>
    </xf>
    <xf numFmtId="10" fontId="35" fillId="0" borderId="60" xfId="0" applyNumberFormat="1" applyFont="1" applyBorder="1" applyAlignment="1">
      <alignment horizontal="center" vertical="center" wrapText="1"/>
    </xf>
    <xf numFmtId="10" fontId="35" fillId="0" borderId="63" xfId="0" applyNumberFormat="1" applyFont="1" applyBorder="1" applyAlignment="1">
      <alignment horizontal="center" vertical="center" wrapText="1"/>
    </xf>
    <xf numFmtId="0" fontId="35" fillId="0" borderId="45" xfId="5" applyFont="1" applyBorder="1" applyAlignment="1">
      <alignment horizontal="justify" vertical="center" wrapText="1"/>
    </xf>
    <xf numFmtId="0" fontId="35" fillId="0" borderId="39" xfId="5" applyFont="1" applyBorder="1" applyAlignment="1">
      <alignment horizontal="justify" vertical="center" wrapText="1"/>
    </xf>
    <xf numFmtId="0" fontId="35" fillId="0" borderId="39" xfId="0" applyFont="1" applyBorder="1" applyAlignment="1">
      <alignment horizontal="center" vertical="center" wrapText="1"/>
    </xf>
    <xf numFmtId="0" fontId="35" fillId="0" borderId="31" xfId="5" applyFont="1" applyBorder="1" applyAlignment="1">
      <alignment horizontal="justify" vertical="center" wrapText="1"/>
    </xf>
    <xf numFmtId="0" fontId="35" fillId="0" borderId="62" xfId="0" applyFont="1" applyBorder="1" applyAlignment="1">
      <alignment horizontal="center" vertical="center" wrapText="1"/>
    </xf>
    <xf numFmtId="0" fontId="35" fillId="0" borderId="31" xfId="0" applyFont="1" applyBorder="1" applyAlignment="1">
      <alignment horizontal="center" vertical="center" wrapText="1"/>
    </xf>
    <xf numFmtId="0" fontId="6" fillId="3" borderId="5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3" fillId="3" borderId="1" xfId="5" applyFont="1" applyFill="1" applyBorder="1" applyAlignment="1">
      <alignment horizontal="center" vertical="center" wrapText="1"/>
    </xf>
    <xf numFmtId="0" fontId="33" fillId="3" borderId="9" xfId="5" applyFont="1" applyFill="1" applyBorder="1" applyAlignment="1">
      <alignment horizontal="center" vertical="center" wrapText="1"/>
    </xf>
    <xf numFmtId="0" fontId="33" fillId="3" borderId="18" xfId="5" applyFont="1" applyFill="1" applyBorder="1" applyAlignment="1">
      <alignment horizontal="center" vertical="center" wrapText="1"/>
    </xf>
    <xf numFmtId="0" fontId="33" fillId="3" borderId="29" xfId="5" applyFont="1" applyFill="1" applyBorder="1" applyAlignment="1">
      <alignment horizontal="center" vertical="center" wrapText="1"/>
    </xf>
    <xf numFmtId="0" fontId="33" fillId="3" borderId="45" xfId="5" applyFont="1" applyFill="1" applyBorder="1" applyAlignment="1">
      <alignment horizontal="center" vertical="center" wrapText="1"/>
    </xf>
    <xf numFmtId="0" fontId="34" fillId="3" borderId="44" xfId="5" applyFont="1" applyFill="1" applyBorder="1" applyAlignment="1">
      <alignment horizontal="center" vertical="center" wrapText="1"/>
    </xf>
    <xf numFmtId="0" fontId="34" fillId="3" borderId="17" xfId="5" applyFont="1" applyFill="1" applyBorder="1" applyAlignment="1">
      <alignment horizontal="center" vertical="center" wrapText="1"/>
    </xf>
    <xf numFmtId="0" fontId="33" fillId="21" borderId="18"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3" borderId="4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8" fillId="2" borderId="58"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7" fillId="0" borderId="64" xfId="5" applyFont="1" applyBorder="1" applyAlignment="1">
      <alignment horizontal="center" vertical="center"/>
    </xf>
    <xf numFmtId="0" fontId="48" fillId="0" borderId="48"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2" xfId="0" applyFont="1" applyBorder="1" applyAlignment="1">
      <alignment horizontal="center" vertical="center"/>
    </xf>
    <xf numFmtId="3" fontId="23" fillId="3" borderId="45" xfId="0" applyNumberFormat="1" applyFont="1" applyFill="1" applyBorder="1" applyAlignment="1">
      <alignment horizontal="center" vertical="center" wrapText="1"/>
    </xf>
    <xf numFmtId="3" fontId="23" fillId="3" borderId="49" xfId="0" applyNumberFormat="1" applyFont="1" applyFill="1" applyBorder="1" applyAlignment="1">
      <alignment horizontal="center" vertical="center" wrapText="1"/>
    </xf>
    <xf numFmtId="3" fontId="23" fillId="3" borderId="31" xfId="0" applyNumberFormat="1"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49" fillId="12" borderId="48" xfId="0" applyFont="1" applyFill="1" applyBorder="1" applyAlignment="1">
      <alignment horizontal="center" vertical="center"/>
    </xf>
    <xf numFmtId="0" fontId="49" fillId="12" borderId="32" xfId="0" applyFont="1" applyFill="1" applyBorder="1" applyAlignment="1">
      <alignment horizontal="center" vertical="center"/>
    </xf>
    <xf numFmtId="0" fontId="49" fillId="12" borderId="21" xfId="0" applyFont="1" applyFill="1" applyBorder="1" applyAlignment="1">
      <alignment horizontal="center" vertical="center"/>
    </xf>
    <xf numFmtId="0" fontId="49" fillId="12" borderId="22"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46"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45" fillId="3" borderId="60" xfId="0" applyFont="1" applyFill="1" applyBorder="1" applyAlignment="1">
      <alignment horizontal="center" vertical="center" wrapText="1"/>
    </xf>
    <xf numFmtId="0" fontId="45" fillId="3" borderId="63" xfId="0" applyFont="1" applyFill="1" applyBorder="1" applyAlignment="1">
      <alignment horizontal="center" vertical="center" wrapText="1"/>
    </xf>
    <xf numFmtId="0" fontId="45" fillId="3" borderId="61" xfId="0" applyFont="1" applyFill="1" applyBorder="1" applyAlignment="1">
      <alignment horizontal="center" vertical="center" wrapText="1"/>
    </xf>
    <xf numFmtId="3" fontId="23" fillId="0" borderId="45" xfId="0" applyNumberFormat="1" applyFont="1" applyBorder="1" applyAlignment="1">
      <alignment horizontal="center" vertical="center" wrapText="1"/>
    </xf>
    <xf numFmtId="3" fontId="23" fillId="0" borderId="49" xfId="0" applyNumberFormat="1" applyFont="1" applyBorder="1" applyAlignment="1">
      <alignment horizontal="center" vertical="center" wrapText="1"/>
    </xf>
    <xf numFmtId="3" fontId="23" fillId="0" borderId="31" xfId="0" applyNumberFormat="1" applyFont="1" applyBorder="1" applyAlignment="1">
      <alignment horizontal="center" vertical="center" wrapText="1"/>
    </xf>
    <xf numFmtId="3" fontId="21" fillId="0" borderId="45" xfId="0" applyNumberFormat="1" applyFont="1" applyBorder="1" applyAlignment="1" applyProtection="1">
      <alignment horizontal="center" vertical="center" wrapText="1"/>
      <protection locked="0"/>
    </xf>
    <xf numFmtId="3" fontId="21" fillId="0" borderId="49" xfId="0" applyNumberFormat="1" applyFont="1" applyBorder="1" applyAlignment="1" applyProtection="1">
      <alignment horizontal="center" vertical="center" wrapText="1"/>
      <protection locked="0"/>
    </xf>
    <xf numFmtId="3" fontId="21" fillId="0" borderId="31" xfId="0" applyNumberFormat="1" applyFont="1"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31"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31"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31" xfId="0" applyFont="1" applyBorder="1" applyAlignment="1">
      <alignment horizontal="center" vertical="center" wrapText="1"/>
    </xf>
    <xf numFmtId="3" fontId="45" fillId="0" borderId="45" xfId="0" applyNumberFormat="1" applyFont="1" applyBorder="1" applyAlignment="1">
      <alignment horizontal="center" vertical="center" wrapText="1"/>
    </xf>
    <xf numFmtId="3" fontId="45" fillId="0" borderId="49" xfId="0" applyNumberFormat="1" applyFont="1" applyBorder="1" applyAlignment="1">
      <alignment horizontal="center" vertical="center" wrapText="1"/>
    </xf>
    <xf numFmtId="3" fontId="45" fillId="0" borderId="31" xfId="0" applyNumberFormat="1" applyFont="1" applyBorder="1" applyAlignment="1">
      <alignment horizontal="center" vertical="center" wrapText="1"/>
    </xf>
    <xf numFmtId="0" fontId="45" fillId="0" borderId="40" xfId="0" applyFont="1" applyBorder="1" applyAlignment="1" applyProtection="1">
      <alignment horizontal="center" vertical="center"/>
      <protection locked="0"/>
    </xf>
    <xf numFmtId="0" fontId="45" fillId="0" borderId="50"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3" fontId="21" fillId="0" borderId="60" xfId="0" applyNumberFormat="1" applyFont="1" applyBorder="1" applyAlignment="1">
      <alignment horizontal="center" vertical="center"/>
    </xf>
    <xf numFmtId="3" fontId="21" fillId="0" borderId="63" xfId="0" applyNumberFormat="1" applyFont="1" applyBorder="1" applyAlignment="1">
      <alignment horizontal="center" vertical="center"/>
    </xf>
    <xf numFmtId="0" fontId="21" fillId="0" borderId="41"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8"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52" xfId="0" applyFont="1" applyBorder="1" applyAlignment="1">
      <alignment horizontal="center" vertical="center" wrapText="1"/>
    </xf>
    <xf numFmtId="3" fontId="21" fillId="0" borderId="19" xfId="0" applyNumberFormat="1" applyFont="1" applyBorder="1" applyAlignment="1" applyProtection="1">
      <alignment horizontal="center" vertical="center" wrapText="1"/>
      <protection locked="0"/>
    </xf>
    <xf numFmtId="3" fontId="21" fillId="0" borderId="23" xfId="0" applyNumberFormat="1" applyFont="1" applyBorder="1" applyAlignment="1" applyProtection="1">
      <alignment horizontal="center" vertical="center" wrapText="1"/>
      <protection locked="0"/>
    </xf>
    <xf numFmtId="3" fontId="21" fillId="0" borderId="30" xfId="0" applyNumberFormat="1" applyFont="1" applyBorder="1" applyAlignment="1" applyProtection="1">
      <alignment horizontal="center" vertical="center" wrapText="1"/>
      <protection locked="0"/>
    </xf>
    <xf numFmtId="3" fontId="23" fillId="0" borderId="40" xfId="0" applyNumberFormat="1" applyFont="1" applyBorder="1" applyAlignment="1" applyProtection="1">
      <alignment horizontal="center" vertical="center" wrapText="1"/>
      <protection locked="0"/>
    </xf>
    <xf numFmtId="3" fontId="23" fillId="0" borderId="50" xfId="0" applyNumberFormat="1" applyFont="1" applyBorder="1" applyAlignment="1" applyProtection="1">
      <alignment horizontal="center" vertical="center" wrapText="1"/>
      <protection locked="0"/>
    </xf>
    <xf numFmtId="3" fontId="23" fillId="0" borderId="54" xfId="0" applyNumberFormat="1" applyFont="1" applyBorder="1" applyAlignment="1" applyProtection="1">
      <alignment horizontal="center" vertical="center" wrapText="1"/>
      <protection locked="0"/>
    </xf>
    <xf numFmtId="0" fontId="23" fillId="0" borderId="60"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1" xfId="0" applyFont="1" applyBorder="1" applyAlignment="1">
      <alignment horizontal="center" vertical="center" wrapText="1"/>
    </xf>
    <xf numFmtId="0" fontId="45" fillId="0" borderId="45" xfId="0" applyFont="1" applyBorder="1" applyAlignment="1">
      <alignment horizontal="center" vertical="center"/>
    </xf>
    <xf numFmtId="0" fontId="45" fillId="0" borderId="49" xfId="0" applyFont="1" applyBorder="1" applyAlignment="1">
      <alignment horizontal="center" vertical="center"/>
    </xf>
    <xf numFmtId="0" fontId="45" fillId="0" borderId="31" xfId="0" applyFont="1" applyBorder="1" applyAlignment="1">
      <alignment horizontal="center" vertical="center"/>
    </xf>
    <xf numFmtId="1" fontId="21" fillId="0" borderId="45" xfId="0" applyNumberFormat="1" applyFont="1" applyBorder="1" applyAlignment="1">
      <alignment horizontal="center" vertical="center" wrapText="1"/>
    </xf>
    <xf numFmtId="1" fontId="21" fillId="0" borderId="49"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3" fontId="21" fillId="0" borderId="45" xfId="0" applyNumberFormat="1" applyFont="1" applyBorder="1" applyAlignment="1">
      <alignment horizontal="center" vertical="center" wrapText="1"/>
    </xf>
    <xf numFmtId="3" fontId="21" fillId="0" borderId="49" xfId="0" applyNumberFormat="1" applyFont="1" applyBorder="1" applyAlignment="1">
      <alignment horizontal="center" vertical="center" wrapText="1"/>
    </xf>
    <xf numFmtId="3" fontId="21" fillId="0" borderId="31" xfId="0" applyNumberFormat="1" applyFont="1" applyBorder="1" applyAlignment="1">
      <alignment horizontal="center" vertical="center" wrapText="1"/>
    </xf>
    <xf numFmtId="0" fontId="42" fillId="0" borderId="40" xfId="0" applyFont="1" applyBorder="1" applyAlignment="1" applyProtection="1">
      <alignment horizontal="center" vertical="center"/>
      <protection locked="0"/>
    </xf>
    <xf numFmtId="0" fontId="42" fillId="0" borderId="50" xfId="0" applyFont="1" applyBorder="1" applyAlignment="1" applyProtection="1">
      <alignment horizontal="center" vertical="center"/>
      <protection locked="0"/>
    </xf>
    <xf numFmtId="0" fontId="42" fillId="0" borderId="54" xfId="0" applyFont="1" applyBorder="1" applyAlignment="1" applyProtection="1">
      <alignment horizontal="center" vertical="center"/>
      <protection locked="0"/>
    </xf>
    <xf numFmtId="3" fontId="44" fillId="0" borderId="40" xfId="0" applyNumberFormat="1" applyFont="1" applyBorder="1" applyAlignment="1" applyProtection="1">
      <alignment horizontal="center" vertical="center" wrapText="1"/>
      <protection locked="0"/>
    </xf>
    <xf numFmtId="3" fontId="44" fillId="0" borderId="50" xfId="0" applyNumberFormat="1" applyFont="1" applyBorder="1" applyAlignment="1" applyProtection="1">
      <alignment horizontal="center" vertical="center" wrapText="1"/>
      <protection locked="0"/>
    </xf>
    <xf numFmtId="3" fontId="44" fillId="0" borderId="54" xfId="0" applyNumberFormat="1" applyFont="1" applyBorder="1" applyAlignment="1" applyProtection="1">
      <alignment horizontal="center" vertical="center" wrapText="1"/>
      <protection locked="0"/>
    </xf>
    <xf numFmtId="0" fontId="45" fillId="0" borderId="60"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61" xfId="0" applyFont="1" applyBorder="1" applyAlignment="1">
      <alignment horizontal="center" vertical="center" wrapText="1"/>
    </xf>
    <xf numFmtId="0" fontId="42" fillId="0" borderId="25" xfId="0" applyFont="1" applyBorder="1" applyAlignment="1" applyProtection="1">
      <alignment horizontal="center" vertical="center"/>
      <protection locked="0"/>
    </xf>
    <xf numFmtId="3" fontId="21" fillId="0" borderId="40" xfId="0" applyNumberFormat="1" applyFont="1" applyBorder="1" applyAlignment="1" applyProtection="1">
      <alignment horizontal="center" vertical="center" wrapText="1"/>
      <protection locked="0"/>
    </xf>
    <xf numFmtId="3" fontId="21" fillId="0" borderId="50" xfId="0" applyNumberFormat="1" applyFont="1" applyBorder="1" applyAlignment="1" applyProtection="1">
      <alignment horizontal="center" vertical="center" wrapText="1"/>
      <protection locked="0"/>
    </xf>
    <xf numFmtId="3" fontId="21" fillId="0" borderId="54" xfId="0" applyNumberFormat="1" applyFont="1" applyBorder="1" applyAlignment="1" applyProtection="1">
      <alignment horizontal="center" vertical="center" wrapText="1"/>
      <protection locked="0"/>
    </xf>
    <xf numFmtId="0" fontId="45" fillId="0" borderId="60" xfId="0" applyFont="1" applyBorder="1" applyAlignment="1">
      <alignment horizontal="center" vertical="center"/>
    </xf>
    <xf numFmtId="0" fontId="45" fillId="0" borderId="63" xfId="0" applyFont="1" applyBorder="1" applyAlignment="1">
      <alignment horizontal="center" vertical="center"/>
    </xf>
    <xf numFmtId="0" fontId="45" fillId="0" borderId="61" xfId="0" applyFont="1" applyBorder="1" applyAlignment="1">
      <alignment horizontal="center" vertical="center"/>
    </xf>
    <xf numFmtId="0" fontId="40" fillId="0" borderId="45"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61" xfId="0" applyFont="1" applyBorder="1" applyAlignment="1">
      <alignment horizontal="center" vertical="center" wrapText="1"/>
    </xf>
    <xf numFmtId="3" fontId="21" fillId="0" borderId="61" xfId="0" applyNumberFormat="1" applyFont="1" applyBorder="1" applyAlignment="1">
      <alignment horizontal="center" vertical="center"/>
    </xf>
    <xf numFmtId="0" fontId="33" fillId="3" borderId="75"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8" fillId="3" borderId="4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9" fillId="3" borderId="52" xfId="6" applyFont="1" applyFill="1" applyBorder="1" applyAlignment="1">
      <alignment horizontal="left" vertical="center" wrapText="1"/>
    </xf>
    <xf numFmtId="0" fontId="9" fillId="3" borderId="29" xfId="6" applyFont="1" applyFill="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38" fillId="0" borderId="6" xfId="6" applyFont="1" applyBorder="1" applyAlignment="1">
      <alignment horizontal="center" vertical="center" wrapText="1"/>
    </xf>
    <xf numFmtId="0" fontId="38" fillId="0" borderId="0" xfId="6" applyFont="1" applyAlignment="1">
      <alignment horizontal="center" vertical="center" wrapText="1"/>
    </xf>
    <xf numFmtId="0" fontId="38" fillId="0" borderId="10" xfId="6" applyFont="1" applyBorder="1" applyAlignment="1">
      <alignment horizontal="center" vertical="center" wrapText="1"/>
    </xf>
    <xf numFmtId="0" fontId="38" fillId="0" borderId="11" xfId="6" applyFont="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22" borderId="13" xfId="0" applyFont="1" applyFill="1" applyBorder="1" applyAlignment="1">
      <alignment horizontal="center" vertical="center" wrapText="1"/>
    </xf>
    <xf numFmtId="0" fontId="33" fillId="22" borderId="12" xfId="0" applyFont="1" applyFill="1" applyBorder="1" applyAlignment="1">
      <alignment horizontal="center" vertical="center" wrapText="1"/>
    </xf>
    <xf numFmtId="0" fontId="33" fillId="22"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0" fillId="0" borderId="42" xfId="0" applyBorder="1" applyAlignment="1">
      <alignment horizontal="center"/>
    </xf>
    <xf numFmtId="0" fontId="0" fillId="0" borderId="18" xfId="0" applyBorder="1" applyAlignment="1">
      <alignment horizontal="center"/>
    </xf>
    <xf numFmtId="0" fontId="0" fillId="0" borderId="46" xfId="0" applyBorder="1" applyAlignment="1">
      <alignment horizontal="center"/>
    </xf>
    <xf numFmtId="0" fontId="0" fillId="0" borderId="22" xfId="0" applyBorder="1" applyAlignment="1">
      <alignment horizont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1" fillId="3" borderId="22" xfId="0" applyFont="1" applyFill="1" applyBorder="1" applyAlignment="1">
      <alignment horizontal="center" vertical="center" wrapText="1"/>
    </xf>
    <xf numFmtId="0" fontId="8" fillId="11" borderId="22" xfId="0" applyFont="1" applyFill="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3" borderId="46" xfId="0" applyFont="1" applyFill="1" applyBorder="1" applyAlignment="1">
      <alignment horizontal="left" vertical="center"/>
    </xf>
    <xf numFmtId="0" fontId="8" fillId="3" borderId="22" xfId="0" applyFont="1" applyFill="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4" fillId="3" borderId="15"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5" xfId="0" applyFont="1" applyFill="1" applyBorder="1" applyAlignment="1">
      <alignment horizontal="center" vertical="center"/>
    </xf>
    <xf numFmtId="0" fontId="55" fillId="3" borderId="69" xfId="0" applyFont="1" applyFill="1" applyBorder="1" applyAlignment="1">
      <alignment horizontal="center" vertical="center" wrapText="1"/>
    </xf>
    <xf numFmtId="0" fontId="55" fillId="3" borderId="33" xfId="0" applyFont="1" applyFill="1" applyBorder="1" applyAlignment="1">
      <alignment horizontal="center" vertical="center" wrapText="1"/>
    </xf>
    <xf numFmtId="0" fontId="55" fillId="3" borderId="34" xfId="0" applyFont="1" applyFill="1" applyBorder="1" applyAlignment="1">
      <alignment horizontal="center" vertical="center" wrapText="1"/>
    </xf>
    <xf numFmtId="0" fontId="55" fillId="0" borderId="58" xfId="0" applyFont="1" applyBorder="1" applyAlignment="1">
      <alignment horizontal="center"/>
    </xf>
    <xf numFmtId="0" fontId="55" fillId="0" borderId="8" xfId="0" applyFont="1" applyBorder="1" applyAlignment="1">
      <alignment horizontal="center"/>
    </xf>
    <xf numFmtId="0" fontId="55" fillId="0" borderId="59" xfId="0" applyFont="1" applyBorder="1" applyAlignment="1">
      <alignment horizontal="center"/>
    </xf>
    <xf numFmtId="0" fontId="55" fillId="0" borderId="13"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6" fillId="4" borderId="42" xfId="0" applyFont="1" applyFill="1" applyBorder="1" applyAlignment="1">
      <alignment horizontal="center" vertical="center"/>
    </xf>
    <xf numFmtId="0" fontId="56" fillId="4" borderId="18" xfId="0" applyFont="1" applyFill="1" applyBorder="1" applyAlignment="1">
      <alignment horizontal="center" vertical="center"/>
    </xf>
    <xf numFmtId="0" fontId="56" fillId="4" borderId="19" xfId="0" applyFont="1" applyFill="1" applyBorder="1" applyAlignment="1">
      <alignment horizontal="center" vertical="center"/>
    </xf>
    <xf numFmtId="0" fontId="56" fillId="4" borderId="15" xfId="0" applyFont="1" applyFill="1" applyBorder="1" applyAlignment="1">
      <alignment horizontal="center" vertical="center"/>
    </xf>
    <xf numFmtId="0" fontId="56" fillId="4" borderId="4" xfId="0" applyFont="1" applyFill="1" applyBorder="1" applyAlignment="1">
      <alignment horizontal="center" vertical="center"/>
    </xf>
    <xf numFmtId="0" fontId="56" fillId="4" borderId="5" xfId="0" applyFont="1" applyFill="1" applyBorder="1" applyAlignment="1">
      <alignment horizontal="center" vertical="center"/>
    </xf>
    <xf numFmtId="0" fontId="0" fillId="0" borderId="65" xfId="0" applyBorder="1" applyAlignment="1">
      <alignment horizontal="left" vertical="center"/>
    </xf>
    <xf numFmtId="0" fontId="0" fillId="0" borderId="37" xfId="0"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0" fillId="0" borderId="61" xfId="0" applyBorder="1" applyAlignment="1">
      <alignment horizontal="left" vertical="center"/>
    </xf>
    <xf numFmtId="0" fontId="0" fillId="2" borderId="65" xfId="0" applyFill="1" applyBorder="1" applyAlignment="1">
      <alignment horizontal="center" vertical="center"/>
    </xf>
    <xf numFmtId="0" fontId="0" fillId="2" borderId="37" xfId="0" applyFill="1" applyBorder="1" applyAlignment="1">
      <alignment horizontal="center" vertical="center"/>
    </xf>
    <xf numFmtId="0" fontId="0" fillId="0" borderId="65" xfId="0" applyBorder="1" applyAlignment="1">
      <alignment horizontal="center" vertical="center"/>
    </xf>
    <xf numFmtId="0" fontId="0" fillId="0" borderId="37" xfId="0" applyBorder="1" applyAlignment="1">
      <alignment horizontal="center" vertical="center"/>
    </xf>
    <xf numFmtId="0" fontId="0" fillId="0" borderId="65" xfId="0" applyBorder="1" applyAlignment="1">
      <alignment horizontal="center"/>
    </xf>
    <xf numFmtId="0" fontId="0" fillId="0" borderId="37" xfId="0" applyBorder="1" applyAlignment="1">
      <alignment horizontal="center"/>
    </xf>
    <xf numFmtId="0" fontId="0" fillId="0" borderId="63" xfId="0" applyBorder="1" applyAlignment="1">
      <alignment horizontal="left" vertical="center"/>
    </xf>
    <xf numFmtId="0" fontId="0" fillId="14" borderId="62" xfId="0" applyFill="1" applyBorder="1" applyAlignment="1">
      <alignment horizontal="left" vertical="center"/>
    </xf>
    <xf numFmtId="0" fontId="0" fillId="14" borderId="39" xfId="0" applyFill="1" applyBorder="1" applyAlignment="1">
      <alignment horizontal="left" vertical="center"/>
    </xf>
    <xf numFmtId="0" fontId="0" fillId="0" borderId="65" xfId="0" applyBorder="1" applyAlignment="1">
      <alignment horizontal="center" vertical="center" wrapText="1"/>
    </xf>
    <xf numFmtId="0" fontId="0" fillId="0" borderId="37" xfId="0" applyBorder="1" applyAlignment="1">
      <alignment horizontal="center" vertical="center" wrapText="1"/>
    </xf>
    <xf numFmtId="2" fontId="0" fillId="0" borderId="65" xfId="0" applyNumberFormat="1" applyBorder="1" applyAlignment="1">
      <alignment horizontal="left" vertical="center"/>
    </xf>
    <xf numFmtId="2" fontId="0" fillId="0" borderId="63" xfId="0" applyNumberFormat="1" applyBorder="1" applyAlignment="1">
      <alignment horizontal="left" vertical="center"/>
    </xf>
    <xf numFmtId="2" fontId="0" fillId="0" borderId="61" xfId="0" applyNumberFormat="1" applyBorder="1" applyAlignment="1">
      <alignment horizontal="left" vertical="center"/>
    </xf>
    <xf numFmtId="2" fontId="0" fillId="14" borderId="62" xfId="0" applyNumberFormat="1" applyFill="1" applyBorder="1" applyAlignment="1">
      <alignment horizontal="left" vertical="center"/>
    </xf>
    <xf numFmtId="2" fontId="0" fillId="14" borderId="31" xfId="0" applyNumberFormat="1" applyFill="1" applyBorder="1" applyAlignment="1">
      <alignment horizontal="left" vertical="center"/>
    </xf>
    <xf numFmtId="0" fontId="56" fillId="4" borderId="15" xfId="0" applyFont="1" applyFill="1" applyBorder="1" applyAlignment="1">
      <alignment horizontal="center"/>
    </xf>
    <xf numFmtId="0" fontId="56" fillId="4" borderId="4" xfId="0" applyFont="1" applyFill="1" applyBorder="1" applyAlignment="1">
      <alignment horizontal="center"/>
    </xf>
    <xf numFmtId="0" fontId="56" fillId="4" borderId="5" xfId="0" applyFont="1" applyFill="1" applyBorder="1" applyAlignment="1">
      <alignment horizontal="center"/>
    </xf>
    <xf numFmtId="0" fontId="0" fillId="14" borderId="22" xfId="0" applyFill="1" applyBorder="1" applyAlignment="1">
      <alignment horizontal="left" vertical="center"/>
    </xf>
    <xf numFmtId="0" fontId="0" fillId="0" borderId="62" xfId="0" applyBorder="1" applyAlignment="1">
      <alignment horizontal="left" vertical="center"/>
    </xf>
    <xf numFmtId="0" fontId="0" fillId="0" borderId="39" xfId="0" applyBorder="1" applyAlignment="1">
      <alignment horizontal="left" vertical="center"/>
    </xf>
    <xf numFmtId="0" fontId="16" fillId="0" borderId="65" xfId="0" applyFont="1" applyBorder="1" applyAlignment="1">
      <alignment horizontal="center" vertical="center"/>
    </xf>
    <xf numFmtId="0" fontId="16" fillId="0" borderId="63" xfId="0" applyFont="1" applyBorder="1" applyAlignment="1">
      <alignment horizontal="center" vertical="center"/>
    </xf>
    <xf numFmtId="0" fontId="16" fillId="2" borderId="62"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22" xfId="0" applyFont="1" applyFill="1" applyBorder="1" applyAlignment="1">
      <alignment horizontal="left" vertical="center"/>
    </xf>
    <xf numFmtId="0" fontId="7" fillId="4" borderId="15"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16" fillId="0" borderId="65" xfId="0" applyFont="1" applyBorder="1" applyAlignment="1">
      <alignment horizontal="left" vertical="center"/>
    </xf>
    <xf numFmtId="0" fontId="16" fillId="0" borderId="63" xfId="0" applyFont="1" applyBorder="1" applyAlignment="1">
      <alignment horizontal="left" vertical="center"/>
    </xf>
    <xf numFmtId="0" fontId="16" fillId="0" borderId="37" xfId="0" applyFont="1" applyBorder="1" applyAlignment="1">
      <alignment horizontal="left" vertical="center"/>
    </xf>
    <xf numFmtId="0" fontId="16" fillId="0" borderId="62" xfId="0" applyFont="1" applyBorder="1" applyAlignment="1">
      <alignment horizontal="left" vertical="center"/>
    </xf>
    <xf numFmtId="0" fontId="16" fillId="0" borderId="39" xfId="0" applyFont="1" applyBorder="1" applyAlignment="1">
      <alignment horizontal="left" vertical="center"/>
    </xf>
    <xf numFmtId="0" fontId="16" fillId="14" borderId="62" xfId="0" applyFont="1" applyFill="1" applyBorder="1" applyAlignment="1">
      <alignment horizontal="left" vertical="center"/>
    </xf>
    <xf numFmtId="0" fontId="16" fillId="14" borderId="39" xfId="0" applyFont="1" applyFill="1" applyBorder="1" applyAlignment="1">
      <alignment horizontal="left"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37" xfId="0" applyFont="1" applyFill="1" applyBorder="1" applyAlignment="1">
      <alignment horizontal="center" vertical="center"/>
    </xf>
    <xf numFmtId="0" fontId="16" fillId="0" borderId="45" xfId="0" applyFont="1" applyBorder="1" applyAlignment="1">
      <alignment horizontal="left" vertical="center"/>
    </xf>
    <xf numFmtId="0" fontId="16" fillId="2" borderId="45" xfId="0" applyFont="1" applyFill="1" applyBorder="1" applyAlignment="1">
      <alignment horizontal="left" vertical="center"/>
    </xf>
    <xf numFmtId="0" fontId="16" fillId="0" borderId="6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7" xfId="0" applyFont="1" applyBorder="1" applyAlignment="1">
      <alignment horizontal="center" vertical="center"/>
    </xf>
    <xf numFmtId="0" fontId="49" fillId="12" borderId="22" xfId="0" applyFont="1" applyFill="1" applyBorder="1" applyAlignment="1">
      <alignment horizontal="center" vertical="center"/>
    </xf>
    <xf numFmtId="0" fontId="16" fillId="0" borderId="65" xfId="0" applyFont="1" applyBorder="1" applyAlignment="1">
      <alignment horizontal="center" wrapText="1"/>
    </xf>
    <xf numFmtId="0" fontId="16" fillId="0" borderId="63" xfId="0" applyFont="1" applyBorder="1" applyAlignment="1">
      <alignment horizontal="center" wrapText="1"/>
    </xf>
    <xf numFmtId="0" fontId="16" fillId="0" borderId="61" xfId="0" applyFont="1" applyBorder="1" applyAlignment="1">
      <alignment horizontal="center" wrapText="1"/>
    </xf>
  </cellXfs>
  <cellStyles count="163">
    <cellStyle name="Millares" xfId="1" builtinId="3"/>
    <cellStyle name="Millares 100" xfId="7" xr:uid="{00000000-0005-0000-0000-000001000000}"/>
    <cellStyle name="Millares 151 5" xfId="10" xr:uid="{00000000-0005-0000-0000-000002000000}"/>
    <cellStyle name="Millares 151 5 2" xfId="13" xr:uid="{00000000-0005-0000-0000-000003000000}"/>
    <cellStyle name="Millares 151 5 2 2" xfId="19" xr:uid="{00000000-0005-0000-0000-000004000000}"/>
    <cellStyle name="Millares 151 5 2 2 2" xfId="28" xr:uid="{00000000-0005-0000-0000-000005000000}"/>
    <cellStyle name="Millares 151 5 2 2 2 2" xfId="46" xr:uid="{00000000-0005-0000-0000-000006000000}"/>
    <cellStyle name="Millares 151 5 2 2 2 2 2" xfId="84" xr:uid="{00000000-0005-0000-0000-000007000000}"/>
    <cellStyle name="Millares 151 5 2 2 2 2 2 2" xfId="158" xr:uid="{D1712944-85B7-4697-AE0A-2B3683EC337E}"/>
    <cellStyle name="Millares 151 5 2 2 2 2 3" xfId="121" xr:uid="{57A0548D-CE11-4134-A4CC-13427AACE338}"/>
    <cellStyle name="Millares 151 5 2 2 2 3" xfId="66" xr:uid="{00000000-0005-0000-0000-000008000000}"/>
    <cellStyle name="Millares 151 5 2 2 2 3 2" xfId="140" xr:uid="{5E801946-648C-4C39-B2A1-B58E62403632}"/>
    <cellStyle name="Millares 151 5 2 2 2 4" xfId="103" xr:uid="{C19AFC2E-508E-424E-A8B6-EABAC67D624D}"/>
    <cellStyle name="Millares 151 5 2 2 3" xfId="37" xr:uid="{00000000-0005-0000-0000-000009000000}"/>
    <cellStyle name="Millares 151 5 2 2 3 2" xfId="75" xr:uid="{00000000-0005-0000-0000-00000A000000}"/>
    <cellStyle name="Millares 151 5 2 2 3 2 2" xfId="149" xr:uid="{0FEA6CD2-0E58-4859-A14D-FC154D69FB71}"/>
    <cellStyle name="Millares 151 5 2 2 3 3" xfId="112" xr:uid="{19A2311A-3160-4551-8556-077A81437D2E}"/>
    <cellStyle name="Millares 151 5 2 2 4" xfId="57" xr:uid="{00000000-0005-0000-0000-00000B000000}"/>
    <cellStyle name="Millares 151 5 2 2 4 2" xfId="131" xr:uid="{8C5E669F-8CA3-4188-841D-438D42E58647}"/>
    <cellStyle name="Millares 151 5 2 2 5" xfId="94" xr:uid="{9ECCAA09-47D2-462C-BC8E-D049991B4229}"/>
    <cellStyle name="Millares 151 5 2 3" xfId="24" xr:uid="{00000000-0005-0000-0000-00000C000000}"/>
    <cellStyle name="Millares 151 5 2 3 2" xfId="42" xr:uid="{00000000-0005-0000-0000-00000D000000}"/>
    <cellStyle name="Millares 151 5 2 3 2 2" xfId="80" xr:uid="{00000000-0005-0000-0000-00000E000000}"/>
    <cellStyle name="Millares 151 5 2 3 2 2 2" xfId="154" xr:uid="{556C1377-0DFD-423A-93E7-8EB62DB54894}"/>
    <cellStyle name="Millares 151 5 2 3 2 3" xfId="117" xr:uid="{C14FA822-F0B8-4196-AEFB-D2915CA378ED}"/>
    <cellStyle name="Millares 151 5 2 3 3" xfId="62" xr:uid="{00000000-0005-0000-0000-00000F000000}"/>
    <cellStyle name="Millares 151 5 2 3 3 2" xfId="136" xr:uid="{F6E5512B-A2DE-4A5A-94D3-F14D2BB99DA7}"/>
    <cellStyle name="Millares 151 5 2 3 4" xfId="99" xr:uid="{1520D8F5-BF7C-48FD-A2A4-8A662E55E650}"/>
    <cellStyle name="Millares 151 5 2 4" xfId="33" xr:uid="{00000000-0005-0000-0000-000010000000}"/>
    <cellStyle name="Millares 151 5 2 4 2" xfId="71" xr:uid="{00000000-0005-0000-0000-000011000000}"/>
    <cellStyle name="Millares 151 5 2 4 2 2" xfId="145" xr:uid="{6AA9BC46-13A8-4308-8429-D45596A91846}"/>
    <cellStyle name="Millares 151 5 2 4 3" xfId="108" xr:uid="{871A567E-B54E-4B8E-9D0B-D614CE62F84F}"/>
    <cellStyle name="Millares 151 5 2 5" xfId="53" xr:uid="{00000000-0005-0000-0000-000012000000}"/>
    <cellStyle name="Millares 151 5 2 5 2" xfId="127" xr:uid="{BDEDD6F5-42AE-4EF3-8A23-AD380F46BAD6}"/>
    <cellStyle name="Millares 151 5 2 6" xfId="90" xr:uid="{2F781919-87B3-41F3-97A5-09F7698781F5}"/>
    <cellStyle name="Millares 151 5 3" xfId="17" xr:uid="{00000000-0005-0000-0000-000013000000}"/>
    <cellStyle name="Millares 151 5 3 2" xfId="26" xr:uid="{00000000-0005-0000-0000-000014000000}"/>
    <cellStyle name="Millares 151 5 3 2 2" xfId="44" xr:uid="{00000000-0005-0000-0000-000015000000}"/>
    <cellStyle name="Millares 151 5 3 2 2 2" xfId="82" xr:uid="{00000000-0005-0000-0000-000016000000}"/>
    <cellStyle name="Millares 151 5 3 2 2 2 2" xfId="156" xr:uid="{133C75FB-4720-442B-A1F2-58C495E5EBF1}"/>
    <cellStyle name="Millares 151 5 3 2 2 3" xfId="119" xr:uid="{2CC4E27C-2553-4F72-B681-C4F9DA999D17}"/>
    <cellStyle name="Millares 151 5 3 2 3" xfId="64" xr:uid="{00000000-0005-0000-0000-000017000000}"/>
    <cellStyle name="Millares 151 5 3 2 3 2" xfId="138" xr:uid="{7FCC89DA-946E-46E3-9AB4-8F2B60695DEB}"/>
    <cellStyle name="Millares 151 5 3 2 4" xfId="101" xr:uid="{72B41F09-CA8B-47A9-BBD2-B2834B3B800F}"/>
    <cellStyle name="Millares 151 5 3 3" xfId="35" xr:uid="{00000000-0005-0000-0000-000018000000}"/>
    <cellStyle name="Millares 151 5 3 3 2" xfId="73" xr:uid="{00000000-0005-0000-0000-000019000000}"/>
    <cellStyle name="Millares 151 5 3 3 2 2" xfId="147" xr:uid="{8059CA1B-1929-4D49-98CB-A08ED6177BCE}"/>
    <cellStyle name="Millares 151 5 3 3 3" xfId="110" xr:uid="{AE1A6D04-EBC8-4552-87C6-50556B72CD42}"/>
    <cellStyle name="Millares 151 5 3 4" xfId="55" xr:uid="{00000000-0005-0000-0000-00001A000000}"/>
    <cellStyle name="Millares 151 5 3 4 2" xfId="129" xr:uid="{F5946330-D698-458D-A723-61DBD1C68483}"/>
    <cellStyle name="Millares 151 5 3 5" xfId="92" xr:uid="{8F43EB2B-7C04-42C6-95FB-18127735FFCA}"/>
    <cellStyle name="Millares 151 5 4" xfId="22" xr:uid="{00000000-0005-0000-0000-00001B000000}"/>
    <cellStyle name="Millares 151 5 4 2" xfId="40" xr:uid="{00000000-0005-0000-0000-00001C000000}"/>
    <cellStyle name="Millares 151 5 4 2 2" xfId="78" xr:uid="{00000000-0005-0000-0000-00001D000000}"/>
    <cellStyle name="Millares 151 5 4 2 2 2" xfId="152" xr:uid="{5BDD1258-8730-449D-956A-A666EF31AE06}"/>
    <cellStyle name="Millares 151 5 4 2 3" xfId="115" xr:uid="{A3549420-7673-4C19-B07C-E1F8CCB2E0D0}"/>
    <cellStyle name="Millares 151 5 4 3" xfId="60" xr:uid="{00000000-0005-0000-0000-00001E000000}"/>
    <cellStyle name="Millares 151 5 4 3 2" xfId="134" xr:uid="{8E38BA0C-CC2D-4999-A3AB-8186D14B183A}"/>
    <cellStyle name="Millares 151 5 4 4" xfId="97" xr:uid="{3AE9DCAD-6415-4078-9338-7B2B87C412E3}"/>
    <cellStyle name="Millares 151 5 5" xfId="31" xr:uid="{00000000-0005-0000-0000-00001F000000}"/>
    <cellStyle name="Millares 151 5 5 2" xfId="69" xr:uid="{00000000-0005-0000-0000-000020000000}"/>
    <cellStyle name="Millares 151 5 5 2 2" xfId="143" xr:uid="{5B060F14-6BA6-4517-A625-126F94478FC9}"/>
    <cellStyle name="Millares 151 5 5 3" xfId="106" xr:uid="{0C1D2B33-9607-4C2C-A469-B86A8646CB64}"/>
    <cellStyle name="Millares 151 5 6" xfId="51" xr:uid="{00000000-0005-0000-0000-000021000000}"/>
    <cellStyle name="Millares 151 5 6 2" xfId="125" xr:uid="{A037FC31-AB59-4096-A1A8-6CAB8CFEA80B}"/>
    <cellStyle name="Millares 151 5 7" xfId="88" xr:uid="{E92B86EE-0775-4D80-8550-351131578749}"/>
    <cellStyle name="Moneda" xfId="20" builtinId="4"/>
    <cellStyle name="Moneda [0]" xfId="2" builtinId="7"/>
    <cellStyle name="Moneda [0] 2" xfId="12" xr:uid="{00000000-0005-0000-0000-000024000000}"/>
    <cellStyle name="Moneda [0] 2 2" xfId="18" xr:uid="{00000000-0005-0000-0000-000025000000}"/>
    <cellStyle name="Moneda [0] 2 2 2" xfId="27" xr:uid="{00000000-0005-0000-0000-000026000000}"/>
    <cellStyle name="Moneda [0] 2 2 2 2" xfId="45" xr:uid="{00000000-0005-0000-0000-000027000000}"/>
    <cellStyle name="Moneda [0] 2 2 2 2 2" xfId="83" xr:uid="{00000000-0005-0000-0000-000028000000}"/>
    <cellStyle name="Moneda [0] 2 2 2 2 2 2" xfId="157" xr:uid="{5A473F8B-4FB4-4191-9D12-7D3910E4E2B8}"/>
    <cellStyle name="Moneda [0] 2 2 2 2 3" xfId="120" xr:uid="{BC6D924F-E58B-4771-9A49-E80F7128C17D}"/>
    <cellStyle name="Moneda [0] 2 2 2 3" xfId="65" xr:uid="{00000000-0005-0000-0000-000029000000}"/>
    <cellStyle name="Moneda [0] 2 2 2 3 2" xfId="139" xr:uid="{82529EAE-9368-4BE8-A89C-8BC8BA09D534}"/>
    <cellStyle name="Moneda [0] 2 2 2 4" xfId="102" xr:uid="{7297B8F3-2B28-4756-A93E-4830C4FFBF5D}"/>
    <cellStyle name="Moneda [0] 2 2 3" xfId="36" xr:uid="{00000000-0005-0000-0000-00002A000000}"/>
    <cellStyle name="Moneda [0] 2 2 3 2" xfId="74" xr:uid="{00000000-0005-0000-0000-00002B000000}"/>
    <cellStyle name="Moneda [0] 2 2 3 2 2" xfId="148" xr:uid="{C3E25DAD-D0F6-4CCC-A9A1-F8454CBB04B0}"/>
    <cellStyle name="Moneda [0] 2 2 3 3" xfId="111" xr:uid="{00C8E58F-79F5-47DB-9570-29F458123EB0}"/>
    <cellStyle name="Moneda [0] 2 2 4" xfId="56" xr:uid="{00000000-0005-0000-0000-00002C000000}"/>
    <cellStyle name="Moneda [0] 2 2 4 2" xfId="130" xr:uid="{F02504F6-CC0A-40B8-A550-F45E4E4D95AA}"/>
    <cellStyle name="Moneda [0] 2 2 5" xfId="93" xr:uid="{6C29E22E-364D-4614-BED8-456E6081E600}"/>
    <cellStyle name="Moneda [0] 2 3" xfId="23" xr:uid="{00000000-0005-0000-0000-00002D000000}"/>
    <cellStyle name="Moneda [0] 2 3 2" xfId="41" xr:uid="{00000000-0005-0000-0000-00002E000000}"/>
    <cellStyle name="Moneda [0] 2 3 2 2" xfId="79" xr:uid="{00000000-0005-0000-0000-00002F000000}"/>
    <cellStyle name="Moneda [0] 2 3 2 2 2" xfId="153" xr:uid="{64191A6A-64E4-4EE1-924C-218B94E32A02}"/>
    <cellStyle name="Moneda [0] 2 3 2 3" xfId="116" xr:uid="{32074F3C-B688-48EF-870A-10CB0E6DD169}"/>
    <cellStyle name="Moneda [0] 2 3 3" xfId="61" xr:uid="{00000000-0005-0000-0000-000030000000}"/>
    <cellStyle name="Moneda [0] 2 3 3 2" xfId="135" xr:uid="{2DCDBE5A-688B-4129-B55C-3FB6C4CAF375}"/>
    <cellStyle name="Moneda [0] 2 3 4" xfId="98" xr:uid="{FEDF5EAE-5D8F-4E08-9B1A-82511313424E}"/>
    <cellStyle name="Moneda [0] 2 4" xfId="32" xr:uid="{00000000-0005-0000-0000-000031000000}"/>
    <cellStyle name="Moneda [0] 2 4 2" xfId="70" xr:uid="{00000000-0005-0000-0000-000032000000}"/>
    <cellStyle name="Moneda [0] 2 4 2 2" xfId="144" xr:uid="{CFE61629-C46D-49A0-B555-7AE13669E595}"/>
    <cellStyle name="Moneda [0] 2 4 3" xfId="107" xr:uid="{08905884-9424-46B3-A173-94F00301E0C1}"/>
    <cellStyle name="Moneda [0] 2 5" xfId="52" xr:uid="{00000000-0005-0000-0000-000033000000}"/>
    <cellStyle name="Moneda [0] 2 5 2" xfId="126" xr:uid="{902CA482-BA6F-4FA9-8FF9-38A08E33DD8E}"/>
    <cellStyle name="Moneda [0] 2 6" xfId="89" xr:uid="{B14778B4-E717-4E39-8966-27256B2EFDD3}"/>
    <cellStyle name="Moneda [0] 3" xfId="16" xr:uid="{00000000-0005-0000-0000-000034000000}"/>
    <cellStyle name="Moneda [0] 3 2" xfId="25" xr:uid="{00000000-0005-0000-0000-000035000000}"/>
    <cellStyle name="Moneda [0] 3 2 2" xfId="43" xr:uid="{00000000-0005-0000-0000-000036000000}"/>
    <cellStyle name="Moneda [0] 3 2 2 2" xfId="81" xr:uid="{00000000-0005-0000-0000-000037000000}"/>
    <cellStyle name="Moneda [0] 3 2 2 2 2" xfId="155" xr:uid="{76424C19-B09B-4E64-B1B9-5D406BD9FA69}"/>
    <cellStyle name="Moneda [0] 3 2 2 3" xfId="118" xr:uid="{C64F2FFF-73E2-4684-8B17-7137358D95C0}"/>
    <cellStyle name="Moneda [0] 3 2 3" xfId="63" xr:uid="{00000000-0005-0000-0000-000038000000}"/>
    <cellStyle name="Moneda [0] 3 2 3 2" xfId="137" xr:uid="{9D6B4368-21ED-4B99-8F64-A8FE2C578470}"/>
    <cellStyle name="Moneda [0] 3 2 4" xfId="100" xr:uid="{282B63FA-CB09-4A09-9B22-65E28E04668A}"/>
    <cellStyle name="Moneda [0] 3 3" xfId="34" xr:uid="{00000000-0005-0000-0000-000039000000}"/>
    <cellStyle name="Moneda [0] 3 3 2" xfId="72" xr:uid="{00000000-0005-0000-0000-00003A000000}"/>
    <cellStyle name="Moneda [0] 3 3 2 2" xfId="146" xr:uid="{62784F3B-DE1F-4436-B14F-6D6E388A2289}"/>
    <cellStyle name="Moneda [0] 3 3 3" xfId="109" xr:uid="{391A056D-AD9D-48BD-8499-A26E6F685EA9}"/>
    <cellStyle name="Moneda [0] 3 4" xfId="54" xr:uid="{00000000-0005-0000-0000-00003B000000}"/>
    <cellStyle name="Moneda [0] 3 4 2" xfId="128" xr:uid="{6635BC6C-D0DA-4592-A8C8-9B2C30185D74}"/>
    <cellStyle name="Moneda [0] 3 5" xfId="91" xr:uid="{A2F39AAF-BBB3-4C02-9F91-8A3DB3D10319}"/>
    <cellStyle name="Moneda [0] 4" xfId="21" xr:uid="{00000000-0005-0000-0000-00003C000000}"/>
    <cellStyle name="Moneda [0] 4 2" xfId="39" xr:uid="{00000000-0005-0000-0000-00003D000000}"/>
    <cellStyle name="Moneda [0] 4 2 2" xfId="77" xr:uid="{00000000-0005-0000-0000-00003E000000}"/>
    <cellStyle name="Moneda [0] 4 2 2 2" xfId="151" xr:uid="{8C626ACA-9D00-45AD-A919-F3B5171E1DE0}"/>
    <cellStyle name="Moneda [0] 4 2 3" xfId="114" xr:uid="{655D2931-D558-465E-AA81-C0B66A17461B}"/>
    <cellStyle name="Moneda [0] 4 3" xfId="59" xr:uid="{00000000-0005-0000-0000-00003F000000}"/>
    <cellStyle name="Moneda [0] 4 3 2" xfId="133" xr:uid="{C02D751F-BC3C-4EE2-A815-7978044584E0}"/>
    <cellStyle name="Moneda [0] 4 4" xfId="96" xr:uid="{71E972C4-0754-45E5-B2D4-4310B183A98D}"/>
    <cellStyle name="Moneda [0] 5" xfId="30" xr:uid="{00000000-0005-0000-0000-000040000000}"/>
    <cellStyle name="Moneda [0] 5 2" xfId="68" xr:uid="{00000000-0005-0000-0000-000041000000}"/>
    <cellStyle name="Moneda [0] 5 2 2" xfId="142" xr:uid="{B56EBCF6-B83D-46EE-8A82-94455095374B}"/>
    <cellStyle name="Moneda [0] 5 3" xfId="105" xr:uid="{56117BAB-F93F-477F-B486-3660E50780FC}"/>
    <cellStyle name="Moneda [0] 6" xfId="50" xr:uid="{00000000-0005-0000-0000-000042000000}"/>
    <cellStyle name="Moneda [0] 6 2" xfId="124" xr:uid="{A101EAFB-3079-4C42-B455-1D3756003298}"/>
    <cellStyle name="Moneda [0] 7" xfId="87" xr:uid="{FDFA9E98-CE57-4AB0-9392-DC2BF0E89744}"/>
    <cellStyle name="Moneda 2" xfId="4" xr:uid="{00000000-0005-0000-0000-000043000000}"/>
    <cellStyle name="Moneda 3" xfId="29" xr:uid="{00000000-0005-0000-0000-000044000000}"/>
    <cellStyle name="Moneda 3 2" xfId="47" xr:uid="{00000000-0005-0000-0000-000045000000}"/>
    <cellStyle name="Moneda 3 2 2" xfId="85" xr:uid="{00000000-0005-0000-0000-000046000000}"/>
    <cellStyle name="Moneda 3 2 2 2" xfId="159" xr:uid="{5AF4DDF4-5462-49C3-B0E9-8B621C2FFDB4}"/>
    <cellStyle name="Moneda 3 2 3" xfId="122" xr:uid="{CFDFDA6D-AD72-49C6-B860-627D9CD86423}"/>
    <cellStyle name="Moneda 3 3" xfId="67" xr:uid="{00000000-0005-0000-0000-000047000000}"/>
    <cellStyle name="Moneda 3 3 2" xfId="141" xr:uid="{5E147449-4AEA-4244-BC3F-E5CE88561FF0}"/>
    <cellStyle name="Moneda 3 4" xfId="104" xr:uid="{3C8ACF8C-6A9C-444B-9523-650B5E7DC8D3}"/>
    <cellStyle name="Moneda 4" xfId="38" xr:uid="{00000000-0005-0000-0000-000048000000}"/>
    <cellStyle name="Moneda 4 2" xfId="76" xr:uid="{00000000-0005-0000-0000-000049000000}"/>
    <cellStyle name="Moneda 4 2 2" xfId="150" xr:uid="{4EA0803E-F14A-465D-B2BF-B96BA407F14F}"/>
    <cellStyle name="Moneda 4 3" xfId="113" xr:uid="{4FE1FC9E-53E3-4EB0-8B41-B5A4EC4420EB}"/>
    <cellStyle name="Moneda 5" xfId="49" xr:uid="{00000000-0005-0000-0000-00004A000000}"/>
    <cellStyle name="Moneda 5 2" xfId="86" xr:uid="{00000000-0005-0000-0000-00004B000000}"/>
    <cellStyle name="Moneda 5 2 2" xfId="160" xr:uid="{57678226-A1EF-4504-AE48-1721B6EA3390}"/>
    <cellStyle name="Moneda 5 3" xfId="123" xr:uid="{5D089A46-EFF8-4D6B-9EB5-A866B58E991C}"/>
    <cellStyle name="Moneda 6" xfId="58" xr:uid="{00000000-0005-0000-0000-00004C000000}"/>
    <cellStyle name="Moneda 6 2" xfId="132" xr:uid="{C74BF034-2554-405B-97AE-CFA0AED58CC9}"/>
    <cellStyle name="Moneda 7" xfId="95" xr:uid="{B92489F8-0584-492F-9AD0-013B9A8EFDD2}"/>
    <cellStyle name="Moneda 8" xfId="161" xr:uid="{0C6016FC-7B40-4306-AD59-8DA233368770}"/>
    <cellStyle name="Moneda 9" xfId="162" xr:uid="{1C90DF7E-C782-41FA-AC33-734413C2FD41}"/>
    <cellStyle name="Normal" xfId="0" builtinId="0"/>
    <cellStyle name="Normal 13" xfId="48" xr:uid="{00000000-0005-0000-0000-00004E000000}"/>
    <cellStyle name="Normal 2" xfId="5" xr:uid="{00000000-0005-0000-0000-00004F000000}"/>
    <cellStyle name="Normal 21" xfId="14" xr:uid="{00000000-0005-0000-0000-000050000000}"/>
    <cellStyle name="Normal 3 2" xfId="6" xr:uid="{00000000-0005-0000-0000-000051000000}"/>
    <cellStyle name="Normal 4 3" xfId="15" xr:uid="{00000000-0005-0000-0000-000052000000}"/>
    <cellStyle name="Normal_CADENA DE VALOR 2" xfId="8" xr:uid="{00000000-0005-0000-0000-000053000000}"/>
    <cellStyle name="Porcentaje" xfId="11" builtinId="5"/>
    <cellStyle name="Porcentaje 12" xfId="9" xr:uid="{00000000-0005-0000-0000-000055000000}"/>
    <cellStyle name="Porcentaje 2" xfId="3" xr:uid="{00000000-0005-0000-0000-000056000000}"/>
  </cellStyles>
  <dxfs count="0"/>
  <tableStyles count="0" defaultTableStyle="TableStyleMedium2" defaultPivotStyle="PivotStyleLight16"/>
  <colors>
    <mruColors>
      <color rgb="FF33FFFF"/>
      <color rgb="FF0CCCE6"/>
      <color rgb="FFFF00FF"/>
      <color rgb="FFBAE6D7"/>
      <color rgb="FF00FF00"/>
      <color rgb="FFFFCCFF"/>
      <color rgb="FFD5FFF1"/>
      <color rgb="FF92D050"/>
      <color rgb="FF578537"/>
      <color rgb="FF4C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246132</xdr:colOff>
      <xdr:row>1</xdr:row>
      <xdr:rowOff>75154</xdr:rowOff>
    </xdr:from>
    <xdr:to>
      <xdr:col>3</xdr:col>
      <xdr:colOff>1756879</xdr:colOff>
      <xdr:row>3</xdr:row>
      <xdr:rowOff>262684</xdr:rowOff>
    </xdr:to>
    <xdr:pic>
      <xdr:nvPicPr>
        <xdr:cNvPr id="2" name="Imagen 1">
          <a:extLst>
            <a:ext uri="{FF2B5EF4-FFF2-40B4-BE49-F238E27FC236}">
              <a16:creationId xmlns:a16="http://schemas.microsoft.com/office/drawing/2014/main" id="{74A87CD4-A907-4855-8E18-8DF49A7CF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182" y="259304"/>
          <a:ext cx="2846152" cy="1410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10485</xdr:colOff>
      <xdr:row>0</xdr:row>
      <xdr:rowOff>107830</xdr:rowOff>
    </xdr:from>
    <xdr:to>
      <xdr:col>3</xdr:col>
      <xdr:colOff>359433</xdr:colOff>
      <xdr:row>2</xdr:row>
      <xdr:rowOff>41561</xdr:rowOff>
    </xdr:to>
    <xdr:pic>
      <xdr:nvPicPr>
        <xdr:cNvPr id="2" name="Imagen 1">
          <a:extLst>
            <a:ext uri="{FF2B5EF4-FFF2-40B4-BE49-F238E27FC236}">
              <a16:creationId xmlns:a16="http://schemas.microsoft.com/office/drawing/2014/main" id="{CB6D5335-5900-4C70-913B-84D19442E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5" y="107830"/>
          <a:ext cx="3691684" cy="778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327992</xdr:colOff>
      <xdr:row>0</xdr:row>
      <xdr:rowOff>88486</xdr:rowOff>
    </xdr:from>
    <xdr:to>
      <xdr:col>2</xdr:col>
      <xdr:colOff>942211</xdr:colOff>
      <xdr:row>2</xdr:row>
      <xdr:rowOff>72833</xdr:rowOff>
    </xdr:to>
    <xdr:pic>
      <xdr:nvPicPr>
        <xdr:cNvPr id="2" name="Imagen 1">
          <a:extLst>
            <a:ext uri="{FF2B5EF4-FFF2-40B4-BE49-F238E27FC236}">
              <a16:creationId xmlns:a16="http://schemas.microsoft.com/office/drawing/2014/main" id="{BF3475A1-0677-4391-A03A-DD08EFF4FFF7}"/>
            </a:ext>
          </a:extLst>
        </xdr:cNvPr>
        <xdr:cNvPicPr>
          <a:picLocks noChangeAspect="1"/>
        </xdr:cNvPicPr>
      </xdr:nvPicPr>
      <xdr:blipFill>
        <a:blip xmlns:r="http://schemas.openxmlformats.org/officeDocument/2006/relationships" r:embed="rId1"/>
        <a:stretch>
          <a:fillRect/>
        </a:stretch>
      </xdr:blipFill>
      <xdr:spPr>
        <a:xfrm>
          <a:off x="327992" y="88486"/>
          <a:ext cx="2158034" cy="592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1</xdr:rowOff>
    </xdr:from>
    <xdr:to>
      <xdr:col>3</xdr:col>
      <xdr:colOff>157146</xdr:colOff>
      <xdr:row>1</xdr:row>
      <xdr:rowOff>295142</xdr:rowOff>
    </xdr:to>
    <xdr:pic>
      <xdr:nvPicPr>
        <xdr:cNvPr id="2" name="Imagen 1">
          <a:extLst>
            <a:ext uri="{FF2B5EF4-FFF2-40B4-BE49-F238E27FC236}">
              <a16:creationId xmlns:a16="http://schemas.microsoft.com/office/drawing/2014/main" id="{F33DD927-2595-4F64-809B-DCED14FAA90A}"/>
            </a:ext>
          </a:extLst>
        </xdr:cNvPr>
        <xdr:cNvPicPr>
          <a:picLocks noChangeAspect="1"/>
        </xdr:cNvPicPr>
      </xdr:nvPicPr>
      <xdr:blipFill>
        <a:blip xmlns:r="http://schemas.openxmlformats.org/officeDocument/2006/relationships" r:embed="rId1"/>
        <a:stretch>
          <a:fillRect/>
        </a:stretch>
      </xdr:blipFill>
      <xdr:spPr>
        <a:xfrm>
          <a:off x="381000" y="1"/>
          <a:ext cx="2579984" cy="482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07CC849F-CC9C-4192-9C1A-9F145367EE3E}"/>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YULIED.PENARANDA.SDA\Desktop\2024\6-JUNIO%202024\PLAN%20DE%20ACCI&#211;N\PA_Territorializacion\5-PA-7710-MAY-2024%20VA%20CT%20Ok.xlsx" TargetMode="External"/><Relationship Id="rId1" Type="http://schemas.openxmlformats.org/officeDocument/2006/relationships/externalLinkPath" Target="file:///C:\Users\YULIED.PENARANDA.SDA\Desktop\2024\6-JUNIO%202024\PLAN%20DE%20ACCI&#211;N\PA_Territorializacion\5-PA-7710-MAY-2024%20VA%20CT%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0/III-2020%20SEGPLAN/7710/20.12.31%20SEGUIMIENTO%20SEGPLAN%207710%20-%202020%20DPG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IANE.CORREAL\Desktop\ACTUALIZACION%20SEGPLAN\12-PA-7710-DICIEMBRE_2023%20VF%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aola\Downloads\2024_PLAN%20DE%20ACCI&#211;N%207710%20SEG%20PLAN%20MARZ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1%20vf\7710%20y%207711\2.%20SEGPLAN\SEGPLAN%202021\7710\REPORTES%20OFICIALES\7.%20SEPTIEMBRE%202021\21.09.30%20PLAN%20DE%20ACCION%207710%20Valid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SEGPLAN/7710/REPORTES%20%20OFICIALES/12.%20DICIEMBRE%202022/22.12.31%20PLAN%20DE%20ACCI&#211;N%2077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IANE.CORREAL\Downloads\2024_PLAN%20DE%20ACCI&#211;N%207710%20SEG%20PLAN%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ÓN 2023 SSFFS-SPCI"/>
      <sheetName val="GESTIÓN"/>
      <sheetName val="INVERSIÓN"/>
      <sheetName val="ACT 2024 SSFFS-SPCI "/>
      <sheetName val="ACTIVIDADES"/>
      <sheetName val="TERRITORIALIZACION"/>
      <sheetName val="SPI"/>
    </sheetNames>
    <sheetDataSet>
      <sheetData sheetId="0" refreshError="1"/>
      <sheetData sheetId="1" refreshError="1"/>
      <sheetData sheetId="2">
        <row r="11">
          <cell r="EQ11">
            <v>2635956573</v>
          </cell>
        </row>
        <row r="14">
          <cell r="EQ14">
            <v>476936237</v>
          </cell>
        </row>
        <row r="15">
          <cell r="EQ15">
            <v>8285</v>
          </cell>
        </row>
        <row r="16">
          <cell r="EQ16">
            <v>3112892810</v>
          </cell>
        </row>
        <row r="17">
          <cell r="EQ17">
            <v>1.3</v>
          </cell>
        </row>
        <row r="18">
          <cell r="EQ18">
            <v>47698000</v>
          </cell>
        </row>
        <row r="22">
          <cell r="EQ22">
            <v>1.7000000000000002</v>
          </cell>
        </row>
        <row r="23">
          <cell r="EQ23">
            <v>50343400</v>
          </cell>
        </row>
        <row r="24">
          <cell r="EQ24">
            <v>1895</v>
          </cell>
        </row>
        <row r="25">
          <cell r="EQ25">
            <v>391871500</v>
          </cell>
        </row>
        <row r="27">
          <cell r="EQ27">
            <v>0</v>
          </cell>
        </row>
        <row r="28">
          <cell r="EQ28">
            <v>82594657.99999997</v>
          </cell>
        </row>
        <row r="29">
          <cell r="EQ29">
            <v>1895</v>
          </cell>
        </row>
        <row r="30">
          <cell r="EQ30">
            <v>474466158</v>
          </cell>
        </row>
        <row r="31">
          <cell r="EQ31">
            <v>0.125</v>
          </cell>
        </row>
        <row r="32">
          <cell r="EQ32">
            <v>104447000</v>
          </cell>
        </row>
        <row r="34">
          <cell r="EQ34">
            <v>0</v>
          </cell>
        </row>
        <row r="35">
          <cell r="EQ35">
            <v>9968633</v>
          </cell>
        </row>
        <row r="36">
          <cell r="EQ36">
            <v>0.125</v>
          </cell>
        </row>
        <row r="37">
          <cell r="EQ37">
            <v>114415633</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Hoja1"/>
      <sheetName val="ACTIVIDADES"/>
      <sheetName val="TERRITORIALIZACION"/>
      <sheetName val="SPI"/>
    </sheetNames>
    <sheetDataSet>
      <sheetData sheetId="0"/>
      <sheetData sheetId="1">
        <row r="11">
          <cell r="DL11">
            <v>4078387480</v>
          </cell>
        </row>
        <row r="12">
          <cell r="DM12">
            <v>3576548682</v>
          </cell>
        </row>
        <row r="18">
          <cell r="DL18">
            <v>38946167</v>
          </cell>
        </row>
        <row r="19">
          <cell r="DM19">
            <v>36300767</v>
          </cell>
        </row>
        <row r="25">
          <cell r="DL25">
            <v>675744633</v>
          </cell>
        </row>
        <row r="26">
          <cell r="DM26">
            <v>592158409</v>
          </cell>
        </row>
        <row r="32">
          <cell r="DL32">
            <v>192815000</v>
          </cell>
        </row>
        <row r="33">
          <cell r="DM33">
            <v>182846367</v>
          </cell>
        </row>
        <row r="38">
          <cell r="DL38">
            <v>4985893280</v>
          </cell>
          <cell r="DM38">
            <v>4985645154</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2023 SSFFS-SPCI"/>
      <sheetName val="GESTIÓN"/>
      <sheetName val="INVERSIÓN"/>
      <sheetName val="ACT 2024 SSFFS-SPCI "/>
      <sheetName val="ACTIVIDADES"/>
      <sheetName val="TERRITORIALIZACION"/>
      <sheetName val="SPI"/>
    </sheetNames>
    <sheetDataSet>
      <sheetData sheetId="0" refreshError="1"/>
      <sheetData sheetId="1" refreshError="1"/>
      <sheetData sheetId="2" refreshError="1">
        <row r="38">
          <cell r="DN38">
            <v>7569622000</v>
          </cell>
          <cell r="DP38">
            <v>346990000</v>
          </cell>
          <cell r="EQ38">
            <v>1900905000</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40000</v>
          </cell>
          <cell r="CI10">
            <v>38962</v>
          </cell>
        </row>
        <row r="11">
          <cell r="CH11">
            <v>5591787367</v>
          </cell>
        </row>
        <row r="12">
          <cell r="CI12">
            <v>4761657202</v>
          </cell>
        </row>
        <row r="24">
          <cell r="CH24">
            <v>8700</v>
          </cell>
          <cell r="CI24">
            <v>8268</v>
          </cell>
        </row>
        <row r="25">
          <cell r="CH25">
            <v>1149129700</v>
          </cell>
        </row>
        <row r="26">
          <cell r="CI26">
            <v>877660777</v>
          </cell>
        </row>
        <row r="32">
          <cell r="CH32">
            <v>414143767</v>
          </cell>
        </row>
        <row r="33">
          <cell r="CI33">
            <v>384569267</v>
          </cell>
        </row>
      </sheetData>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2023 SSFFS-SPCI"/>
      <sheetName val="GESTIÓN"/>
      <sheetName val="INVERSIÓN"/>
      <sheetName val="ACT 2024 SSFFS-SPCI "/>
      <sheetName val="ACTIVIDADES"/>
      <sheetName val="TERRITORIALIZACION"/>
      <sheetName val="SPI"/>
    </sheetNames>
    <sheetDataSet>
      <sheetData sheetId="0"/>
      <sheetData sheetId="1"/>
      <sheetData sheetId="2">
        <row r="11">
          <cell r="DN11">
            <v>6232912000</v>
          </cell>
        </row>
        <row r="12">
          <cell r="DP12">
            <v>0</v>
          </cell>
          <cell r="DR12">
            <v>53144233</v>
          </cell>
        </row>
        <row r="18">
          <cell r="DN18">
            <v>106920000</v>
          </cell>
        </row>
        <row r="19">
          <cell r="DP19">
            <v>0</v>
          </cell>
          <cell r="DR19">
            <v>1763600</v>
          </cell>
        </row>
        <row r="25">
          <cell r="DN25">
            <v>970542000</v>
          </cell>
        </row>
        <row r="26">
          <cell r="DP26">
            <v>0</v>
          </cell>
          <cell r="DR26">
            <v>5177199</v>
          </cell>
        </row>
        <row r="32">
          <cell r="DN32">
            <v>259248000</v>
          </cell>
        </row>
        <row r="33">
          <cell r="DP33">
            <v>0</v>
          </cell>
          <cell r="DR33">
            <v>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FFFFCC"/>
  </sheetPr>
  <dimension ref="A1:AH27"/>
  <sheetViews>
    <sheetView workbookViewId="0"/>
  </sheetViews>
  <sheetFormatPr baseColWidth="10" defaultColWidth="11.42578125" defaultRowHeight="15" x14ac:dyDescent="0.25"/>
  <cols>
    <col min="1" max="1" width="9.7109375" customWidth="1"/>
    <col min="2" max="2" width="29.140625" customWidth="1"/>
    <col min="3" max="12" width="16.42578125" customWidth="1"/>
    <col min="13" max="26" width="16.42578125" hidden="1" customWidth="1"/>
    <col min="27" max="27" width="13.7109375" bestFit="1" customWidth="1"/>
    <col min="28" max="28" width="13.7109375" customWidth="1"/>
    <col min="29" max="29" width="15.140625" customWidth="1"/>
    <col min="30" max="30" width="12.7109375" bestFit="1" customWidth="1"/>
  </cols>
  <sheetData>
    <row r="1" spans="1:34" x14ac:dyDescent="0.25">
      <c r="C1" s="35"/>
      <c r="D1" s="35"/>
      <c r="E1" s="35"/>
      <c r="F1" s="35"/>
      <c r="K1" s="36"/>
      <c r="L1" s="36"/>
      <c r="M1" s="28"/>
      <c r="N1" s="28"/>
      <c r="Q1" s="35"/>
      <c r="R1" s="35"/>
      <c r="U1" s="28"/>
      <c r="V1" s="28"/>
      <c r="W1" s="35"/>
      <c r="X1" s="35"/>
    </row>
    <row r="2" spans="1:34" ht="26.25" customHeight="1" x14ac:dyDescent="0.25">
      <c r="B2" s="729" t="s">
        <v>323</v>
      </c>
      <c r="C2" s="724" t="s">
        <v>207</v>
      </c>
      <c r="D2" s="725"/>
      <c r="E2" s="724" t="s">
        <v>208</v>
      </c>
      <c r="F2" s="725"/>
      <c r="G2" s="724" t="s">
        <v>209</v>
      </c>
      <c r="H2" s="725"/>
      <c r="I2" s="724" t="s">
        <v>210</v>
      </c>
      <c r="J2" s="725"/>
      <c r="K2" s="724" t="s">
        <v>211</v>
      </c>
      <c r="L2" s="725"/>
      <c r="M2" s="724" t="s">
        <v>212</v>
      </c>
      <c r="N2" s="725"/>
      <c r="O2" s="724" t="s">
        <v>199</v>
      </c>
      <c r="P2" s="725"/>
      <c r="Q2" s="724" t="s">
        <v>201</v>
      </c>
      <c r="R2" s="725"/>
      <c r="S2" s="724" t="s">
        <v>202</v>
      </c>
      <c r="T2" s="725"/>
      <c r="U2" s="724" t="s">
        <v>203</v>
      </c>
      <c r="V2" s="725"/>
      <c r="W2" s="724" t="s">
        <v>204</v>
      </c>
      <c r="X2" s="725"/>
      <c r="Y2" s="724" t="s">
        <v>205</v>
      </c>
      <c r="Z2" s="725"/>
      <c r="AA2" s="727" t="s">
        <v>309</v>
      </c>
      <c r="AB2" s="732">
        <v>0.15</v>
      </c>
      <c r="AC2" s="726" t="s">
        <v>310</v>
      </c>
      <c r="AD2" s="726" t="s">
        <v>311</v>
      </c>
    </row>
    <row r="3" spans="1:34" s="39" customFormat="1" ht="34.5" customHeight="1" x14ac:dyDescent="0.25">
      <c r="A3"/>
      <c r="B3" s="730"/>
      <c r="C3" s="40" t="s">
        <v>312</v>
      </c>
      <c r="D3" s="40" t="s">
        <v>313</v>
      </c>
      <c r="E3" s="40" t="s">
        <v>312</v>
      </c>
      <c r="F3" s="40" t="s">
        <v>313</v>
      </c>
      <c r="G3" s="40" t="s">
        <v>312</v>
      </c>
      <c r="H3" s="40" t="s">
        <v>313</v>
      </c>
      <c r="I3" s="40" t="s">
        <v>312</v>
      </c>
      <c r="J3" s="40" t="s">
        <v>313</v>
      </c>
      <c r="K3" s="40" t="s">
        <v>312</v>
      </c>
      <c r="L3" s="40" t="s">
        <v>313</v>
      </c>
      <c r="M3" s="40" t="s">
        <v>312</v>
      </c>
      <c r="N3" s="40" t="s">
        <v>313</v>
      </c>
      <c r="O3" s="40" t="s">
        <v>312</v>
      </c>
      <c r="P3" s="40" t="s">
        <v>313</v>
      </c>
      <c r="Q3" s="40" t="s">
        <v>312</v>
      </c>
      <c r="R3" s="40" t="s">
        <v>313</v>
      </c>
      <c r="S3" s="40" t="s">
        <v>312</v>
      </c>
      <c r="T3" s="40" t="s">
        <v>313</v>
      </c>
      <c r="U3" s="40" t="s">
        <v>312</v>
      </c>
      <c r="V3" s="40" t="s">
        <v>313</v>
      </c>
      <c r="W3" s="40" t="s">
        <v>312</v>
      </c>
      <c r="X3" s="40" t="s">
        <v>313</v>
      </c>
      <c r="Y3" s="40" t="s">
        <v>312</v>
      </c>
      <c r="Z3" s="40" t="s">
        <v>313</v>
      </c>
      <c r="AA3" s="728"/>
      <c r="AB3" s="733"/>
      <c r="AC3" s="726"/>
      <c r="AD3" s="726"/>
      <c r="AF3" s="66">
        <v>115000</v>
      </c>
      <c r="AG3" s="67">
        <v>0.15</v>
      </c>
    </row>
    <row r="4" spans="1:34" ht="30" customHeight="1" x14ac:dyDescent="0.25">
      <c r="A4" s="59">
        <v>1</v>
      </c>
      <c r="B4" s="41" t="s">
        <v>324</v>
      </c>
      <c r="C4" s="65">
        <v>2500</v>
      </c>
      <c r="D4" s="65"/>
      <c r="E4" s="65">
        <v>2500</v>
      </c>
      <c r="F4" s="65"/>
      <c r="G4" s="65">
        <v>2500</v>
      </c>
      <c r="H4" s="65"/>
      <c r="I4" s="65">
        <v>1758</v>
      </c>
      <c r="J4" s="65"/>
      <c r="K4" s="65">
        <v>2000</v>
      </c>
      <c r="L4" s="65"/>
      <c r="M4" s="65">
        <v>0</v>
      </c>
      <c r="N4" s="65"/>
      <c r="O4" s="65"/>
      <c r="P4" s="65"/>
      <c r="Q4" s="65"/>
      <c r="R4" s="65"/>
      <c r="S4" s="65"/>
      <c r="T4" s="65"/>
      <c r="U4" s="65"/>
      <c r="V4" s="65"/>
      <c r="W4" s="65"/>
      <c r="X4" s="65"/>
      <c r="Y4" s="65"/>
      <c r="Z4" s="65"/>
      <c r="AA4" s="60">
        <f>+C4+E4+G4+I4+K4+M4+O4+Q4+S4+U4+W4+Y4</f>
        <v>11258</v>
      </c>
      <c r="AB4" s="61">
        <v>1.4800000000000001E-2</v>
      </c>
      <c r="AC4" s="62"/>
      <c r="AD4" s="62"/>
      <c r="AE4" s="19"/>
      <c r="AF4" s="68">
        <v>2378</v>
      </c>
      <c r="AG4" s="69">
        <f>+(AF4*AG3)/AF3</f>
        <v>3.1017391304347824E-3</v>
      </c>
    </row>
    <row r="5" spans="1:34" ht="30" customHeight="1" x14ac:dyDescent="0.25">
      <c r="A5" s="59" t="s">
        <v>325</v>
      </c>
      <c r="B5" s="41" t="s">
        <v>326</v>
      </c>
      <c r="C5" s="58">
        <v>700</v>
      </c>
      <c r="D5" s="58">
        <v>0</v>
      </c>
      <c r="E5" s="58">
        <v>800</v>
      </c>
      <c r="F5" s="58">
        <v>0</v>
      </c>
      <c r="G5" s="58">
        <v>1000</v>
      </c>
      <c r="H5" s="58">
        <v>0</v>
      </c>
      <c r="I5" s="58">
        <v>500</v>
      </c>
      <c r="J5" s="58">
        <v>0</v>
      </c>
      <c r="K5" s="58">
        <v>510</v>
      </c>
      <c r="L5" s="58">
        <v>0</v>
      </c>
      <c r="M5" s="58">
        <v>0</v>
      </c>
      <c r="N5" s="58"/>
      <c r="O5" s="58"/>
      <c r="P5" s="58"/>
      <c r="Q5" s="58"/>
      <c r="R5" s="58"/>
      <c r="S5" s="58"/>
      <c r="T5" s="58"/>
      <c r="U5" s="58"/>
      <c r="V5" s="58"/>
      <c r="W5" s="58"/>
      <c r="X5" s="58"/>
      <c r="Y5" s="58"/>
      <c r="Z5" s="56"/>
      <c r="AA5" s="60">
        <f>+C5+E5+G5+I5+K5+M5+O5+Q5+S5+U5+W5+Y5</f>
        <v>3510</v>
      </c>
      <c r="AB5" s="61">
        <v>1.5299999999999999E-2</v>
      </c>
      <c r="AC5" s="62"/>
      <c r="AD5" s="62"/>
      <c r="AE5" s="19"/>
      <c r="AF5" s="66">
        <v>24000</v>
      </c>
      <c r="AG5" s="67">
        <v>0.15</v>
      </c>
    </row>
    <row r="6" spans="1:34" ht="18.75" x14ac:dyDescent="0.3">
      <c r="A6" s="57"/>
      <c r="B6" s="48"/>
      <c r="AF6" s="68">
        <f>+C5</f>
        <v>700</v>
      </c>
      <c r="AG6" s="69">
        <f>+(AF6*AG5)/AF5</f>
        <v>4.3750000000000004E-3</v>
      </c>
      <c r="AH6" s="64"/>
    </row>
    <row r="7" spans="1:34" ht="26.25" customHeight="1" x14ac:dyDescent="0.3">
      <c r="A7" s="57"/>
      <c r="B7" s="729" t="s">
        <v>327</v>
      </c>
      <c r="C7" s="731" t="s">
        <v>207</v>
      </c>
      <c r="D7" s="731"/>
      <c r="E7" s="731" t="s">
        <v>208</v>
      </c>
      <c r="F7" s="731"/>
      <c r="G7" s="731" t="s">
        <v>209</v>
      </c>
      <c r="H7" s="731"/>
      <c r="I7" s="731" t="s">
        <v>210</v>
      </c>
      <c r="J7" s="731"/>
      <c r="K7" s="724" t="s">
        <v>211</v>
      </c>
      <c r="L7" s="725"/>
      <c r="M7" s="731" t="s">
        <v>212</v>
      </c>
      <c r="N7" s="731"/>
      <c r="O7" s="731" t="s">
        <v>199</v>
      </c>
      <c r="P7" s="731"/>
      <c r="Q7" s="731" t="s">
        <v>201</v>
      </c>
      <c r="R7" s="731"/>
      <c r="S7" s="731" t="s">
        <v>202</v>
      </c>
      <c r="T7" s="731"/>
      <c r="U7" s="731" t="s">
        <v>203</v>
      </c>
      <c r="V7" s="731"/>
      <c r="W7" s="731" t="s">
        <v>204</v>
      </c>
      <c r="X7" s="731"/>
      <c r="Y7" s="731" t="s">
        <v>205</v>
      </c>
      <c r="Z7" s="731"/>
      <c r="AA7" s="731" t="s">
        <v>309</v>
      </c>
      <c r="AB7" s="726" t="s">
        <v>310</v>
      </c>
      <c r="AC7" s="726" t="s">
        <v>311</v>
      </c>
    </row>
    <row r="8" spans="1:34" s="22" customFormat="1" ht="34.5" customHeight="1" x14ac:dyDescent="0.3">
      <c r="A8" s="57"/>
      <c r="B8" s="730"/>
      <c r="C8" s="50" t="s">
        <v>312</v>
      </c>
      <c r="D8" s="50" t="s">
        <v>313</v>
      </c>
      <c r="E8" s="50" t="s">
        <v>312</v>
      </c>
      <c r="F8" s="50" t="s">
        <v>313</v>
      </c>
      <c r="G8" s="50" t="s">
        <v>312</v>
      </c>
      <c r="H8" s="50" t="s">
        <v>313</v>
      </c>
      <c r="I8" s="50" t="s">
        <v>312</v>
      </c>
      <c r="J8" s="50" t="s">
        <v>313</v>
      </c>
      <c r="K8" s="50" t="s">
        <v>312</v>
      </c>
      <c r="L8" s="50" t="s">
        <v>313</v>
      </c>
      <c r="M8" s="50" t="s">
        <v>312</v>
      </c>
      <c r="N8" s="50" t="s">
        <v>313</v>
      </c>
      <c r="O8" s="50" t="s">
        <v>312</v>
      </c>
      <c r="P8" s="50" t="s">
        <v>313</v>
      </c>
      <c r="Q8" s="50" t="s">
        <v>312</v>
      </c>
      <c r="R8" s="50" t="s">
        <v>313</v>
      </c>
      <c r="S8" s="50" t="s">
        <v>312</v>
      </c>
      <c r="T8" s="50" t="s">
        <v>313</v>
      </c>
      <c r="U8" s="50" t="s">
        <v>312</v>
      </c>
      <c r="V8" s="50" t="s">
        <v>313</v>
      </c>
      <c r="W8" s="50" t="s">
        <v>312</v>
      </c>
      <c r="X8" s="50" t="s">
        <v>313</v>
      </c>
      <c r="Y8" s="50" t="s">
        <v>312</v>
      </c>
      <c r="Z8" s="50" t="s">
        <v>313</v>
      </c>
      <c r="AA8" s="731"/>
      <c r="AB8" s="726"/>
      <c r="AC8" s="726"/>
    </row>
    <row r="9" spans="1:34" ht="30" customHeight="1" x14ac:dyDescent="0.25">
      <c r="A9" s="55">
        <v>1</v>
      </c>
      <c r="B9" s="41" t="s">
        <v>324</v>
      </c>
      <c r="C9" s="32">
        <f>+ROUND((C4*$AB$4)/$AA$4,4)</f>
        <v>3.3E-3</v>
      </c>
      <c r="D9" s="32">
        <f t="shared" ref="D9:X9" si="0">+ROUND((D4*$AB$4)/$AA$4,4)</f>
        <v>0</v>
      </c>
      <c r="E9" s="32">
        <f>+ROUND((E4*$AB$4)/$AA$4,4)</f>
        <v>3.3E-3</v>
      </c>
      <c r="F9" s="32">
        <f t="shared" si="0"/>
        <v>0</v>
      </c>
      <c r="G9" s="32">
        <f>+ROUND((G4*$AB$4)/$AA$4,4)</f>
        <v>3.3E-3</v>
      </c>
      <c r="H9" s="32">
        <f t="shared" si="0"/>
        <v>0</v>
      </c>
      <c r="I9" s="32">
        <f>+ROUND((I4*$AB$4)/$AA$4,4)</f>
        <v>2.3E-3</v>
      </c>
      <c r="J9" s="32">
        <f t="shared" si="0"/>
        <v>0</v>
      </c>
      <c r="K9" s="32">
        <f>+ROUND((K4*$AB$4)/$AA$4,4)</f>
        <v>2.5999999999999999E-3</v>
      </c>
      <c r="L9" s="32">
        <f t="shared" si="0"/>
        <v>0</v>
      </c>
      <c r="M9" s="32">
        <f t="shared" si="0"/>
        <v>0</v>
      </c>
      <c r="N9" s="32">
        <f t="shared" si="0"/>
        <v>0</v>
      </c>
      <c r="O9" s="32">
        <f t="shared" si="0"/>
        <v>0</v>
      </c>
      <c r="P9" s="32">
        <f t="shared" si="0"/>
        <v>0</v>
      </c>
      <c r="Q9" s="32">
        <f t="shared" si="0"/>
        <v>0</v>
      </c>
      <c r="R9" s="32">
        <f t="shared" si="0"/>
        <v>0</v>
      </c>
      <c r="S9" s="32">
        <f>+ROUND((S4*$AB$4)/$AA$4,4)</f>
        <v>0</v>
      </c>
      <c r="T9" s="32">
        <f t="shared" si="0"/>
        <v>0</v>
      </c>
      <c r="U9" s="32">
        <f>+ROUND((U4*$AB$4)/$AA$4,4)</f>
        <v>0</v>
      </c>
      <c r="V9" s="32">
        <f t="shared" si="0"/>
        <v>0</v>
      </c>
      <c r="W9" s="32">
        <f>+ROUND((W4*$AB$4)/$AA$4,4)</f>
        <v>0</v>
      </c>
      <c r="X9" s="32">
        <f t="shared" si="0"/>
        <v>0</v>
      </c>
      <c r="Y9" s="32">
        <f>+ROUND((Y4*$AB$4)/$AA$4,4)-0.03%</f>
        <v>-2.9999999999999997E-4</v>
      </c>
      <c r="Z9" s="32">
        <f>+ROUND((Z4*$AB$4)/$AA$4,4)</f>
        <v>0</v>
      </c>
      <c r="AA9" s="31">
        <f>+C9+E9+G9+I9+K9</f>
        <v>1.4799999999999999E-2</v>
      </c>
      <c r="AB9" s="31"/>
      <c r="AC9" s="31"/>
      <c r="AH9" s="28"/>
    </row>
    <row r="10" spans="1:34" ht="30" customHeight="1" x14ac:dyDescent="0.25">
      <c r="A10" s="55" t="s">
        <v>325</v>
      </c>
      <c r="B10" s="41" t="s">
        <v>326</v>
      </c>
      <c r="C10" s="32">
        <f>+ROUND((C5*$AB$5)/$AA$5,4)</f>
        <v>3.0999999999999999E-3</v>
      </c>
      <c r="D10" s="32">
        <f>+ROUND((D5*$AB$5)/$AA$5,4)</f>
        <v>0</v>
      </c>
      <c r="E10" s="32">
        <f>+ROUND((E5*$AB$5)/$AA$5,4)</f>
        <v>3.5000000000000001E-3</v>
      </c>
      <c r="F10" s="32">
        <f t="shared" ref="F10:Z10" si="1">+ROUND((F5*$AB$5)/$AA$5,4)</f>
        <v>0</v>
      </c>
      <c r="G10" s="32">
        <f>+ROUND((G5*$AB$5)/$AA$5,4)</f>
        <v>4.4000000000000003E-3</v>
      </c>
      <c r="H10" s="32">
        <f t="shared" si="1"/>
        <v>0</v>
      </c>
      <c r="I10" s="32">
        <f>+ROUND((I5*$AB$5)/$AA$5,4)-0.01%</f>
        <v>2.1000000000000003E-3</v>
      </c>
      <c r="J10" s="32">
        <f t="shared" si="1"/>
        <v>0</v>
      </c>
      <c r="K10" s="32">
        <f>+ROUND((K5*$AB$5)/$AA$5,4)</f>
        <v>2.2000000000000001E-3</v>
      </c>
      <c r="L10" s="32">
        <f t="shared" si="1"/>
        <v>0</v>
      </c>
      <c r="M10" s="32">
        <f t="shared" si="1"/>
        <v>0</v>
      </c>
      <c r="N10" s="32">
        <f t="shared" si="1"/>
        <v>0</v>
      </c>
      <c r="O10" s="32">
        <f t="shared" si="1"/>
        <v>0</v>
      </c>
      <c r="P10" s="32">
        <f t="shared" si="1"/>
        <v>0</v>
      </c>
      <c r="Q10" s="32">
        <f t="shared" si="1"/>
        <v>0</v>
      </c>
      <c r="R10" s="32">
        <f t="shared" si="1"/>
        <v>0</v>
      </c>
      <c r="S10" s="32">
        <f t="shared" si="1"/>
        <v>0</v>
      </c>
      <c r="T10" s="32">
        <f t="shared" si="1"/>
        <v>0</v>
      </c>
      <c r="U10" s="32">
        <f t="shared" si="1"/>
        <v>0</v>
      </c>
      <c r="V10" s="32">
        <f t="shared" si="1"/>
        <v>0</v>
      </c>
      <c r="W10" s="32">
        <f>+ROUND((W5*$AB$5)/$AA$5,4)</f>
        <v>0</v>
      </c>
      <c r="X10" s="32">
        <f t="shared" si="1"/>
        <v>0</v>
      </c>
      <c r="Y10" s="32">
        <f>+ROUND((Y5*$AB$5)/$AA$5,4)+0.02%</f>
        <v>2.0000000000000001E-4</v>
      </c>
      <c r="Z10" s="32">
        <f t="shared" si="1"/>
        <v>0</v>
      </c>
      <c r="AA10" s="31">
        <f>+C10+E10+G10+I10+K10</f>
        <v>1.5300000000000001E-2</v>
      </c>
      <c r="AB10" s="31"/>
      <c r="AC10" s="31"/>
      <c r="AH10" s="28"/>
    </row>
    <row r="13" spans="1:34" x14ac:dyDescent="0.25">
      <c r="F13" s="49"/>
    </row>
    <row r="14" spans="1:34" x14ac:dyDescent="0.25">
      <c r="F14" s="64"/>
      <c r="H14" s="94">
        <v>2020</v>
      </c>
      <c r="I14" s="94">
        <v>2021</v>
      </c>
      <c r="J14" s="94">
        <v>2022</v>
      </c>
      <c r="K14" s="94">
        <v>2023</v>
      </c>
      <c r="S14" s="36"/>
      <c r="T14" s="49"/>
      <c r="U14" s="46"/>
      <c r="X14" s="49"/>
    </row>
    <row r="15" spans="1:34" x14ac:dyDescent="0.25">
      <c r="G15" t="s">
        <v>328</v>
      </c>
      <c r="H15" s="91">
        <v>2642</v>
      </c>
      <c r="I15" s="91">
        <v>3800</v>
      </c>
      <c r="J15" s="91">
        <v>8268</v>
      </c>
      <c r="K15" s="91">
        <f>+INVERSIÓN!DM29</f>
        <v>6539</v>
      </c>
      <c r="L15" s="91"/>
      <c r="S15" s="36"/>
      <c r="T15" s="46"/>
      <c r="V15" s="49"/>
      <c r="X15" s="46"/>
      <c r="AC15" s="63"/>
    </row>
    <row r="16" spans="1:34" x14ac:dyDescent="0.25">
      <c r="G16" t="s">
        <v>341</v>
      </c>
      <c r="H16" s="91">
        <v>65</v>
      </c>
      <c r="I16" s="91">
        <v>207</v>
      </c>
      <c r="J16" s="91">
        <v>265</v>
      </c>
      <c r="K16" s="91">
        <v>329</v>
      </c>
      <c r="L16" s="18"/>
      <c r="V16" s="64"/>
      <c r="AC16" s="64"/>
    </row>
    <row r="17" spans="7:27" x14ac:dyDescent="0.25">
      <c r="H17" s="93">
        <f>SUM(H15:H16)</f>
        <v>2707</v>
      </c>
      <c r="I17" s="93">
        <f>SUM(I15:I16)</f>
        <v>4007</v>
      </c>
      <c r="J17" s="93">
        <f>SUM(J15:J16)</f>
        <v>8533</v>
      </c>
      <c r="K17" s="93">
        <f>+K15+K16</f>
        <v>6868</v>
      </c>
      <c r="L17" s="92">
        <f>SUM(H17:K17)</f>
        <v>22115</v>
      </c>
      <c r="W17" s="45"/>
      <c r="Y17" s="19"/>
      <c r="Z17" s="53"/>
    </row>
    <row r="18" spans="7:27" x14ac:dyDescent="0.25">
      <c r="V18" s="49"/>
      <c r="Z18" s="53"/>
    </row>
    <row r="19" spans="7:27" x14ac:dyDescent="0.25">
      <c r="V19" s="46"/>
      <c r="W19" s="45"/>
      <c r="Z19" s="46"/>
      <c r="AA19" s="53"/>
    </row>
    <row r="20" spans="7:27" x14ac:dyDescent="0.25">
      <c r="G20" s="19"/>
      <c r="J20" s="19"/>
      <c r="K20" s="19"/>
    </row>
    <row r="21" spans="7:27" x14ac:dyDescent="0.25">
      <c r="G21" s="19">
        <v>24000</v>
      </c>
      <c r="H21" s="49">
        <v>0.15</v>
      </c>
      <c r="J21" s="19">
        <v>115000</v>
      </c>
      <c r="K21" s="19"/>
      <c r="L21" s="49">
        <v>0.15</v>
      </c>
    </row>
    <row r="22" spans="7:27" x14ac:dyDescent="0.25">
      <c r="G22" s="19">
        <f>+H22*G21/H21</f>
        <v>2448</v>
      </c>
      <c r="H22" s="53">
        <v>1.5299999999999999E-2</v>
      </c>
      <c r="J22" s="19">
        <f>+AA4</f>
        <v>11258</v>
      </c>
      <c r="K22" s="19"/>
      <c r="L22" s="53">
        <f>+J22*L21/J21</f>
        <v>1.4684347826086956E-2</v>
      </c>
      <c r="Z22" s="49"/>
    </row>
    <row r="23" spans="7:27" x14ac:dyDescent="0.25">
      <c r="J23" s="63"/>
      <c r="Y23" s="19"/>
      <c r="Z23" s="46"/>
    </row>
    <row r="26" spans="7:27" x14ac:dyDescent="0.25">
      <c r="G26" t="s">
        <v>340</v>
      </c>
      <c r="H26" s="94">
        <v>2020</v>
      </c>
      <c r="I26" s="94">
        <v>2021</v>
      </c>
      <c r="J26" s="94">
        <v>2022</v>
      </c>
      <c r="K26" s="94">
        <v>2023</v>
      </c>
    </row>
    <row r="27" spans="7:27" x14ac:dyDescent="0.25">
      <c r="H27" s="93">
        <v>8177</v>
      </c>
      <c r="I27" s="93">
        <v>27065</v>
      </c>
      <c r="J27" s="93">
        <v>38962</v>
      </c>
      <c r="K27" s="93">
        <f>+INVERSIÓN!DM15</f>
        <v>32546</v>
      </c>
      <c r="L27" s="92">
        <f>SUM(H27:K27)</f>
        <v>106750</v>
      </c>
    </row>
  </sheetData>
  <mergeCells count="33">
    <mergeCell ref="B2:B3"/>
    <mergeCell ref="C2:D2"/>
    <mergeCell ref="AB2:AB3"/>
    <mergeCell ref="AC2:AC3"/>
    <mergeCell ref="K7:L7"/>
    <mergeCell ref="M7:N7"/>
    <mergeCell ref="O7:P7"/>
    <mergeCell ref="Q7:R7"/>
    <mergeCell ref="S7:T7"/>
    <mergeCell ref="W7:X7"/>
    <mergeCell ref="Y7:Z7"/>
    <mergeCell ref="AA7:AA8"/>
    <mergeCell ref="AB7:AB8"/>
    <mergeCell ref="AC7:AC8"/>
    <mergeCell ref="U7:V7"/>
    <mergeCell ref="Y2:Z2"/>
    <mergeCell ref="B7:B8"/>
    <mergeCell ref="C7:D7"/>
    <mergeCell ref="E7:F7"/>
    <mergeCell ref="G7:H7"/>
    <mergeCell ref="I7:J7"/>
    <mergeCell ref="E2:F2"/>
    <mergeCell ref="G2:H2"/>
    <mergeCell ref="I2:J2"/>
    <mergeCell ref="K2:L2"/>
    <mergeCell ref="AD2:AD3"/>
    <mergeCell ref="M2:N2"/>
    <mergeCell ref="O2:P2"/>
    <mergeCell ref="Q2:R2"/>
    <mergeCell ref="S2:T2"/>
    <mergeCell ref="U2:V2"/>
    <mergeCell ref="W2:X2"/>
    <mergeCell ref="AA2:AA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I31"/>
  <sheetViews>
    <sheetView showGridLines="0" tabSelected="1" zoomScale="55" zoomScaleNormal="55" workbookViewId="0">
      <selection activeCell="J10" sqref="J10:ES10"/>
    </sheetView>
  </sheetViews>
  <sheetFormatPr baseColWidth="10" defaultColWidth="10.85546875" defaultRowHeight="14.25" x14ac:dyDescent="0.2"/>
  <cols>
    <col min="1" max="1" width="7.5703125" style="29" customWidth="1"/>
    <col min="2" max="3" width="9.5703125" style="29" customWidth="1"/>
    <col min="4" max="4" width="36.7109375" style="29" customWidth="1"/>
    <col min="5" max="5" width="7.5703125" style="29" customWidth="1"/>
    <col min="6" max="6" width="30.85546875" style="29" customWidth="1"/>
    <col min="7" max="7" width="18.140625" style="29" customWidth="1"/>
    <col min="8" max="8" width="13.5703125" style="29" customWidth="1"/>
    <col min="9" max="9" width="15.5703125" style="200" customWidth="1"/>
    <col min="10" max="10" width="21" style="200" hidden="1" customWidth="1"/>
    <col min="11" max="24" width="12.7109375" style="200" hidden="1" customWidth="1"/>
    <col min="25" max="27" width="17.140625" style="200" hidden="1" customWidth="1"/>
    <col min="28" max="29" width="23.5703125" style="200" customWidth="1"/>
    <col min="30" max="30" width="15.7109375" style="200" hidden="1" customWidth="1"/>
    <col min="31" max="54" width="12.7109375" style="200" hidden="1" customWidth="1"/>
    <col min="55" max="55" width="18.28515625" style="200" hidden="1" customWidth="1"/>
    <col min="56" max="57" width="23" style="200" hidden="1" customWidth="1"/>
    <col min="58" max="59" width="23" style="200" customWidth="1"/>
    <col min="60" max="60" width="15.42578125" style="200" hidden="1" customWidth="1"/>
    <col min="61" max="82" width="10.7109375" style="200" hidden="1" customWidth="1"/>
    <col min="83" max="83" width="14.42578125" style="200" hidden="1" customWidth="1"/>
    <col min="84" max="84" width="10.7109375" style="200" hidden="1" customWidth="1"/>
    <col min="85" max="85" width="18.28515625" style="200" hidden="1" customWidth="1"/>
    <col min="86" max="86" width="14.7109375" style="200" hidden="1" customWidth="1"/>
    <col min="87" max="87" width="15.42578125" style="200" hidden="1" customWidth="1"/>
    <col min="88" max="89" width="20.140625" style="200" customWidth="1"/>
    <col min="90" max="90" width="20.28515625" style="200" hidden="1" customWidth="1"/>
    <col min="91" max="110" width="17" style="200" hidden="1" customWidth="1"/>
    <col min="111" max="111" width="19.85546875" style="200" hidden="1" customWidth="1"/>
    <col min="112" max="113" width="17" style="200" hidden="1" customWidth="1"/>
    <col min="114" max="115" width="20.28515625" style="200" hidden="1" customWidth="1"/>
    <col min="116" max="117" width="21.85546875" style="200" hidden="1" customWidth="1"/>
    <col min="118" max="118" width="17.7109375" style="200" customWidth="1"/>
    <col min="119" max="120" width="21.85546875" style="200" customWidth="1"/>
    <col min="121" max="130" width="12.85546875" style="200" customWidth="1"/>
    <col min="131" max="144" width="6.28515625" style="200" hidden="1" customWidth="1"/>
    <col min="145" max="145" width="22.5703125" style="200" customWidth="1"/>
    <col min="146" max="146" width="15.42578125" style="200" customWidth="1"/>
    <col min="147" max="147" width="20.42578125" style="200" customWidth="1"/>
    <col min="148" max="149" width="15.42578125" style="200" customWidth="1"/>
    <col min="150" max="150" width="18" style="29" customWidth="1"/>
    <col min="151" max="151" width="21.140625" style="29" customWidth="1"/>
    <col min="152" max="152" width="18" style="29" customWidth="1"/>
    <col min="153" max="153" width="21.28515625" style="29" customWidth="1"/>
    <col min="154" max="154" width="18" style="29" customWidth="1"/>
    <col min="155" max="155" width="78.85546875" style="29" customWidth="1"/>
    <col min="156" max="156" width="24.140625" style="29" customWidth="1"/>
    <col min="157" max="157" width="18" style="29" customWidth="1"/>
    <col min="158" max="158" width="51.7109375" style="29" customWidth="1"/>
    <col min="159" max="159" width="43" style="29" customWidth="1"/>
    <col min="160" max="16384" width="10.85546875" style="29"/>
  </cols>
  <sheetData>
    <row r="1" spans="1:165" ht="15" thickBot="1" x14ac:dyDescent="0.25">
      <c r="C1" s="70"/>
      <c r="D1" s="70"/>
      <c r="E1" s="70"/>
      <c r="F1" s="70"/>
      <c r="G1" s="70"/>
      <c r="H1" s="70"/>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0"/>
      <c r="EU1" s="70"/>
      <c r="EV1" s="70"/>
      <c r="EW1" s="70"/>
      <c r="EX1" s="70"/>
      <c r="EY1" s="70"/>
      <c r="EZ1" s="70"/>
      <c r="FA1" s="70"/>
      <c r="FB1" s="70"/>
      <c r="FC1" s="70"/>
    </row>
    <row r="2" spans="1:165" s="72" customFormat="1" ht="37.5" customHeight="1" x14ac:dyDescent="0.4">
      <c r="A2" s="741"/>
      <c r="B2" s="742"/>
      <c r="C2" s="742"/>
      <c r="D2" s="742"/>
      <c r="E2" s="742"/>
      <c r="F2" s="743"/>
      <c r="G2" s="750" t="s">
        <v>0</v>
      </c>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50"/>
      <c r="CY2" s="750"/>
      <c r="CZ2" s="750"/>
      <c r="DA2" s="750"/>
      <c r="DB2" s="750"/>
      <c r="DC2" s="750"/>
      <c r="DD2" s="750"/>
      <c r="DE2" s="750"/>
      <c r="DF2" s="750"/>
      <c r="DG2" s="750"/>
      <c r="DH2" s="750"/>
      <c r="DI2" s="750"/>
      <c r="DJ2" s="750"/>
      <c r="DK2" s="750"/>
      <c r="DL2" s="750"/>
      <c r="DM2" s="750"/>
      <c r="DN2" s="750"/>
      <c r="DO2" s="750"/>
      <c r="DP2" s="750"/>
      <c r="DQ2" s="750"/>
      <c r="DR2" s="750"/>
      <c r="DS2" s="750"/>
      <c r="DT2" s="750"/>
      <c r="DU2" s="750"/>
      <c r="DV2" s="750"/>
      <c r="DW2" s="750"/>
      <c r="DX2" s="750"/>
      <c r="DY2" s="750"/>
      <c r="DZ2" s="750"/>
      <c r="EA2" s="750"/>
      <c r="EB2" s="750"/>
      <c r="EC2" s="750"/>
      <c r="ED2" s="750"/>
      <c r="EE2" s="750"/>
      <c r="EF2" s="750"/>
      <c r="EG2" s="750"/>
      <c r="EH2" s="750"/>
      <c r="EI2" s="750"/>
      <c r="EJ2" s="750"/>
      <c r="EK2" s="750"/>
      <c r="EL2" s="750"/>
      <c r="EM2" s="750"/>
      <c r="EN2" s="750"/>
      <c r="EO2" s="750"/>
      <c r="EP2" s="750"/>
      <c r="EQ2" s="750"/>
      <c r="ER2" s="750"/>
      <c r="ES2" s="750"/>
      <c r="ET2" s="750"/>
      <c r="EU2" s="750"/>
      <c r="EV2" s="750"/>
      <c r="EW2" s="750"/>
      <c r="EX2" s="750"/>
      <c r="EY2" s="750"/>
      <c r="EZ2" s="750"/>
      <c r="FA2" s="750"/>
      <c r="FB2" s="750"/>
      <c r="FC2" s="751"/>
    </row>
    <row r="3" spans="1:165" s="72" customFormat="1" ht="60" customHeight="1" thickBot="1" x14ac:dyDescent="0.45">
      <c r="A3" s="744"/>
      <c r="B3" s="745"/>
      <c r="C3" s="745"/>
      <c r="D3" s="745"/>
      <c r="E3" s="745"/>
      <c r="F3" s="746"/>
      <c r="G3" s="752" t="s">
        <v>1</v>
      </c>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c r="DY3" s="752"/>
      <c r="DZ3" s="752"/>
      <c r="EA3" s="752"/>
      <c r="EB3" s="752"/>
      <c r="EC3" s="752"/>
      <c r="ED3" s="752"/>
      <c r="EE3" s="752"/>
      <c r="EF3" s="752"/>
      <c r="EG3" s="752"/>
      <c r="EH3" s="752"/>
      <c r="EI3" s="752"/>
      <c r="EJ3" s="752"/>
      <c r="EK3" s="752"/>
      <c r="EL3" s="752"/>
      <c r="EM3" s="752"/>
      <c r="EN3" s="752"/>
      <c r="EO3" s="752"/>
      <c r="EP3" s="752"/>
      <c r="EQ3" s="752"/>
      <c r="ER3" s="752"/>
      <c r="ES3" s="752"/>
      <c r="ET3" s="752"/>
      <c r="EU3" s="752"/>
      <c r="EV3" s="752"/>
      <c r="EW3" s="752"/>
      <c r="EX3" s="752"/>
      <c r="EY3" s="752"/>
      <c r="EZ3" s="752"/>
      <c r="FA3" s="752"/>
      <c r="FB3" s="752"/>
      <c r="FC3" s="752"/>
    </row>
    <row r="4" spans="1:165" s="73" customFormat="1" ht="27" customHeight="1" thickBot="1" x14ac:dyDescent="0.4">
      <c r="A4" s="747"/>
      <c r="B4" s="748"/>
      <c r="C4" s="748"/>
      <c r="D4" s="748"/>
      <c r="E4" s="748"/>
      <c r="F4" s="749"/>
      <c r="G4" s="753" t="s">
        <v>2</v>
      </c>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53"/>
      <c r="EB4" s="753"/>
      <c r="EC4" s="753"/>
      <c r="ED4" s="753"/>
      <c r="EE4" s="753"/>
      <c r="EF4" s="753"/>
      <c r="EG4" s="753"/>
      <c r="EH4" s="753"/>
      <c r="EI4" s="753"/>
      <c r="EJ4" s="753"/>
      <c r="EK4" s="753"/>
      <c r="EL4" s="753"/>
      <c r="EM4" s="753"/>
      <c r="EN4" s="753"/>
      <c r="EO4" s="753"/>
      <c r="EP4" s="753"/>
      <c r="EQ4" s="753"/>
      <c r="ER4" s="753"/>
      <c r="ES4" s="753"/>
      <c r="ET4" s="754" t="s">
        <v>3</v>
      </c>
      <c r="EU4" s="755"/>
      <c r="EV4" s="755"/>
      <c r="EW4" s="755"/>
      <c r="EX4" s="755"/>
      <c r="EY4" s="755"/>
      <c r="EZ4" s="755"/>
      <c r="FA4" s="755"/>
      <c r="FB4" s="755"/>
      <c r="FC4" s="756"/>
    </row>
    <row r="5" spans="1:165" ht="40.5" customHeight="1" thickBot="1" x14ac:dyDescent="0.25">
      <c r="A5" s="736" t="s">
        <v>4</v>
      </c>
      <c r="B5" s="737"/>
      <c r="C5" s="737"/>
      <c r="D5" s="737"/>
      <c r="E5" s="737"/>
      <c r="F5" s="737"/>
      <c r="G5" s="738" t="s">
        <v>5</v>
      </c>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c r="DM5" s="739"/>
      <c r="DN5" s="739"/>
      <c r="DO5" s="739"/>
      <c r="DP5" s="739"/>
      <c r="DQ5" s="739"/>
      <c r="DR5" s="739"/>
      <c r="DS5" s="739"/>
      <c r="DT5" s="739"/>
      <c r="DU5" s="739"/>
      <c r="DV5" s="739"/>
      <c r="DW5" s="739"/>
      <c r="DX5" s="739"/>
      <c r="DY5" s="739"/>
      <c r="DZ5" s="739"/>
      <c r="EA5" s="739"/>
      <c r="EB5" s="739"/>
      <c r="EC5" s="739"/>
      <c r="ED5" s="739"/>
      <c r="EE5" s="739"/>
      <c r="EF5" s="739"/>
      <c r="EG5" s="739"/>
      <c r="EH5" s="739"/>
      <c r="EI5" s="739"/>
      <c r="EJ5" s="739"/>
      <c r="EK5" s="739"/>
      <c r="EL5" s="739"/>
      <c r="EM5" s="739"/>
      <c r="EN5" s="739"/>
      <c r="EO5" s="739"/>
      <c r="EP5" s="739"/>
      <c r="EQ5" s="739"/>
      <c r="ER5" s="739"/>
      <c r="ES5" s="739"/>
      <c r="ET5" s="739"/>
      <c r="EU5" s="739"/>
      <c r="EV5" s="739"/>
      <c r="EW5" s="739"/>
      <c r="EX5" s="739"/>
      <c r="EY5" s="739"/>
      <c r="EZ5" s="739"/>
      <c r="FA5" s="739"/>
      <c r="FB5" s="739"/>
      <c r="FC5" s="740"/>
    </row>
    <row r="6" spans="1:165" ht="33" customHeight="1" thickBot="1" x14ac:dyDescent="0.25">
      <c r="A6" s="736" t="s">
        <v>6</v>
      </c>
      <c r="B6" s="737"/>
      <c r="C6" s="737"/>
      <c r="D6" s="737"/>
      <c r="E6" s="737"/>
      <c r="F6" s="737"/>
      <c r="G6" s="738" t="s">
        <v>7</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739"/>
      <c r="BU6" s="739"/>
      <c r="BV6" s="739"/>
      <c r="BW6" s="739"/>
      <c r="BX6" s="739"/>
      <c r="BY6" s="739"/>
      <c r="BZ6" s="739"/>
      <c r="CA6" s="739"/>
      <c r="CB6" s="739"/>
      <c r="CC6" s="739"/>
      <c r="CD6" s="739"/>
      <c r="CE6" s="739"/>
      <c r="CF6" s="739"/>
      <c r="CG6" s="739"/>
      <c r="CH6" s="739"/>
      <c r="CI6" s="739"/>
      <c r="CJ6" s="739"/>
      <c r="CK6" s="739"/>
      <c r="CL6" s="739"/>
      <c r="CM6" s="739"/>
      <c r="CN6" s="739"/>
      <c r="CO6" s="739"/>
      <c r="CP6" s="739"/>
      <c r="CQ6" s="739"/>
      <c r="CR6" s="739"/>
      <c r="CS6" s="739"/>
      <c r="CT6" s="739"/>
      <c r="CU6" s="739"/>
      <c r="CV6" s="739"/>
      <c r="CW6" s="739"/>
      <c r="CX6" s="739"/>
      <c r="CY6" s="739"/>
      <c r="CZ6" s="739"/>
      <c r="DA6" s="739"/>
      <c r="DB6" s="739"/>
      <c r="DC6" s="739"/>
      <c r="DD6" s="739"/>
      <c r="DE6" s="739"/>
      <c r="DF6" s="739"/>
      <c r="DG6" s="739"/>
      <c r="DH6" s="739"/>
      <c r="DI6" s="739"/>
      <c r="DJ6" s="739"/>
      <c r="DK6" s="739"/>
      <c r="DL6" s="739"/>
      <c r="DM6" s="739"/>
      <c r="DN6" s="739"/>
      <c r="DO6" s="739"/>
      <c r="DP6" s="739"/>
      <c r="DQ6" s="739"/>
      <c r="DR6" s="739"/>
      <c r="DS6" s="739"/>
      <c r="DT6" s="739"/>
      <c r="DU6" s="739"/>
      <c r="DV6" s="739"/>
      <c r="DW6" s="739"/>
      <c r="DX6" s="739"/>
      <c r="DY6" s="739"/>
      <c r="DZ6" s="739"/>
      <c r="EA6" s="739"/>
      <c r="EB6" s="739"/>
      <c r="EC6" s="739"/>
      <c r="ED6" s="739"/>
      <c r="EE6" s="739"/>
      <c r="EF6" s="739"/>
      <c r="EG6" s="739"/>
      <c r="EH6" s="739"/>
      <c r="EI6" s="739"/>
      <c r="EJ6" s="739"/>
      <c r="EK6" s="739"/>
      <c r="EL6" s="739"/>
      <c r="EM6" s="739"/>
      <c r="EN6" s="739"/>
      <c r="EO6" s="739"/>
      <c r="EP6" s="739"/>
      <c r="EQ6" s="739"/>
      <c r="ER6" s="739"/>
      <c r="ES6" s="739"/>
      <c r="ET6" s="739"/>
      <c r="EU6" s="739"/>
      <c r="EV6" s="739"/>
      <c r="EW6" s="739"/>
      <c r="EX6" s="739"/>
      <c r="EY6" s="739"/>
      <c r="EZ6" s="739"/>
      <c r="FA6" s="739"/>
      <c r="FB6" s="739"/>
      <c r="FC6" s="740"/>
    </row>
    <row r="7" spans="1:165" ht="28.5" customHeight="1" thickBot="1" x14ac:dyDescent="0.25">
      <c r="A7" s="736" t="s">
        <v>8</v>
      </c>
      <c r="B7" s="737"/>
      <c r="C7" s="737"/>
      <c r="D7" s="737"/>
      <c r="E7" s="737"/>
      <c r="F7" s="737"/>
      <c r="G7" s="738" t="s">
        <v>9</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739"/>
      <c r="BZ7" s="739"/>
      <c r="CA7" s="739"/>
      <c r="CB7" s="739"/>
      <c r="CC7" s="739"/>
      <c r="CD7" s="739"/>
      <c r="CE7" s="739"/>
      <c r="CF7" s="739"/>
      <c r="CG7" s="739"/>
      <c r="CH7" s="739"/>
      <c r="CI7" s="739"/>
      <c r="CJ7" s="739"/>
      <c r="CK7" s="739"/>
      <c r="CL7" s="739"/>
      <c r="CM7" s="739"/>
      <c r="CN7" s="739"/>
      <c r="CO7" s="739"/>
      <c r="CP7" s="739"/>
      <c r="CQ7" s="739"/>
      <c r="CR7" s="739"/>
      <c r="CS7" s="739"/>
      <c r="CT7" s="739"/>
      <c r="CU7" s="739"/>
      <c r="CV7" s="739"/>
      <c r="CW7" s="739"/>
      <c r="CX7" s="739"/>
      <c r="CY7" s="739"/>
      <c r="CZ7" s="739"/>
      <c r="DA7" s="739"/>
      <c r="DB7" s="739"/>
      <c r="DC7" s="739"/>
      <c r="DD7" s="739"/>
      <c r="DE7" s="739"/>
      <c r="DF7" s="739"/>
      <c r="DG7" s="739"/>
      <c r="DH7" s="739"/>
      <c r="DI7" s="739"/>
      <c r="DJ7" s="739"/>
      <c r="DK7" s="739"/>
      <c r="DL7" s="739"/>
      <c r="DM7" s="739"/>
      <c r="DN7" s="739"/>
      <c r="DO7" s="739"/>
      <c r="DP7" s="739"/>
      <c r="DQ7" s="739"/>
      <c r="DR7" s="739"/>
      <c r="DS7" s="739"/>
      <c r="DT7" s="739"/>
      <c r="DU7" s="739"/>
      <c r="DV7" s="739"/>
      <c r="DW7" s="739"/>
      <c r="DX7" s="739"/>
      <c r="DY7" s="739"/>
      <c r="DZ7" s="739"/>
      <c r="EA7" s="739"/>
      <c r="EB7" s="739"/>
      <c r="EC7" s="739"/>
      <c r="ED7" s="739"/>
      <c r="EE7" s="739"/>
      <c r="EF7" s="739"/>
      <c r="EG7" s="739"/>
      <c r="EH7" s="739"/>
      <c r="EI7" s="739"/>
      <c r="EJ7" s="739"/>
      <c r="EK7" s="739"/>
      <c r="EL7" s="739"/>
      <c r="EM7" s="739"/>
      <c r="EN7" s="739"/>
      <c r="EO7" s="739"/>
      <c r="EP7" s="739"/>
      <c r="EQ7" s="739"/>
      <c r="ER7" s="739"/>
      <c r="ES7" s="739"/>
      <c r="ET7" s="739"/>
      <c r="EU7" s="739"/>
      <c r="EV7" s="739"/>
      <c r="EW7" s="739"/>
      <c r="EX7" s="739"/>
      <c r="EY7" s="739"/>
      <c r="EZ7" s="739"/>
      <c r="FA7" s="739"/>
      <c r="FB7" s="739"/>
      <c r="FC7" s="740"/>
    </row>
    <row r="8" spans="1:165" ht="36" customHeight="1" thickBot="1" x14ac:dyDescent="0.25">
      <c r="A8" s="736" t="s">
        <v>10</v>
      </c>
      <c r="B8" s="737"/>
      <c r="C8" s="737"/>
      <c r="D8" s="737"/>
      <c r="E8" s="737"/>
      <c r="F8" s="737"/>
      <c r="G8" s="757" t="s">
        <v>11</v>
      </c>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8"/>
      <c r="BI8" s="758"/>
      <c r="BJ8" s="758"/>
      <c r="BK8" s="758"/>
      <c r="BL8" s="758"/>
      <c r="BM8" s="758"/>
      <c r="BN8" s="758"/>
      <c r="BO8" s="758"/>
      <c r="BP8" s="758"/>
      <c r="BQ8" s="758"/>
      <c r="BR8" s="758"/>
      <c r="BS8" s="758"/>
      <c r="BT8" s="758"/>
      <c r="BU8" s="758"/>
      <c r="BV8" s="758"/>
      <c r="BW8" s="758"/>
      <c r="BX8" s="758"/>
      <c r="BY8" s="758"/>
      <c r="BZ8" s="758"/>
      <c r="CA8" s="758"/>
      <c r="CB8" s="758"/>
      <c r="CC8" s="758"/>
      <c r="CD8" s="758"/>
      <c r="CE8" s="758"/>
      <c r="CF8" s="758"/>
      <c r="CG8" s="758"/>
      <c r="CH8" s="758"/>
      <c r="CI8" s="758"/>
      <c r="CJ8" s="758"/>
      <c r="CK8" s="758"/>
      <c r="CL8" s="758"/>
      <c r="CM8" s="758"/>
      <c r="CN8" s="758"/>
      <c r="CO8" s="758"/>
      <c r="CP8" s="758"/>
      <c r="CQ8" s="758"/>
      <c r="CR8" s="758"/>
      <c r="CS8" s="758"/>
      <c r="CT8" s="758"/>
      <c r="CU8" s="758"/>
      <c r="CV8" s="758"/>
      <c r="CW8" s="758"/>
      <c r="CX8" s="758"/>
      <c r="CY8" s="758"/>
      <c r="CZ8" s="758"/>
      <c r="DA8" s="758"/>
      <c r="DB8" s="758"/>
      <c r="DC8" s="758"/>
      <c r="DD8" s="758"/>
      <c r="DE8" s="758"/>
      <c r="DF8" s="758"/>
      <c r="DG8" s="758"/>
      <c r="DH8" s="758"/>
      <c r="DI8" s="758"/>
      <c r="DJ8" s="758"/>
      <c r="DK8" s="758"/>
      <c r="DL8" s="758"/>
      <c r="DM8" s="758"/>
      <c r="DN8" s="758"/>
      <c r="DO8" s="758"/>
      <c r="DP8" s="758"/>
      <c r="DQ8" s="758"/>
      <c r="DR8" s="758"/>
      <c r="DS8" s="758"/>
      <c r="DT8" s="758"/>
      <c r="DU8" s="758"/>
      <c r="DV8" s="758"/>
      <c r="DW8" s="758"/>
      <c r="DX8" s="758"/>
      <c r="DY8" s="758"/>
      <c r="DZ8" s="758"/>
      <c r="EA8" s="758"/>
      <c r="EB8" s="758"/>
      <c r="EC8" s="758"/>
      <c r="ED8" s="758"/>
      <c r="EE8" s="758"/>
      <c r="EF8" s="758"/>
      <c r="EG8" s="758"/>
      <c r="EH8" s="758"/>
      <c r="EI8" s="758"/>
      <c r="EJ8" s="758"/>
      <c r="EK8" s="758"/>
      <c r="EL8" s="758"/>
      <c r="EM8" s="758"/>
      <c r="EN8" s="758"/>
      <c r="EO8" s="758"/>
      <c r="EP8" s="758"/>
      <c r="EQ8" s="758"/>
      <c r="ER8" s="758"/>
      <c r="ES8" s="758"/>
      <c r="ET8" s="758"/>
      <c r="EU8" s="758"/>
      <c r="EV8" s="758"/>
      <c r="EW8" s="758"/>
      <c r="EX8" s="758"/>
      <c r="EY8" s="758"/>
      <c r="EZ8" s="758"/>
      <c r="FA8" s="758"/>
      <c r="FB8" s="758"/>
      <c r="FC8" s="759"/>
    </row>
    <row r="9" spans="1:165" ht="18.75" thickBot="1" x14ac:dyDescent="0.25">
      <c r="A9" s="1"/>
      <c r="B9" s="2"/>
      <c r="C9" s="2"/>
      <c r="D9" s="2"/>
      <c r="E9" s="2"/>
      <c r="F9" s="2"/>
      <c r="G9" s="198"/>
      <c r="H9" s="198"/>
      <c r="I9" s="198"/>
      <c r="J9" s="198"/>
      <c r="K9" s="198"/>
      <c r="L9" s="198"/>
      <c r="M9" s="198"/>
      <c r="N9" s="198"/>
      <c r="O9" s="198"/>
      <c r="P9" s="198"/>
      <c r="Q9" s="198"/>
      <c r="R9" s="198"/>
      <c r="S9" s="198"/>
      <c r="T9" s="198"/>
      <c r="U9" s="3"/>
      <c r="V9" s="198"/>
      <c r="W9" s="198"/>
      <c r="X9" s="198"/>
      <c r="Y9" s="3"/>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65" s="4" customFormat="1" ht="36" customHeight="1" thickBot="1" x14ac:dyDescent="0.25">
      <c r="A10" s="763" t="s">
        <v>12</v>
      </c>
      <c r="B10" s="764"/>
      <c r="C10" s="764"/>
      <c r="D10" s="764"/>
      <c r="E10" s="764"/>
      <c r="F10" s="764"/>
      <c r="G10" s="764"/>
      <c r="H10" s="764"/>
      <c r="I10" s="765"/>
      <c r="J10" s="764" t="s">
        <v>13</v>
      </c>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4"/>
      <c r="AZ10" s="764"/>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764"/>
      <c r="CJ10" s="764"/>
      <c r="CK10" s="764"/>
      <c r="CL10" s="764"/>
      <c r="CM10" s="764"/>
      <c r="CN10" s="764"/>
      <c r="CO10" s="764"/>
      <c r="CP10" s="764"/>
      <c r="CQ10" s="764"/>
      <c r="CR10" s="764"/>
      <c r="CS10" s="764"/>
      <c r="CT10" s="764"/>
      <c r="CU10" s="764"/>
      <c r="CV10" s="764"/>
      <c r="CW10" s="764"/>
      <c r="CX10" s="764"/>
      <c r="CY10" s="764"/>
      <c r="CZ10" s="764"/>
      <c r="DA10" s="764"/>
      <c r="DB10" s="764"/>
      <c r="DC10" s="764"/>
      <c r="DD10" s="764"/>
      <c r="DE10" s="764"/>
      <c r="DF10" s="764"/>
      <c r="DG10" s="764"/>
      <c r="DH10" s="764"/>
      <c r="DI10" s="764"/>
      <c r="DJ10" s="764"/>
      <c r="DK10" s="764"/>
      <c r="DL10" s="764"/>
      <c r="DM10" s="764"/>
      <c r="DN10" s="764"/>
      <c r="DO10" s="764"/>
      <c r="DP10" s="764"/>
      <c r="DQ10" s="764"/>
      <c r="DR10" s="764"/>
      <c r="DS10" s="764"/>
      <c r="DT10" s="764"/>
      <c r="DU10" s="764"/>
      <c r="DV10" s="764"/>
      <c r="DW10" s="764"/>
      <c r="DX10" s="764"/>
      <c r="DY10" s="764"/>
      <c r="DZ10" s="764"/>
      <c r="EA10" s="764"/>
      <c r="EB10" s="764"/>
      <c r="EC10" s="764"/>
      <c r="ED10" s="764"/>
      <c r="EE10" s="764"/>
      <c r="EF10" s="764"/>
      <c r="EG10" s="764"/>
      <c r="EH10" s="764"/>
      <c r="EI10" s="764"/>
      <c r="EJ10" s="764"/>
      <c r="EK10" s="764"/>
      <c r="EL10" s="764"/>
      <c r="EM10" s="764"/>
      <c r="EN10" s="764"/>
      <c r="EO10" s="764"/>
      <c r="EP10" s="764"/>
      <c r="EQ10" s="764"/>
      <c r="ER10" s="764"/>
      <c r="ES10" s="765"/>
      <c r="ET10" s="766" t="s">
        <v>14</v>
      </c>
      <c r="EU10" s="766" t="s">
        <v>15</v>
      </c>
      <c r="EV10" s="734" t="s">
        <v>16</v>
      </c>
      <c r="EW10" s="768" t="s">
        <v>17</v>
      </c>
      <c r="EX10" s="734" t="s">
        <v>18</v>
      </c>
      <c r="EY10" s="734" t="s">
        <v>19</v>
      </c>
      <c r="EZ10" s="770" t="s">
        <v>443</v>
      </c>
      <c r="FA10" s="773" t="s">
        <v>21</v>
      </c>
      <c r="FB10" s="773" t="s">
        <v>22</v>
      </c>
      <c r="FC10" s="760" t="s">
        <v>23</v>
      </c>
    </row>
    <row r="11" spans="1:165" s="4" customFormat="1" ht="24.75" customHeight="1" thickBot="1" x14ac:dyDescent="0.25">
      <c r="A11" s="763" t="s">
        <v>24</v>
      </c>
      <c r="B11" s="764"/>
      <c r="C11" s="764"/>
      <c r="D11" s="764"/>
      <c r="E11" s="764"/>
      <c r="F11" s="764"/>
      <c r="G11" s="764"/>
      <c r="H11" s="764"/>
      <c r="I11" s="765"/>
      <c r="J11" s="779" t="s">
        <v>25</v>
      </c>
      <c r="K11" s="778"/>
      <c r="L11" s="778"/>
      <c r="M11" s="778"/>
      <c r="N11" s="778"/>
      <c r="O11" s="778"/>
      <c r="P11" s="778"/>
      <c r="Q11" s="778"/>
      <c r="R11" s="778"/>
      <c r="S11" s="778"/>
      <c r="T11" s="778"/>
      <c r="U11" s="778"/>
      <c r="V11" s="778"/>
      <c r="W11" s="778"/>
      <c r="X11" s="778"/>
      <c r="Y11" s="778"/>
      <c r="Z11" s="778"/>
      <c r="AA11" s="778"/>
      <c r="AB11" s="778"/>
      <c r="AC11" s="784"/>
      <c r="AD11" s="779" t="s">
        <v>26</v>
      </c>
      <c r="AE11" s="778"/>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8"/>
      <c r="BD11" s="778"/>
      <c r="BE11" s="778"/>
      <c r="BF11" s="778"/>
      <c r="BG11" s="784"/>
      <c r="BH11" s="779" t="s">
        <v>27</v>
      </c>
      <c r="BI11" s="778"/>
      <c r="BJ11" s="778"/>
      <c r="BK11" s="778"/>
      <c r="BL11" s="778"/>
      <c r="BM11" s="778"/>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84"/>
      <c r="CL11" s="778" t="s">
        <v>28</v>
      </c>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9" t="s">
        <v>29</v>
      </c>
      <c r="DQ11" s="778"/>
      <c r="DR11" s="778"/>
      <c r="DS11" s="778"/>
      <c r="DT11" s="778"/>
      <c r="DU11" s="778"/>
      <c r="DV11" s="778"/>
      <c r="DW11" s="778"/>
      <c r="DX11" s="778"/>
      <c r="DY11" s="778"/>
      <c r="DZ11" s="778"/>
      <c r="EA11" s="778"/>
      <c r="EB11" s="778"/>
      <c r="EC11" s="778"/>
      <c r="ED11" s="778"/>
      <c r="EE11" s="778"/>
      <c r="EF11" s="778"/>
      <c r="EG11" s="778"/>
      <c r="EH11" s="778"/>
      <c r="EI11" s="778"/>
      <c r="EJ11" s="778"/>
      <c r="EK11" s="778"/>
      <c r="EL11" s="778"/>
      <c r="EM11" s="778"/>
      <c r="EN11" s="778"/>
      <c r="EO11" s="778"/>
      <c r="EP11" s="778"/>
      <c r="EQ11" s="778"/>
      <c r="ER11" s="778"/>
      <c r="ES11" s="778"/>
      <c r="ET11" s="767"/>
      <c r="EU11" s="767"/>
      <c r="EV11" s="735"/>
      <c r="EW11" s="769"/>
      <c r="EX11" s="735"/>
      <c r="EY11" s="735"/>
      <c r="EZ11" s="771"/>
      <c r="FA11" s="774"/>
      <c r="FB11" s="774"/>
      <c r="FC11" s="761"/>
    </row>
    <row r="12" spans="1:165" s="4" customFormat="1" ht="107.25" customHeight="1" x14ac:dyDescent="0.2">
      <c r="A12" s="148" t="s">
        <v>30</v>
      </c>
      <c r="B12" s="148" t="s">
        <v>31</v>
      </c>
      <c r="C12" s="149" t="s">
        <v>32</v>
      </c>
      <c r="D12" s="153" t="s">
        <v>33</v>
      </c>
      <c r="E12" s="149" t="s">
        <v>34</v>
      </c>
      <c r="F12" s="149" t="s">
        <v>35</v>
      </c>
      <c r="G12" s="149" t="s">
        <v>36</v>
      </c>
      <c r="H12" s="149" t="s">
        <v>37</v>
      </c>
      <c r="I12" s="150" t="s">
        <v>38</v>
      </c>
      <c r="J12" s="151" t="s">
        <v>39</v>
      </c>
      <c r="K12" s="152" t="s">
        <v>40</v>
      </c>
      <c r="L12" s="153" t="s">
        <v>41</v>
      </c>
      <c r="M12" s="152" t="s">
        <v>42</v>
      </c>
      <c r="N12" s="153" t="s">
        <v>43</v>
      </c>
      <c r="O12" s="152" t="s">
        <v>44</v>
      </c>
      <c r="P12" s="153" t="s">
        <v>45</v>
      </c>
      <c r="Q12" s="152" t="s">
        <v>46</v>
      </c>
      <c r="R12" s="153" t="s">
        <v>47</v>
      </c>
      <c r="S12" s="152" t="s">
        <v>48</v>
      </c>
      <c r="T12" s="153" t="s">
        <v>49</v>
      </c>
      <c r="U12" s="152" t="s">
        <v>50</v>
      </c>
      <c r="V12" s="153" t="s">
        <v>51</v>
      </c>
      <c r="W12" s="152" t="s">
        <v>52</v>
      </c>
      <c r="X12" s="154" t="s">
        <v>53</v>
      </c>
      <c r="Y12" s="245" t="s">
        <v>54</v>
      </c>
      <c r="Z12" s="160" t="s">
        <v>55</v>
      </c>
      <c r="AA12" s="109" t="s">
        <v>345</v>
      </c>
      <c r="AB12" s="161" t="s">
        <v>56</v>
      </c>
      <c r="AC12" s="109" t="s">
        <v>346</v>
      </c>
      <c r="AD12" s="151" t="s">
        <v>39</v>
      </c>
      <c r="AE12" s="152" t="s">
        <v>57</v>
      </c>
      <c r="AF12" s="153" t="s">
        <v>58</v>
      </c>
      <c r="AG12" s="152" t="s">
        <v>59</v>
      </c>
      <c r="AH12" s="153" t="s">
        <v>60</v>
      </c>
      <c r="AI12" s="152" t="s">
        <v>61</v>
      </c>
      <c r="AJ12" s="153" t="s">
        <v>62</v>
      </c>
      <c r="AK12" s="152" t="s">
        <v>63</v>
      </c>
      <c r="AL12" s="153" t="s">
        <v>64</v>
      </c>
      <c r="AM12" s="152" t="s">
        <v>65</v>
      </c>
      <c r="AN12" s="153" t="s">
        <v>66</v>
      </c>
      <c r="AO12" s="152" t="s">
        <v>40</v>
      </c>
      <c r="AP12" s="153" t="s">
        <v>41</v>
      </c>
      <c r="AQ12" s="152" t="s">
        <v>42</v>
      </c>
      <c r="AR12" s="153" t="s">
        <v>43</v>
      </c>
      <c r="AS12" s="152" t="s">
        <v>44</v>
      </c>
      <c r="AT12" s="153" t="s">
        <v>45</v>
      </c>
      <c r="AU12" s="152" t="s">
        <v>46</v>
      </c>
      <c r="AV12" s="153" t="s">
        <v>47</v>
      </c>
      <c r="AW12" s="152" t="s">
        <v>48</v>
      </c>
      <c r="AX12" s="153" t="s">
        <v>49</v>
      </c>
      <c r="AY12" s="152" t="s">
        <v>50</v>
      </c>
      <c r="AZ12" s="153" t="s">
        <v>51</v>
      </c>
      <c r="BA12" s="152" t="s">
        <v>52</v>
      </c>
      <c r="BB12" s="154" t="s">
        <v>53</v>
      </c>
      <c r="BC12" s="155" t="s">
        <v>54</v>
      </c>
      <c r="BD12" s="158" t="s">
        <v>67</v>
      </c>
      <c r="BE12" s="156" t="s">
        <v>347</v>
      </c>
      <c r="BF12" s="157" t="s">
        <v>68</v>
      </c>
      <c r="BG12" s="156" t="s">
        <v>348</v>
      </c>
      <c r="BH12" s="151" t="s">
        <v>39</v>
      </c>
      <c r="BI12" s="152" t="s">
        <v>57</v>
      </c>
      <c r="BJ12" s="153" t="s">
        <v>58</v>
      </c>
      <c r="BK12" s="152" t="s">
        <v>59</v>
      </c>
      <c r="BL12" s="153" t="s">
        <v>60</v>
      </c>
      <c r="BM12" s="152" t="s">
        <v>61</v>
      </c>
      <c r="BN12" s="153" t="s">
        <v>62</v>
      </c>
      <c r="BO12" s="152" t="s">
        <v>63</v>
      </c>
      <c r="BP12" s="153" t="s">
        <v>64</v>
      </c>
      <c r="BQ12" s="152" t="s">
        <v>65</v>
      </c>
      <c r="BR12" s="153" t="s">
        <v>66</v>
      </c>
      <c r="BS12" s="152" t="s">
        <v>40</v>
      </c>
      <c r="BT12" s="153" t="s">
        <v>41</v>
      </c>
      <c r="BU12" s="152" t="s">
        <v>42</v>
      </c>
      <c r="BV12" s="153" t="s">
        <v>43</v>
      </c>
      <c r="BW12" s="152" t="s">
        <v>44</v>
      </c>
      <c r="BX12" s="153" t="s">
        <v>45</v>
      </c>
      <c r="BY12" s="152" t="s">
        <v>46</v>
      </c>
      <c r="BZ12" s="153" t="s">
        <v>47</v>
      </c>
      <c r="CA12" s="152" t="s">
        <v>48</v>
      </c>
      <c r="CB12" s="153" t="s">
        <v>49</v>
      </c>
      <c r="CC12" s="152" t="s">
        <v>50</v>
      </c>
      <c r="CD12" s="153" t="s">
        <v>51</v>
      </c>
      <c r="CE12" s="152" t="s">
        <v>52</v>
      </c>
      <c r="CF12" s="154" t="s">
        <v>53</v>
      </c>
      <c r="CG12" s="155" t="s">
        <v>54</v>
      </c>
      <c r="CH12" s="157" t="s">
        <v>69</v>
      </c>
      <c r="CI12" s="156" t="s">
        <v>349</v>
      </c>
      <c r="CJ12" s="157" t="s">
        <v>70</v>
      </c>
      <c r="CK12" s="156" t="s">
        <v>350</v>
      </c>
      <c r="CL12" s="159" t="s">
        <v>39</v>
      </c>
      <c r="CM12" s="152" t="s">
        <v>57</v>
      </c>
      <c r="CN12" s="153" t="s">
        <v>58</v>
      </c>
      <c r="CO12" s="152" t="s">
        <v>59</v>
      </c>
      <c r="CP12" s="153" t="s">
        <v>60</v>
      </c>
      <c r="CQ12" s="152" t="s">
        <v>61</v>
      </c>
      <c r="CR12" s="153" t="s">
        <v>62</v>
      </c>
      <c r="CS12" s="152" t="s">
        <v>63</v>
      </c>
      <c r="CT12" s="153" t="s">
        <v>64</v>
      </c>
      <c r="CU12" s="152" t="s">
        <v>65</v>
      </c>
      <c r="CV12" s="153" t="s">
        <v>66</v>
      </c>
      <c r="CW12" s="152" t="s">
        <v>40</v>
      </c>
      <c r="CX12" s="153" t="s">
        <v>41</v>
      </c>
      <c r="CY12" s="152" t="s">
        <v>42</v>
      </c>
      <c r="CZ12" s="153" t="s">
        <v>43</v>
      </c>
      <c r="DA12" s="152" t="s">
        <v>44</v>
      </c>
      <c r="DB12" s="153" t="s">
        <v>45</v>
      </c>
      <c r="DC12" s="152" t="s">
        <v>46</v>
      </c>
      <c r="DD12" s="153" t="s">
        <v>47</v>
      </c>
      <c r="DE12" s="152" t="s">
        <v>48</v>
      </c>
      <c r="DF12" s="153" t="s">
        <v>49</v>
      </c>
      <c r="DG12" s="152" t="s">
        <v>50</v>
      </c>
      <c r="DH12" s="153" t="s">
        <v>51</v>
      </c>
      <c r="DI12" s="152" t="s">
        <v>52</v>
      </c>
      <c r="DJ12" s="154" t="s">
        <v>53</v>
      </c>
      <c r="DK12" s="245" t="s">
        <v>54</v>
      </c>
      <c r="DL12" s="160" t="s">
        <v>71</v>
      </c>
      <c r="DM12" s="109" t="s">
        <v>343</v>
      </c>
      <c r="DN12" s="160" t="s">
        <v>72</v>
      </c>
      <c r="DO12" s="109" t="s">
        <v>344</v>
      </c>
      <c r="DP12" s="159" t="s">
        <v>39</v>
      </c>
      <c r="DQ12" s="152" t="s">
        <v>57</v>
      </c>
      <c r="DR12" s="153" t="s">
        <v>58</v>
      </c>
      <c r="DS12" s="152" t="s">
        <v>59</v>
      </c>
      <c r="DT12" s="153" t="s">
        <v>60</v>
      </c>
      <c r="DU12" s="152" t="s">
        <v>61</v>
      </c>
      <c r="DV12" s="153" t="s">
        <v>62</v>
      </c>
      <c r="DW12" s="152" t="s">
        <v>63</v>
      </c>
      <c r="DX12" s="153" t="s">
        <v>64</v>
      </c>
      <c r="DY12" s="152" t="s">
        <v>65</v>
      </c>
      <c r="DZ12" s="153" t="s">
        <v>66</v>
      </c>
      <c r="EA12" s="152" t="s">
        <v>40</v>
      </c>
      <c r="EB12" s="153" t="s">
        <v>41</v>
      </c>
      <c r="EC12" s="152" t="s">
        <v>42</v>
      </c>
      <c r="ED12" s="153" t="s">
        <v>43</v>
      </c>
      <c r="EE12" s="152" t="s">
        <v>44</v>
      </c>
      <c r="EF12" s="153" t="s">
        <v>45</v>
      </c>
      <c r="EG12" s="152" t="s">
        <v>46</v>
      </c>
      <c r="EH12" s="153" t="s">
        <v>47</v>
      </c>
      <c r="EI12" s="152" t="s">
        <v>48</v>
      </c>
      <c r="EJ12" s="153" t="s">
        <v>49</v>
      </c>
      <c r="EK12" s="152" t="s">
        <v>50</v>
      </c>
      <c r="EL12" s="153" t="s">
        <v>51</v>
      </c>
      <c r="EM12" s="152" t="s">
        <v>52</v>
      </c>
      <c r="EN12" s="154" t="s">
        <v>53</v>
      </c>
      <c r="EO12" s="245" t="s">
        <v>54</v>
      </c>
      <c r="EP12" s="160" t="s">
        <v>73</v>
      </c>
      <c r="EQ12" s="109" t="s">
        <v>351</v>
      </c>
      <c r="ER12" s="161" t="s">
        <v>74</v>
      </c>
      <c r="ES12" s="246" t="s">
        <v>352</v>
      </c>
      <c r="ET12" s="767"/>
      <c r="EU12" s="767"/>
      <c r="EV12" s="735"/>
      <c r="EW12" s="769"/>
      <c r="EX12" s="735"/>
      <c r="EY12" s="735"/>
      <c r="EZ12" s="772"/>
      <c r="FA12" s="775"/>
      <c r="FB12" s="775"/>
      <c r="FC12" s="762"/>
    </row>
    <row r="13" spans="1:165" s="6" customFormat="1" ht="116.25" customHeight="1" x14ac:dyDescent="0.25">
      <c r="A13" s="539">
        <v>2</v>
      </c>
      <c r="B13" s="539">
        <v>33</v>
      </c>
      <c r="C13" s="539">
        <v>237</v>
      </c>
      <c r="D13" s="540" t="s">
        <v>75</v>
      </c>
      <c r="E13" s="539">
        <v>253</v>
      </c>
      <c r="F13" s="540" t="s">
        <v>76</v>
      </c>
      <c r="G13" s="539" t="s">
        <v>77</v>
      </c>
      <c r="H13" s="539" t="s">
        <v>78</v>
      </c>
      <c r="I13" s="395">
        <f>+AC13+BG13+CK13+DO13+DP13</f>
        <v>0.15</v>
      </c>
      <c r="J13" s="402">
        <v>1.2999999999999999E-2</v>
      </c>
      <c r="K13" s="402"/>
      <c r="L13" s="402"/>
      <c r="M13" s="402">
        <v>1.2999999999999999E-2</v>
      </c>
      <c r="N13" s="395">
        <v>2.5000000000000001E-3</v>
      </c>
      <c r="O13" s="402">
        <v>1.2999999999999999E-2</v>
      </c>
      <c r="P13" s="395">
        <v>3.8E-3</v>
      </c>
      <c r="Q13" s="402">
        <v>1.2999999999999999E-2</v>
      </c>
      <c r="R13" s="395">
        <v>5.4999999999999997E-3</v>
      </c>
      <c r="S13" s="402">
        <v>1.2999999999999999E-2</v>
      </c>
      <c r="T13" s="395">
        <v>7.4000000000000003E-3</v>
      </c>
      <c r="U13" s="402">
        <v>1.2999999999999999E-2</v>
      </c>
      <c r="V13" s="395">
        <v>8.6E-3</v>
      </c>
      <c r="W13" s="402">
        <v>1.2999999999999999E-2</v>
      </c>
      <c r="X13" s="402">
        <v>1.06E-2</v>
      </c>
      <c r="Y13" s="395">
        <f>+W13</f>
        <v>1.2999999999999999E-2</v>
      </c>
      <c r="Z13" s="395">
        <f>+Y13</f>
        <v>1.2999999999999999E-2</v>
      </c>
      <c r="AA13" s="395">
        <f>+X13</f>
        <v>1.06E-2</v>
      </c>
      <c r="AB13" s="395">
        <f>+Z13</f>
        <v>1.2999999999999999E-2</v>
      </c>
      <c r="AC13" s="395">
        <f>+AA13</f>
        <v>1.06E-2</v>
      </c>
      <c r="AD13" s="395">
        <v>3.1399999999999997E-2</v>
      </c>
      <c r="AE13" s="395">
        <v>1E-3</v>
      </c>
      <c r="AF13" s="395">
        <v>1E-3</v>
      </c>
      <c r="AG13" s="395">
        <v>2.5999999999999999E-3</v>
      </c>
      <c r="AH13" s="395">
        <v>2.5999999999999999E-3</v>
      </c>
      <c r="AI13" s="395">
        <v>2.0000000000000009E-4</v>
      </c>
      <c r="AJ13" s="395">
        <v>2.0000000000000001E-4</v>
      </c>
      <c r="AK13" s="395">
        <v>2.5000000000000005E-3</v>
      </c>
      <c r="AL13" s="395">
        <v>2.5000000000000001E-3</v>
      </c>
      <c r="AM13" s="395">
        <v>5.2999999999999983E-3</v>
      </c>
      <c r="AN13" s="395">
        <v>5.2999999999999983E-3</v>
      </c>
      <c r="AO13" s="395">
        <v>2.3999999999999998E-3</v>
      </c>
      <c r="AP13" s="395">
        <v>2.5000000000000001E-3</v>
      </c>
      <c r="AQ13" s="395">
        <v>2.3999999999999998E-3</v>
      </c>
      <c r="AR13" s="395">
        <v>2.3999999999999998E-3</v>
      </c>
      <c r="AS13" s="395">
        <v>5.5999999999999999E-3</v>
      </c>
      <c r="AT13" s="395">
        <v>5.5999999999999973E-3</v>
      </c>
      <c r="AU13" s="395">
        <v>3.0999999999999999E-3</v>
      </c>
      <c r="AV13" s="395">
        <v>3.8000000000000013E-3</v>
      </c>
      <c r="AW13" s="395">
        <v>3.7000000000000002E-3</v>
      </c>
      <c r="AX13" s="395">
        <v>2.8999999999999998E-3</v>
      </c>
      <c r="AY13" s="395">
        <v>3.0000000000000001E-3</v>
      </c>
      <c r="AZ13" s="395">
        <v>3.2000000000000002E-3</v>
      </c>
      <c r="BA13" s="395">
        <v>3.2000000000000002E-3</v>
      </c>
      <c r="BB13" s="395">
        <v>3.3E-3</v>
      </c>
      <c r="BC13" s="395">
        <f>+AE13+AG13+AI13+AK13+AM13+AO13+AQ13+AS13+AU13+AW13+AY13+BA13</f>
        <v>3.5000000000000003E-2</v>
      </c>
      <c r="BD13" s="395">
        <f>+AE13+AG13+AI13+AK13+AM13+AO13+AQ13+AS13+AU13+AW13+AY13+BA13</f>
        <v>3.5000000000000003E-2</v>
      </c>
      <c r="BE13" s="395">
        <f>+AF13+AH13+AJ13+AL13+AN13+AP13+AR13+AT13+AV13+AX13+AZ13+BB13</f>
        <v>3.5299999999999998E-2</v>
      </c>
      <c r="BF13" s="395">
        <f>AE13+AG13+AI13+AK13+AM13+AO13+AQ13+AS13+AU13+AW13+AY13+BA13</f>
        <v>3.5000000000000003E-2</v>
      </c>
      <c r="BG13" s="395">
        <f>AF13+AH13+AJ13+AL13+AN13+AP13+AR13+AT13+AV13+AX13+AZ13+BB13</f>
        <v>3.5299999999999998E-2</v>
      </c>
      <c r="BH13" s="395">
        <v>4.0399999999999998E-2</v>
      </c>
      <c r="BI13" s="395">
        <v>1.2999999999999999E-3</v>
      </c>
      <c r="BJ13" s="395">
        <v>1.2999999999999999E-3</v>
      </c>
      <c r="BK13" s="395">
        <v>3.0000000000000001E-3</v>
      </c>
      <c r="BL13" s="395">
        <v>2.2000000000000001E-3</v>
      </c>
      <c r="BM13" s="395">
        <v>3.5000000000000001E-3</v>
      </c>
      <c r="BN13" s="395">
        <v>3.8999999999999998E-3</v>
      </c>
      <c r="BO13" s="395">
        <v>3.8E-3</v>
      </c>
      <c r="BP13" s="395">
        <v>4.3E-3</v>
      </c>
      <c r="BQ13" s="395">
        <v>3.8E-3</v>
      </c>
      <c r="BR13" s="395">
        <v>4.7000000000000002E-3</v>
      </c>
      <c r="BS13" s="395">
        <v>4.1999999999999997E-3</v>
      </c>
      <c r="BT13" s="395">
        <v>4.4000000000000003E-3</v>
      </c>
      <c r="BU13" s="395">
        <v>3.8999999999999998E-3</v>
      </c>
      <c r="BV13" s="395">
        <v>4.4000000000000003E-3</v>
      </c>
      <c r="BW13" s="395">
        <v>3.8999999999999998E-3</v>
      </c>
      <c r="BX13" s="395">
        <v>4.7000000000000028E-3</v>
      </c>
      <c r="BY13" s="395">
        <v>3.8999999999999998E-3</v>
      </c>
      <c r="BZ13" s="395">
        <v>5.4000000000000003E-3</v>
      </c>
      <c r="CA13" s="395">
        <v>3.3E-3</v>
      </c>
      <c r="CB13" s="395">
        <v>4.1000000000000003E-3</v>
      </c>
      <c r="CC13" s="395">
        <v>3.3E-3</v>
      </c>
      <c r="CD13" s="395">
        <v>6.1999999999999972E-3</v>
      </c>
      <c r="CE13" s="395">
        <v>1.43E-2</v>
      </c>
      <c r="CF13" s="395">
        <v>5.1999999999999998E-3</v>
      </c>
      <c r="CG13" s="395">
        <v>5.2199999999999996E-2</v>
      </c>
      <c r="CH13" s="395">
        <v>5.2199999999999996E-2</v>
      </c>
      <c r="CI13" s="395">
        <v>5.0799999999999998E-2</v>
      </c>
      <c r="CJ13" s="395">
        <v>5.2199999999999996E-2</v>
      </c>
      <c r="CK13" s="395">
        <v>5.0799999999999998E-2</v>
      </c>
      <c r="CL13" s="395">
        <v>3.85E-2</v>
      </c>
      <c r="CM13" s="394">
        <v>3.0999999999999999E-3</v>
      </c>
      <c r="CN13" s="394">
        <v>3.0999999999999999E-3</v>
      </c>
      <c r="CO13" s="394">
        <v>4.0000000000000001E-3</v>
      </c>
      <c r="CP13" s="394">
        <v>4.0000000000000001E-3</v>
      </c>
      <c r="CQ13" s="394">
        <v>3.8999999999999998E-3</v>
      </c>
      <c r="CR13" s="394">
        <v>3.8999999999999998E-3</v>
      </c>
      <c r="CS13" s="394">
        <v>3.3E-3</v>
      </c>
      <c r="CT13" s="394">
        <v>3.3999999999999998E-3</v>
      </c>
      <c r="CU13" s="394">
        <v>3.3E-3</v>
      </c>
      <c r="CV13" s="394">
        <v>3.3E-3</v>
      </c>
      <c r="CW13" s="394">
        <v>3.3E-3</v>
      </c>
      <c r="CX13" s="394">
        <v>3.3E-3</v>
      </c>
      <c r="CY13" s="394">
        <v>3.3E-3</v>
      </c>
      <c r="CZ13" s="394">
        <v>3.3E-3</v>
      </c>
      <c r="DA13" s="394">
        <v>3.3E-3</v>
      </c>
      <c r="DB13" s="394">
        <v>3.599999999999999E-3</v>
      </c>
      <c r="DC13" s="394">
        <v>3.3E-3</v>
      </c>
      <c r="DD13" s="394">
        <v>3.3000000000000008E-3</v>
      </c>
      <c r="DE13" s="394">
        <v>3.3E-3</v>
      </c>
      <c r="DF13" s="394">
        <v>3.3999999999999998E-3</v>
      </c>
      <c r="DG13" s="394">
        <v>3.3E-3</v>
      </c>
      <c r="DH13" s="394">
        <v>3.7999999999999978E-3</v>
      </c>
      <c r="DI13" s="394">
        <v>5.1000000000000004E-3</v>
      </c>
      <c r="DJ13" s="394">
        <v>4.1000000000000003E-3</v>
      </c>
      <c r="DK13" s="395">
        <f>+CM13+CO13+CQ13+CS13+CU13+CW13+CY13+DA13+DC13+DE13+DG13+DI13</f>
        <v>4.2500000000000003E-2</v>
      </c>
      <c r="DL13" s="395">
        <f>+CM13+CO13+CQ13+CS13+CU13+CW13+CY13+DA13+DC13+DE13+DG13</f>
        <v>3.7400000000000003E-2</v>
      </c>
      <c r="DM13" s="395">
        <f>+CN13+CP13+CR13+CT13+CV13+CX13+CZ13+DB13+DD13+DF13+DH13+DJ13</f>
        <v>4.2499999999999996E-2</v>
      </c>
      <c r="DN13" s="395">
        <f>+CM13+CO13+CQ13+CS13+CU13+CW13+CY13+DA13+DC13+DE13+DG13+DI13</f>
        <v>4.2500000000000003E-2</v>
      </c>
      <c r="DO13" s="395">
        <f>+CN13+CP13+CR13+CT13+CV13+CX13+CZ13+DB13+DD13+DF13+DH13+DJ13</f>
        <v>4.2499999999999996E-2</v>
      </c>
      <c r="DP13" s="395">
        <f>15%-AC13-BG13-CK13-DO13</f>
        <v>1.0800000000000004E-2</v>
      </c>
      <c r="DQ13" s="395">
        <v>1E-3</v>
      </c>
      <c r="DR13" s="395">
        <v>1E-3</v>
      </c>
      <c r="DS13" s="395">
        <v>1.8E-3</v>
      </c>
      <c r="DT13" s="395">
        <v>1.8E-3</v>
      </c>
      <c r="DU13" s="395">
        <v>2E-3</v>
      </c>
      <c r="DV13" s="395">
        <v>2.0999999999999999E-3</v>
      </c>
      <c r="DW13" s="395">
        <v>3.0000000000000001E-3</v>
      </c>
      <c r="DX13" s="541">
        <v>1.5E-3</v>
      </c>
      <c r="DY13" s="395">
        <v>3.0000000000000001E-3</v>
      </c>
      <c r="DZ13" s="395">
        <v>4.4000000000000003E-3</v>
      </c>
      <c r="EA13" s="395"/>
      <c r="EB13" s="395"/>
      <c r="EC13" s="395"/>
      <c r="ED13" s="395"/>
      <c r="EE13" s="395"/>
      <c r="EF13" s="395"/>
      <c r="EG13" s="395"/>
      <c r="EH13" s="395"/>
      <c r="EI13" s="395"/>
      <c r="EJ13" s="395"/>
      <c r="EK13" s="395"/>
      <c r="EL13" s="395"/>
      <c r="EM13" s="395"/>
      <c r="EN13" s="395"/>
      <c r="EO13" s="395">
        <f>+DQ13+DS13+DU13+DW13+DY13</f>
        <v>1.0800000000000001E-2</v>
      </c>
      <c r="EP13" s="403">
        <f>+DQ13+DS13+DU13+DW13+DY13</f>
        <v>1.0800000000000001E-2</v>
      </c>
      <c r="EQ13" s="403">
        <f>DR13+DT13+DV13+DX13+DZ13</f>
        <v>1.0800000000000001E-2</v>
      </c>
      <c r="ER13" s="403">
        <f>+DQ13+DS13+DU13+DW13+DY13</f>
        <v>1.0800000000000001E-2</v>
      </c>
      <c r="ES13" s="403">
        <f>DR13+DT13+DV13+DX13+DZ13</f>
        <v>1.0800000000000001E-2</v>
      </c>
      <c r="ET13" s="395">
        <f>DZ13/DY13</f>
        <v>1.4666666666666668</v>
      </c>
      <c r="EU13" s="395">
        <f>EQ13/EP13</f>
        <v>1</v>
      </c>
      <c r="EV13" s="395">
        <f>+ES13/ER13</f>
        <v>1</v>
      </c>
      <c r="EW13" s="395">
        <f>(AC13+BG13+CK13+DO13+EQ13)/(AB13+BF13+CJ13+DN13+EP13)</f>
        <v>0.9771986970684039</v>
      </c>
      <c r="EX13" s="395">
        <f>+(AC13+BG13+CK13+DO13+ES13)/I13</f>
        <v>1</v>
      </c>
      <c r="EY13" s="542" t="s">
        <v>444</v>
      </c>
      <c r="EZ13" s="543" t="s">
        <v>81</v>
      </c>
      <c r="FA13" s="543" t="s">
        <v>81</v>
      </c>
      <c r="FB13" s="544" t="s">
        <v>447</v>
      </c>
      <c r="FC13" s="543" t="s">
        <v>360</v>
      </c>
      <c r="FE13" s="428"/>
      <c r="FF13" s="520"/>
      <c r="FG13" s="520"/>
      <c r="FH13" s="520"/>
      <c r="FI13" s="520"/>
    </row>
    <row r="14" spans="1:165" s="6" customFormat="1" ht="156" customHeight="1" x14ac:dyDescent="0.25">
      <c r="A14" s="539">
        <v>2</v>
      </c>
      <c r="B14" s="539">
        <v>33</v>
      </c>
      <c r="C14" s="539">
        <v>239</v>
      </c>
      <c r="D14" s="540" t="s">
        <v>79</v>
      </c>
      <c r="E14" s="539">
        <v>255</v>
      </c>
      <c r="F14" s="540" t="s">
        <v>80</v>
      </c>
      <c r="G14" s="539" t="s">
        <v>77</v>
      </c>
      <c r="H14" s="539" t="s">
        <v>78</v>
      </c>
      <c r="I14" s="395">
        <f>+AC14+BG14+CK14+DO14+DP14</f>
        <v>0.14999999999999997</v>
      </c>
      <c r="J14" s="402">
        <v>1.2E-2</v>
      </c>
      <c r="K14" s="402"/>
      <c r="L14" s="402"/>
      <c r="M14" s="402">
        <v>1.2E-2</v>
      </c>
      <c r="N14" s="395">
        <v>1.8E-3</v>
      </c>
      <c r="O14" s="402">
        <v>1.2E-2</v>
      </c>
      <c r="P14" s="395">
        <v>2.0999999999999999E-3</v>
      </c>
      <c r="Q14" s="402">
        <v>1.2E-2</v>
      </c>
      <c r="R14" s="395">
        <v>4.4999999999999997E-3</v>
      </c>
      <c r="S14" s="402">
        <v>1.2E-2</v>
      </c>
      <c r="T14" s="395">
        <v>8.3999999999999995E-3</v>
      </c>
      <c r="U14" s="402">
        <v>1.2E-2</v>
      </c>
      <c r="V14" s="395">
        <v>1.1599999999999999E-2</v>
      </c>
      <c r="W14" s="402">
        <v>1.4999999999999999E-2</v>
      </c>
      <c r="X14" s="402">
        <v>1.6899999999999998E-2</v>
      </c>
      <c r="Y14" s="395">
        <f>+W14</f>
        <v>1.4999999999999999E-2</v>
      </c>
      <c r="Z14" s="395">
        <f>+Y14</f>
        <v>1.4999999999999999E-2</v>
      </c>
      <c r="AA14" s="395">
        <f>+X14</f>
        <v>1.6899999999999998E-2</v>
      </c>
      <c r="AB14" s="395">
        <f>+Z14</f>
        <v>1.4999999999999999E-2</v>
      </c>
      <c r="AC14" s="395">
        <f>+AA14</f>
        <v>1.6899999999999998E-2</v>
      </c>
      <c r="AD14" s="402">
        <v>0.02</v>
      </c>
      <c r="AE14" s="402">
        <v>0</v>
      </c>
      <c r="AF14" s="402">
        <v>0</v>
      </c>
      <c r="AG14" s="395">
        <v>2.7000000000000001E-3</v>
      </c>
      <c r="AH14" s="395">
        <v>2.7000000000000001E-3</v>
      </c>
      <c r="AI14" s="395">
        <v>1.0999999999999998E-3</v>
      </c>
      <c r="AJ14" s="395">
        <v>1.0999999999999998E-3</v>
      </c>
      <c r="AK14" s="395">
        <v>2.7999999999999995E-3</v>
      </c>
      <c r="AL14" s="395">
        <v>2.8E-3</v>
      </c>
      <c r="AM14" s="404">
        <v>3.0999999999999999E-3</v>
      </c>
      <c r="AN14" s="404">
        <v>3.0999999999999999E-3</v>
      </c>
      <c r="AO14" s="404">
        <v>1.9E-3</v>
      </c>
      <c r="AP14" s="404">
        <v>3.9000000000000007E-3</v>
      </c>
      <c r="AQ14" s="404">
        <v>1.9E-3</v>
      </c>
      <c r="AR14" s="404">
        <v>2E-3</v>
      </c>
      <c r="AS14" s="404">
        <v>1.9E-3</v>
      </c>
      <c r="AT14" s="404">
        <v>2.5000000000000005E-3</v>
      </c>
      <c r="AU14" s="404">
        <v>4.6999999999999958E-3</v>
      </c>
      <c r="AV14" s="404">
        <f>2.01%-1.81%</f>
        <v>1.9999999999999948E-3</v>
      </c>
      <c r="AW14" s="404">
        <v>1.6999999999999999E-3</v>
      </c>
      <c r="AX14" s="404">
        <v>1.8E-3</v>
      </c>
      <c r="AY14" s="404">
        <v>1.6999999999999999E-3</v>
      </c>
      <c r="AZ14" s="404">
        <v>1.8E-3</v>
      </c>
      <c r="BA14" s="404">
        <v>2.9999999999999997E-4</v>
      </c>
      <c r="BB14" s="404">
        <v>1.2999999999999999E-3</v>
      </c>
      <c r="BC14" s="395">
        <f>+AE14+AG14+AI14+AK14+AM14+AO14+AQ14+AS14+AU14+AW14+AY14+BA14</f>
        <v>2.3800000000000002E-2</v>
      </c>
      <c r="BD14" s="395">
        <f>+AE14+AG14+AI14+AK14+AM14+AO14+AQ14+AS14+AU14+AW14+AY14+BA14</f>
        <v>2.3800000000000002E-2</v>
      </c>
      <c r="BE14" s="395">
        <f>+AF14+AH14+AJ14+AL14+AN14+AP14+AR14+AT14+AV14+AX14+AZ14+BB14</f>
        <v>2.4999999999999994E-2</v>
      </c>
      <c r="BF14" s="395">
        <f>AE14+AG14+AI14+AK14+AM14+AO14+AQ14+AS14+AU14+AW14+AY14+BA14</f>
        <v>2.3800000000000002E-2</v>
      </c>
      <c r="BG14" s="395">
        <f>AF14+AH14+AJ14+AL14+AN14+AP14+AR14+AT14+AV14+AX14+AZ14+BB14</f>
        <v>2.4999999999999994E-2</v>
      </c>
      <c r="BH14" s="395">
        <v>4.9399999999999999E-2</v>
      </c>
      <c r="BI14" s="395">
        <v>6.9999999999999999E-4</v>
      </c>
      <c r="BJ14" s="395">
        <v>6.9999999999999999E-4</v>
      </c>
      <c r="BK14" s="395">
        <v>3.0999999999999999E-3</v>
      </c>
      <c r="BL14" s="395">
        <v>3.2000000000000002E-3</v>
      </c>
      <c r="BM14" s="395">
        <v>3.7000000000000002E-3</v>
      </c>
      <c r="BN14" s="395">
        <v>3.7000000000000002E-3</v>
      </c>
      <c r="BO14" s="395">
        <v>4.7000000000000002E-3</v>
      </c>
      <c r="BP14" s="395">
        <v>5.0000000000000001E-3</v>
      </c>
      <c r="BQ14" s="395">
        <v>4.7000000000000002E-3</v>
      </c>
      <c r="BR14" s="395">
        <v>5.0000000000000001E-3</v>
      </c>
      <c r="BS14" s="395">
        <v>5.0000000000000001E-3</v>
      </c>
      <c r="BT14" s="395">
        <v>4.4999999999999997E-3</v>
      </c>
      <c r="BU14" s="395">
        <v>4.7000000000000002E-3</v>
      </c>
      <c r="BV14" s="395">
        <v>5.3E-3</v>
      </c>
      <c r="BW14" s="395">
        <v>4.7000000000000002E-3</v>
      </c>
      <c r="BX14" s="395">
        <v>5.1999999999999963E-3</v>
      </c>
      <c r="BY14" s="395">
        <v>5.0000000000000001E-3</v>
      </c>
      <c r="BZ14" s="395">
        <v>4.8999999999999998E-3</v>
      </c>
      <c r="CA14" s="395">
        <v>4.7000000000000002E-3</v>
      </c>
      <c r="CB14" s="395">
        <v>5.4000000000000003E-3</v>
      </c>
      <c r="CC14" s="395">
        <v>4.7000000000000002E-3</v>
      </c>
      <c r="CD14" s="395">
        <v>5.1000000000000004E-3</v>
      </c>
      <c r="CE14" s="395">
        <v>8.6999999999999994E-3</v>
      </c>
      <c r="CF14" s="395">
        <v>5.3E-3</v>
      </c>
      <c r="CG14" s="395">
        <v>5.4400000000000004E-2</v>
      </c>
      <c r="CH14" s="395">
        <v>5.4400000000000004E-2</v>
      </c>
      <c r="CI14" s="395">
        <v>5.33E-2</v>
      </c>
      <c r="CJ14" s="395">
        <v>5.4400000000000004E-2</v>
      </c>
      <c r="CK14" s="395">
        <v>5.33E-2</v>
      </c>
      <c r="CL14" s="395">
        <v>3.7600000000000001E-2</v>
      </c>
      <c r="CM14" s="394">
        <v>3.8999999999999998E-3</v>
      </c>
      <c r="CN14" s="394">
        <v>3.8999999999999998E-3</v>
      </c>
      <c r="CO14" s="394">
        <v>2.5000000000000001E-3</v>
      </c>
      <c r="CP14" s="394">
        <v>2.5000000000000001E-3</v>
      </c>
      <c r="CQ14" s="394">
        <v>2.7000000000000001E-3</v>
      </c>
      <c r="CR14" s="394">
        <v>2.7000000000000001E-3</v>
      </c>
      <c r="CS14" s="394">
        <v>2.8E-3</v>
      </c>
      <c r="CT14" s="394">
        <v>3.5000000000000001E-3</v>
      </c>
      <c r="CU14" s="394">
        <v>3.0999999999999999E-3</v>
      </c>
      <c r="CV14" s="394">
        <v>3.2000000000000002E-3</v>
      </c>
      <c r="CW14" s="394">
        <v>3.3999999999999998E-3</v>
      </c>
      <c r="CX14" s="394">
        <v>3.5000000000000001E-3</v>
      </c>
      <c r="CY14" s="394">
        <v>3.3999999999999998E-3</v>
      </c>
      <c r="CZ14" s="394">
        <v>3.5999999999999999E-3</v>
      </c>
      <c r="DA14" s="394">
        <v>3.3999999999999998E-3</v>
      </c>
      <c r="DB14" s="394">
        <v>3.9000000000000007E-3</v>
      </c>
      <c r="DC14" s="394">
        <v>3.3999999999999998E-3</v>
      </c>
      <c r="DD14" s="394">
        <v>4.4000000000000011E-3</v>
      </c>
      <c r="DE14" s="394">
        <v>3.3999999999999998E-3</v>
      </c>
      <c r="DF14" s="394">
        <v>4.1999999999999997E-3</v>
      </c>
      <c r="DG14" s="394">
        <f>3.85%-3.2%</f>
        <v>6.4999999999999988E-3</v>
      </c>
      <c r="DH14" s="394">
        <f>3.85%-3.54%</f>
        <v>3.0999999999999986E-3</v>
      </c>
      <c r="DI14" s="394">
        <v>6.1000000000000013E-3</v>
      </c>
      <c r="DJ14" s="394">
        <v>6.1000000000000013E-3</v>
      </c>
      <c r="DK14" s="395">
        <f>+CM14+CO14+CQ14+CS14+CU14+CW14+CY14+DA14+DC14+DE14+DG14+DI14</f>
        <v>4.4600000000000001E-2</v>
      </c>
      <c r="DL14" s="395">
        <f>+CM14+CO14+CQ14+CS14+CU14+CW14+CY14+DA14+DC14+DE14+DG14</f>
        <v>3.85E-2</v>
      </c>
      <c r="DM14" s="395">
        <f>+CN14+CP14+CR14+CT14+CV14+CX14+CZ14+DB14+DD14+DF14+DH14+DJ14</f>
        <v>4.4600000000000001E-2</v>
      </c>
      <c r="DN14" s="395">
        <f>+CM14+CO14+CQ14+CS14+CU14+CW14+CY14+DA14+DC14+DE14+DG14+DI14</f>
        <v>4.4600000000000001E-2</v>
      </c>
      <c r="DO14" s="395">
        <f>+CN14+CP14+CR14+CT14+CV14+CX14+CZ14+DB14+DD14+DF14+DH14+DJ14</f>
        <v>4.4600000000000001E-2</v>
      </c>
      <c r="DP14" s="395">
        <f>15%-AC14-BG14-CK14-DO14</f>
        <v>1.0200000000000001E-2</v>
      </c>
      <c r="DQ14" s="395">
        <v>1E-3</v>
      </c>
      <c r="DR14" s="395">
        <v>1E-3</v>
      </c>
      <c r="DS14" s="395">
        <v>1.1999999999999999E-3</v>
      </c>
      <c r="DT14" s="395">
        <v>5.9999999999999995E-4</v>
      </c>
      <c r="DU14" s="395">
        <v>2E-3</v>
      </c>
      <c r="DV14" s="395">
        <v>1.6000000000000001E-3</v>
      </c>
      <c r="DW14" s="395">
        <v>3.0000000000000001E-3</v>
      </c>
      <c r="DX14" s="541">
        <v>1.4E-3</v>
      </c>
      <c r="DY14" s="395">
        <v>3.0000000000000001E-3</v>
      </c>
      <c r="DZ14" s="395">
        <v>3.5000000000000001E-3</v>
      </c>
      <c r="EA14" s="395"/>
      <c r="EB14" s="395"/>
      <c r="EC14" s="395"/>
      <c r="ED14" s="395"/>
      <c r="EE14" s="395"/>
      <c r="EF14" s="395"/>
      <c r="EG14" s="395"/>
      <c r="EH14" s="395"/>
      <c r="EI14" s="395"/>
      <c r="EJ14" s="395"/>
      <c r="EK14" s="395"/>
      <c r="EL14" s="395"/>
      <c r="EM14" s="395"/>
      <c r="EN14" s="395"/>
      <c r="EO14" s="395">
        <f>+DQ14+DS14+DU14+DW14+DY14</f>
        <v>1.0200000000000001E-2</v>
      </c>
      <c r="EP14" s="403">
        <f>+DQ14+DS14+DU14+DW14+DY14</f>
        <v>1.0200000000000001E-2</v>
      </c>
      <c r="EQ14" s="403">
        <f>DR14+DT14+DV14+DX14+DZ14</f>
        <v>8.0999999999999996E-3</v>
      </c>
      <c r="ER14" s="403">
        <f>+DQ14+DS14+DU14+DW14+DY14</f>
        <v>1.0200000000000001E-2</v>
      </c>
      <c r="ES14" s="403">
        <f>DR14+DT14+DV14+DX14+DZ14</f>
        <v>8.0999999999999996E-3</v>
      </c>
      <c r="ET14" s="395">
        <f>DZ14/DY14</f>
        <v>1.1666666666666667</v>
      </c>
      <c r="EU14" s="395">
        <f>EQ14/EP14</f>
        <v>0.79411764705882348</v>
      </c>
      <c r="EV14" s="395">
        <f>+ES14/ER14</f>
        <v>0.79411764705882348</v>
      </c>
      <c r="EW14" s="395">
        <f>(AC14+BG14+CK14+DO14+EQ14)/(AB14+BF14+CJ14+DN14+EP14)</f>
        <v>0.99932432432432405</v>
      </c>
      <c r="EX14" s="395">
        <f>+(AC14+BG14+CK14+DO14+ES14)/I14</f>
        <v>0.9860000000000001</v>
      </c>
      <c r="EY14" s="545" t="s">
        <v>446</v>
      </c>
      <c r="EZ14" s="543" t="s">
        <v>361</v>
      </c>
      <c r="FA14" s="543" t="s">
        <v>81</v>
      </c>
      <c r="FB14" s="544" t="s">
        <v>448</v>
      </c>
      <c r="FC14" s="543" t="s">
        <v>362</v>
      </c>
      <c r="FD14" s="520"/>
      <c r="FE14" s="428"/>
      <c r="FF14" s="520"/>
      <c r="FG14" s="520"/>
      <c r="FH14" s="520"/>
      <c r="FI14" s="520"/>
    </row>
    <row r="15" spans="1:165" s="6" customFormat="1" ht="33" customHeight="1" x14ac:dyDescent="0.2">
      <c r="A15" s="7"/>
      <c r="B15" s="7"/>
      <c r="C15" s="8"/>
      <c r="D15" s="9"/>
      <c r="F15" s="10"/>
      <c r="G15" s="74"/>
      <c r="H15" s="11"/>
      <c r="I15" s="8"/>
      <c r="J15" s="8"/>
      <c r="K15" s="8"/>
      <c r="L15" s="8"/>
      <c r="M15" s="8"/>
      <c r="N15" s="8"/>
      <c r="O15" s="8"/>
      <c r="P15" s="8"/>
      <c r="Q15" s="8"/>
      <c r="R15" s="8"/>
      <c r="S15" s="8"/>
      <c r="T15" s="8"/>
      <c r="U15" s="8"/>
      <c r="V15" s="12"/>
      <c r="W15" s="8"/>
      <c r="X15" s="12"/>
      <c r="Y15" s="8"/>
      <c r="Z15" s="8"/>
      <c r="AA15" s="8"/>
      <c r="AB15" s="8"/>
      <c r="AC15" s="12"/>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13"/>
      <c r="BD15" s="14"/>
      <c r="BE15" s="15"/>
      <c r="BF15" s="13"/>
      <c r="BG15" s="12"/>
      <c r="BH15" s="16"/>
      <c r="BI15" s="12"/>
      <c r="BJ15" s="12"/>
      <c r="BK15" s="12"/>
      <c r="BL15" s="12"/>
      <c r="BM15" s="12"/>
      <c r="BN15" s="12"/>
      <c r="BO15" s="12"/>
      <c r="BP15" s="12"/>
      <c r="BQ15" s="12"/>
      <c r="BR15" s="12"/>
      <c r="BS15" s="12"/>
      <c r="BT15" s="33"/>
      <c r="BU15" s="12"/>
      <c r="BV15" s="12"/>
      <c r="BW15" s="12"/>
      <c r="BX15" s="12"/>
      <c r="BY15" s="12"/>
      <c r="BZ15" s="12"/>
      <c r="CA15" s="12"/>
      <c r="CB15" s="12"/>
      <c r="CC15" s="12"/>
      <c r="CD15" s="12"/>
      <c r="CE15" s="12"/>
      <c r="CF15" s="12"/>
      <c r="CG15" s="12"/>
      <c r="CH15" s="12"/>
      <c r="CI15" s="12"/>
      <c r="CJ15" s="12"/>
      <c r="CK15" s="12"/>
      <c r="CL15" s="17"/>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75"/>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76"/>
      <c r="EU15" s="76"/>
      <c r="EV15" s="77"/>
      <c r="EW15" s="78"/>
      <c r="EX15" s="78"/>
      <c r="EY15" s="78"/>
      <c r="EZ15" s="79"/>
      <c r="FA15" s="79"/>
      <c r="FB15" s="80"/>
      <c r="FC15" s="81"/>
    </row>
    <row r="16" spans="1:165" ht="26.25" x14ac:dyDescent="0.4">
      <c r="D16" s="82" t="s">
        <v>82</v>
      </c>
      <c r="Y16" s="83"/>
      <c r="Z16" s="84"/>
      <c r="AA16" s="85"/>
      <c r="AC16" s="84"/>
      <c r="AV16" s="86"/>
      <c r="AW16" s="86"/>
      <c r="AX16" s="86"/>
      <c r="AY16" s="86"/>
      <c r="AZ16" s="86"/>
      <c r="BA16" s="86"/>
      <c r="BB16" s="86"/>
      <c r="BC16" s="86"/>
      <c r="BD16" s="86"/>
      <c r="BE16" s="86"/>
      <c r="BF16" s="86"/>
      <c r="BG16" s="86"/>
      <c r="BT16" s="75"/>
      <c r="CG16" s="75"/>
      <c r="CI16" s="75"/>
      <c r="DY16" s="525"/>
      <c r="DZ16" s="525"/>
      <c r="EZ16" s="87"/>
    </row>
    <row r="17" spans="4:158" ht="32.25" customHeight="1" x14ac:dyDescent="0.25">
      <c r="D17" s="199" t="s">
        <v>83</v>
      </c>
      <c r="E17" s="780" t="s">
        <v>84</v>
      </c>
      <c r="F17" s="780"/>
      <c r="G17" s="780"/>
      <c r="H17" s="780"/>
      <c r="I17" s="780"/>
      <c r="J17" s="780"/>
      <c r="K17" s="781" t="s">
        <v>85</v>
      </c>
      <c r="L17" s="781"/>
      <c r="M17" s="781"/>
      <c r="N17" s="781"/>
      <c r="O17" s="781"/>
      <c r="P17" s="781"/>
      <c r="Q17" s="781"/>
      <c r="R17" s="781"/>
      <c r="S17" s="781"/>
      <c r="Z17" s="84"/>
      <c r="AC17" s="75"/>
      <c r="CG17" s="75"/>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5"/>
      <c r="DL17" s="424"/>
      <c r="DM17" s="425"/>
      <c r="DN17" s="424"/>
      <c r="DO17" s="424"/>
      <c r="DP17" s="424"/>
      <c r="DQ17" s="424"/>
      <c r="DR17" s="424"/>
      <c r="DS17" s="424"/>
      <c r="DT17" s="424"/>
      <c r="DU17" s="424"/>
      <c r="DV17" s="424"/>
      <c r="DW17" s="424"/>
      <c r="DX17" s="424"/>
      <c r="DY17" s="525"/>
      <c r="DZ17" s="525"/>
      <c r="EA17" s="424"/>
      <c r="EB17" s="424"/>
      <c r="EC17" s="424"/>
      <c r="ED17" s="424"/>
      <c r="EE17" s="424"/>
      <c r="EF17" s="424"/>
      <c r="EG17" s="424"/>
      <c r="EH17" s="424"/>
      <c r="EI17" s="424"/>
      <c r="EJ17" s="424"/>
      <c r="EK17" s="424"/>
      <c r="EL17" s="424"/>
      <c r="EM17" s="424"/>
      <c r="EN17" s="424"/>
      <c r="EO17" s="424"/>
      <c r="EP17" s="521"/>
      <c r="EQ17" s="521"/>
      <c r="ER17" s="521"/>
      <c r="ES17" s="522"/>
      <c r="ET17" s="523"/>
      <c r="EU17" s="523"/>
      <c r="EV17" s="523"/>
      <c r="EW17" s="523"/>
      <c r="FB17" s="88"/>
    </row>
    <row r="18" spans="4:158" ht="22.5" customHeight="1" x14ac:dyDescent="0.2">
      <c r="D18" s="89">
        <v>13</v>
      </c>
      <c r="E18" s="776" t="s">
        <v>86</v>
      </c>
      <c r="F18" s="776"/>
      <c r="G18" s="776"/>
      <c r="H18" s="776"/>
      <c r="I18" s="776"/>
      <c r="J18" s="776"/>
      <c r="K18" s="777" t="s">
        <v>87</v>
      </c>
      <c r="L18" s="777"/>
      <c r="M18" s="777"/>
      <c r="N18" s="777"/>
      <c r="O18" s="777"/>
      <c r="P18" s="777"/>
      <c r="Q18" s="777"/>
      <c r="R18" s="777"/>
      <c r="S18" s="777"/>
      <c r="Y18" s="782"/>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CK18" s="425">
        <f>+AB13+BF13+CJ13+DN13+EP13</f>
        <v>0.1535</v>
      </c>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f>+CK18/CK19</f>
        <v>1.0233333333333334</v>
      </c>
      <c r="DO18" s="424"/>
      <c r="DP18" s="424"/>
      <c r="DQ18" s="425">
        <f>+AC14+BG14+CK14+ES14+DO14</f>
        <v>0.14789999999999998</v>
      </c>
      <c r="DR18" s="427">
        <f>+DQ18/DQ19</f>
        <v>0.99932432432432405</v>
      </c>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521"/>
      <c r="EQ18" s="521"/>
      <c r="ER18" s="521"/>
      <c r="ES18" s="524"/>
      <c r="ET18" s="523"/>
      <c r="EU18" s="523"/>
      <c r="EV18" s="523"/>
      <c r="EW18" s="523"/>
    </row>
    <row r="19" spans="4:158" ht="26.25" customHeight="1" x14ac:dyDescent="0.2">
      <c r="D19" s="89">
        <v>14</v>
      </c>
      <c r="E19" s="776" t="s">
        <v>88</v>
      </c>
      <c r="F19" s="776"/>
      <c r="G19" s="776"/>
      <c r="H19" s="776"/>
      <c r="I19" s="776"/>
      <c r="J19" s="776"/>
      <c r="K19" s="777" t="s">
        <v>89</v>
      </c>
      <c r="L19" s="777"/>
      <c r="M19" s="777"/>
      <c r="N19" s="777"/>
      <c r="O19" s="777"/>
      <c r="P19" s="777"/>
      <c r="Q19" s="777"/>
      <c r="R19" s="777"/>
      <c r="S19" s="777"/>
      <c r="CK19" s="425">
        <f>+AC13+BG13+CK13+DO13+EQ13</f>
        <v>0.15</v>
      </c>
      <c r="CL19" s="424"/>
      <c r="CM19" s="424"/>
      <c r="CN19" s="424"/>
      <c r="CO19" s="424"/>
      <c r="CP19" s="424"/>
      <c r="CQ19" s="424"/>
      <c r="CR19" s="424"/>
      <c r="CS19" s="424"/>
      <c r="CT19" s="424"/>
      <c r="CU19" s="424"/>
      <c r="CV19" s="424"/>
      <c r="CW19" s="424"/>
      <c r="CX19" s="424"/>
      <c r="CY19" s="424"/>
      <c r="CZ19" s="424"/>
      <c r="DA19" s="424"/>
      <c r="DB19" s="424"/>
      <c r="DC19" s="424"/>
      <c r="DD19" s="424"/>
      <c r="DE19" s="424"/>
      <c r="DF19" s="424"/>
      <c r="DG19" s="424"/>
      <c r="DH19" s="424"/>
      <c r="DI19" s="424"/>
      <c r="DJ19" s="424"/>
      <c r="DK19" s="424"/>
      <c r="DL19" s="424"/>
      <c r="DM19" s="424"/>
      <c r="DN19" s="424"/>
      <c r="DO19" s="424"/>
      <c r="DP19" s="427">
        <f>+CK19/CK18</f>
        <v>0.9771986970684039</v>
      </c>
      <c r="DQ19" s="425">
        <f>+AB14+BF14+CJ14+DN14+ER14</f>
        <v>0.14800000000000002</v>
      </c>
      <c r="DR19" s="424"/>
      <c r="DS19" s="424"/>
      <c r="DT19" s="424"/>
      <c r="DU19" s="424"/>
      <c r="DV19" s="424"/>
      <c r="DW19" s="424"/>
      <c r="DX19" s="424"/>
      <c r="DY19" s="424"/>
      <c r="DZ19" s="424"/>
      <c r="EA19" s="424"/>
      <c r="EB19" s="424"/>
      <c r="EC19" s="424"/>
      <c r="ED19" s="424"/>
      <c r="EE19" s="424"/>
      <c r="EF19" s="424"/>
      <c r="EG19" s="424"/>
      <c r="EH19" s="424"/>
      <c r="EI19" s="424"/>
      <c r="EJ19" s="424"/>
      <c r="EK19" s="424"/>
      <c r="EL19" s="424"/>
      <c r="EM19" s="424"/>
      <c r="EN19" s="424"/>
      <c r="EO19" s="424"/>
      <c r="EP19" s="521"/>
      <c r="EQ19" s="521"/>
      <c r="ER19" s="521"/>
      <c r="ES19" s="521"/>
      <c r="ET19" s="523"/>
      <c r="EU19" s="523"/>
      <c r="EV19" s="523"/>
      <c r="EW19" s="523"/>
    </row>
    <row r="20" spans="4:158" x14ac:dyDescent="0.2">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4"/>
      <c r="DJ20" s="424"/>
      <c r="DK20" s="424"/>
      <c r="DL20" s="424"/>
      <c r="DM20" s="424"/>
      <c r="DN20" s="424"/>
      <c r="DO20" s="424"/>
      <c r="DP20" s="424"/>
      <c r="DQ20" s="424"/>
      <c r="DR20" s="424"/>
      <c r="DS20" s="424"/>
      <c r="DT20" s="424"/>
      <c r="DU20" s="424"/>
      <c r="DV20" s="424"/>
      <c r="DW20" s="424"/>
      <c r="DX20" s="424"/>
      <c r="DY20" s="424"/>
      <c r="DZ20" s="424"/>
      <c r="EA20" s="424"/>
      <c r="EB20" s="424"/>
      <c r="EC20" s="424"/>
      <c r="ED20" s="424"/>
      <c r="EE20" s="424"/>
      <c r="EF20" s="424"/>
      <c r="EG20" s="424"/>
      <c r="EH20" s="424"/>
      <c r="EI20" s="424"/>
      <c r="EJ20" s="424"/>
      <c r="EK20" s="424"/>
      <c r="EL20" s="424"/>
      <c r="EM20" s="424"/>
      <c r="EN20" s="424"/>
      <c r="EO20" s="424"/>
      <c r="EP20" s="521"/>
      <c r="EQ20" s="521"/>
      <c r="ER20" s="521"/>
      <c r="ES20" s="521"/>
      <c r="ET20" s="523"/>
      <c r="EU20" s="523"/>
      <c r="EV20" s="523"/>
      <c r="EW20" s="523"/>
    </row>
    <row r="21" spans="4:158" x14ac:dyDescent="0.2">
      <c r="AV21" s="84"/>
      <c r="AW21" s="84"/>
      <c r="AX21" s="84"/>
      <c r="AY21" s="84"/>
      <c r="AZ21" s="84"/>
      <c r="BA21" s="84"/>
      <c r="BB21" s="84"/>
      <c r="BC21" s="84"/>
      <c r="BD21" s="84"/>
      <c r="BE21" s="84"/>
      <c r="BF21" s="84"/>
      <c r="BG21" s="8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4"/>
      <c r="DJ21" s="424"/>
      <c r="DK21" s="424"/>
      <c r="DL21" s="424"/>
      <c r="DM21" s="42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424"/>
      <c r="EO21" s="424"/>
      <c r="EP21" s="521"/>
      <c r="EQ21" s="521"/>
      <c r="ER21" s="521"/>
      <c r="ES21" s="521"/>
      <c r="ET21" s="523"/>
      <c r="EU21" s="523"/>
      <c r="EV21" s="523"/>
      <c r="EW21" s="523"/>
    </row>
    <row r="22" spans="4:158" x14ac:dyDescent="0.2">
      <c r="CK22" s="424"/>
      <c r="CL22" s="424"/>
      <c r="CM22" s="424"/>
      <c r="CN22" s="424"/>
      <c r="CO22" s="424"/>
      <c r="CP22" s="424"/>
      <c r="CQ22" s="424"/>
      <c r="CR22" s="424"/>
      <c r="CS22" s="424"/>
      <c r="CT22" s="424"/>
      <c r="CU22" s="424"/>
      <c r="CV22" s="424"/>
      <c r="CW22" s="424"/>
      <c r="CX22" s="424"/>
      <c r="CY22" s="424"/>
      <c r="CZ22" s="424"/>
      <c r="DA22" s="424"/>
      <c r="DB22" s="424"/>
      <c r="DC22" s="424"/>
      <c r="DD22" s="424"/>
      <c r="DE22" s="424"/>
      <c r="DF22" s="424"/>
      <c r="DG22" s="424"/>
      <c r="DH22" s="424"/>
      <c r="DI22" s="424"/>
      <c r="DJ22" s="424"/>
      <c r="DK22" s="424"/>
      <c r="DL22" s="424"/>
      <c r="DM22" s="424"/>
      <c r="DN22" s="424"/>
      <c r="DO22" s="424"/>
      <c r="DP22" s="424"/>
      <c r="DQ22" s="424"/>
      <c r="DR22" s="424"/>
      <c r="DS22" s="424"/>
      <c r="DT22" s="424"/>
      <c r="DU22" s="424"/>
      <c r="DV22" s="424"/>
      <c r="DW22" s="424"/>
      <c r="DX22" s="424"/>
      <c r="DY22" s="424"/>
      <c r="DZ22" s="424"/>
      <c r="EA22" s="424"/>
      <c r="EB22" s="424"/>
      <c r="EC22" s="424"/>
      <c r="ED22" s="424"/>
      <c r="EE22" s="424"/>
      <c r="EF22" s="424"/>
      <c r="EG22" s="424"/>
      <c r="EH22" s="424"/>
      <c r="EI22" s="424"/>
      <c r="EJ22" s="424"/>
      <c r="EK22" s="424"/>
      <c r="EL22" s="424"/>
      <c r="EM22" s="424"/>
      <c r="EN22" s="424"/>
      <c r="EO22" s="424"/>
      <c r="EP22" s="521"/>
      <c r="EQ22" s="521"/>
      <c r="ER22" s="521"/>
      <c r="ES22" s="521"/>
      <c r="ET22" s="523"/>
      <c r="EU22" s="523"/>
      <c r="EV22" s="523"/>
      <c r="EW22" s="523"/>
    </row>
    <row r="23" spans="4:158" x14ac:dyDescent="0.2">
      <c r="CK23" s="424"/>
      <c r="CL23" s="424"/>
      <c r="CM23" s="424"/>
      <c r="CN23" s="424"/>
      <c r="CO23" s="424"/>
      <c r="CP23" s="424"/>
      <c r="CQ23" s="424"/>
      <c r="CR23" s="424"/>
      <c r="CS23" s="424"/>
      <c r="CT23" s="424"/>
      <c r="CU23" s="424"/>
      <c r="CV23" s="424"/>
      <c r="CW23" s="424"/>
      <c r="CX23" s="424"/>
      <c r="CY23" s="424"/>
      <c r="CZ23" s="424"/>
      <c r="DA23" s="424"/>
      <c r="DB23" s="424"/>
      <c r="DC23" s="424"/>
      <c r="DD23" s="424"/>
      <c r="DE23" s="424"/>
      <c r="DF23" s="424"/>
      <c r="DG23" s="424"/>
      <c r="DH23" s="424"/>
      <c r="DI23" s="424"/>
      <c r="DJ23" s="424"/>
      <c r="DK23" s="424"/>
      <c r="DL23" s="424"/>
      <c r="DM23" s="424"/>
      <c r="DN23" s="424"/>
      <c r="DO23" s="424"/>
      <c r="DP23" s="424"/>
      <c r="DQ23" s="424"/>
      <c r="DR23" s="424"/>
      <c r="DS23" s="424"/>
      <c r="DT23" s="424"/>
      <c r="DU23" s="424"/>
      <c r="DV23" s="424"/>
      <c r="DW23" s="424"/>
      <c r="DX23" s="424"/>
      <c r="DY23" s="424"/>
      <c r="DZ23" s="424"/>
      <c r="EA23" s="424"/>
      <c r="EB23" s="424"/>
      <c r="EC23" s="424"/>
      <c r="ED23" s="424"/>
      <c r="EE23" s="424"/>
      <c r="EF23" s="424"/>
      <c r="EG23" s="424"/>
      <c r="EH23" s="424"/>
      <c r="EI23" s="424"/>
      <c r="EJ23" s="424"/>
      <c r="EK23" s="424"/>
      <c r="EL23" s="424"/>
      <c r="EM23" s="424"/>
      <c r="EN23" s="424"/>
      <c r="EO23" s="424"/>
      <c r="EP23" s="521"/>
      <c r="EQ23" s="521"/>
      <c r="ER23" s="521"/>
      <c r="ES23" s="521"/>
      <c r="ET23" s="523"/>
      <c r="EU23" s="523"/>
      <c r="EV23" s="523"/>
      <c r="EW23" s="523"/>
    </row>
    <row r="24" spans="4:158" x14ac:dyDescent="0.2">
      <c r="CK24" s="424"/>
      <c r="CL24" s="424"/>
      <c r="CM24" s="424"/>
      <c r="CN24" s="424"/>
      <c r="CO24" s="424"/>
      <c r="CP24" s="424"/>
      <c r="CQ24" s="424"/>
      <c r="CR24" s="424"/>
      <c r="CS24" s="424"/>
      <c r="CT24" s="424"/>
      <c r="CU24" s="424"/>
      <c r="CV24" s="424"/>
      <c r="CW24" s="424"/>
      <c r="CX24" s="424"/>
      <c r="CY24" s="424"/>
      <c r="CZ24" s="424"/>
      <c r="DA24" s="424"/>
      <c r="DB24" s="424"/>
      <c r="DC24" s="424"/>
      <c r="DD24" s="424"/>
      <c r="DE24" s="424"/>
      <c r="DF24" s="424"/>
      <c r="DG24" s="424"/>
      <c r="DH24" s="424"/>
      <c r="DI24" s="424"/>
      <c r="DJ24" s="424"/>
      <c r="DK24" s="424"/>
      <c r="DL24" s="424"/>
      <c r="DM24" s="424"/>
      <c r="DN24" s="424"/>
      <c r="DO24" s="424"/>
      <c r="DP24" s="424"/>
      <c r="DQ24" s="424"/>
      <c r="DR24" s="424"/>
      <c r="DS24" s="424"/>
      <c r="DT24" s="424"/>
      <c r="DU24" s="424"/>
      <c r="DV24" s="424"/>
      <c r="DW24" s="424"/>
      <c r="DX24" s="424"/>
      <c r="DY24" s="424"/>
      <c r="DZ24" s="424"/>
      <c r="EA24" s="424"/>
      <c r="EB24" s="424"/>
      <c r="EC24" s="424"/>
      <c r="ED24" s="424"/>
      <c r="EE24" s="424"/>
      <c r="EF24" s="424"/>
      <c r="EG24" s="424"/>
      <c r="EH24" s="424"/>
      <c r="EI24" s="424"/>
      <c r="EJ24" s="424"/>
      <c r="EK24" s="424"/>
      <c r="EL24" s="424"/>
      <c r="EM24" s="424"/>
      <c r="EN24" s="424"/>
      <c r="EO24" s="424"/>
      <c r="EP24" s="521"/>
      <c r="EQ24" s="521"/>
      <c r="ER24" s="521"/>
      <c r="ES24" s="521"/>
      <c r="ET24" s="523"/>
      <c r="EU24" s="523"/>
      <c r="EV24" s="523"/>
      <c r="EW24" s="523"/>
    </row>
    <row r="25" spans="4:158" x14ac:dyDescent="0.2">
      <c r="AC25" s="86"/>
      <c r="CK25" s="424"/>
      <c r="CL25" s="424"/>
      <c r="CM25" s="424"/>
      <c r="CN25" s="424"/>
      <c r="CO25" s="424"/>
      <c r="CP25" s="424"/>
      <c r="CQ25" s="424"/>
      <c r="CR25" s="424"/>
      <c r="CS25" s="424"/>
      <c r="CT25" s="424"/>
      <c r="CU25" s="424"/>
      <c r="CV25" s="424"/>
      <c r="CW25" s="424"/>
      <c r="CX25" s="424"/>
      <c r="CY25" s="424"/>
      <c r="CZ25" s="424"/>
      <c r="DA25" s="424"/>
      <c r="DB25" s="424"/>
      <c r="DC25" s="424"/>
      <c r="DD25" s="424"/>
      <c r="DE25" s="424"/>
      <c r="DF25" s="424"/>
      <c r="DG25" s="424"/>
      <c r="DH25" s="424"/>
      <c r="DI25" s="424"/>
      <c r="DJ25" s="424"/>
      <c r="DK25" s="424"/>
      <c r="DL25" s="424"/>
      <c r="DM25" s="424"/>
      <c r="DN25" s="424"/>
      <c r="DO25" s="424"/>
      <c r="DP25" s="424"/>
      <c r="DQ25" s="424"/>
      <c r="DR25" s="424"/>
      <c r="DS25" s="424"/>
      <c r="DT25" s="424"/>
      <c r="DU25" s="424"/>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6"/>
    </row>
    <row r="26" spans="4:158" x14ac:dyDescent="0.2">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4"/>
      <c r="DH26" s="424"/>
      <c r="DI26" s="424"/>
      <c r="DJ26" s="424"/>
      <c r="DK26" s="424"/>
      <c r="DL26" s="424"/>
      <c r="DM26" s="424"/>
      <c r="DN26" s="424"/>
      <c r="DO26" s="424"/>
      <c r="DP26" s="424"/>
      <c r="DQ26" s="424"/>
      <c r="DR26" s="424"/>
      <c r="DS26" s="424"/>
      <c r="DT26" s="424"/>
      <c r="DU26" s="424"/>
      <c r="DV26" s="424"/>
      <c r="DW26" s="424"/>
      <c r="DX26" s="424"/>
      <c r="DY26" s="424"/>
      <c r="DZ26" s="424"/>
      <c r="EA26" s="424"/>
      <c r="EB26" s="424"/>
      <c r="EC26" s="424"/>
      <c r="ED26" s="424"/>
      <c r="EE26" s="424"/>
      <c r="EF26" s="424"/>
      <c r="EG26" s="424"/>
      <c r="EH26" s="424"/>
      <c r="EI26" s="424"/>
      <c r="EJ26" s="424"/>
      <c r="EK26" s="424"/>
      <c r="EL26" s="424"/>
      <c r="EM26" s="424"/>
      <c r="EN26" s="424"/>
      <c r="EO26" s="424"/>
      <c r="EP26" s="424"/>
      <c r="EQ26" s="424"/>
      <c r="ER26" s="424"/>
      <c r="ES26" s="424"/>
      <c r="ET26" s="426"/>
    </row>
    <row r="27" spans="4:158" x14ac:dyDescent="0.2">
      <c r="CK27" s="424"/>
      <c r="CL27" s="424"/>
      <c r="CM27" s="424"/>
      <c r="CN27" s="424"/>
      <c r="CO27" s="424"/>
      <c r="CP27" s="424"/>
      <c r="CQ27" s="424"/>
      <c r="CR27" s="424"/>
      <c r="CS27" s="424"/>
      <c r="CT27" s="424"/>
      <c r="CU27" s="424"/>
      <c r="CV27" s="424"/>
      <c r="CW27" s="424"/>
      <c r="CX27" s="424"/>
      <c r="CY27" s="424"/>
      <c r="CZ27" s="424"/>
      <c r="DA27" s="424"/>
      <c r="DB27" s="424"/>
      <c r="DC27" s="424"/>
      <c r="DD27" s="424"/>
      <c r="DE27" s="424"/>
      <c r="DF27" s="424"/>
      <c r="DG27" s="424"/>
      <c r="DH27" s="424"/>
      <c r="DI27" s="424"/>
      <c r="DJ27" s="424"/>
      <c r="DK27" s="424"/>
      <c r="DL27" s="424"/>
      <c r="DM27" s="424"/>
      <c r="DN27" s="424"/>
      <c r="DO27" s="424"/>
      <c r="DP27" s="424"/>
      <c r="DQ27" s="424"/>
      <c r="DR27" s="424"/>
      <c r="DS27" s="424"/>
      <c r="DT27" s="424"/>
      <c r="DU27" s="424"/>
      <c r="DV27" s="424"/>
      <c r="DW27" s="424"/>
      <c r="DX27" s="424"/>
      <c r="DY27" s="424"/>
      <c r="DZ27" s="424"/>
      <c r="EA27" s="424"/>
      <c r="EB27" s="424"/>
      <c r="EC27" s="424"/>
      <c r="ED27" s="424"/>
      <c r="EE27" s="424"/>
      <c r="EF27" s="424"/>
      <c r="EG27" s="424"/>
      <c r="EH27" s="424"/>
      <c r="EI27" s="424"/>
      <c r="EJ27" s="424"/>
      <c r="EK27" s="424"/>
      <c r="EL27" s="424"/>
      <c r="EM27" s="424"/>
      <c r="EN27" s="424"/>
      <c r="EO27" s="424"/>
      <c r="EP27" s="424"/>
      <c r="EQ27" s="424"/>
      <c r="ER27" s="424"/>
      <c r="ES27" s="424"/>
      <c r="ET27" s="426"/>
    </row>
    <row r="28" spans="4:158" x14ac:dyDescent="0.2">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4"/>
      <c r="DH28" s="424"/>
      <c r="DI28" s="424"/>
      <c r="DJ28" s="424"/>
      <c r="DK28" s="424"/>
      <c r="DL28" s="424"/>
      <c r="DM28" s="424"/>
      <c r="DN28" s="424"/>
      <c r="DO28" s="424"/>
      <c r="DP28" s="424"/>
      <c r="DQ28" s="424"/>
      <c r="DR28" s="424"/>
      <c r="DS28" s="424"/>
      <c r="DT28" s="424"/>
      <c r="DU28" s="424"/>
      <c r="DV28" s="424"/>
      <c r="DW28" s="424"/>
      <c r="DX28" s="424"/>
      <c r="DY28" s="424"/>
      <c r="DZ28" s="424"/>
      <c r="EA28" s="424"/>
      <c r="EB28" s="424"/>
      <c r="EC28" s="424"/>
      <c r="ED28" s="424"/>
      <c r="EE28" s="424"/>
      <c r="EF28" s="424"/>
      <c r="EG28" s="424"/>
      <c r="EH28" s="424"/>
      <c r="EI28" s="424"/>
      <c r="EJ28" s="424"/>
      <c r="EK28" s="424"/>
      <c r="EL28" s="424"/>
      <c r="EM28" s="424"/>
      <c r="EN28" s="424"/>
      <c r="EO28" s="424"/>
      <c r="EP28" s="424"/>
      <c r="EQ28" s="424"/>
      <c r="ER28" s="424"/>
      <c r="ES28" s="424"/>
      <c r="ET28" s="426"/>
    </row>
    <row r="29" spans="4:158" x14ac:dyDescent="0.2">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4"/>
      <c r="DH29" s="424"/>
      <c r="DI29" s="424"/>
      <c r="DJ29" s="424"/>
      <c r="DK29" s="424"/>
      <c r="DL29" s="424"/>
      <c r="DM29" s="424"/>
      <c r="DN29" s="424"/>
      <c r="DO29" s="424"/>
      <c r="DP29" s="424"/>
      <c r="DQ29" s="424"/>
      <c r="DR29" s="424"/>
      <c r="DS29" s="424"/>
      <c r="DT29" s="424"/>
      <c r="DU29" s="424"/>
      <c r="DV29" s="424"/>
      <c r="DW29" s="424"/>
      <c r="DX29" s="424"/>
      <c r="DY29" s="424"/>
      <c r="DZ29" s="424"/>
      <c r="EA29" s="424"/>
      <c r="EB29" s="424"/>
      <c r="EC29" s="424"/>
      <c r="ED29" s="424"/>
      <c r="EE29" s="424"/>
      <c r="EF29" s="424"/>
      <c r="EG29" s="424"/>
      <c r="EH29" s="424"/>
      <c r="EI29" s="424"/>
      <c r="EJ29" s="424"/>
      <c r="EK29" s="424"/>
      <c r="EL29" s="424"/>
      <c r="EM29" s="424"/>
      <c r="EN29" s="424"/>
      <c r="EO29" s="424"/>
      <c r="EP29" s="424"/>
      <c r="EQ29" s="424"/>
      <c r="ER29" s="424"/>
      <c r="ES29" s="424"/>
      <c r="ET29" s="426"/>
    </row>
    <row r="30" spans="4:158" x14ac:dyDescent="0.2">
      <c r="CK30" s="424"/>
      <c r="CL30" s="424"/>
      <c r="CM30" s="424"/>
      <c r="CN30" s="424"/>
      <c r="CO30" s="424"/>
      <c r="CP30" s="424"/>
      <c r="CQ30" s="424"/>
      <c r="CR30" s="424"/>
      <c r="CS30" s="424"/>
      <c r="CT30" s="424"/>
      <c r="CU30" s="424"/>
      <c r="CV30" s="424"/>
      <c r="CW30" s="424"/>
      <c r="CX30" s="424"/>
      <c r="CY30" s="424"/>
      <c r="CZ30" s="424"/>
      <c r="DA30" s="424"/>
      <c r="DB30" s="424"/>
      <c r="DC30" s="424"/>
      <c r="DD30" s="424"/>
      <c r="DE30" s="424"/>
      <c r="DF30" s="424"/>
      <c r="DG30" s="424"/>
      <c r="DH30" s="424"/>
      <c r="DI30" s="424"/>
      <c r="DJ30" s="424"/>
      <c r="DK30" s="424"/>
      <c r="DL30" s="424"/>
      <c r="DM30" s="424"/>
      <c r="DN30" s="424"/>
      <c r="DO30" s="424"/>
      <c r="DP30" s="424"/>
      <c r="DQ30" s="424"/>
      <c r="DR30" s="424"/>
      <c r="DS30" s="424"/>
      <c r="DT30" s="424"/>
      <c r="DU30" s="424"/>
      <c r="DV30" s="424"/>
      <c r="DW30" s="424"/>
      <c r="DX30" s="424"/>
      <c r="DY30" s="424"/>
      <c r="DZ30" s="424"/>
      <c r="EA30" s="424"/>
      <c r="EB30" s="424"/>
      <c r="EC30" s="424"/>
      <c r="ED30" s="424"/>
      <c r="EE30" s="424"/>
      <c r="EF30" s="424"/>
      <c r="EG30" s="424"/>
      <c r="EH30" s="424"/>
      <c r="EI30" s="424"/>
      <c r="EJ30" s="424"/>
      <c r="EK30" s="424"/>
      <c r="EL30" s="424"/>
      <c r="EM30" s="424"/>
      <c r="EN30" s="424"/>
      <c r="EO30" s="424"/>
      <c r="EP30" s="424"/>
      <c r="EQ30" s="424"/>
      <c r="ER30" s="424"/>
      <c r="ES30" s="424"/>
      <c r="ET30" s="426"/>
    </row>
    <row r="31" spans="4:158" x14ac:dyDescent="0.2">
      <c r="CK31" s="424"/>
      <c r="CL31" s="424"/>
      <c r="CM31" s="424"/>
      <c r="CN31" s="424"/>
      <c r="CO31" s="424"/>
      <c r="CP31" s="424"/>
      <c r="CQ31" s="424"/>
      <c r="CR31" s="424"/>
      <c r="CS31" s="424"/>
      <c r="CT31" s="424"/>
      <c r="CU31" s="424"/>
      <c r="CV31" s="424"/>
      <c r="CW31" s="424"/>
      <c r="CX31" s="424"/>
      <c r="CY31" s="424"/>
      <c r="CZ31" s="424"/>
      <c r="DA31" s="424"/>
      <c r="DB31" s="424"/>
      <c r="DC31" s="424"/>
      <c r="DD31" s="424"/>
      <c r="DE31" s="424"/>
      <c r="DF31" s="424"/>
      <c r="DG31" s="424"/>
      <c r="DH31" s="424"/>
      <c r="DI31" s="424"/>
      <c r="DJ31" s="424"/>
      <c r="DK31" s="424"/>
      <c r="DL31" s="424"/>
      <c r="DM31" s="424"/>
      <c r="DN31" s="424"/>
      <c r="DO31" s="424"/>
      <c r="DP31" s="424"/>
      <c r="DQ31" s="424"/>
      <c r="DR31" s="424"/>
      <c r="DS31" s="424"/>
      <c r="DT31" s="424"/>
      <c r="DU31" s="424"/>
      <c r="DV31" s="424"/>
      <c r="DW31" s="424"/>
      <c r="DX31" s="424"/>
      <c r="DY31" s="424"/>
      <c r="DZ31" s="424"/>
      <c r="EA31" s="424"/>
      <c r="EB31" s="424"/>
      <c r="EC31" s="424"/>
      <c r="ED31" s="424"/>
      <c r="EE31" s="424"/>
      <c r="EF31" s="424"/>
      <c r="EG31" s="424"/>
      <c r="EH31" s="424"/>
      <c r="EI31" s="424"/>
      <c r="EJ31" s="424"/>
      <c r="EK31" s="424"/>
      <c r="EL31" s="424"/>
      <c r="EM31" s="424"/>
      <c r="EN31" s="424"/>
      <c r="EO31" s="424"/>
      <c r="EP31" s="424"/>
      <c r="EQ31" s="424"/>
      <c r="ER31" s="424"/>
      <c r="ES31" s="424"/>
      <c r="ET31" s="426"/>
    </row>
  </sheetData>
  <sheetProtection formatCells="0"/>
  <mergeCells count="38">
    <mergeCell ref="EZ10:EZ12"/>
    <mergeCell ref="FA10:FA12"/>
    <mergeCell ref="FB10:FB12"/>
    <mergeCell ref="E19:J19"/>
    <mergeCell ref="K19:S19"/>
    <mergeCell ref="CL11:DO11"/>
    <mergeCell ref="DP11:ES11"/>
    <mergeCell ref="E17:J17"/>
    <mergeCell ref="K17:S17"/>
    <mergeCell ref="E18:J18"/>
    <mergeCell ref="K18:S18"/>
    <mergeCell ref="Y18:BG18"/>
    <mergeCell ref="A11:I11"/>
    <mergeCell ref="J11:AC11"/>
    <mergeCell ref="AD11:BG11"/>
    <mergeCell ref="BH11:CK11"/>
    <mergeCell ref="EX10:EX12"/>
    <mergeCell ref="J10:ES10"/>
    <mergeCell ref="ET10:ET12"/>
    <mergeCell ref="EU10:EU12"/>
    <mergeCell ref="EV10:EV12"/>
    <mergeCell ref="EW10:EW12"/>
    <mergeCell ref="EY10:EY12"/>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s>
  <dataValidations count="2">
    <dataValidation type="list" allowBlank="1" showInputMessage="1" showErrorMessage="1" sqref="H13:H14" xr:uid="{00000000-0002-0000-0100-000000000000}">
      <formula1>"suma, personas"</formula1>
    </dataValidation>
    <dataValidation type="textLength" operator="lessThan" allowBlank="1" showInputMessage="1" showErrorMessage="1" sqref="EZ13:FA14" xr:uid="{00000000-0002-0000-0100-000002000000}">
      <formula1>500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A53"/>
  <sheetViews>
    <sheetView showGridLines="0" topLeftCell="A16" zoomScale="53" zoomScaleNormal="53" workbookViewId="0">
      <selection activeCell="F14" sqref="F14"/>
    </sheetView>
  </sheetViews>
  <sheetFormatPr baseColWidth="10" defaultColWidth="10.85546875" defaultRowHeight="18.600000000000001" customHeight="1" x14ac:dyDescent="0.25"/>
  <cols>
    <col min="1" max="1" width="18.28515625" style="101" customWidth="1"/>
    <col min="2" max="2" width="4.85546875" style="101" customWidth="1"/>
    <col min="3" max="3" width="26.85546875" style="101" customWidth="1"/>
    <col min="4" max="4" width="12.7109375" style="112" customWidth="1"/>
    <col min="5" max="5" width="22.140625" style="112" customWidth="1"/>
    <col min="6" max="6" width="22.85546875" style="113" customWidth="1"/>
    <col min="7" max="7" width="29.7109375" style="106" customWidth="1"/>
    <col min="8" max="19" width="18.28515625" style="106" hidden="1" customWidth="1"/>
    <col min="20" max="20" width="34.28515625" style="106" hidden="1" customWidth="1"/>
    <col min="21" max="25" width="18.28515625" style="106" hidden="1" customWidth="1"/>
    <col min="26" max="27" width="33.85546875" style="106" customWidth="1"/>
    <col min="28" max="55" width="18.28515625" style="106" hidden="1" customWidth="1"/>
    <col min="56" max="56" width="33.140625" style="106" customWidth="1"/>
    <col min="57" max="57" width="32.7109375" style="106" customWidth="1"/>
    <col min="58" max="85" width="31.42578125" style="106" hidden="1" customWidth="1"/>
    <col min="86" max="87" width="34.7109375" style="106" customWidth="1"/>
    <col min="88" max="112" width="21.85546875" style="106" hidden="1" customWidth="1"/>
    <col min="113" max="115" width="22.28515625" style="106" hidden="1" customWidth="1"/>
    <col min="116" max="117" width="32" style="106" customWidth="1"/>
    <col min="118" max="118" width="35.5703125" style="106" customWidth="1"/>
    <col min="119" max="126" width="33.7109375" style="106" customWidth="1"/>
    <col min="127" max="128" width="29" style="106" customWidth="1"/>
    <col min="129" max="129" width="30.28515625" style="106" hidden="1" customWidth="1"/>
    <col min="130" max="130" width="10.7109375" style="106" hidden="1" customWidth="1"/>
    <col min="131" max="131" width="10.5703125" style="106" hidden="1" customWidth="1"/>
    <col min="132" max="141" width="7.85546875" style="106" hidden="1" customWidth="1"/>
    <col min="142" max="142" width="12.85546875" style="106" hidden="1" customWidth="1"/>
    <col min="143" max="147" width="34" style="106" customWidth="1"/>
    <col min="148" max="149" width="28.140625" style="195" customWidth="1"/>
    <col min="150" max="152" width="30.42578125" style="101" customWidth="1"/>
    <col min="153" max="153" width="67" style="101" customWidth="1"/>
    <col min="154" max="154" width="19.140625" style="101" customWidth="1"/>
    <col min="155" max="155" width="22.28515625" style="101" customWidth="1"/>
    <col min="156" max="156" width="45.85546875" style="101" customWidth="1"/>
    <col min="157" max="157" width="29.5703125" style="101" customWidth="1"/>
    <col min="158" max="16384" width="10.85546875" style="101"/>
  </cols>
  <sheetData>
    <row r="1" spans="1:157" ht="29.25" customHeight="1" x14ac:dyDescent="0.25">
      <c r="A1" s="856"/>
      <c r="B1" s="857"/>
      <c r="C1" s="857"/>
      <c r="D1" s="857"/>
      <c r="E1" s="858"/>
      <c r="F1" s="865" t="s">
        <v>0</v>
      </c>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865"/>
      <c r="BO1" s="865"/>
      <c r="BP1" s="865"/>
      <c r="BQ1" s="865"/>
      <c r="BR1" s="865"/>
      <c r="BS1" s="865"/>
      <c r="BT1" s="865"/>
      <c r="BU1" s="865"/>
      <c r="BV1" s="865"/>
      <c r="BW1" s="865"/>
      <c r="BX1" s="865"/>
      <c r="BY1" s="865"/>
      <c r="BZ1" s="865"/>
      <c r="CA1" s="865"/>
      <c r="CB1" s="865"/>
      <c r="CC1" s="865"/>
      <c r="CD1" s="865"/>
      <c r="CE1" s="865"/>
      <c r="CF1" s="865"/>
      <c r="CG1" s="865"/>
      <c r="CH1" s="865"/>
      <c r="CI1" s="865"/>
      <c r="CJ1" s="865"/>
      <c r="CK1" s="865"/>
      <c r="CL1" s="865"/>
      <c r="CM1" s="865"/>
      <c r="CN1" s="865"/>
      <c r="CO1" s="865"/>
      <c r="CP1" s="865"/>
      <c r="CQ1" s="865"/>
      <c r="CR1" s="865"/>
      <c r="CS1" s="865"/>
      <c r="CT1" s="865"/>
      <c r="CU1" s="865"/>
      <c r="CV1" s="865"/>
      <c r="CW1" s="865"/>
      <c r="CX1" s="865"/>
      <c r="CY1" s="865"/>
      <c r="CZ1" s="865"/>
      <c r="DA1" s="865"/>
      <c r="DB1" s="865"/>
      <c r="DC1" s="865"/>
      <c r="DD1" s="865"/>
      <c r="DE1" s="865"/>
      <c r="DF1" s="865"/>
      <c r="DG1" s="865"/>
      <c r="DH1" s="865"/>
      <c r="DI1" s="865"/>
      <c r="DJ1" s="865"/>
      <c r="DK1" s="865"/>
      <c r="DL1" s="865"/>
      <c r="DM1" s="865"/>
      <c r="DN1" s="865"/>
      <c r="DO1" s="865"/>
      <c r="DP1" s="865"/>
      <c r="DQ1" s="865"/>
      <c r="DR1" s="865"/>
      <c r="DS1" s="865"/>
      <c r="DT1" s="865"/>
      <c r="DU1" s="865"/>
      <c r="DV1" s="865"/>
      <c r="DW1" s="865"/>
      <c r="DX1" s="865"/>
      <c r="DY1" s="865"/>
      <c r="DZ1" s="865"/>
      <c r="EA1" s="865"/>
      <c r="EB1" s="865"/>
      <c r="EC1" s="865"/>
      <c r="ED1" s="865"/>
      <c r="EE1" s="865"/>
      <c r="EF1" s="865"/>
      <c r="EG1" s="865"/>
      <c r="EH1" s="865"/>
      <c r="EI1" s="865"/>
      <c r="EJ1" s="865"/>
      <c r="EK1" s="865"/>
      <c r="EL1" s="865"/>
      <c r="EM1" s="865"/>
      <c r="EN1" s="865"/>
      <c r="EO1" s="865"/>
      <c r="EP1" s="865"/>
      <c r="EQ1" s="865"/>
      <c r="ER1" s="865"/>
      <c r="ES1" s="865"/>
      <c r="ET1" s="865"/>
      <c r="EU1" s="865"/>
      <c r="EV1" s="865"/>
      <c r="EW1" s="865"/>
      <c r="EX1" s="865"/>
      <c r="EY1" s="865"/>
      <c r="EZ1" s="865"/>
      <c r="FA1" s="866"/>
    </row>
    <row r="2" spans="1:157" ht="36.75" customHeight="1" thickBot="1" x14ac:dyDescent="0.3">
      <c r="A2" s="859"/>
      <c r="B2" s="860"/>
      <c r="C2" s="860"/>
      <c r="D2" s="860"/>
      <c r="E2" s="861"/>
      <c r="F2" s="867" t="s">
        <v>90</v>
      </c>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867"/>
      <c r="BU2" s="867"/>
      <c r="BV2" s="867"/>
      <c r="BW2" s="867"/>
      <c r="BX2" s="867"/>
      <c r="BY2" s="867"/>
      <c r="BZ2" s="867"/>
      <c r="CA2" s="867"/>
      <c r="CB2" s="867"/>
      <c r="CC2" s="867"/>
      <c r="CD2" s="867"/>
      <c r="CE2" s="867"/>
      <c r="CF2" s="867"/>
      <c r="CG2" s="867"/>
      <c r="CH2" s="867"/>
      <c r="CI2" s="867"/>
      <c r="CJ2" s="867"/>
      <c r="CK2" s="867"/>
      <c r="CL2" s="867"/>
      <c r="CM2" s="867"/>
      <c r="CN2" s="867"/>
      <c r="CO2" s="867"/>
      <c r="CP2" s="867"/>
      <c r="CQ2" s="867"/>
      <c r="CR2" s="867"/>
      <c r="CS2" s="867"/>
      <c r="CT2" s="867"/>
      <c r="CU2" s="867"/>
      <c r="CV2" s="867"/>
      <c r="CW2" s="867"/>
      <c r="CX2" s="867"/>
      <c r="CY2" s="867"/>
      <c r="CZ2" s="867"/>
      <c r="DA2" s="867"/>
      <c r="DB2" s="867"/>
      <c r="DC2" s="867"/>
      <c r="DD2" s="867"/>
      <c r="DE2" s="867"/>
      <c r="DF2" s="867"/>
      <c r="DG2" s="867"/>
      <c r="DH2" s="867"/>
      <c r="DI2" s="867"/>
      <c r="DJ2" s="867"/>
      <c r="DK2" s="867"/>
      <c r="DL2" s="867"/>
      <c r="DM2" s="867"/>
      <c r="DN2" s="867"/>
      <c r="DO2" s="867"/>
      <c r="DP2" s="867"/>
      <c r="DQ2" s="867"/>
      <c r="DR2" s="867"/>
      <c r="DS2" s="867"/>
      <c r="DT2" s="867"/>
      <c r="DU2" s="867"/>
      <c r="DV2" s="867"/>
      <c r="DW2" s="867"/>
      <c r="DX2" s="867"/>
      <c r="DY2" s="867"/>
      <c r="DZ2" s="867"/>
      <c r="EA2" s="867"/>
      <c r="EB2" s="867"/>
      <c r="EC2" s="867"/>
      <c r="ED2" s="867"/>
      <c r="EE2" s="867"/>
      <c r="EF2" s="867"/>
      <c r="EG2" s="867"/>
      <c r="EH2" s="867"/>
      <c r="EI2" s="867"/>
      <c r="EJ2" s="867"/>
      <c r="EK2" s="867"/>
      <c r="EL2" s="867"/>
      <c r="EM2" s="867"/>
      <c r="EN2" s="867"/>
      <c r="EO2" s="867"/>
      <c r="EP2" s="867"/>
      <c r="EQ2" s="867"/>
      <c r="ER2" s="868"/>
      <c r="ES2" s="868"/>
      <c r="ET2" s="868"/>
      <c r="EU2" s="868"/>
      <c r="EV2" s="868"/>
      <c r="EW2" s="868"/>
      <c r="EX2" s="868"/>
      <c r="EY2" s="868"/>
      <c r="EZ2" s="868"/>
      <c r="FA2" s="869"/>
    </row>
    <row r="3" spans="1:157" ht="18.600000000000001" customHeight="1" thickBot="1" x14ac:dyDescent="0.3">
      <c r="A3" s="862"/>
      <c r="B3" s="863"/>
      <c r="C3" s="863"/>
      <c r="D3" s="863"/>
      <c r="E3" s="864"/>
      <c r="F3" s="870" t="s">
        <v>2</v>
      </c>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71"/>
      <c r="CE3" s="871"/>
      <c r="CF3" s="871"/>
      <c r="CG3" s="871"/>
      <c r="CH3" s="871"/>
      <c r="CI3" s="871"/>
      <c r="CJ3" s="871"/>
      <c r="CK3" s="871"/>
      <c r="CL3" s="871"/>
      <c r="CM3" s="871"/>
      <c r="CN3" s="871"/>
      <c r="CO3" s="871"/>
      <c r="CP3" s="871"/>
      <c r="CQ3" s="871"/>
      <c r="CR3" s="871"/>
      <c r="CS3" s="871"/>
      <c r="CT3" s="871"/>
      <c r="CU3" s="871"/>
      <c r="CV3" s="871"/>
      <c r="CW3" s="871"/>
      <c r="CX3" s="871"/>
      <c r="CY3" s="871"/>
      <c r="CZ3" s="871"/>
      <c r="DA3" s="871"/>
      <c r="DB3" s="871"/>
      <c r="DC3" s="871"/>
      <c r="DD3" s="871"/>
      <c r="DE3" s="871"/>
      <c r="DF3" s="871"/>
      <c r="DG3" s="871"/>
      <c r="DH3" s="871"/>
      <c r="DI3" s="871"/>
      <c r="DJ3" s="871"/>
      <c r="DK3" s="871"/>
      <c r="DL3" s="871"/>
      <c r="DM3" s="871"/>
      <c r="DN3" s="871"/>
      <c r="DO3" s="871"/>
      <c r="DP3" s="871"/>
      <c r="DQ3" s="871"/>
      <c r="DR3" s="871"/>
      <c r="DS3" s="871"/>
      <c r="DT3" s="871"/>
      <c r="DU3" s="871"/>
      <c r="DV3" s="871"/>
      <c r="DW3" s="871"/>
      <c r="DX3" s="871"/>
      <c r="DY3" s="871"/>
      <c r="DZ3" s="871"/>
      <c r="EA3" s="871"/>
      <c r="EB3" s="871"/>
      <c r="EC3" s="871"/>
      <c r="ED3" s="871"/>
      <c r="EE3" s="871"/>
      <c r="EF3" s="871"/>
      <c r="EG3" s="871"/>
      <c r="EH3" s="871"/>
      <c r="EI3" s="871"/>
      <c r="EJ3" s="871"/>
      <c r="EK3" s="871"/>
      <c r="EL3" s="871"/>
      <c r="EM3" s="871"/>
      <c r="EN3" s="871"/>
      <c r="EO3" s="871"/>
      <c r="EP3" s="871"/>
      <c r="EQ3" s="871"/>
      <c r="ER3" s="871" t="s">
        <v>91</v>
      </c>
      <c r="ES3" s="871"/>
      <c r="ET3" s="871"/>
      <c r="EU3" s="871"/>
      <c r="EV3" s="871"/>
      <c r="EW3" s="871"/>
      <c r="EX3" s="871"/>
      <c r="EY3" s="871"/>
      <c r="EZ3" s="871"/>
      <c r="FA3" s="872"/>
    </row>
    <row r="4" spans="1:157" ht="18.600000000000001" customHeight="1" thickBot="1" x14ac:dyDescent="0.3">
      <c r="A4" s="873" t="s">
        <v>4</v>
      </c>
      <c r="B4" s="874"/>
      <c r="C4" s="874"/>
      <c r="D4" s="874"/>
      <c r="E4" s="875"/>
      <c r="F4" s="876" t="s">
        <v>5</v>
      </c>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c r="BN4" s="877"/>
      <c r="BO4" s="877"/>
      <c r="BP4" s="877"/>
      <c r="BQ4" s="877"/>
      <c r="BR4" s="877"/>
      <c r="BS4" s="877"/>
      <c r="BT4" s="877"/>
      <c r="BU4" s="877"/>
      <c r="BV4" s="877"/>
      <c r="BW4" s="877"/>
      <c r="BX4" s="877"/>
      <c r="BY4" s="877"/>
      <c r="BZ4" s="877"/>
      <c r="CA4" s="877"/>
      <c r="CB4" s="877"/>
      <c r="CC4" s="877"/>
      <c r="CD4" s="877"/>
      <c r="CE4" s="877"/>
      <c r="CF4" s="877"/>
      <c r="CG4" s="877"/>
      <c r="CH4" s="877"/>
      <c r="CI4" s="877"/>
      <c r="CJ4" s="877"/>
      <c r="CK4" s="877"/>
      <c r="CL4" s="877"/>
      <c r="CM4" s="877"/>
      <c r="CN4" s="877"/>
      <c r="CO4" s="877"/>
      <c r="CP4" s="877"/>
      <c r="CQ4" s="877"/>
      <c r="CR4" s="877"/>
      <c r="CS4" s="877"/>
      <c r="CT4" s="877"/>
      <c r="CU4" s="877"/>
      <c r="CV4" s="877"/>
      <c r="CW4" s="877"/>
      <c r="CX4" s="877"/>
      <c r="CY4" s="877"/>
      <c r="CZ4" s="877"/>
      <c r="DA4" s="877"/>
      <c r="DB4" s="877"/>
      <c r="DC4" s="877"/>
      <c r="DD4" s="877"/>
      <c r="DE4" s="877"/>
      <c r="DF4" s="877"/>
      <c r="DG4" s="877"/>
      <c r="DH4" s="877"/>
      <c r="DI4" s="877"/>
      <c r="DJ4" s="877"/>
      <c r="DK4" s="877"/>
      <c r="DL4" s="877"/>
      <c r="DM4" s="877"/>
      <c r="DN4" s="877"/>
      <c r="DO4" s="877"/>
      <c r="DP4" s="877"/>
      <c r="DQ4" s="877"/>
      <c r="DR4" s="877"/>
      <c r="DS4" s="877"/>
      <c r="DT4" s="877"/>
      <c r="DU4" s="877"/>
      <c r="DV4" s="877"/>
      <c r="DW4" s="877"/>
      <c r="DX4" s="877"/>
      <c r="DY4" s="877"/>
      <c r="DZ4" s="877"/>
      <c r="EA4" s="877"/>
      <c r="EB4" s="877"/>
      <c r="EC4" s="877"/>
      <c r="ED4" s="877"/>
      <c r="EE4" s="877"/>
      <c r="EF4" s="877"/>
      <c r="EG4" s="877"/>
      <c r="EH4" s="877"/>
      <c r="EI4" s="877"/>
      <c r="EJ4" s="877"/>
      <c r="EK4" s="877"/>
      <c r="EL4" s="877"/>
      <c r="EM4" s="877"/>
      <c r="EN4" s="877"/>
      <c r="EO4" s="877"/>
      <c r="EP4" s="877"/>
      <c r="EQ4" s="877"/>
      <c r="ER4" s="877"/>
      <c r="ES4" s="877"/>
      <c r="ET4" s="877"/>
      <c r="EU4" s="877"/>
      <c r="EV4" s="877"/>
      <c r="EW4" s="877"/>
      <c r="EX4" s="877"/>
      <c r="EY4" s="877"/>
      <c r="EZ4" s="877"/>
      <c r="FA4" s="878"/>
    </row>
    <row r="5" spans="1:157" ht="18.600000000000001" customHeight="1" thickBot="1" x14ac:dyDescent="0.3">
      <c r="A5" s="873" t="s">
        <v>6</v>
      </c>
      <c r="B5" s="874"/>
      <c r="C5" s="874"/>
      <c r="D5" s="874"/>
      <c r="E5" s="875"/>
      <c r="F5" s="876" t="s">
        <v>7</v>
      </c>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7"/>
      <c r="EF5" s="877"/>
      <c r="EG5" s="877"/>
      <c r="EH5" s="877"/>
      <c r="EI5" s="877"/>
      <c r="EJ5" s="877"/>
      <c r="EK5" s="877"/>
      <c r="EL5" s="877"/>
      <c r="EM5" s="877"/>
      <c r="EN5" s="877"/>
      <c r="EO5" s="877"/>
      <c r="EP5" s="877"/>
      <c r="EQ5" s="877"/>
      <c r="ER5" s="877"/>
      <c r="ES5" s="877"/>
      <c r="ET5" s="877"/>
      <c r="EU5" s="877"/>
      <c r="EV5" s="877"/>
      <c r="EW5" s="877"/>
      <c r="EX5" s="877"/>
      <c r="EY5" s="877"/>
      <c r="EZ5" s="877"/>
      <c r="FA5" s="878"/>
    </row>
    <row r="6" spans="1:157" ht="18.600000000000001" customHeight="1" thickBot="1" x14ac:dyDescent="0.3">
      <c r="A6" s="102"/>
      <c r="B6" s="102"/>
      <c r="C6" s="102"/>
      <c r="D6" s="103"/>
      <c r="E6" s="103"/>
      <c r="F6" s="104"/>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7"/>
      <c r="ES6" s="107"/>
      <c r="ET6" s="102"/>
      <c r="EU6" s="102"/>
      <c r="EV6" s="102"/>
      <c r="EW6" s="102"/>
      <c r="EX6" s="102"/>
      <c r="EY6" s="102"/>
      <c r="EZ6" s="102"/>
      <c r="FA6" s="102"/>
    </row>
    <row r="7" spans="1:157" s="108" customFormat="1" ht="20.25" customHeight="1" thickBot="1" x14ac:dyDescent="0.3">
      <c r="A7" s="879" t="s">
        <v>92</v>
      </c>
      <c r="B7" s="880"/>
      <c r="C7" s="880"/>
      <c r="D7" s="880"/>
      <c r="E7" s="880"/>
      <c r="F7" s="880"/>
      <c r="G7" s="881"/>
      <c r="H7" s="885" t="s">
        <v>93</v>
      </c>
      <c r="I7" s="885"/>
      <c r="J7" s="885"/>
      <c r="K7" s="885"/>
      <c r="L7" s="885"/>
      <c r="M7" s="885"/>
      <c r="N7" s="885"/>
      <c r="O7" s="885"/>
      <c r="P7" s="885"/>
      <c r="Q7" s="885"/>
      <c r="R7" s="885"/>
      <c r="S7" s="885"/>
      <c r="T7" s="885"/>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H7" s="886"/>
      <c r="CI7" s="886"/>
      <c r="CJ7" s="886"/>
      <c r="CK7" s="886"/>
      <c r="CL7" s="886"/>
      <c r="CM7" s="886"/>
      <c r="CN7" s="886"/>
      <c r="CO7" s="886"/>
      <c r="CP7" s="886"/>
      <c r="CQ7" s="886"/>
      <c r="CR7" s="886"/>
      <c r="CS7" s="886"/>
      <c r="CT7" s="886"/>
      <c r="CU7" s="886"/>
      <c r="CV7" s="886"/>
      <c r="CW7" s="886"/>
      <c r="CX7" s="886"/>
      <c r="CY7" s="886"/>
      <c r="CZ7" s="886"/>
      <c r="DA7" s="886"/>
      <c r="DB7" s="886"/>
      <c r="DC7" s="886"/>
      <c r="DD7" s="886"/>
      <c r="DE7" s="886"/>
      <c r="DF7" s="886"/>
      <c r="DG7" s="886"/>
      <c r="DH7" s="886"/>
      <c r="DI7" s="886"/>
      <c r="DJ7" s="886"/>
      <c r="DK7" s="886"/>
      <c r="DL7" s="886"/>
      <c r="DM7" s="886"/>
      <c r="DN7" s="886"/>
      <c r="DO7" s="886"/>
      <c r="DP7" s="886"/>
      <c r="DQ7" s="886"/>
      <c r="DR7" s="886"/>
      <c r="DS7" s="886"/>
      <c r="DT7" s="886"/>
      <c r="DU7" s="886"/>
      <c r="DV7" s="886"/>
      <c r="DW7" s="886"/>
      <c r="DX7" s="886"/>
      <c r="DY7" s="886"/>
      <c r="DZ7" s="886"/>
      <c r="EA7" s="886"/>
      <c r="EB7" s="886"/>
      <c r="EC7" s="886"/>
      <c r="ED7" s="886"/>
      <c r="EE7" s="886"/>
      <c r="EF7" s="886"/>
      <c r="EG7" s="886"/>
      <c r="EH7" s="886"/>
      <c r="EI7" s="886"/>
      <c r="EJ7" s="886"/>
      <c r="EK7" s="886"/>
      <c r="EL7" s="886"/>
      <c r="EM7" s="886"/>
      <c r="EN7" s="886"/>
      <c r="EO7" s="886"/>
      <c r="EP7" s="886"/>
      <c r="EQ7" s="886"/>
      <c r="ER7" s="766" t="s">
        <v>14</v>
      </c>
      <c r="ES7" s="766" t="s">
        <v>15</v>
      </c>
      <c r="ET7" s="887" t="s">
        <v>16</v>
      </c>
      <c r="EU7" s="768" t="s">
        <v>94</v>
      </c>
      <c r="EV7" s="889" t="s">
        <v>18</v>
      </c>
      <c r="EW7" s="850" t="s">
        <v>19</v>
      </c>
      <c r="EX7" s="773" t="s">
        <v>20</v>
      </c>
      <c r="EY7" s="773" t="s">
        <v>21</v>
      </c>
      <c r="EZ7" s="773" t="s">
        <v>22</v>
      </c>
      <c r="FA7" s="760" t="s">
        <v>23</v>
      </c>
    </row>
    <row r="8" spans="1:157" s="108" customFormat="1" ht="23.25" customHeight="1" thickBot="1" x14ac:dyDescent="0.3">
      <c r="A8" s="882"/>
      <c r="B8" s="883"/>
      <c r="C8" s="883"/>
      <c r="D8" s="883"/>
      <c r="E8" s="883"/>
      <c r="F8" s="883"/>
      <c r="G8" s="884"/>
      <c r="H8" s="891" t="s">
        <v>95</v>
      </c>
      <c r="I8" s="891"/>
      <c r="J8" s="891"/>
      <c r="K8" s="891"/>
      <c r="L8" s="891"/>
      <c r="M8" s="891"/>
      <c r="N8" s="891"/>
      <c r="O8" s="891"/>
      <c r="P8" s="891"/>
      <c r="Q8" s="891"/>
      <c r="R8" s="891"/>
      <c r="S8" s="891"/>
      <c r="T8" s="891"/>
      <c r="U8" s="891"/>
      <c r="V8" s="891"/>
      <c r="W8" s="891"/>
      <c r="X8" s="891"/>
      <c r="Y8" s="891"/>
      <c r="Z8" s="891"/>
      <c r="AA8" s="892"/>
      <c r="AB8" s="893" t="s">
        <v>96</v>
      </c>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2"/>
      <c r="BF8" s="893" t="s">
        <v>27</v>
      </c>
      <c r="BG8" s="891"/>
      <c r="BH8" s="891"/>
      <c r="BI8" s="891"/>
      <c r="BJ8" s="891"/>
      <c r="BK8" s="891"/>
      <c r="BL8" s="891"/>
      <c r="BM8" s="891"/>
      <c r="BN8" s="891"/>
      <c r="BO8" s="891"/>
      <c r="BP8" s="891"/>
      <c r="BQ8" s="891"/>
      <c r="BR8" s="891"/>
      <c r="BS8" s="891"/>
      <c r="BT8" s="891"/>
      <c r="BU8" s="891"/>
      <c r="BV8" s="891"/>
      <c r="BW8" s="891"/>
      <c r="BX8" s="891"/>
      <c r="BY8" s="891"/>
      <c r="BZ8" s="891"/>
      <c r="CA8" s="891"/>
      <c r="CB8" s="891"/>
      <c r="CC8" s="891"/>
      <c r="CD8" s="891"/>
      <c r="CE8" s="891"/>
      <c r="CF8" s="891"/>
      <c r="CG8" s="891"/>
      <c r="CH8" s="891"/>
      <c r="CI8" s="892"/>
      <c r="CJ8" s="845" t="s">
        <v>28</v>
      </c>
      <c r="CK8" s="846"/>
      <c r="CL8" s="846"/>
      <c r="CM8" s="846"/>
      <c r="CN8" s="846"/>
      <c r="CO8" s="846"/>
      <c r="CP8" s="846"/>
      <c r="CQ8" s="846"/>
      <c r="CR8" s="846"/>
      <c r="CS8" s="846"/>
      <c r="CT8" s="846"/>
      <c r="CU8" s="846"/>
      <c r="CV8" s="846"/>
      <c r="CW8" s="846"/>
      <c r="CX8" s="846"/>
      <c r="CY8" s="846"/>
      <c r="CZ8" s="846"/>
      <c r="DA8" s="846"/>
      <c r="DB8" s="846"/>
      <c r="DC8" s="846"/>
      <c r="DD8" s="846"/>
      <c r="DE8" s="846"/>
      <c r="DF8" s="846"/>
      <c r="DG8" s="846"/>
      <c r="DH8" s="846"/>
      <c r="DI8" s="846"/>
      <c r="DJ8" s="846"/>
      <c r="DK8" s="846"/>
      <c r="DL8" s="846"/>
      <c r="DM8" s="846"/>
      <c r="DN8" s="847" t="s">
        <v>29</v>
      </c>
      <c r="DO8" s="848"/>
      <c r="DP8" s="848"/>
      <c r="DQ8" s="848"/>
      <c r="DR8" s="848"/>
      <c r="DS8" s="848"/>
      <c r="DT8" s="848"/>
      <c r="DU8" s="848"/>
      <c r="DV8" s="848"/>
      <c r="DW8" s="848"/>
      <c r="DX8" s="848"/>
      <c r="DY8" s="848"/>
      <c r="DZ8" s="848"/>
      <c r="EA8" s="848"/>
      <c r="EB8" s="848"/>
      <c r="EC8" s="848"/>
      <c r="ED8" s="848"/>
      <c r="EE8" s="848"/>
      <c r="EF8" s="848"/>
      <c r="EG8" s="849"/>
      <c r="EH8" s="849"/>
      <c r="EI8" s="849"/>
      <c r="EJ8" s="849"/>
      <c r="EK8" s="849"/>
      <c r="EL8" s="849"/>
      <c r="EM8" s="849"/>
      <c r="EN8" s="849"/>
      <c r="EO8" s="849"/>
      <c r="EP8" s="849"/>
      <c r="EQ8" s="849"/>
      <c r="ER8" s="767"/>
      <c r="ES8" s="767"/>
      <c r="ET8" s="888"/>
      <c r="EU8" s="769"/>
      <c r="EV8" s="890"/>
      <c r="EW8" s="851"/>
      <c r="EX8" s="774"/>
      <c r="EY8" s="774"/>
      <c r="EZ8" s="774"/>
      <c r="FA8" s="761"/>
    </row>
    <row r="9" spans="1:157" s="164" customFormat="1" ht="77.25" customHeight="1" thickBot="1" x14ac:dyDescent="0.3">
      <c r="A9" s="5" t="s">
        <v>97</v>
      </c>
      <c r="B9" s="162" t="s">
        <v>98</v>
      </c>
      <c r="C9" s="163" t="s">
        <v>99</v>
      </c>
      <c r="D9" s="163" t="s">
        <v>100</v>
      </c>
      <c r="E9" s="163" t="s">
        <v>101</v>
      </c>
      <c r="F9" s="163" t="s">
        <v>102</v>
      </c>
      <c r="G9" s="165" t="s">
        <v>103</v>
      </c>
      <c r="H9" s="159" t="s">
        <v>39</v>
      </c>
      <c r="I9" s="152" t="s">
        <v>40</v>
      </c>
      <c r="J9" s="153" t="s">
        <v>41</v>
      </c>
      <c r="K9" s="152" t="s">
        <v>42</v>
      </c>
      <c r="L9" s="153" t="s">
        <v>43</v>
      </c>
      <c r="M9" s="152" t="s">
        <v>44</v>
      </c>
      <c r="N9" s="153" t="s">
        <v>45</v>
      </c>
      <c r="O9" s="152" t="s">
        <v>46</v>
      </c>
      <c r="P9" s="153" t="s">
        <v>47</v>
      </c>
      <c r="Q9" s="152" t="s">
        <v>48</v>
      </c>
      <c r="R9" s="153" t="s">
        <v>49</v>
      </c>
      <c r="S9" s="152" t="s">
        <v>50</v>
      </c>
      <c r="T9" s="153" t="s">
        <v>51</v>
      </c>
      <c r="U9" s="152" t="s">
        <v>52</v>
      </c>
      <c r="V9" s="154" t="s">
        <v>53</v>
      </c>
      <c r="W9" s="155" t="s">
        <v>54</v>
      </c>
      <c r="X9" s="158" t="s">
        <v>55</v>
      </c>
      <c r="Y9" s="156" t="s">
        <v>345</v>
      </c>
      <c r="Z9" s="157" t="s">
        <v>56</v>
      </c>
      <c r="AA9" s="156" t="s">
        <v>346</v>
      </c>
      <c r="AB9" s="151" t="s">
        <v>39</v>
      </c>
      <c r="AC9" s="152" t="s">
        <v>57</v>
      </c>
      <c r="AD9" s="153" t="s">
        <v>58</v>
      </c>
      <c r="AE9" s="152" t="s">
        <v>59</v>
      </c>
      <c r="AF9" s="153" t="s">
        <v>60</v>
      </c>
      <c r="AG9" s="152" t="s">
        <v>61</v>
      </c>
      <c r="AH9" s="153" t="s">
        <v>62</v>
      </c>
      <c r="AI9" s="152" t="s">
        <v>63</v>
      </c>
      <c r="AJ9" s="153" t="s">
        <v>64</v>
      </c>
      <c r="AK9" s="152" t="s">
        <v>65</v>
      </c>
      <c r="AL9" s="153" t="s">
        <v>66</v>
      </c>
      <c r="AM9" s="152" t="s">
        <v>40</v>
      </c>
      <c r="AN9" s="153" t="s">
        <v>41</v>
      </c>
      <c r="AO9" s="152" t="s">
        <v>42</v>
      </c>
      <c r="AP9" s="153" t="s">
        <v>43</v>
      </c>
      <c r="AQ9" s="152" t="s">
        <v>44</v>
      </c>
      <c r="AR9" s="153" t="s">
        <v>45</v>
      </c>
      <c r="AS9" s="152" t="s">
        <v>46</v>
      </c>
      <c r="AT9" s="153" t="s">
        <v>47</v>
      </c>
      <c r="AU9" s="152" t="s">
        <v>48</v>
      </c>
      <c r="AV9" s="153" t="s">
        <v>49</v>
      </c>
      <c r="AW9" s="152" t="s">
        <v>50</v>
      </c>
      <c r="AX9" s="153" t="s">
        <v>51</v>
      </c>
      <c r="AY9" s="152" t="s">
        <v>52</v>
      </c>
      <c r="AZ9" s="154" t="s">
        <v>53</v>
      </c>
      <c r="BA9" s="155" t="s">
        <v>54</v>
      </c>
      <c r="BB9" s="158" t="s">
        <v>67</v>
      </c>
      <c r="BC9" s="156" t="s">
        <v>347</v>
      </c>
      <c r="BD9" s="157" t="s">
        <v>68</v>
      </c>
      <c r="BE9" s="156" t="s">
        <v>348</v>
      </c>
      <c r="BF9" s="151" t="s">
        <v>39</v>
      </c>
      <c r="BG9" s="152" t="s">
        <v>57</v>
      </c>
      <c r="BH9" s="153" t="s">
        <v>58</v>
      </c>
      <c r="BI9" s="152" t="s">
        <v>59</v>
      </c>
      <c r="BJ9" s="153" t="s">
        <v>60</v>
      </c>
      <c r="BK9" s="152" t="s">
        <v>61</v>
      </c>
      <c r="BL9" s="153" t="s">
        <v>62</v>
      </c>
      <c r="BM9" s="152" t="s">
        <v>353</v>
      </c>
      <c r="BN9" s="153" t="s">
        <v>64</v>
      </c>
      <c r="BO9" s="152" t="s">
        <v>65</v>
      </c>
      <c r="BP9" s="153" t="s">
        <v>66</v>
      </c>
      <c r="BQ9" s="152" t="s">
        <v>40</v>
      </c>
      <c r="BR9" s="153" t="s">
        <v>41</v>
      </c>
      <c r="BS9" s="152" t="s">
        <v>42</v>
      </c>
      <c r="BT9" s="153" t="s">
        <v>43</v>
      </c>
      <c r="BU9" s="152" t="s">
        <v>44</v>
      </c>
      <c r="BV9" s="153" t="s">
        <v>45</v>
      </c>
      <c r="BW9" s="152" t="s">
        <v>46</v>
      </c>
      <c r="BX9" s="153" t="s">
        <v>47</v>
      </c>
      <c r="BY9" s="152" t="s">
        <v>48</v>
      </c>
      <c r="BZ9" s="153" t="s">
        <v>49</v>
      </c>
      <c r="CA9" s="152" t="s">
        <v>50</v>
      </c>
      <c r="CB9" s="153" t="s">
        <v>51</v>
      </c>
      <c r="CC9" s="152" t="s">
        <v>52</v>
      </c>
      <c r="CD9" s="154" t="s">
        <v>53</v>
      </c>
      <c r="CE9" s="155" t="s">
        <v>54</v>
      </c>
      <c r="CF9" s="158" t="s">
        <v>69</v>
      </c>
      <c r="CG9" s="156" t="s">
        <v>349</v>
      </c>
      <c r="CH9" s="157" t="s">
        <v>70</v>
      </c>
      <c r="CI9" s="156" t="s">
        <v>350</v>
      </c>
      <c r="CJ9" s="151" t="s">
        <v>39</v>
      </c>
      <c r="CK9" s="152" t="s">
        <v>57</v>
      </c>
      <c r="CL9" s="153" t="s">
        <v>58</v>
      </c>
      <c r="CM9" s="152" t="s">
        <v>59</v>
      </c>
      <c r="CN9" s="153" t="s">
        <v>60</v>
      </c>
      <c r="CO9" s="152" t="s">
        <v>61</v>
      </c>
      <c r="CP9" s="153" t="s">
        <v>62</v>
      </c>
      <c r="CQ9" s="152" t="s">
        <v>63</v>
      </c>
      <c r="CR9" s="153" t="s">
        <v>64</v>
      </c>
      <c r="CS9" s="152" t="s">
        <v>65</v>
      </c>
      <c r="CT9" s="153" t="s">
        <v>66</v>
      </c>
      <c r="CU9" s="152" t="s">
        <v>40</v>
      </c>
      <c r="CV9" s="153" t="s">
        <v>41</v>
      </c>
      <c r="CW9" s="152" t="s">
        <v>42</v>
      </c>
      <c r="CX9" s="153" t="s">
        <v>43</v>
      </c>
      <c r="CY9" s="152" t="s">
        <v>44</v>
      </c>
      <c r="CZ9" s="153" t="s">
        <v>45</v>
      </c>
      <c r="DA9" s="152" t="s">
        <v>46</v>
      </c>
      <c r="DB9" s="153" t="s">
        <v>47</v>
      </c>
      <c r="DC9" s="152" t="s">
        <v>48</v>
      </c>
      <c r="DD9" s="153" t="s">
        <v>49</v>
      </c>
      <c r="DE9" s="152" t="s">
        <v>50</v>
      </c>
      <c r="DF9" s="153" t="s">
        <v>51</v>
      </c>
      <c r="DG9" s="152" t="s">
        <v>52</v>
      </c>
      <c r="DH9" s="154" t="s">
        <v>53</v>
      </c>
      <c r="DI9" s="203" t="s">
        <v>54</v>
      </c>
      <c r="DJ9" s="203" t="s">
        <v>71</v>
      </c>
      <c r="DK9" s="203" t="s">
        <v>343</v>
      </c>
      <c r="DL9" s="161" t="s">
        <v>72</v>
      </c>
      <c r="DM9" s="109" t="s">
        <v>344</v>
      </c>
      <c r="DN9" s="151" t="s">
        <v>39</v>
      </c>
      <c r="DO9" s="152" t="s">
        <v>57</v>
      </c>
      <c r="DP9" s="153" t="s">
        <v>58</v>
      </c>
      <c r="DQ9" s="152" t="s">
        <v>59</v>
      </c>
      <c r="DR9" s="153" t="s">
        <v>60</v>
      </c>
      <c r="DS9" s="152" t="s">
        <v>61</v>
      </c>
      <c r="DT9" s="153" t="s">
        <v>62</v>
      </c>
      <c r="DU9" s="152" t="s">
        <v>63</v>
      </c>
      <c r="DV9" s="153" t="s">
        <v>64</v>
      </c>
      <c r="DW9" s="152" t="s">
        <v>65</v>
      </c>
      <c r="DX9" s="153" t="s">
        <v>66</v>
      </c>
      <c r="DY9" s="152" t="s">
        <v>40</v>
      </c>
      <c r="DZ9" s="153" t="s">
        <v>41</v>
      </c>
      <c r="EA9" s="152" t="s">
        <v>42</v>
      </c>
      <c r="EB9" s="153" t="s">
        <v>43</v>
      </c>
      <c r="EC9" s="152" t="s">
        <v>44</v>
      </c>
      <c r="ED9" s="153" t="s">
        <v>45</v>
      </c>
      <c r="EE9" s="152" t="s">
        <v>46</v>
      </c>
      <c r="EF9" s="153" t="s">
        <v>47</v>
      </c>
      <c r="EG9" s="152" t="s">
        <v>48</v>
      </c>
      <c r="EH9" s="153" t="s">
        <v>49</v>
      </c>
      <c r="EI9" s="152" t="s">
        <v>50</v>
      </c>
      <c r="EJ9" s="153" t="s">
        <v>51</v>
      </c>
      <c r="EK9" s="152" t="s">
        <v>52</v>
      </c>
      <c r="EL9" s="153" t="s">
        <v>53</v>
      </c>
      <c r="EM9" s="272" t="s">
        <v>54</v>
      </c>
      <c r="EN9" s="160" t="s">
        <v>73</v>
      </c>
      <c r="EO9" s="109" t="s">
        <v>351</v>
      </c>
      <c r="EP9" s="160" t="s">
        <v>74</v>
      </c>
      <c r="EQ9" s="109" t="s">
        <v>352</v>
      </c>
      <c r="ER9" s="767"/>
      <c r="ES9" s="767"/>
      <c r="ET9" s="888"/>
      <c r="EU9" s="769"/>
      <c r="EV9" s="890"/>
      <c r="EW9" s="852"/>
      <c r="EX9" s="775"/>
      <c r="EY9" s="775"/>
      <c r="EZ9" s="775"/>
      <c r="FA9" s="762"/>
    </row>
    <row r="10" spans="1:157" s="21" customFormat="1" ht="39" customHeight="1" x14ac:dyDescent="0.25">
      <c r="A10" s="785" t="s">
        <v>104</v>
      </c>
      <c r="B10" s="800">
        <v>1</v>
      </c>
      <c r="C10" s="803" t="s">
        <v>105</v>
      </c>
      <c r="D10" s="803" t="s">
        <v>78</v>
      </c>
      <c r="E10" s="806">
        <v>237</v>
      </c>
      <c r="F10" s="433" t="s">
        <v>106</v>
      </c>
      <c r="G10" s="546">
        <f>+AA10+BE10+CI10+DM10+EQ10</f>
        <v>112174</v>
      </c>
      <c r="H10" s="546">
        <v>10000</v>
      </c>
      <c r="I10" s="546"/>
      <c r="J10" s="546"/>
      <c r="K10" s="546">
        <v>10000</v>
      </c>
      <c r="L10" s="546">
        <v>1904</v>
      </c>
      <c r="M10" s="546">
        <v>10000</v>
      </c>
      <c r="N10" s="546">
        <v>2889</v>
      </c>
      <c r="O10" s="546">
        <v>10000</v>
      </c>
      <c r="P10" s="546">
        <v>4220</v>
      </c>
      <c r="Q10" s="546">
        <v>10000</v>
      </c>
      <c r="R10" s="546">
        <v>5695</v>
      </c>
      <c r="S10" s="546">
        <v>10000</v>
      </c>
      <c r="T10" s="546">
        <v>6617</v>
      </c>
      <c r="U10" s="546">
        <v>10000</v>
      </c>
      <c r="V10" s="546">
        <v>8177</v>
      </c>
      <c r="W10" s="546">
        <f>+U10</f>
        <v>10000</v>
      </c>
      <c r="X10" s="546">
        <f>+U10</f>
        <v>10000</v>
      </c>
      <c r="Y10" s="546">
        <f>+V10</f>
        <v>8177</v>
      </c>
      <c r="Z10" s="546">
        <f>+X10</f>
        <v>10000</v>
      </c>
      <c r="AA10" s="546">
        <f>+Y10</f>
        <v>8177</v>
      </c>
      <c r="AB10" s="546">
        <v>22000</v>
      </c>
      <c r="AC10" s="546">
        <v>0</v>
      </c>
      <c r="AD10" s="546">
        <v>0</v>
      </c>
      <c r="AE10" s="546">
        <v>977</v>
      </c>
      <c r="AF10" s="546">
        <v>977</v>
      </c>
      <c r="AG10" s="546">
        <f>1079-AF10</f>
        <v>102</v>
      </c>
      <c r="AH10" s="546">
        <v>102</v>
      </c>
      <c r="AI10" s="546">
        <v>1928</v>
      </c>
      <c r="AJ10" s="546">
        <v>1928</v>
      </c>
      <c r="AK10" s="546">
        <v>4064</v>
      </c>
      <c r="AL10" s="546">
        <v>4064</v>
      </c>
      <c r="AM10" s="546">
        <v>1800</v>
      </c>
      <c r="AN10" s="546">
        <v>1954</v>
      </c>
      <c r="AO10" s="546">
        <v>1800</v>
      </c>
      <c r="AP10" s="546">
        <v>1810</v>
      </c>
      <c r="AQ10" s="546">
        <v>4267</v>
      </c>
      <c r="AR10" s="546">
        <v>4267</v>
      </c>
      <c r="AS10" s="546">
        <v>2400</v>
      </c>
      <c r="AT10" s="546">
        <v>2955</v>
      </c>
      <c r="AU10" s="546">
        <v>2800</v>
      </c>
      <c r="AV10" s="546">
        <v>2169</v>
      </c>
      <c r="AW10" s="546">
        <v>2400</v>
      </c>
      <c r="AX10" s="546">
        <v>2488</v>
      </c>
      <c r="AY10" s="546">
        <v>2462</v>
      </c>
      <c r="AZ10" s="546">
        <v>2528</v>
      </c>
      <c r="BA10" s="546">
        <f>+AC10+AE10+AG10+AI10+AK10+AM10+AO10+AQ10+AS10+AU10+AW10+AY10</f>
        <v>25000</v>
      </c>
      <c r="BB10" s="546">
        <f>+AC10+AE10+AG10+AI10+AK10+AM10+AO10+AQ10+AS10+AU10+AW10+AY10</f>
        <v>25000</v>
      </c>
      <c r="BC10" s="546">
        <f>+AD10+AF10+AH10+AJ10+AL10+AN10+AP10+AR10+AT10+AV10+AX10+AZ10</f>
        <v>25242</v>
      </c>
      <c r="BD10" s="546">
        <f>AC10+AE10+AG10+AI10+AK10+AM10+AO10+AQ10+AS10+AU10+AW10+AY10</f>
        <v>25000</v>
      </c>
      <c r="BE10" s="546">
        <f>AD10+AF10+AH10+AJ10+AL10+AN10++AP10+AR10+AT10+AV10+AX10+AZ10</f>
        <v>25242</v>
      </c>
      <c r="BF10" s="546">
        <v>31000</v>
      </c>
      <c r="BG10" s="546">
        <v>1014</v>
      </c>
      <c r="BH10" s="546">
        <v>1014</v>
      </c>
      <c r="BI10" s="546">
        <v>2300</v>
      </c>
      <c r="BJ10" s="546">
        <v>1700</v>
      </c>
      <c r="BK10" s="546">
        <v>2686</v>
      </c>
      <c r="BL10" s="546">
        <v>2986</v>
      </c>
      <c r="BM10" s="546">
        <v>2900</v>
      </c>
      <c r="BN10" s="546">
        <v>3242</v>
      </c>
      <c r="BO10" s="546">
        <v>2900</v>
      </c>
      <c r="BP10" s="546">
        <v>3667</v>
      </c>
      <c r="BQ10" s="546">
        <v>3200</v>
      </c>
      <c r="BR10" s="546">
        <v>3326</v>
      </c>
      <c r="BS10" s="546">
        <v>3000</v>
      </c>
      <c r="BT10" s="546">
        <v>3392</v>
      </c>
      <c r="BU10" s="546">
        <v>3000</v>
      </c>
      <c r="BV10" s="546">
        <v>3621</v>
      </c>
      <c r="BW10" s="546">
        <v>3000</v>
      </c>
      <c r="BX10" s="546">
        <v>4141</v>
      </c>
      <c r="BY10" s="546">
        <v>2500</v>
      </c>
      <c r="BZ10" s="546">
        <v>3083</v>
      </c>
      <c r="CA10" s="546">
        <v>2500</v>
      </c>
      <c r="CB10" s="546">
        <v>4757</v>
      </c>
      <c r="CC10" s="546">
        <v>11000</v>
      </c>
      <c r="CD10" s="546">
        <v>4033</v>
      </c>
      <c r="CE10" s="546">
        <f>+BG10+BI10+BK10+BM10+BO10+BQ10+BS10+BU10+BW10+BY10+CA10+CC10</f>
        <v>40000</v>
      </c>
      <c r="CF10" s="546">
        <f>+BG10+BI10+BK10+BM10+BO10+BQ10+BS10+BU10+BW10+BY10+CA10+CC10</f>
        <v>40000</v>
      </c>
      <c r="CG10" s="546">
        <f>+BH10+BJ10+BL10+BN10+BP10+BR10+BT10+BV10+BX10+BZ10+CB10+CD10</f>
        <v>38962</v>
      </c>
      <c r="CH10" s="546">
        <f>+BG10+BI10+BK10+BM10+BO10+BQ10+BS10+BU10+BW10+BY10+CA10+CC10</f>
        <v>40000</v>
      </c>
      <c r="CI10" s="546">
        <f>+BH10+BJ10+BL10+BN10+BP10+BR10+BT10+BV10+BX10+BZ10+CB10+CD10</f>
        <v>38962</v>
      </c>
      <c r="CJ10" s="547">
        <v>28500</v>
      </c>
      <c r="CK10" s="547">
        <v>1463</v>
      </c>
      <c r="CL10" s="547">
        <v>1463</v>
      </c>
      <c r="CM10" s="547">
        <f>+CN10</f>
        <v>2989</v>
      </c>
      <c r="CN10" s="547">
        <v>2989</v>
      </c>
      <c r="CO10" s="547">
        <v>2913</v>
      </c>
      <c r="CP10" s="547">
        <v>2913</v>
      </c>
      <c r="CQ10" s="547">
        <v>2500</v>
      </c>
      <c r="CR10" s="547">
        <v>2670</v>
      </c>
      <c r="CS10" s="547">
        <v>2500</v>
      </c>
      <c r="CT10" s="547">
        <v>2504</v>
      </c>
      <c r="CU10" s="547">
        <v>2500</v>
      </c>
      <c r="CV10" s="547">
        <v>2543</v>
      </c>
      <c r="CW10" s="547">
        <v>2500</v>
      </c>
      <c r="CX10" s="547">
        <v>2533</v>
      </c>
      <c r="CY10" s="547">
        <v>2500</v>
      </c>
      <c r="CZ10" s="547">
        <v>2746</v>
      </c>
      <c r="DA10" s="547">
        <v>2500</v>
      </c>
      <c r="DB10" s="547">
        <f>23905-20361-1038</f>
        <v>2506</v>
      </c>
      <c r="DC10" s="547">
        <v>2500</v>
      </c>
      <c r="DD10" s="547">
        <v>2603</v>
      </c>
      <c r="DE10" s="547">
        <v>2500</v>
      </c>
      <c r="DF10" s="547">
        <v>2911</v>
      </c>
      <c r="DG10" s="547">
        <v>4143</v>
      </c>
      <c r="DH10" s="547">
        <v>3127</v>
      </c>
      <c r="DI10" s="547">
        <f>+CK10+CM10+CO10+CQ10+CS10+CU10+CW10+CY10+DA10+DC10+DE10+DG10</f>
        <v>31508</v>
      </c>
      <c r="DJ10" s="547">
        <f>+CK10+CM10+CO10+CQ10+CS10+CU10+CW10+CY10+DA10+DC10+DE10</f>
        <v>27365</v>
      </c>
      <c r="DK10" s="547">
        <f>+CL10+CN10+CP10+CR10+CT10+CV10+CX10+CZ10+DB10+DD10+DF10+DH10</f>
        <v>31508</v>
      </c>
      <c r="DL10" s="547">
        <f t="shared" ref="DL10:DM14" si="0">+CK10+CM10+CO10+CQ10+CS10+CU10+CW10+CY10+DA10+DC10+DE10+DG10</f>
        <v>31508</v>
      </c>
      <c r="DM10" s="547">
        <f>+CL10+CN10+CP10+CR10+CT10+CV10+CX10+CZ10+DB10+DD10+DF10+DH10</f>
        <v>31508</v>
      </c>
      <c r="DN10" s="548">
        <f>115000-AA10-BE15-CI15-DL15</f>
        <v>8250</v>
      </c>
      <c r="DO10" s="546">
        <v>1400</v>
      </c>
      <c r="DP10" s="546">
        <v>1585</v>
      </c>
      <c r="DQ10" s="546">
        <v>1400</v>
      </c>
      <c r="DR10" s="546">
        <v>1651</v>
      </c>
      <c r="DS10" s="546">
        <v>1450</v>
      </c>
      <c r="DT10" s="546">
        <v>1530</v>
      </c>
      <c r="DU10" s="546">
        <v>2000</v>
      </c>
      <c r="DV10" s="549">
        <v>1944</v>
      </c>
      <c r="DW10" s="546">
        <v>2000</v>
      </c>
      <c r="DX10" s="546">
        <v>1575</v>
      </c>
      <c r="DY10" s="546"/>
      <c r="DZ10" s="546"/>
      <c r="EA10" s="546"/>
      <c r="EB10" s="546"/>
      <c r="EC10" s="546"/>
      <c r="ED10" s="546"/>
      <c r="EE10" s="546"/>
      <c r="EF10" s="546"/>
      <c r="EG10" s="546"/>
      <c r="EH10" s="546"/>
      <c r="EI10" s="546"/>
      <c r="EJ10" s="546"/>
      <c r="EK10" s="546"/>
      <c r="EL10" s="546"/>
      <c r="EM10" s="546">
        <f>DO10+DQ10+DS10+DU10+DW10+DY10</f>
        <v>8250</v>
      </c>
      <c r="EN10" s="546">
        <f>+DO10+DQ10+DS10+DU10+DW10</f>
        <v>8250</v>
      </c>
      <c r="EO10" s="546">
        <f>+DP10+DR10+DT10+DV10+DX10+DZ10</f>
        <v>8285</v>
      </c>
      <c r="EP10" s="547">
        <f>+DO10+DQ10+DS10+DU10+DW10+DY10</f>
        <v>8250</v>
      </c>
      <c r="EQ10" s="546">
        <f>+DP10+DR10+DT10+DV10+DX10+DZ10</f>
        <v>8285</v>
      </c>
      <c r="ER10" s="401">
        <f>DX10/DW10</f>
        <v>0.78749999999999998</v>
      </c>
      <c r="ES10" s="401">
        <f>+EO10/EN10</f>
        <v>1.0042424242424242</v>
      </c>
      <c r="ET10" s="401">
        <f>+EQ10/EP10</f>
        <v>1.0042424242424242</v>
      </c>
      <c r="EU10" s="401">
        <f>(AA10+BE10+CI10+DM10+EO10)/(Z10+BD10+CH10+DL10+EN10)</f>
        <v>0.9774830512905418</v>
      </c>
      <c r="EV10" s="401">
        <f>+(AA10+BE10+CI10+DM10+EQ10)/G10</f>
        <v>1</v>
      </c>
      <c r="EW10" s="840" t="s">
        <v>444</v>
      </c>
      <c r="EX10" s="824" t="s">
        <v>81</v>
      </c>
      <c r="EY10" s="824" t="s">
        <v>81</v>
      </c>
      <c r="EZ10" s="853" t="s">
        <v>431</v>
      </c>
      <c r="FA10" s="830" t="s">
        <v>360</v>
      </c>
    </row>
    <row r="11" spans="1:157" s="110" customFormat="1" ht="39" customHeight="1" x14ac:dyDescent="0.25">
      <c r="A11" s="786"/>
      <c r="B11" s="801"/>
      <c r="C11" s="804"/>
      <c r="D11" s="804"/>
      <c r="E11" s="807"/>
      <c r="F11" s="434" t="s">
        <v>107</v>
      </c>
      <c r="G11" s="95">
        <f>+AA11+BE11+CI11+DM11+EP11</f>
        <v>21543116387</v>
      </c>
      <c r="H11" s="95">
        <v>1900000000</v>
      </c>
      <c r="I11" s="95"/>
      <c r="J11" s="95"/>
      <c r="K11" s="95">
        <v>1900000000</v>
      </c>
      <c r="L11" s="95">
        <v>420855000</v>
      </c>
      <c r="M11" s="95">
        <v>1900000000</v>
      </c>
      <c r="N11" s="95">
        <v>1574140000</v>
      </c>
      <c r="O11" s="95">
        <v>1900000000</v>
      </c>
      <c r="P11" s="95">
        <v>1586806000</v>
      </c>
      <c r="Q11" s="95">
        <v>1900000000</v>
      </c>
      <c r="R11" s="95">
        <v>1586806000</v>
      </c>
      <c r="S11" s="95">
        <v>1907236000</v>
      </c>
      <c r="T11" s="95">
        <v>1747178000</v>
      </c>
      <c r="U11" s="95">
        <v>1908587000</v>
      </c>
      <c r="V11" s="95">
        <v>1899628200</v>
      </c>
      <c r="W11" s="95">
        <f>+U11</f>
        <v>1908587000</v>
      </c>
      <c r="X11" s="95">
        <f>+U11</f>
        <v>1908587000</v>
      </c>
      <c r="Y11" s="95">
        <f>+V11</f>
        <v>1899628200</v>
      </c>
      <c r="Z11" s="95">
        <f>+X11</f>
        <v>1908587000</v>
      </c>
      <c r="AA11" s="95">
        <f>+Y11</f>
        <v>1899628200</v>
      </c>
      <c r="AB11" s="95">
        <v>3710180000</v>
      </c>
      <c r="AC11" s="95">
        <v>0</v>
      </c>
      <c r="AD11" s="95">
        <v>0</v>
      </c>
      <c r="AE11" s="95">
        <f>+AF11</f>
        <v>2105863000</v>
      </c>
      <c r="AF11" s="95">
        <v>2105863000</v>
      </c>
      <c r="AG11" s="95">
        <v>700676000</v>
      </c>
      <c r="AH11" s="95">
        <v>700676000</v>
      </c>
      <c r="AI11" s="95">
        <v>179072000</v>
      </c>
      <c r="AJ11" s="95">
        <v>179072000</v>
      </c>
      <c r="AK11" s="95">
        <v>24066000</v>
      </c>
      <c r="AL11" s="95">
        <v>24066000</v>
      </c>
      <c r="AM11" s="95">
        <v>333770000</v>
      </c>
      <c r="AN11" s="95">
        <v>277938000</v>
      </c>
      <c r="AO11" s="95">
        <v>8500000</v>
      </c>
      <c r="AP11" s="95">
        <v>3025600</v>
      </c>
      <c r="AQ11" s="95">
        <v>13752000</v>
      </c>
      <c r="AR11" s="95">
        <v>13752000</v>
      </c>
      <c r="AS11" s="95">
        <v>460457633</v>
      </c>
      <c r="AT11" s="95">
        <v>258122133</v>
      </c>
      <c r="AU11" s="95">
        <v>45718500</v>
      </c>
      <c r="AV11" s="95">
        <v>73544500</v>
      </c>
      <c r="AW11" s="95">
        <v>7441000</v>
      </c>
      <c r="AX11" s="95">
        <v>56688000</v>
      </c>
      <c r="AY11" s="95">
        <v>67528967</v>
      </c>
      <c r="AZ11" s="95">
        <v>70336000</v>
      </c>
      <c r="BA11" s="95">
        <f t="shared" ref="BA11:BA16" si="1">+AC11+AE11+AG11+AI11+AK11+AM11+AO11+AQ11+AS11+AU11+AW11+AY11</f>
        <v>3946845100</v>
      </c>
      <c r="BB11" s="95">
        <f t="shared" ref="BB11:BC16" si="2">+AC11+AE11+AG11+AI11+AK11+AM11+AO11+AQ11+AS11+AU11+AW11+AY11</f>
        <v>3946845100</v>
      </c>
      <c r="BC11" s="95">
        <f t="shared" si="2"/>
        <v>3763083233</v>
      </c>
      <c r="BD11" s="95">
        <f t="shared" ref="BD11:BD16" si="3">AC11+AE11+AG11+AI11+AK11+AM11+AO11+AQ11+AS11+AU11+AW11+AY11</f>
        <v>3946845100</v>
      </c>
      <c r="BE11" s="95">
        <f t="shared" ref="BE11:BE16" si="4">AD11+AF11+AH11+AJ11+AL11+AN11++AP11+AR11+AT11+AV11+AX11+AZ11</f>
        <v>3763083233</v>
      </c>
      <c r="BF11" s="95">
        <v>4954580000</v>
      </c>
      <c r="BG11" s="95">
        <v>4766485000</v>
      </c>
      <c r="BH11" s="95">
        <v>4766485000</v>
      </c>
      <c r="BI11" s="95">
        <v>8000000</v>
      </c>
      <c r="BJ11" s="95">
        <v>0</v>
      </c>
      <c r="BK11" s="95">
        <v>18000000</v>
      </c>
      <c r="BL11" s="95">
        <v>0</v>
      </c>
      <c r="BM11" s="95">
        <v>0</v>
      </c>
      <c r="BN11" s="95">
        <v>0</v>
      </c>
      <c r="BO11" s="95">
        <v>0</v>
      </c>
      <c r="BP11" s="95">
        <v>0</v>
      </c>
      <c r="BQ11" s="95">
        <v>0</v>
      </c>
      <c r="BR11" s="95">
        <v>0</v>
      </c>
      <c r="BS11" s="95">
        <v>0</v>
      </c>
      <c r="BT11" s="95">
        <v>0</v>
      </c>
      <c r="BU11" s="95">
        <v>0</v>
      </c>
      <c r="BV11" s="95">
        <v>42615000</v>
      </c>
      <c r="BW11" s="95">
        <v>-41131800</v>
      </c>
      <c r="BX11" s="95">
        <v>-41131800</v>
      </c>
      <c r="BY11" s="95">
        <v>92693966</v>
      </c>
      <c r="BZ11" s="95">
        <v>76078966</v>
      </c>
      <c r="CA11" s="95">
        <v>477203242</v>
      </c>
      <c r="CB11" s="95">
        <v>448117236</v>
      </c>
      <c r="CC11" s="95">
        <v>270536959</v>
      </c>
      <c r="CD11" s="95">
        <v>277100632</v>
      </c>
      <c r="CE11" s="95">
        <f>+BG11+BI11+BK11+BM11+BO11+BQ11+BS11+BU11+BW11+BY11+CA11+CC11</f>
        <v>5591787367</v>
      </c>
      <c r="CF11" s="95">
        <f t="shared" ref="CF11:CF16" si="5">+BG11+BI11+BK11+BM11+BO11+BQ11+BS11+BU11+BW11+BY11+CA11+CC11</f>
        <v>5591787367</v>
      </c>
      <c r="CG11" s="95">
        <f>+BH11+BJ11+BL11+BN11+BP11+BR11+BT11+BV11+BX11+BZ11+CB11+CD11</f>
        <v>5569265034</v>
      </c>
      <c r="CH11" s="95">
        <f>+BG11+BI11+BK11+BM11+BO11+BQ11+BS11+BU11+BW11+BY11+CA11+CC11</f>
        <v>5591787367</v>
      </c>
      <c r="CI11" s="95">
        <v>5569265034</v>
      </c>
      <c r="CJ11" s="100">
        <v>3996329000</v>
      </c>
      <c r="CK11" s="100">
        <v>625000000</v>
      </c>
      <c r="CL11" s="100">
        <f>+CK11</f>
        <v>625000000</v>
      </c>
      <c r="CM11" s="100">
        <f>+CN11</f>
        <v>108656500</v>
      </c>
      <c r="CN11" s="100">
        <v>108656500</v>
      </c>
      <c r="CO11" s="100">
        <v>2854169000</v>
      </c>
      <c r="CP11" s="100">
        <f>+CO11</f>
        <v>2854169000</v>
      </c>
      <c r="CQ11" s="100">
        <v>220977000</v>
      </c>
      <c r="CR11" s="100">
        <v>186472000</v>
      </c>
      <c r="CS11" s="100">
        <v>38000000</v>
      </c>
      <c r="CT11" s="100">
        <v>0</v>
      </c>
      <c r="CU11" s="100">
        <v>0</v>
      </c>
      <c r="CV11" s="100">
        <v>0</v>
      </c>
      <c r="CW11" s="100">
        <v>0</v>
      </c>
      <c r="CX11" s="100">
        <v>0</v>
      </c>
      <c r="CY11" s="100">
        <v>10172000</v>
      </c>
      <c r="CZ11" s="100">
        <v>8000000</v>
      </c>
      <c r="DA11" s="100">
        <v>0</v>
      </c>
      <c r="DB11" s="100">
        <v>0</v>
      </c>
      <c r="DC11" s="100">
        <v>0</v>
      </c>
      <c r="DD11" s="100">
        <v>-17759000</v>
      </c>
      <c r="DE11" s="100">
        <v>0</v>
      </c>
      <c r="DF11" s="100">
        <v>37155601</v>
      </c>
      <c r="DG11" s="100">
        <v>221412980</v>
      </c>
      <c r="DH11" s="201">
        <v>276533819</v>
      </c>
      <c r="DI11" s="100">
        <f t="shared" ref="DI11:DJ40" si="6">+CK11+CM11+CO11+CQ11+CS11+CU11+CW11+CY11+DA11+DC11+DE11+DG11</f>
        <v>4078387480</v>
      </c>
      <c r="DJ11" s="100">
        <f t="shared" ref="DJ11:DJ40" si="7">+CK11+CM11+CO11+CQ11+CS11+CU11+CW11+CY11+DA11+DC11+DE11</f>
        <v>3856974500</v>
      </c>
      <c r="DK11" s="100">
        <f>+CL11+CN11+CP11+CR11+CT11+CV11+CX11+CZ11+DB11+DD11+DF11+DH11</f>
        <v>4078227920</v>
      </c>
      <c r="DL11" s="100">
        <f>+CK11+CM11+CO11+CQ11+CS11+CU11+CW11+CY11+DA11+DC11+DE11+DG11</f>
        <v>4078387480</v>
      </c>
      <c r="DM11" s="100">
        <f t="shared" si="0"/>
        <v>4078227920</v>
      </c>
      <c r="DN11" s="247">
        <v>6232912000</v>
      </c>
      <c r="DO11" s="100">
        <v>596699000</v>
      </c>
      <c r="DP11" s="550">
        <v>310480000</v>
      </c>
      <c r="DQ11" s="100">
        <v>27802000</v>
      </c>
      <c r="DR11" s="100">
        <v>908980500</v>
      </c>
      <c r="DS11" s="100">
        <v>143385000</v>
      </c>
      <c r="DT11" s="100">
        <v>361812000</v>
      </c>
      <c r="DU11" s="100">
        <v>643398000</v>
      </c>
      <c r="DV11" s="551">
        <v>666188500</v>
      </c>
      <c r="DW11" s="100">
        <v>586000000</v>
      </c>
      <c r="DX11" s="100">
        <v>388495573</v>
      </c>
      <c r="DY11" s="100">
        <f>DN11-(DO11+DQ11+DS11+DU11+DW11)</f>
        <v>4235628000</v>
      </c>
      <c r="DZ11" s="552"/>
      <c r="EA11" s="552"/>
      <c r="EB11" s="552"/>
      <c r="EC11" s="552"/>
      <c r="ED11" s="552"/>
      <c r="EE11" s="552"/>
      <c r="EF11" s="552"/>
      <c r="EG11" s="552"/>
      <c r="EH11" s="552"/>
      <c r="EI11" s="552"/>
      <c r="EJ11" s="552"/>
      <c r="EK11" s="552"/>
      <c r="EL11" s="552"/>
      <c r="EM11" s="100">
        <f>+DO11+DQ11+DS11+DU11+DW11+DY11</f>
        <v>6232912000</v>
      </c>
      <c r="EN11" s="100">
        <f>+DO11+DQ11+DS11+DU11</f>
        <v>1411284000</v>
      </c>
      <c r="EO11" s="100">
        <f>+DP11+DR11+DT11+DV11+DX11+DZ11</f>
        <v>2635956573</v>
      </c>
      <c r="EP11" s="100">
        <f>+DO11+DQ11+DS11+DU11+DW11+DY11</f>
        <v>6232912000</v>
      </c>
      <c r="EQ11" s="100">
        <f>+DP11+DR11+DT11+DV11+DX11+DZ11</f>
        <v>2635956573</v>
      </c>
      <c r="ER11" s="401">
        <f t="shared" ref="ER11:ER36" si="8">DX11/DW11</f>
        <v>0.66296172866894199</v>
      </c>
      <c r="ES11" s="401">
        <f t="shared" ref="ES11:ES36" si="9">+EO11/EN11</f>
        <v>1.8677718822008893</v>
      </c>
      <c r="ET11" s="401">
        <f t="shared" ref="ET11:ET37" si="10">+EQ11/EP11</f>
        <v>0.42290931959251149</v>
      </c>
      <c r="EU11" s="401">
        <f t="shared" ref="EU11:EU15" si="11">(AA11+BE11+CI11+DM11+EO11)/(Z11+BD11+CH11+DL11+EN11)</f>
        <v>1.0595900402357359</v>
      </c>
      <c r="EV11" s="401">
        <f>+(AA11+BE11+CI11+DM11+EQ11)/G11</f>
        <v>0.83303458225892746</v>
      </c>
      <c r="EW11" s="840"/>
      <c r="EX11" s="825"/>
      <c r="EY11" s="825"/>
      <c r="EZ11" s="854"/>
      <c r="FA11" s="831"/>
    </row>
    <row r="12" spans="1:157" s="110" customFormat="1" ht="39" customHeight="1" x14ac:dyDescent="0.25">
      <c r="A12" s="786"/>
      <c r="B12" s="801"/>
      <c r="C12" s="804"/>
      <c r="D12" s="804"/>
      <c r="E12" s="807"/>
      <c r="F12" s="435" t="s">
        <v>108</v>
      </c>
      <c r="G12" s="95"/>
      <c r="H12" s="95"/>
      <c r="I12" s="95"/>
      <c r="J12" s="95"/>
      <c r="K12" s="95"/>
      <c r="L12" s="95"/>
      <c r="M12" s="95"/>
      <c r="N12" s="95"/>
      <c r="O12" s="95"/>
      <c r="P12" s="95"/>
      <c r="Q12" s="95"/>
      <c r="R12" s="95"/>
      <c r="S12" s="95"/>
      <c r="T12" s="95"/>
      <c r="U12" s="95"/>
      <c r="V12" s="95"/>
      <c r="W12" s="95"/>
      <c r="X12" s="95"/>
      <c r="Y12" s="95"/>
      <c r="Z12" s="95"/>
      <c r="AA12" s="95"/>
      <c r="AB12" s="95">
        <v>3710180000</v>
      </c>
      <c r="AC12" s="95">
        <v>0</v>
      </c>
      <c r="AD12" s="95">
        <v>0</v>
      </c>
      <c r="AE12" s="95">
        <v>0</v>
      </c>
      <c r="AF12" s="95">
        <v>0</v>
      </c>
      <c r="AG12" s="95">
        <v>80812869</v>
      </c>
      <c r="AH12" s="95">
        <v>80812869</v>
      </c>
      <c r="AI12" s="95">
        <v>283668335</v>
      </c>
      <c r="AJ12" s="95">
        <v>283668335</v>
      </c>
      <c r="AK12" s="95">
        <v>313891333</v>
      </c>
      <c r="AL12" s="95">
        <v>313891333</v>
      </c>
      <c r="AM12" s="95">
        <v>354310000</v>
      </c>
      <c r="AN12" s="95">
        <v>324349000</v>
      </c>
      <c r="AO12" s="95">
        <v>366809400</v>
      </c>
      <c r="AP12" s="95">
        <v>335537100</v>
      </c>
      <c r="AQ12" s="95">
        <v>424984775</v>
      </c>
      <c r="AR12" s="95">
        <v>424984775</v>
      </c>
      <c r="AS12" s="95">
        <v>380500000</v>
      </c>
      <c r="AT12" s="95">
        <v>371765459</v>
      </c>
      <c r="AU12" s="95">
        <f>496311068-103857037</f>
        <v>392454031</v>
      </c>
      <c r="AV12" s="95">
        <v>363626849</v>
      </c>
      <c r="AW12" s="95">
        <v>473011000</v>
      </c>
      <c r="AX12" s="95">
        <v>328037333</v>
      </c>
      <c r="AY12" s="95">
        <v>876403357</v>
      </c>
      <c r="AZ12" s="95">
        <v>429932182</v>
      </c>
      <c r="BA12" s="95">
        <f t="shared" si="1"/>
        <v>3946845100</v>
      </c>
      <c r="BB12" s="95">
        <f t="shared" si="2"/>
        <v>3946845100</v>
      </c>
      <c r="BC12" s="95">
        <f t="shared" si="2"/>
        <v>3256605235</v>
      </c>
      <c r="BD12" s="95">
        <f t="shared" si="3"/>
        <v>3946845100</v>
      </c>
      <c r="BE12" s="95">
        <f t="shared" si="4"/>
        <v>3256605235</v>
      </c>
      <c r="BF12" s="95">
        <v>4954580000</v>
      </c>
      <c r="BG12" s="95">
        <v>0</v>
      </c>
      <c r="BH12" s="95">
        <v>0</v>
      </c>
      <c r="BI12" s="95">
        <v>73801606</v>
      </c>
      <c r="BJ12" s="95">
        <v>51687467</v>
      </c>
      <c r="BK12" s="95">
        <v>373801606</v>
      </c>
      <c r="BL12" s="95">
        <v>473900703</v>
      </c>
      <c r="BM12" s="95">
        <v>473801606</v>
      </c>
      <c r="BN12" s="95">
        <v>471039710</v>
      </c>
      <c r="BO12" s="95">
        <v>473801606</v>
      </c>
      <c r="BP12" s="95">
        <v>401379967</v>
      </c>
      <c r="BQ12" s="95">
        <v>473801606</v>
      </c>
      <c r="BR12" s="95">
        <v>417647018</v>
      </c>
      <c r="BS12" s="95">
        <v>473801606</v>
      </c>
      <c r="BT12" s="95">
        <v>459744310</v>
      </c>
      <c r="BU12" s="95">
        <v>473801606</v>
      </c>
      <c r="BV12" s="95">
        <v>397440066</v>
      </c>
      <c r="BW12" s="95">
        <v>468921073</v>
      </c>
      <c r="BX12" s="95">
        <v>429499217</v>
      </c>
      <c r="BY12" s="95">
        <v>459266275</v>
      </c>
      <c r="BZ12" s="95">
        <v>459266275</v>
      </c>
      <c r="CA12" s="95">
        <v>468921073</v>
      </c>
      <c r="CB12" s="95">
        <v>456689172</v>
      </c>
      <c r="CC12" s="95">
        <v>1378067704</v>
      </c>
      <c r="CD12" s="95">
        <v>743363297</v>
      </c>
      <c r="CE12" s="95">
        <f>+BG12+BI12+BK12+BM12+BO12+BQ12+BS12+BU12+BW12+BY12+CA12+CC12</f>
        <v>5591787367</v>
      </c>
      <c r="CF12" s="95">
        <f t="shared" si="5"/>
        <v>5591787367</v>
      </c>
      <c r="CG12" s="95">
        <f>+BH12+BJ12+BL12+BN12+BP12+BR12+BT12+BV12+BX12+BZ12+CB12+CD12</f>
        <v>4761657202</v>
      </c>
      <c r="CH12" s="95">
        <f>+BG12+BI12+BK12+BM12+BO12+BQ12+BS12+BU12+BW12+BY12+CA12+CC12</f>
        <v>5591787367</v>
      </c>
      <c r="CI12" s="95">
        <f>+BH12+BJ12+BL12+BN12+BP12+BR12+BT12+BV12+BX12+BZ12+CB12+CD12</f>
        <v>4761657202</v>
      </c>
      <c r="CJ12" s="100">
        <v>3996329000</v>
      </c>
      <c r="CK12" s="100">
        <v>0</v>
      </c>
      <c r="CL12" s="100">
        <v>0</v>
      </c>
      <c r="CM12" s="100">
        <v>0</v>
      </c>
      <c r="CN12" s="100">
        <v>0</v>
      </c>
      <c r="CO12" s="100">
        <v>1705667</v>
      </c>
      <c r="CP12" s="100">
        <v>1705667</v>
      </c>
      <c r="CQ12" s="100">
        <v>181054402</v>
      </c>
      <c r="CR12" s="100">
        <v>173120603</v>
      </c>
      <c r="CS12" s="100">
        <v>384579233</v>
      </c>
      <c r="CT12" s="100">
        <v>314789900</v>
      </c>
      <c r="CU12" s="100">
        <v>413199000</v>
      </c>
      <c r="CV12" s="100">
        <v>357559709</v>
      </c>
      <c r="CW12" s="100">
        <v>413199000</v>
      </c>
      <c r="CX12" s="100">
        <v>406928395</v>
      </c>
      <c r="CY12" s="100">
        <v>413199000</v>
      </c>
      <c r="CZ12" s="100">
        <v>381480935</v>
      </c>
      <c r="DA12" s="100">
        <v>413199000</v>
      </c>
      <c r="DB12" s="100">
        <v>430257646</v>
      </c>
      <c r="DC12" s="100">
        <v>413199000</v>
      </c>
      <c r="DD12" s="100">
        <v>451703880</v>
      </c>
      <c r="DE12" s="100">
        <v>475200000</v>
      </c>
      <c r="DF12" s="100">
        <v>403906811</v>
      </c>
      <c r="DG12" s="100">
        <v>969853178</v>
      </c>
      <c r="DH12" s="201">
        <v>655095136</v>
      </c>
      <c r="DI12" s="100">
        <f t="shared" si="6"/>
        <v>4078387480</v>
      </c>
      <c r="DJ12" s="100">
        <f t="shared" si="7"/>
        <v>3108534302</v>
      </c>
      <c r="DK12" s="100">
        <f>+CL12+CN12+CP12+CR12+CT12+CV12+CX12+CZ12+DB12+DD12+DF12+DH12</f>
        <v>3576548682</v>
      </c>
      <c r="DL12" s="100">
        <f t="shared" si="0"/>
        <v>4078387480</v>
      </c>
      <c r="DM12" s="100">
        <f>+CL12+CN12+CP12+CR12+CT12+CV12+CX12+CZ12+DB12+DD12+DF12+DH12</f>
        <v>3576548682</v>
      </c>
      <c r="DN12" s="247">
        <f>+DN11</f>
        <v>6232912000</v>
      </c>
      <c r="DO12" s="100">
        <v>0</v>
      </c>
      <c r="DP12" s="100">
        <v>0</v>
      </c>
      <c r="DQ12" s="100">
        <v>150258004</v>
      </c>
      <c r="DR12" s="100">
        <v>53144233</v>
      </c>
      <c r="DS12" s="100">
        <v>450774000</v>
      </c>
      <c r="DT12" s="100">
        <v>197281433</v>
      </c>
      <c r="DU12" s="100">
        <v>450774000</v>
      </c>
      <c r="DV12" s="551">
        <v>278763354.80046946</v>
      </c>
      <c r="DW12" s="100">
        <v>450774000</v>
      </c>
      <c r="DX12" s="100">
        <v>339040570.19999999</v>
      </c>
      <c r="DY12" s="100">
        <f>DN12-(DQ12+DS12+DU12+DW12)</f>
        <v>4730331996</v>
      </c>
      <c r="DZ12" s="552"/>
      <c r="EA12" s="100"/>
      <c r="EB12" s="552"/>
      <c r="EC12" s="552"/>
      <c r="ED12" s="552"/>
      <c r="EE12" s="552"/>
      <c r="EF12" s="552"/>
      <c r="EG12" s="552"/>
      <c r="EH12" s="552"/>
      <c r="EI12" s="552"/>
      <c r="EJ12" s="552"/>
      <c r="EK12" s="552"/>
      <c r="EL12" s="552"/>
      <c r="EM12" s="100">
        <f>+DO12+DQ12+DS12+DU12+DW12+DY12</f>
        <v>6232912000</v>
      </c>
      <c r="EN12" s="100">
        <f>+DO12+DQ12+DS12+DU12</f>
        <v>1051806004</v>
      </c>
      <c r="EO12" s="100">
        <v>0</v>
      </c>
      <c r="EP12" s="100">
        <f t="shared" ref="EP12:EQ14" si="12">+DO12+DQ12+DS12+DU12+DW12+DY12</f>
        <v>6232912000</v>
      </c>
      <c r="EQ12" s="100">
        <f t="shared" si="12"/>
        <v>868229591.00046945</v>
      </c>
      <c r="ER12" s="401">
        <f t="shared" si="8"/>
        <v>0.75212982603255729</v>
      </c>
      <c r="ES12" s="401">
        <f t="shared" si="9"/>
        <v>0</v>
      </c>
      <c r="ET12" s="401">
        <f t="shared" si="10"/>
        <v>0.13929758530209788</v>
      </c>
      <c r="EU12" s="401">
        <f t="shared" si="11"/>
        <v>0.79043893204074467</v>
      </c>
      <c r="EV12" s="401">
        <f>+IFERROR(((AA12+BE12+CI12+DM12+EQ12)/G12),0)</f>
        <v>0</v>
      </c>
      <c r="EW12" s="840"/>
      <c r="EX12" s="825"/>
      <c r="EY12" s="825"/>
      <c r="EZ12" s="854"/>
      <c r="FA12" s="831"/>
    </row>
    <row r="13" spans="1:157" s="21" customFormat="1" ht="39" customHeight="1" x14ac:dyDescent="0.25">
      <c r="A13" s="786"/>
      <c r="B13" s="801"/>
      <c r="C13" s="804"/>
      <c r="D13" s="804"/>
      <c r="E13" s="807"/>
      <c r="F13" s="436" t="s">
        <v>109</v>
      </c>
      <c r="G13" s="546">
        <f>+AA13+BE13+CI13+DM13+EP13</f>
        <v>2861</v>
      </c>
      <c r="H13" s="553"/>
      <c r="I13" s="553"/>
      <c r="J13" s="553"/>
      <c r="K13" s="546"/>
      <c r="L13" s="553"/>
      <c r="M13" s="546"/>
      <c r="N13" s="553"/>
      <c r="O13" s="546"/>
      <c r="P13" s="546"/>
      <c r="Q13" s="546"/>
      <c r="R13" s="546"/>
      <c r="S13" s="553"/>
      <c r="T13" s="553"/>
      <c r="U13" s="553"/>
      <c r="V13" s="546"/>
      <c r="W13" s="553"/>
      <c r="X13" s="553"/>
      <c r="Y13" s="553"/>
      <c r="Z13" s="553"/>
      <c r="AA13" s="553"/>
      <c r="AB13" s="378">
        <v>1823</v>
      </c>
      <c r="AC13" s="378">
        <v>926</v>
      </c>
      <c r="AD13" s="378">
        <v>926</v>
      </c>
      <c r="AE13" s="378">
        <v>825</v>
      </c>
      <c r="AF13" s="378">
        <v>825</v>
      </c>
      <c r="AG13" s="378">
        <v>72</v>
      </c>
      <c r="AH13" s="378">
        <v>72</v>
      </c>
      <c r="AI13" s="378">
        <v>0</v>
      </c>
      <c r="AJ13" s="378">
        <v>0</v>
      </c>
      <c r="AK13" s="378">
        <v>0</v>
      </c>
      <c r="AL13" s="378">
        <v>0</v>
      </c>
      <c r="AM13" s="554">
        <v>0</v>
      </c>
      <c r="AN13" s="554">
        <v>0</v>
      </c>
      <c r="AO13" s="554">
        <v>0</v>
      </c>
      <c r="AP13" s="554">
        <v>0</v>
      </c>
      <c r="AQ13" s="554">
        <v>0</v>
      </c>
      <c r="AR13" s="554">
        <v>0</v>
      </c>
      <c r="AS13" s="554">
        <v>0</v>
      </c>
      <c r="AT13" s="554">
        <v>0</v>
      </c>
      <c r="AU13" s="546">
        <v>0</v>
      </c>
      <c r="AV13" s="546">
        <v>0</v>
      </c>
      <c r="AW13" s="546">
        <v>0</v>
      </c>
      <c r="AX13" s="546">
        <v>0</v>
      </c>
      <c r="AY13" s="546">
        <v>0</v>
      </c>
      <c r="AZ13" s="546">
        <v>0</v>
      </c>
      <c r="BA13" s="546">
        <f t="shared" si="1"/>
        <v>1823</v>
      </c>
      <c r="BB13" s="546">
        <f t="shared" si="2"/>
        <v>1823</v>
      </c>
      <c r="BC13" s="546">
        <f t="shared" si="2"/>
        <v>1823</v>
      </c>
      <c r="BD13" s="546">
        <f t="shared" si="3"/>
        <v>1823</v>
      </c>
      <c r="BE13" s="546">
        <f t="shared" si="4"/>
        <v>1823</v>
      </c>
      <c r="BF13" s="552">
        <v>0</v>
      </c>
      <c r="BG13" s="554">
        <v>0</v>
      </c>
      <c r="BH13" s="554">
        <v>0</v>
      </c>
      <c r="BI13" s="554">
        <v>0</v>
      </c>
      <c r="BJ13" s="554">
        <v>0</v>
      </c>
      <c r="BK13" s="554">
        <v>0</v>
      </c>
      <c r="BL13" s="554">
        <v>0</v>
      </c>
      <c r="BM13" s="554">
        <v>0</v>
      </c>
      <c r="BN13" s="554">
        <v>0</v>
      </c>
      <c r="BO13" s="554">
        <v>0</v>
      </c>
      <c r="BP13" s="554">
        <v>0</v>
      </c>
      <c r="BQ13" s="554">
        <v>0</v>
      </c>
      <c r="BR13" s="554">
        <v>0</v>
      </c>
      <c r="BS13" s="554">
        <v>0</v>
      </c>
      <c r="BT13" s="554">
        <v>0</v>
      </c>
      <c r="BU13" s="554">
        <v>0</v>
      </c>
      <c r="BV13" s="554">
        <v>0</v>
      </c>
      <c r="BW13" s="554">
        <v>0</v>
      </c>
      <c r="BX13" s="554">
        <v>0</v>
      </c>
      <c r="BY13" s="554">
        <v>0</v>
      </c>
      <c r="BZ13" s="554">
        <v>0</v>
      </c>
      <c r="CA13" s="554">
        <v>0</v>
      </c>
      <c r="CB13" s="554">
        <v>0</v>
      </c>
      <c r="CC13" s="554">
        <v>0</v>
      </c>
      <c r="CD13" s="552">
        <v>0</v>
      </c>
      <c r="CE13" s="554">
        <f>+BG13+BI13+BK13+BM13+BO13+BQ13+BS13+BU13+BW13+BY13+CA13+CC13</f>
        <v>0</v>
      </c>
      <c r="CF13" s="554">
        <f t="shared" si="5"/>
        <v>0</v>
      </c>
      <c r="CG13" s="546">
        <f>+BH13+BJ13+BL13+BN13+BP13+BR13+BT13+BV13+BX13+BZ13+CB13+CD13</f>
        <v>0</v>
      </c>
      <c r="CH13" s="546">
        <f>+BG13+BI13+BK13+BM13+BO13+BQ13+BS13+BU13+BW13+BY13+CA13+CC13</f>
        <v>0</v>
      </c>
      <c r="CI13" s="546">
        <f>+BH13+BJ13+BL13+BN13+BP13+BR13+BT13+BV13+BX13+BZ13+CB13+CD13</f>
        <v>0</v>
      </c>
      <c r="CJ13" s="555">
        <v>1038</v>
      </c>
      <c r="CK13" s="556">
        <v>915</v>
      </c>
      <c r="CL13" s="556">
        <v>915</v>
      </c>
      <c r="CM13" s="555">
        <f>+CN13</f>
        <v>89</v>
      </c>
      <c r="CN13" s="556">
        <v>89</v>
      </c>
      <c r="CO13" s="555">
        <v>34</v>
      </c>
      <c r="CP13" s="556">
        <v>34</v>
      </c>
      <c r="CQ13" s="556">
        <v>0</v>
      </c>
      <c r="CR13" s="556">
        <v>0</v>
      </c>
      <c r="CS13" s="556">
        <v>0</v>
      </c>
      <c r="CT13" s="556">
        <v>0</v>
      </c>
      <c r="CU13" s="556">
        <v>0</v>
      </c>
      <c r="CV13" s="556">
        <v>0</v>
      </c>
      <c r="CW13" s="556">
        <v>0</v>
      </c>
      <c r="CX13" s="556">
        <v>0</v>
      </c>
      <c r="CY13" s="556">
        <v>0</v>
      </c>
      <c r="CZ13" s="556">
        <v>0</v>
      </c>
      <c r="DA13" s="556">
        <v>0</v>
      </c>
      <c r="DB13" s="556">
        <v>0</v>
      </c>
      <c r="DC13" s="556">
        <v>0</v>
      </c>
      <c r="DD13" s="556">
        <v>0</v>
      </c>
      <c r="DE13" s="556">
        <v>0</v>
      </c>
      <c r="DF13" s="556">
        <v>0</v>
      </c>
      <c r="DG13" s="556">
        <v>0</v>
      </c>
      <c r="DH13" s="557"/>
      <c r="DI13" s="556">
        <f>+CK13+CM13+CO13+CQ13+CS13+CU13+CW13+CY13+DA13+DC13+DE13+DG13</f>
        <v>1038</v>
      </c>
      <c r="DJ13" s="556">
        <f t="shared" si="7"/>
        <v>1038</v>
      </c>
      <c r="DK13" s="556">
        <f>+CL13+CN13+CP13+CR13+CT13+CV13+CX13+CZ13+DB13+DD13+DF13+DH13</f>
        <v>1038</v>
      </c>
      <c r="DL13" s="556">
        <f t="shared" si="0"/>
        <v>1038</v>
      </c>
      <c r="DM13" s="556">
        <f t="shared" si="0"/>
        <v>1038</v>
      </c>
      <c r="DN13" s="558">
        <v>0</v>
      </c>
      <c r="DO13" s="552"/>
      <c r="DP13" s="552"/>
      <c r="DQ13" s="552"/>
      <c r="DR13" s="552"/>
      <c r="DS13" s="552"/>
      <c r="DT13" s="552"/>
      <c r="DU13" s="552"/>
      <c r="DV13" s="559"/>
      <c r="DW13" s="552"/>
      <c r="DX13" s="552"/>
      <c r="DY13" s="552"/>
      <c r="DZ13" s="554"/>
      <c r="EA13" s="560"/>
      <c r="EB13" s="554"/>
      <c r="EC13" s="554"/>
      <c r="ED13" s="554"/>
      <c r="EE13" s="554"/>
      <c r="EF13" s="554"/>
      <c r="EG13" s="554"/>
      <c r="EH13" s="554"/>
      <c r="EI13" s="554"/>
      <c r="EJ13" s="554"/>
      <c r="EK13" s="554"/>
      <c r="EL13" s="554"/>
      <c r="EM13" s="95">
        <f t="shared" ref="EM13:EM30" si="13">SUM(DO13:EA13)</f>
        <v>0</v>
      </c>
      <c r="EN13" s="546">
        <f>+DO13+DQ13+DS13+DU13</f>
        <v>0</v>
      </c>
      <c r="EO13" s="546">
        <f t="shared" ref="EO13:EO14" si="14">+DP13+DR13+DT13+DV13+DX13+DZ13</f>
        <v>0</v>
      </c>
      <c r="EP13" s="547">
        <f t="shared" si="12"/>
        <v>0</v>
      </c>
      <c r="EQ13" s="546">
        <f t="shared" si="12"/>
        <v>0</v>
      </c>
      <c r="ER13" s="401">
        <f>IFERROR(DX13/DW13,0)</f>
        <v>0</v>
      </c>
      <c r="ES13" s="401">
        <f>IFERROR(EO13/EN13,0)</f>
        <v>0</v>
      </c>
      <c r="ET13" s="401">
        <f>IFERROR(EQ13/EP13,0)</f>
        <v>0</v>
      </c>
      <c r="EU13" s="401">
        <f t="shared" si="11"/>
        <v>1</v>
      </c>
      <c r="EV13" s="401">
        <f t="shared" ref="EV13:EV15" si="15">+(AA13+BE13+CI13+DM13+EQ13)/G13</f>
        <v>1</v>
      </c>
      <c r="EW13" s="840"/>
      <c r="EX13" s="825"/>
      <c r="EY13" s="825"/>
      <c r="EZ13" s="854"/>
      <c r="FA13" s="831"/>
    </row>
    <row r="14" spans="1:157" s="110" customFormat="1" ht="39" customHeight="1" x14ac:dyDescent="0.25">
      <c r="A14" s="786"/>
      <c r="B14" s="801"/>
      <c r="C14" s="804"/>
      <c r="D14" s="804"/>
      <c r="E14" s="807"/>
      <c r="F14" s="434" t="s">
        <v>110</v>
      </c>
      <c r="G14" s="95">
        <f>+AA14+BE14+CI14+DM14+EP14</f>
        <v>2302072819</v>
      </c>
      <c r="H14" s="95"/>
      <c r="I14" s="95"/>
      <c r="J14" s="95"/>
      <c r="K14" s="95"/>
      <c r="L14" s="95"/>
      <c r="M14" s="95"/>
      <c r="N14" s="95"/>
      <c r="O14" s="95"/>
      <c r="P14" s="95"/>
      <c r="Q14" s="95"/>
      <c r="R14" s="95"/>
      <c r="S14" s="95"/>
      <c r="T14" s="95"/>
      <c r="U14" s="95"/>
      <c r="V14" s="95"/>
      <c r="W14" s="95"/>
      <c r="X14" s="95"/>
      <c r="Y14" s="95"/>
      <c r="Z14" s="95"/>
      <c r="AA14" s="95"/>
      <c r="AB14" s="95">
        <v>592192767</v>
      </c>
      <c r="AC14" s="95">
        <f>+AD14</f>
        <v>225660600</v>
      </c>
      <c r="AD14" s="95">
        <v>225660600</v>
      </c>
      <c r="AE14" s="95">
        <v>185920733</v>
      </c>
      <c r="AF14" s="95">
        <v>185920733</v>
      </c>
      <c r="AG14" s="95">
        <v>101089467</v>
      </c>
      <c r="AH14" s="95">
        <v>101089467</v>
      </c>
      <c r="AI14" s="95">
        <v>32518933</v>
      </c>
      <c r="AJ14" s="95">
        <v>32518933</v>
      </c>
      <c r="AK14" s="95">
        <v>16944400</v>
      </c>
      <c r="AL14" s="95">
        <v>16944400</v>
      </c>
      <c r="AM14" s="95">
        <v>23186217</v>
      </c>
      <c r="AN14" s="95">
        <v>18469250</v>
      </c>
      <c r="AO14" s="95">
        <v>2685600</v>
      </c>
      <c r="AP14" s="95">
        <v>1902300</v>
      </c>
      <c r="AQ14" s="95">
        <v>0</v>
      </c>
      <c r="AR14" s="95">
        <v>2814667</v>
      </c>
      <c r="AS14" s="95">
        <v>0</v>
      </c>
      <c r="AT14" s="95">
        <v>2685600</v>
      </c>
      <c r="AU14" s="95">
        <v>0</v>
      </c>
      <c r="AV14" s="95">
        <v>0</v>
      </c>
      <c r="AW14" s="95">
        <v>0</v>
      </c>
      <c r="AX14" s="95">
        <v>0</v>
      </c>
      <c r="AY14" s="95">
        <v>0</v>
      </c>
      <c r="AZ14" s="95">
        <v>0</v>
      </c>
      <c r="BA14" s="95">
        <f t="shared" si="1"/>
        <v>588005950</v>
      </c>
      <c r="BB14" s="95">
        <f t="shared" si="2"/>
        <v>588005950</v>
      </c>
      <c r="BC14" s="95">
        <f t="shared" si="2"/>
        <v>588005950</v>
      </c>
      <c r="BD14" s="95">
        <f t="shared" si="3"/>
        <v>588005950</v>
      </c>
      <c r="BE14" s="95">
        <f t="shared" si="4"/>
        <v>588005950</v>
      </c>
      <c r="BF14" s="95">
        <v>506477998</v>
      </c>
      <c r="BG14" s="95">
        <v>202405817</v>
      </c>
      <c r="BH14" s="95">
        <v>202405817</v>
      </c>
      <c r="BI14" s="95">
        <v>210000000</v>
      </c>
      <c r="BJ14" s="95">
        <v>190270667</v>
      </c>
      <c r="BK14" s="95">
        <v>94072181</v>
      </c>
      <c r="BL14" s="95">
        <v>32305349</v>
      </c>
      <c r="BM14" s="95">
        <v>-23783200</v>
      </c>
      <c r="BN14" s="95">
        <v>12873533</v>
      </c>
      <c r="BO14" s="95">
        <v>-9956000</v>
      </c>
      <c r="BP14" s="95">
        <v>9330599</v>
      </c>
      <c r="BQ14" s="95">
        <v>-5370400</v>
      </c>
      <c r="BR14" s="95">
        <v>2301600</v>
      </c>
      <c r="BS14" s="95">
        <v>0</v>
      </c>
      <c r="BT14" s="95">
        <v>6726200</v>
      </c>
      <c r="BU14" s="95">
        <v>0</v>
      </c>
      <c r="BV14" s="95">
        <v>8213700</v>
      </c>
      <c r="BW14" s="95">
        <v>0</v>
      </c>
      <c r="BX14" s="95">
        <v>2940933</v>
      </c>
      <c r="BY14" s="95">
        <v>0</v>
      </c>
      <c r="BZ14" s="95">
        <v>0</v>
      </c>
      <c r="CA14" s="95">
        <v>0</v>
      </c>
      <c r="CB14" s="95">
        <v>0</v>
      </c>
      <c r="CC14" s="95">
        <v>0</v>
      </c>
      <c r="CD14" s="95">
        <v>0</v>
      </c>
      <c r="CE14" s="95">
        <f>+BG14+BI14+BK14+BM14+BO14+BQ14+BS14+BU14+BW14+BY14+CA14+CC14</f>
        <v>467368398</v>
      </c>
      <c r="CF14" s="95">
        <f t="shared" si="5"/>
        <v>467368398</v>
      </c>
      <c r="CG14" s="95">
        <f>+BH14+BJ14+BL14+BN14+BP14+BR14+BT14+BV14+BX14+BZ14+CB14+CD14</f>
        <v>467368398</v>
      </c>
      <c r="CH14" s="95">
        <f>+BG14+BI14+BK14+BM14+BO14+BQ14+BS14+BU14+BW14+BY14+CA14+CC14</f>
        <v>467368398</v>
      </c>
      <c r="CI14" s="95">
        <f>+BH14+BJ14+BL14+BN14+BP14+BR14+BT14+BV14+BX14+BZ14+CB14+CD14</f>
        <v>467368398</v>
      </c>
      <c r="CJ14" s="100">
        <v>807607832</v>
      </c>
      <c r="CK14" s="100">
        <v>142053367</v>
      </c>
      <c r="CL14" s="100">
        <v>142053367</v>
      </c>
      <c r="CM14" s="100">
        <f>+CN14</f>
        <v>280891885</v>
      </c>
      <c r="CN14" s="100">
        <v>280891885</v>
      </c>
      <c r="CO14" s="100">
        <v>116338524</v>
      </c>
      <c r="CP14" s="100">
        <v>116338524</v>
      </c>
      <c r="CQ14" s="100">
        <v>114630857</v>
      </c>
      <c r="CR14" s="100">
        <v>123544848</v>
      </c>
      <c r="CS14" s="100">
        <v>42733733</v>
      </c>
      <c r="CT14" s="100">
        <v>35674518</v>
      </c>
      <c r="CU14" s="100">
        <v>37623467</v>
      </c>
      <c r="CV14" s="100">
        <v>6176549</v>
      </c>
      <c r="CW14" s="100">
        <v>41663322</v>
      </c>
      <c r="CX14" s="100">
        <v>23696967</v>
      </c>
      <c r="CY14" s="100">
        <v>0</v>
      </c>
      <c r="CZ14" s="100">
        <v>10323008</v>
      </c>
      <c r="DA14" s="100">
        <v>0</v>
      </c>
      <c r="DB14" s="100">
        <v>2057533</v>
      </c>
      <c r="DC14" s="100">
        <v>31672677</v>
      </c>
      <c r="DD14" s="100">
        <v>0</v>
      </c>
      <c r="DE14" s="100">
        <v>0</v>
      </c>
      <c r="DF14" s="100">
        <v>2351467</v>
      </c>
      <c r="DG14" s="100">
        <v>-37770433</v>
      </c>
      <c r="DH14" s="100">
        <v>1910567</v>
      </c>
      <c r="DI14" s="100">
        <f t="shared" si="6"/>
        <v>769837399</v>
      </c>
      <c r="DJ14" s="100">
        <f>+CK14+CM14+CO14+CQ14+CS14+CU14+CW14+CY14+DA14+DC14+DE14</f>
        <v>807607832</v>
      </c>
      <c r="DK14" s="100">
        <f>+CL14+CN14+CP14+CR14+CT14+CV14+CX14+CZ14+DB14+DD14+DF14+DH14</f>
        <v>745019233</v>
      </c>
      <c r="DL14" s="100">
        <f t="shared" si="0"/>
        <v>769837399</v>
      </c>
      <c r="DM14" s="100">
        <f t="shared" si="0"/>
        <v>745019233</v>
      </c>
      <c r="DN14" s="247">
        <f>DM11-DM12</f>
        <v>501679238</v>
      </c>
      <c r="DO14" s="552">
        <v>43151933</v>
      </c>
      <c r="DP14" s="552">
        <v>70405099</v>
      </c>
      <c r="DQ14" s="552">
        <v>293383902</v>
      </c>
      <c r="DR14" s="552">
        <v>224130917.7019583</v>
      </c>
      <c r="DS14" s="552">
        <v>98930701</v>
      </c>
      <c r="DT14" s="552">
        <v>130245458.14738357</v>
      </c>
      <c r="DU14" s="552">
        <v>56557711</v>
      </c>
      <c r="DV14" s="559">
        <v>52154762.150658131</v>
      </c>
      <c r="DW14" s="552">
        <f>2698000+6956991</f>
        <v>9654991</v>
      </c>
      <c r="DX14" s="552">
        <v>0</v>
      </c>
      <c r="DY14" s="552"/>
      <c r="DZ14" s="552"/>
      <c r="EA14" s="552"/>
      <c r="EB14" s="552"/>
      <c r="EC14" s="552"/>
      <c r="ED14" s="552"/>
      <c r="EE14" s="552"/>
      <c r="EF14" s="552"/>
      <c r="EG14" s="552"/>
      <c r="EH14" s="552"/>
      <c r="EI14" s="552"/>
      <c r="EJ14" s="552"/>
      <c r="EK14" s="552"/>
      <c r="EL14" s="552"/>
      <c r="EM14" s="100">
        <f>DO14+DQ14+DS14+DU14+DW14+DY14</f>
        <v>501679238</v>
      </c>
      <c r="EN14" s="100">
        <f>+DO14+DQ14+DS14+DU14</f>
        <v>492024247</v>
      </c>
      <c r="EO14" s="100">
        <f t="shared" si="14"/>
        <v>476936237</v>
      </c>
      <c r="EP14" s="100">
        <f t="shared" si="12"/>
        <v>501679238</v>
      </c>
      <c r="EQ14" s="100">
        <f t="shared" si="12"/>
        <v>476936237</v>
      </c>
      <c r="ER14" s="401">
        <f t="shared" si="8"/>
        <v>0</v>
      </c>
      <c r="ES14" s="401">
        <f t="shared" si="9"/>
        <v>0.96933482426527651</v>
      </c>
      <c r="ET14" s="401">
        <f t="shared" si="10"/>
        <v>0.95067963924789722</v>
      </c>
      <c r="EU14" s="401">
        <f t="shared" si="11"/>
        <v>0.98277854473893522</v>
      </c>
      <c r="EV14" s="401">
        <f t="shared" si="15"/>
        <v>0.9892518599777621</v>
      </c>
      <c r="EW14" s="840"/>
      <c r="EX14" s="825"/>
      <c r="EY14" s="825"/>
      <c r="EZ14" s="854"/>
      <c r="FA14" s="831"/>
    </row>
    <row r="15" spans="1:157" s="110" customFormat="1" ht="39" customHeight="1" thickBot="1" x14ac:dyDescent="0.3">
      <c r="A15" s="786"/>
      <c r="B15" s="801"/>
      <c r="C15" s="804"/>
      <c r="D15" s="804"/>
      <c r="E15" s="807"/>
      <c r="F15" s="436" t="s">
        <v>111</v>
      </c>
      <c r="G15" s="561">
        <f>+G10+G13</f>
        <v>115035</v>
      </c>
      <c r="H15" s="379">
        <f>+H10+H13</f>
        <v>10000</v>
      </c>
      <c r="I15" s="379"/>
      <c r="J15" s="379"/>
      <c r="K15" s="561">
        <v>10000</v>
      </c>
      <c r="L15" s="379">
        <f>+L10</f>
        <v>1904</v>
      </c>
      <c r="M15" s="561">
        <v>10000</v>
      </c>
      <c r="N15" s="561">
        <v>2889</v>
      </c>
      <c r="O15" s="561">
        <v>10000</v>
      </c>
      <c r="P15" s="561">
        <f>+P10</f>
        <v>4220</v>
      </c>
      <c r="Q15" s="561">
        <v>10000</v>
      </c>
      <c r="R15" s="561">
        <f>+R10</f>
        <v>5695</v>
      </c>
      <c r="S15" s="379">
        <v>10000</v>
      </c>
      <c r="T15" s="379">
        <f>+T10</f>
        <v>6617</v>
      </c>
      <c r="U15" s="379">
        <v>10000</v>
      </c>
      <c r="V15" s="561">
        <v>8177</v>
      </c>
      <c r="W15" s="379">
        <f>+W10</f>
        <v>10000</v>
      </c>
      <c r="X15" s="379">
        <f t="shared" ref="X15:AA16" si="16">+X10</f>
        <v>10000</v>
      </c>
      <c r="Y15" s="379">
        <f t="shared" si="16"/>
        <v>8177</v>
      </c>
      <c r="Z15" s="379">
        <f t="shared" si="16"/>
        <v>10000</v>
      </c>
      <c r="AA15" s="379">
        <f t="shared" si="16"/>
        <v>8177</v>
      </c>
      <c r="AB15" s="379">
        <f t="shared" ref="AB15:AZ16" si="17">+AB10+AB13</f>
        <v>23823</v>
      </c>
      <c r="AC15" s="379">
        <f t="shared" si="17"/>
        <v>926</v>
      </c>
      <c r="AD15" s="379">
        <f t="shared" si="17"/>
        <v>926</v>
      </c>
      <c r="AE15" s="379">
        <f t="shared" si="17"/>
        <v>1802</v>
      </c>
      <c r="AF15" s="379">
        <f t="shared" si="17"/>
        <v>1802</v>
      </c>
      <c r="AG15" s="379">
        <f t="shared" si="17"/>
        <v>174</v>
      </c>
      <c r="AH15" s="379">
        <f t="shared" si="17"/>
        <v>174</v>
      </c>
      <c r="AI15" s="379">
        <f t="shared" si="17"/>
        <v>1928</v>
      </c>
      <c r="AJ15" s="379">
        <f t="shared" si="17"/>
        <v>1928</v>
      </c>
      <c r="AK15" s="379">
        <f>+AK10+AK13</f>
        <v>4064</v>
      </c>
      <c r="AL15" s="379">
        <f t="shared" si="17"/>
        <v>4064</v>
      </c>
      <c r="AM15" s="379">
        <f t="shared" si="17"/>
        <v>1800</v>
      </c>
      <c r="AN15" s="379">
        <f>+AN10+AN13</f>
        <v>1954</v>
      </c>
      <c r="AO15" s="379">
        <f t="shared" si="17"/>
        <v>1800</v>
      </c>
      <c r="AP15" s="379">
        <f t="shared" si="17"/>
        <v>1810</v>
      </c>
      <c r="AQ15" s="379">
        <f t="shared" si="17"/>
        <v>4267</v>
      </c>
      <c r="AR15" s="379">
        <f t="shared" si="17"/>
        <v>4267</v>
      </c>
      <c r="AS15" s="379">
        <f t="shared" si="17"/>
        <v>2400</v>
      </c>
      <c r="AT15" s="379">
        <f t="shared" si="17"/>
        <v>2955</v>
      </c>
      <c r="AU15" s="379">
        <f t="shared" si="17"/>
        <v>2800</v>
      </c>
      <c r="AV15" s="379">
        <f t="shared" si="17"/>
        <v>2169</v>
      </c>
      <c r="AW15" s="379">
        <f t="shared" si="17"/>
        <v>2400</v>
      </c>
      <c r="AX15" s="379">
        <f t="shared" si="17"/>
        <v>2488</v>
      </c>
      <c r="AY15" s="379">
        <f t="shared" si="17"/>
        <v>2462</v>
      </c>
      <c r="AZ15" s="379">
        <f t="shared" si="17"/>
        <v>2528</v>
      </c>
      <c r="BA15" s="562">
        <f t="shared" si="1"/>
        <v>26823</v>
      </c>
      <c r="BB15" s="562">
        <f t="shared" si="2"/>
        <v>26823</v>
      </c>
      <c r="BC15" s="562">
        <f t="shared" si="2"/>
        <v>27065</v>
      </c>
      <c r="BD15" s="562">
        <f t="shared" si="3"/>
        <v>26823</v>
      </c>
      <c r="BE15" s="562">
        <f t="shared" si="4"/>
        <v>27065</v>
      </c>
      <c r="BF15" s="379">
        <f t="shared" ref="BF15:CD16" si="18">+BF10+BF13</f>
        <v>31000</v>
      </c>
      <c r="BG15" s="379">
        <f t="shared" si="18"/>
        <v>1014</v>
      </c>
      <c r="BH15" s="379">
        <f t="shared" si="18"/>
        <v>1014</v>
      </c>
      <c r="BI15" s="379">
        <f t="shared" si="18"/>
        <v>2300</v>
      </c>
      <c r="BJ15" s="379">
        <f t="shared" si="18"/>
        <v>1700</v>
      </c>
      <c r="BK15" s="379">
        <f>+BK10+BK13</f>
        <v>2686</v>
      </c>
      <c r="BL15" s="379">
        <f t="shared" si="18"/>
        <v>2986</v>
      </c>
      <c r="BM15" s="379">
        <f t="shared" si="18"/>
        <v>2900</v>
      </c>
      <c r="BN15" s="379">
        <f t="shared" si="18"/>
        <v>3242</v>
      </c>
      <c r="BO15" s="379">
        <f t="shared" si="18"/>
        <v>2900</v>
      </c>
      <c r="BP15" s="379">
        <f t="shared" si="18"/>
        <v>3667</v>
      </c>
      <c r="BQ15" s="379">
        <f t="shared" si="18"/>
        <v>3200</v>
      </c>
      <c r="BR15" s="379">
        <f t="shared" si="18"/>
        <v>3326</v>
      </c>
      <c r="BS15" s="379">
        <f t="shared" si="18"/>
        <v>3000</v>
      </c>
      <c r="BT15" s="379">
        <f t="shared" si="18"/>
        <v>3392</v>
      </c>
      <c r="BU15" s="379">
        <f t="shared" si="18"/>
        <v>3000</v>
      </c>
      <c r="BV15" s="379">
        <f t="shared" si="18"/>
        <v>3621</v>
      </c>
      <c r="BW15" s="379">
        <f t="shared" si="18"/>
        <v>3000</v>
      </c>
      <c r="BX15" s="379">
        <f t="shared" si="18"/>
        <v>4141</v>
      </c>
      <c r="BY15" s="379">
        <f t="shared" si="18"/>
        <v>2500</v>
      </c>
      <c r="BZ15" s="379">
        <f t="shared" si="18"/>
        <v>3083</v>
      </c>
      <c r="CA15" s="379">
        <f t="shared" si="18"/>
        <v>2500</v>
      </c>
      <c r="CB15" s="379">
        <f t="shared" si="18"/>
        <v>4757</v>
      </c>
      <c r="CC15" s="379">
        <f t="shared" si="18"/>
        <v>11000</v>
      </c>
      <c r="CD15" s="379">
        <f t="shared" si="18"/>
        <v>4033</v>
      </c>
      <c r="CE15" s="379">
        <f>+CE10+CE13</f>
        <v>40000</v>
      </c>
      <c r="CF15" s="379">
        <f t="shared" si="5"/>
        <v>40000</v>
      </c>
      <c r="CG15" s="379">
        <f t="shared" ref="CG15:DH16" si="19">+CG10+CG13</f>
        <v>38962</v>
      </c>
      <c r="CH15" s="379">
        <f t="shared" si="19"/>
        <v>40000</v>
      </c>
      <c r="CI15" s="379">
        <f t="shared" si="19"/>
        <v>38962</v>
      </c>
      <c r="CJ15" s="389">
        <f t="shared" si="19"/>
        <v>29538</v>
      </c>
      <c r="CK15" s="389">
        <f>+CK10+CK13</f>
        <v>2378</v>
      </c>
      <c r="CL15" s="389">
        <f t="shared" si="19"/>
        <v>2378</v>
      </c>
      <c r="CM15" s="389">
        <f t="shared" si="19"/>
        <v>3078</v>
      </c>
      <c r="CN15" s="389">
        <f t="shared" si="19"/>
        <v>3078</v>
      </c>
      <c r="CO15" s="389">
        <f t="shared" si="19"/>
        <v>2947</v>
      </c>
      <c r="CP15" s="389">
        <f t="shared" si="19"/>
        <v>2947</v>
      </c>
      <c r="CQ15" s="389">
        <f t="shared" si="19"/>
        <v>2500</v>
      </c>
      <c r="CR15" s="389">
        <f t="shared" si="19"/>
        <v>2670</v>
      </c>
      <c r="CS15" s="389">
        <f t="shared" si="19"/>
        <v>2500</v>
      </c>
      <c r="CT15" s="389">
        <f t="shared" si="19"/>
        <v>2504</v>
      </c>
      <c r="CU15" s="389">
        <f t="shared" si="19"/>
        <v>2500</v>
      </c>
      <c r="CV15" s="389">
        <f t="shared" si="19"/>
        <v>2543</v>
      </c>
      <c r="CW15" s="389">
        <f t="shared" si="19"/>
        <v>2500</v>
      </c>
      <c r="CX15" s="389">
        <f>+CX10+CX13</f>
        <v>2533</v>
      </c>
      <c r="CY15" s="389">
        <f t="shared" si="19"/>
        <v>2500</v>
      </c>
      <c r="CZ15" s="389">
        <f t="shared" si="19"/>
        <v>2746</v>
      </c>
      <c r="DA15" s="389">
        <f t="shared" si="19"/>
        <v>2500</v>
      </c>
      <c r="DB15" s="389">
        <f t="shared" si="19"/>
        <v>2506</v>
      </c>
      <c r="DC15" s="389">
        <f t="shared" si="19"/>
        <v>2500</v>
      </c>
      <c r="DD15" s="389">
        <f t="shared" si="19"/>
        <v>2603</v>
      </c>
      <c r="DE15" s="389">
        <f t="shared" si="19"/>
        <v>2500</v>
      </c>
      <c r="DF15" s="389">
        <f t="shared" si="19"/>
        <v>2911</v>
      </c>
      <c r="DG15" s="389">
        <f t="shared" si="19"/>
        <v>4143</v>
      </c>
      <c r="DH15" s="396">
        <f t="shared" si="19"/>
        <v>3127</v>
      </c>
      <c r="DI15" s="389">
        <f t="shared" si="6"/>
        <v>32546</v>
      </c>
      <c r="DJ15" s="389">
        <f t="shared" si="7"/>
        <v>28403</v>
      </c>
      <c r="DK15" s="389">
        <f>+DK10+DK13</f>
        <v>32546</v>
      </c>
      <c r="DL15" s="389">
        <f>+DL10+DL13</f>
        <v>32546</v>
      </c>
      <c r="DM15" s="389">
        <f>+DM10+DM13</f>
        <v>32546</v>
      </c>
      <c r="DN15" s="379">
        <f>+DN10</f>
        <v>8250</v>
      </c>
      <c r="DO15" s="379">
        <f>+DO10</f>
        <v>1400</v>
      </c>
      <c r="DP15" s="379">
        <f t="shared" ref="DP15:DX15" si="20">+DP10</f>
        <v>1585</v>
      </c>
      <c r="DQ15" s="379">
        <f t="shared" si="20"/>
        <v>1400</v>
      </c>
      <c r="DR15" s="379">
        <f>+DR10+DR13</f>
        <v>1651</v>
      </c>
      <c r="DS15" s="379">
        <f t="shared" si="20"/>
        <v>1450</v>
      </c>
      <c r="DT15" s="379">
        <f t="shared" si="20"/>
        <v>1530</v>
      </c>
      <c r="DU15" s="379">
        <f t="shared" si="20"/>
        <v>2000</v>
      </c>
      <c r="DV15" s="563">
        <f t="shared" si="20"/>
        <v>1944</v>
      </c>
      <c r="DW15" s="379">
        <f t="shared" si="20"/>
        <v>2000</v>
      </c>
      <c r="DX15" s="379">
        <f t="shared" si="20"/>
        <v>1575</v>
      </c>
      <c r="DY15" s="379"/>
      <c r="DZ15" s="379"/>
      <c r="EA15" s="379"/>
      <c r="EB15" s="379"/>
      <c r="EC15" s="379"/>
      <c r="ED15" s="379"/>
      <c r="EE15" s="379"/>
      <c r="EF15" s="379"/>
      <c r="EG15" s="379"/>
      <c r="EH15" s="379"/>
      <c r="EI15" s="379"/>
      <c r="EJ15" s="379"/>
      <c r="EK15" s="379"/>
      <c r="EL15" s="379"/>
      <c r="EM15" s="249">
        <f>DO15+DQ15+DS15+DU15+DW15+DY15</f>
        <v>8250</v>
      </c>
      <c r="EN15" s="561">
        <f>+EN10+EN13</f>
        <v>8250</v>
      </c>
      <c r="EO15" s="561">
        <f>+EO13+EO10</f>
        <v>8285</v>
      </c>
      <c r="EP15" s="561">
        <f>+EP13+EP10</f>
        <v>8250</v>
      </c>
      <c r="EQ15" s="561">
        <f>+EQ13+EQ10</f>
        <v>8285</v>
      </c>
      <c r="ER15" s="406">
        <f t="shared" si="8"/>
        <v>0.78749999999999998</v>
      </c>
      <c r="ES15" s="406">
        <f t="shared" si="9"/>
        <v>1.0042424242424242</v>
      </c>
      <c r="ET15" s="406">
        <f t="shared" si="10"/>
        <v>1.0042424242424242</v>
      </c>
      <c r="EU15" s="406">
        <f t="shared" si="11"/>
        <v>0.97803076033634018</v>
      </c>
      <c r="EV15" s="406">
        <f t="shared" si="15"/>
        <v>1</v>
      </c>
      <c r="EW15" s="840"/>
      <c r="EX15" s="825"/>
      <c r="EY15" s="825"/>
      <c r="EZ15" s="854"/>
      <c r="FA15" s="831"/>
    </row>
    <row r="16" spans="1:157" s="111" customFormat="1" ht="39" customHeight="1" thickBot="1" x14ac:dyDescent="0.3">
      <c r="A16" s="786"/>
      <c r="B16" s="801"/>
      <c r="C16" s="804"/>
      <c r="D16" s="804"/>
      <c r="E16" s="807"/>
      <c r="F16" s="437" t="s">
        <v>112</v>
      </c>
      <c r="G16" s="197">
        <f>+G11+G14</f>
        <v>23845189206</v>
      </c>
      <c r="H16" s="196">
        <f>+H11+H14</f>
        <v>1900000000</v>
      </c>
      <c r="I16" s="196"/>
      <c r="J16" s="196"/>
      <c r="K16" s="196">
        <v>1900000000</v>
      </c>
      <c r="L16" s="196">
        <f>+L11</f>
        <v>420855000</v>
      </c>
      <c r="M16" s="196">
        <v>1900000000</v>
      </c>
      <c r="N16" s="196">
        <v>1574140000</v>
      </c>
      <c r="O16" s="196">
        <v>1900000000</v>
      </c>
      <c r="P16" s="196">
        <f>+P11</f>
        <v>1586806000</v>
      </c>
      <c r="Q16" s="196">
        <v>1900000000</v>
      </c>
      <c r="R16" s="196">
        <f>+R11</f>
        <v>1586806000</v>
      </c>
      <c r="S16" s="196">
        <f>+S11</f>
        <v>1907236000</v>
      </c>
      <c r="T16" s="196">
        <f>+T11</f>
        <v>1747178000</v>
      </c>
      <c r="U16" s="196">
        <v>1908587000</v>
      </c>
      <c r="V16" s="196">
        <v>1899628200</v>
      </c>
      <c r="W16" s="196">
        <f>+W11</f>
        <v>1908587000</v>
      </c>
      <c r="X16" s="196">
        <f t="shared" si="16"/>
        <v>1908587000</v>
      </c>
      <c r="Y16" s="196">
        <f t="shared" si="16"/>
        <v>1899628200</v>
      </c>
      <c r="Z16" s="196">
        <f t="shared" si="16"/>
        <v>1908587000</v>
      </c>
      <c r="AA16" s="196">
        <f t="shared" si="16"/>
        <v>1899628200</v>
      </c>
      <c r="AB16" s="196">
        <f>+AB11+AB14</f>
        <v>4302372767</v>
      </c>
      <c r="AC16" s="196">
        <f>+AC11+AC14</f>
        <v>225660600</v>
      </c>
      <c r="AD16" s="196">
        <f>+AD11+AD14</f>
        <v>225660600</v>
      </c>
      <c r="AE16" s="196">
        <f t="shared" si="17"/>
        <v>2291783733</v>
      </c>
      <c r="AF16" s="196">
        <f t="shared" si="17"/>
        <v>2291783733</v>
      </c>
      <c r="AG16" s="196">
        <f t="shared" si="17"/>
        <v>801765467</v>
      </c>
      <c r="AH16" s="196">
        <f t="shared" si="17"/>
        <v>801765467</v>
      </c>
      <c r="AI16" s="196">
        <f t="shared" si="17"/>
        <v>211590933</v>
      </c>
      <c r="AJ16" s="196">
        <f t="shared" si="17"/>
        <v>211590933</v>
      </c>
      <c r="AK16" s="196">
        <f>+AK11+AK14</f>
        <v>41010400</v>
      </c>
      <c r="AL16" s="196">
        <f>+AL11+AL14</f>
        <v>41010400</v>
      </c>
      <c r="AM16" s="196">
        <f t="shared" si="17"/>
        <v>356956217</v>
      </c>
      <c r="AN16" s="196">
        <f t="shared" si="17"/>
        <v>296407250</v>
      </c>
      <c r="AO16" s="196">
        <f t="shared" si="17"/>
        <v>11185600</v>
      </c>
      <c r="AP16" s="196">
        <f t="shared" si="17"/>
        <v>4927900</v>
      </c>
      <c r="AQ16" s="196">
        <f t="shared" si="17"/>
        <v>13752000</v>
      </c>
      <c r="AR16" s="196">
        <f>+AR11+AR14</f>
        <v>16566667</v>
      </c>
      <c r="AS16" s="196">
        <f t="shared" si="17"/>
        <v>460457633</v>
      </c>
      <c r="AT16" s="196">
        <f t="shared" si="17"/>
        <v>260807733</v>
      </c>
      <c r="AU16" s="196">
        <f t="shared" si="17"/>
        <v>45718500</v>
      </c>
      <c r="AV16" s="196">
        <f t="shared" si="17"/>
        <v>73544500</v>
      </c>
      <c r="AW16" s="196">
        <f>+AW11+AW14</f>
        <v>7441000</v>
      </c>
      <c r="AX16" s="196">
        <f>+AX11+AX14</f>
        <v>56688000</v>
      </c>
      <c r="AY16" s="196">
        <f t="shared" si="17"/>
        <v>67528967</v>
      </c>
      <c r="AZ16" s="196">
        <f t="shared" si="17"/>
        <v>70336000</v>
      </c>
      <c r="BA16" s="196">
        <f t="shared" si="1"/>
        <v>4534851050</v>
      </c>
      <c r="BB16" s="196">
        <f t="shared" si="2"/>
        <v>4534851050</v>
      </c>
      <c r="BC16" s="196">
        <f t="shared" si="2"/>
        <v>4351089183</v>
      </c>
      <c r="BD16" s="196">
        <f t="shared" si="3"/>
        <v>4534851050</v>
      </c>
      <c r="BE16" s="196">
        <f t="shared" si="4"/>
        <v>4351089183</v>
      </c>
      <c r="BF16" s="196">
        <f t="shared" si="18"/>
        <v>5461057998</v>
      </c>
      <c r="BG16" s="196">
        <f t="shared" si="18"/>
        <v>4968890817</v>
      </c>
      <c r="BH16" s="196">
        <f t="shared" si="18"/>
        <v>4968890817</v>
      </c>
      <c r="BI16" s="196">
        <f t="shared" si="18"/>
        <v>218000000</v>
      </c>
      <c r="BJ16" s="196">
        <f t="shared" si="18"/>
        <v>190270667</v>
      </c>
      <c r="BK16" s="196">
        <f>+BK11+BK14</f>
        <v>112072181</v>
      </c>
      <c r="BL16" s="196">
        <f t="shared" si="18"/>
        <v>32305349</v>
      </c>
      <c r="BM16" s="196">
        <f t="shared" si="18"/>
        <v>-23783200</v>
      </c>
      <c r="BN16" s="196">
        <f t="shared" si="18"/>
        <v>12873533</v>
      </c>
      <c r="BO16" s="196">
        <f t="shared" si="18"/>
        <v>-9956000</v>
      </c>
      <c r="BP16" s="196">
        <f t="shared" si="18"/>
        <v>9330599</v>
      </c>
      <c r="BQ16" s="196">
        <f t="shared" si="18"/>
        <v>-5370400</v>
      </c>
      <c r="BR16" s="196">
        <f t="shared" si="18"/>
        <v>2301600</v>
      </c>
      <c r="BS16" s="196">
        <f t="shared" si="18"/>
        <v>0</v>
      </c>
      <c r="BT16" s="196">
        <f t="shared" si="18"/>
        <v>6726200</v>
      </c>
      <c r="BU16" s="196">
        <f t="shared" si="18"/>
        <v>0</v>
      </c>
      <c r="BV16" s="196">
        <f t="shared" si="18"/>
        <v>50828700</v>
      </c>
      <c r="BW16" s="196">
        <f t="shared" si="18"/>
        <v>-41131800</v>
      </c>
      <c r="BX16" s="196">
        <f t="shared" si="18"/>
        <v>-38190867</v>
      </c>
      <c r="BY16" s="196">
        <f t="shared" si="18"/>
        <v>92693966</v>
      </c>
      <c r="BZ16" s="196">
        <f t="shared" si="18"/>
        <v>76078966</v>
      </c>
      <c r="CA16" s="196">
        <f t="shared" si="18"/>
        <v>477203242</v>
      </c>
      <c r="CB16" s="196">
        <f t="shared" si="18"/>
        <v>448117236</v>
      </c>
      <c r="CC16" s="196">
        <f t="shared" si="18"/>
        <v>270536959</v>
      </c>
      <c r="CD16" s="196">
        <f t="shared" si="18"/>
        <v>277100632</v>
      </c>
      <c r="CE16" s="196">
        <f>+CE11+CE14</f>
        <v>6059155765</v>
      </c>
      <c r="CF16" s="196">
        <f t="shared" si="5"/>
        <v>6059155765</v>
      </c>
      <c r="CG16" s="196">
        <f>+CG11++CG14</f>
        <v>6036633432</v>
      </c>
      <c r="CH16" s="196">
        <f>+CH11++CH14</f>
        <v>6059155765</v>
      </c>
      <c r="CI16" s="196">
        <f>+CI11++CI14</f>
        <v>6036633432</v>
      </c>
      <c r="CJ16" s="197">
        <f>+CJ11+CJ14</f>
        <v>4803936832</v>
      </c>
      <c r="CK16" s="197">
        <f>+CK11+CK14</f>
        <v>767053367</v>
      </c>
      <c r="CL16" s="197">
        <f>+CL11+CL14</f>
        <v>767053367</v>
      </c>
      <c r="CM16" s="197">
        <f t="shared" si="19"/>
        <v>389548385</v>
      </c>
      <c r="CN16" s="197">
        <f t="shared" si="19"/>
        <v>389548385</v>
      </c>
      <c r="CO16" s="197">
        <f t="shared" si="19"/>
        <v>2970507524</v>
      </c>
      <c r="CP16" s="197">
        <f t="shared" si="19"/>
        <v>2970507524</v>
      </c>
      <c r="CQ16" s="197">
        <f t="shared" si="19"/>
        <v>335607857</v>
      </c>
      <c r="CR16" s="197">
        <f t="shared" si="19"/>
        <v>310016848</v>
      </c>
      <c r="CS16" s="197">
        <f t="shared" si="19"/>
        <v>80733733</v>
      </c>
      <c r="CT16" s="197">
        <f t="shared" si="19"/>
        <v>35674518</v>
      </c>
      <c r="CU16" s="197">
        <f t="shared" si="19"/>
        <v>37623467</v>
      </c>
      <c r="CV16" s="197">
        <f t="shared" si="19"/>
        <v>6176549</v>
      </c>
      <c r="CW16" s="197">
        <f t="shared" si="19"/>
        <v>41663322</v>
      </c>
      <c r="CX16" s="197">
        <f t="shared" si="19"/>
        <v>23696967</v>
      </c>
      <c r="CY16" s="197">
        <f t="shared" si="19"/>
        <v>10172000</v>
      </c>
      <c r="CZ16" s="197">
        <f t="shared" si="19"/>
        <v>18323008</v>
      </c>
      <c r="DA16" s="197">
        <f t="shared" si="19"/>
        <v>0</v>
      </c>
      <c r="DB16" s="197">
        <f t="shared" si="19"/>
        <v>2057533</v>
      </c>
      <c r="DC16" s="197">
        <f t="shared" si="19"/>
        <v>31672677</v>
      </c>
      <c r="DD16" s="197">
        <f t="shared" si="19"/>
        <v>-17759000</v>
      </c>
      <c r="DE16" s="197">
        <f t="shared" si="19"/>
        <v>0</v>
      </c>
      <c r="DF16" s="197">
        <f t="shared" si="19"/>
        <v>39507068</v>
      </c>
      <c r="DG16" s="197">
        <f t="shared" si="19"/>
        <v>183642547</v>
      </c>
      <c r="DH16" s="202">
        <f t="shared" si="19"/>
        <v>278444386</v>
      </c>
      <c r="DI16" s="197">
        <f t="shared" si="6"/>
        <v>4848224879</v>
      </c>
      <c r="DJ16" s="197">
        <f t="shared" si="7"/>
        <v>4664582332</v>
      </c>
      <c r="DK16" s="197">
        <f>+DK11++DK14</f>
        <v>4823247153</v>
      </c>
      <c r="DL16" s="197">
        <f>+DL11++DL14</f>
        <v>4848224879</v>
      </c>
      <c r="DM16" s="197">
        <f>+DM11++DM14</f>
        <v>4823247153</v>
      </c>
      <c r="DN16" s="438">
        <f>+DN11</f>
        <v>6232912000</v>
      </c>
      <c r="DO16" s="438">
        <f>+DO11</f>
        <v>596699000</v>
      </c>
      <c r="DP16" s="438">
        <f>+DP11+DP14</f>
        <v>380885099</v>
      </c>
      <c r="DQ16" s="438">
        <f>+DQ11</f>
        <v>27802000</v>
      </c>
      <c r="DR16" s="438">
        <f t="shared" ref="DR16:DY16" si="21">+DR11</f>
        <v>908980500</v>
      </c>
      <c r="DS16" s="439">
        <f t="shared" si="21"/>
        <v>143385000</v>
      </c>
      <c r="DT16" s="440">
        <f>+DT11+DT14</f>
        <v>492057458.14738357</v>
      </c>
      <c r="DU16" s="438">
        <f t="shared" si="21"/>
        <v>643398000</v>
      </c>
      <c r="DV16" s="438">
        <f t="shared" si="21"/>
        <v>666188500</v>
      </c>
      <c r="DW16" s="438">
        <f t="shared" si="21"/>
        <v>586000000</v>
      </c>
      <c r="DX16" s="438">
        <f t="shared" si="21"/>
        <v>388495573</v>
      </c>
      <c r="DY16" s="438">
        <f t="shared" si="21"/>
        <v>4235628000</v>
      </c>
      <c r="DZ16" s="438"/>
      <c r="EA16" s="438"/>
      <c r="EB16" s="438"/>
      <c r="EC16" s="438"/>
      <c r="ED16" s="438"/>
      <c r="EE16" s="438"/>
      <c r="EF16" s="438"/>
      <c r="EG16" s="438"/>
      <c r="EH16" s="438"/>
      <c r="EI16" s="438"/>
      <c r="EJ16" s="438"/>
      <c r="EK16" s="438"/>
      <c r="EL16" s="438"/>
      <c r="EM16" s="250">
        <f>DO16+DQ16+DS16+DU16+DW16+DY16</f>
        <v>6232912000</v>
      </c>
      <c r="EN16" s="438">
        <f>+EN11+EN14</f>
        <v>1903308247</v>
      </c>
      <c r="EO16" s="438">
        <f>+EO11+EO14</f>
        <v>3112892810</v>
      </c>
      <c r="EP16" s="438">
        <f t="shared" ref="EP16:EQ16" si="22">+EP11+EP14</f>
        <v>6734591238</v>
      </c>
      <c r="EQ16" s="438">
        <f t="shared" si="22"/>
        <v>3112892810</v>
      </c>
      <c r="ER16" s="592">
        <f t="shared" si="8"/>
        <v>0.66296172866894199</v>
      </c>
      <c r="ES16" s="273">
        <f>+EO16/EN16</f>
        <v>1.6355169032165708</v>
      </c>
      <c r="ET16" s="273">
        <f>+EQ16/EP16</f>
        <v>0.46222446173651499</v>
      </c>
      <c r="EU16" s="273">
        <f>(AA16+BE16+CI16+DM16+EO16)/(Z16+BD16+CH16+DL16+EN16)</f>
        <v>1.0503457695054363</v>
      </c>
      <c r="EV16" s="274">
        <f t="shared" ref="EV16:EV36" si="23">+(AA16+BE16+CI16+DM16+EQ16)/G16</f>
        <v>0.84811617988383603</v>
      </c>
      <c r="EW16" s="841"/>
      <c r="EX16" s="826"/>
      <c r="EY16" s="826"/>
      <c r="EZ16" s="855"/>
      <c r="FA16" s="832"/>
    </row>
    <row r="17" spans="1:157" s="21" customFormat="1" ht="39" customHeight="1" x14ac:dyDescent="0.25">
      <c r="A17" s="786"/>
      <c r="B17" s="800">
        <v>2</v>
      </c>
      <c r="C17" s="803" t="s">
        <v>113</v>
      </c>
      <c r="D17" s="803" t="s">
        <v>78</v>
      </c>
      <c r="E17" s="806">
        <v>237</v>
      </c>
      <c r="F17" s="433" t="s">
        <v>106</v>
      </c>
      <c r="G17" s="564">
        <f>+AA17+BE17+CI17+DM17+EP17</f>
        <v>3.6</v>
      </c>
      <c r="H17" s="564">
        <v>0</v>
      </c>
      <c r="I17" s="564"/>
      <c r="J17" s="564"/>
      <c r="K17" s="564">
        <v>0</v>
      </c>
      <c r="L17" s="564"/>
      <c r="M17" s="564">
        <v>0</v>
      </c>
      <c r="N17" s="564"/>
      <c r="O17" s="564">
        <v>0</v>
      </c>
      <c r="P17" s="564">
        <v>0</v>
      </c>
      <c r="Q17" s="564">
        <v>0</v>
      </c>
      <c r="R17" s="564">
        <v>0</v>
      </c>
      <c r="S17" s="564">
        <v>0</v>
      </c>
      <c r="T17" s="564">
        <v>0</v>
      </c>
      <c r="U17" s="564">
        <v>0</v>
      </c>
      <c r="V17" s="564">
        <v>0</v>
      </c>
      <c r="W17" s="564">
        <v>0</v>
      </c>
      <c r="X17" s="564">
        <v>0</v>
      </c>
      <c r="Y17" s="564">
        <v>0</v>
      </c>
      <c r="Z17" s="564">
        <v>0</v>
      </c>
      <c r="AA17" s="564">
        <v>0</v>
      </c>
      <c r="AB17" s="564">
        <v>0</v>
      </c>
      <c r="AC17" s="564">
        <v>0</v>
      </c>
      <c r="AD17" s="564">
        <v>0</v>
      </c>
      <c r="AE17" s="564">
        <v>0</v>
      </c>
      <c r="AF17" s="564">
        <v>0</v>
      </c>
      <c r="AG17" s="564">
        <v>0</v>
      </c>
      <c r="AH17" s="564">
        <v>0</v>
      </c>
      <c r="AI17" s="564">
        <v>0</v>
      </c>
      <c r="AJ17" s="564">
        <v>0</v>
      </c>
      <c r="AK17" s="564">
        <v>0</v>
      </c>
      <c r="AL17" s="564">
        <v>0</v>
      </c>
      <c r="AM17" s="564">
        <v>0</v>
      </c>
      <c r="AN17" s="564">
        <v>0</v>
      </c>
      <c r="AO17" s="564">
        <v>0</v>
      </c>
      <c r="AP17" s="564">
        <v>0</v>
      </c>
      <c r="AQ17" s="564">
        <v>0</v>
      </c>
      <c r="AR17" s="564">
        <v>0</v>
      </c>
      <c r="AS17" s="564">
        <v>0</v>
      </c>
      <c r="AT17" s="564">
        <v>0</v>
      </c>
      <c r="AU17" s="564">
        <v>0</v>
      </c>
      <c r="AV17" s="564">
        <v>0</v>
      </c>
      <c r="AW17" s="564">
        <v>0</v>
      </c>
      <c r="AX17" s="564">
        <v>0</v>
      </c>
      <c r="AY17" s="564">
        <v>0</v>
      </c>
      <c r="AZ17" s="565">
        <v>0</v>
      </c>
      <c r="BA17" s="564">
        <v>0</v>
      </c>
      <c r="BB17" s="564">
        <f>+AC17+AE17+AG17+AI17+AK17+AM17+AO17+AQ17+AS17+AU17+AW17</f>
        <v>0</v>
      </c>
      <c r="BC17" s="564">
        <v>0</v>
      </c>
      <c r="BD17" s="564">
        <v>0</v>
      </c>
      <c r="BE17" s="564">
        <v>0</v>
      </c>
      <c r="BF17" s="564">
        <v>0</v>
      </c>
      <c r="BG17" s="564"/>
      <c r="BH17" s="564"/>
      <c r="BI17" s="564"/>
      <c r="BJ17" s="564"/>
      <c r="BK17" s="564"/>
      <c r="BL17" s="564"/>
      <c r="BM17" s="564"/>
      <c r="BN17" s="564"/>
      <c r="BO17" s="564"/>
      <c r="BP17" s="564"/>
      <c r="BQ17" s="564"/>
      <c r="BR17" s="564"/>
      <c r="BS17" s="564"/>
      <c r="BT17" s="564"/>
      <c r="BU17" s="564"/>
      <c r="BV17" s="564"/>
      <c r="BW17" s="564"/>
      <c r="BX17" s="564"/>
      <c r="BY17" s="564"/>
      <c r="BZ17" s="564"/>
      <c r="CA17" s="564"/>
      <c r="CB17" s="564"/>
      <c r="CC17" s="564"/>
      <c r="CD17" s="564"/>
      <c r="CE17" s="564"/>
      <c r="CF17" s="564"/>
      <c r="CG17" s="564"/>
      <c r="CH17" s="564">
        <v>0</v>
      </c>
      <c r="CI17" s="564">
        <v>0</v>
      </c>
      <c r="CJ17" s="566">
        <v>2</v>
      </c>
      <c r="CK17" s="566">
        <v>0</v>
      </c>
      <c r="CL17" s="566">
        <v>0</v>
      </c>
      <c r="CM17" s="566">
        <v>0</v>
      </c>
      <c r="CN17" s="566">
        <v>0</v>
      </c>
      <c r="CO17" s="566">
        <v>0</v>
      </c>
      <c r="CP17" s="566">
        <v>0</v>
      </c>
      <c r="CQ17" s="567">
        <v>0.08</v>
      </c>
      <c r="CR17" s="567">
        <v>0.08</v>
      </c>
      <c r="CS17" s="567">
        <v>0.16</v>
      </c>
      <c r="CT17" s="567">
        <v>0.16</v>
      </c>
      <c r="CU17" s="567">
        <v>0.16</v>
      </c>
      <c r="CV17" s="567">
        <v>0.16</v>
      </c>
      <c r="CW17" s="567">
        <v>0.16</v>
      </c>
      <c r="CX17" s="567">
        <v>0.16</v>
      </c>
      <c r="CY17" s="567">
        <v>0.16</v>
      </c>
      <c r="CZ17" s="567">
        <v>0.16</v>
      </c>
      <c r="DA17" s="567">
        <v>0.16</v>
      </c>
      <c r="DB17" s="567">
        <v>0.16</v>
      </c>
      <c r="DC17" s="567">
        <v>0.16</v>
      </c>
      <c r="DD17" s="567">
        <v>0.16</v>
      </c>
      <c r="DE17" s="567">
        <v>0.16</v>
      </c>
      <c r="DF17" s="567">
        <v>0.16</v>
      </c>
      <c r="DG17" s="567">
        <v>0.8</v>
      </c>
      <c r="DH17" s="567">
        <v>0.4</v>
      </c>
      <c r="DI17" s="567">
        <f t="shared" si="6"/>
        <v>2</v>
      </c>
      <c r="DJ17" s="567">
        <f t="shared" si="7"/>
        <v>1.2</v>
      </c>
      <c r="DK17" s="567">
        <f>+CL17+CN17+CP17+CR17+CT17+CV17+CX17+CZ17+DB17+DD17+DF17+DH17</f>
        <v>1.6</v>
      </c>
      <c r="DL17" s="567">
        <f t="shared" ref="DL17:DM21" si="24">+CK17+CM17+CO17+CQ17+CS17+CU17+CW17+CY17+DA17+DC17+DE17+DG17</f>
        <v>2</v>
      </c>
      <c r="DM17" s="567">
        <f t="shared" si="24"/>
        <v>1.6</v>
      </c>
      <c r="DN17" s="568">
        <v>2</v>
      </c>
      <c r="DO17" s="569">
        <v>0.1</v>
      </c>
      <c r="DP17" s="569">
        <v>0.1</v>
      </c>
      <c r="DQ17" s="569">
        <v>0.1</v>
      </c>
      <c r="DR17" s="569">
        <v>0.1</v>
      </c>
      <c r="DS17" s="569">
        <v>0.2</v>
      </c>
      <c r="DT17" s="569">
        <v>0.2</v>
      </c>
      <c r="DU17" s="569">
        <v>0.2</v>
      </c>
      <c r="DV17" s="570">
        <v>0.1</v>
      </c>
      <c r="DW17" s="569">
        <v>1.4</v>
      </c>
      <c r="DX17" s="569">
        <v>0.8</v>
      </c>
      <c r="DY17" s="564"/>
      <c r="DZ17" s="564"/>
      <c r="EA17" s="564"/>
      <c r="EB17" s="564"/>
      <c r="EC17" s="564"/>
      <c r="ED17" s="564"/>
      <c r="EE17" s="564"/>
      <c r="EF17" s="564"/>
      <c r="EG17" s="564"/>
      <c r="EH17" s="564"/>
      <c r="EI17" s="564"/>
      <c r="EJ17" s="564"/>
      <c r="EK17" s="564"/>
      <c r="EL17" s="564"/>
      <c r="EM17" s="569">
        <f>DO17+DQ17+DS17+DU17+DW17+DY17</f>
        <v>2</v>
      </c>
      <c r="EN17" s="571">
        <f>+DO17+DQ17+DS17+DU17+DW17</f>
        <v>2</v>
      </c>
      <c r="EO17" s="571">
        <f>DX17+DV17+DT17+DR17+DP17</f>
        <v>1.3000000000000003</v>
      </c>
      <c r="EP17" s="567">
        <f>+DO17+DQ17+DS17+DU17+DW17+DY17</f>
        <v>2</v>
      </c>
      <c r="EQ17" s="569">
        <f>+DP17+DR17+DT17+DV17+DX17+DZ17</f>
        <v>1.3</v>
      </c>
      <c r="ER17" s="407">
        <f t="shared" si="8"/>
        <v>0.57142857142857151</v>
      </c>
      <c r="ES17" s="407">
        <f>+EO17/EN17</f>
        <v>0.65000000000000013</v>
      </c>
      <c r="ET17" s="407">
        <f t="shared" si="10"/>
        <v>0.65</v>
      </c>
      <c r="EU17" s="407">
        <f t="shared" ref="EU17:EU36" si="25">(AA17+BE17+CI17+DM17+EO17)/(Z17+BD17+CH17+DL17+EN17)</f>
        <v>0.72500000000000009</v>
      </c>
      <c r="EV17" s="407">
        <f t="shared" si="23"/>
        <v>0.80555555555555558</v>
      </c>
      <c r="EW17" s="809" t="s">
        <v>445</v>
      </c>
      <c r="EX17" s="824" t="s">
        <v>433</v>
      </c>
      <c r="EY17" s="824" t="s">
        <v>441</v>
      </c>
      <c r="EZ17" s="824" t="s">
        <v>434</v>
      </c>
      <c r="FA17" s="836" t="s">
        <v>363</v>
      </c>
    </row>
    <row r="18" spans="1:157" s="110" customFormat="1" ht="39" customHeight="1" x14ac:dyDescent="0.25">
      <c r="A18" s="786"/>
      <c r="B18" s="801"/>
      <c r="C18" s="804"/>
      <c r="D18" s="804"/>
      <c r="E18" s="807"/>
      <c r="F18" s="434" t="s">
        <v>107</v>
      </c>
      <c r="G18" s="95">
        <f>+AA18+BE18+CI18+DM18+EP18</f>
        <v>145866167</v>
      </c>
      <c r="H18" s="95">
        <v>0</v>
      </c>
      <c r="I18" s="95"/>
      <c r="J18" s="95"/>
      <c r="K18" s="95">
        <v>0</v>
      </c>
      <c r="L18" s="95"/>
      <c r="M18" s="95">
        <v>0</v>
      </c>
      <c r="N18" s="95"/>
      <c r="O18" s="95">
        <v>0</v>
      </c>
      <c r="P18" s="95">
        <v>0</v>
      </c>
      <c r="Q18" s="95">
        <v>0</v>
      </c>
      <c r="R18" s="95">
        <v>0</v>
      </c>
      <c r="S18" s="95">
        <v>0</v>
      </c>
      <c r="T18" s="95">
        <v>0</v>
      </c>
      <c r="U18" s="95">
        <v>0</v>
      </c>
      <c r="V18" s="95">
        <v>0</v>
      </c>
      <c r="W18" s="95">
        <v>0</v>
      </c>
      <c r="X18" s="95">
        <v>0</v>
      </c>
      <c r="Y18" s="95">
        <v>0</v>
      </c>
      <c r="Z18" s="95">
        <v>0</v>
      </c>
      <c r="AA18" s="95">
        <v>0</v>
      </c>
      <c r="AB18" s="95">
        <v>0</v>
      </c>
      <c r="AC18" s="95">
        <v>0</v>
      </c>
      <c r="AD18" s="95">
        <v>0</v>
      </c>
      <c r="AE18" s="95">
        <v>0</v>
      </c>
      <c r="AF18" s="95">
        <v>0</v>
      </c>
      <c r="AG18" s="95">
        <v>0</v>
      </c>
      <c r="AH18" s="95">
        <v>0</v>
      </c>
      <c r="AI18" s="95">
        <v>0</v>
      </c>
      <c r="AJ18" s="95">
        <v>0</v>
      </c>
      <c r="AK18" s="95">
        <v>0</v>
      </c>
      <c r="AL18" s="95">
        <v>0</v>
      </c>
      <c r="AM18" s="95">
        <v>0</v>
      </c>
      <c r="AN18" s="95">
        <v>0</v>
      </c>
      <c r="AO18" s="95">
        <v>0</v>
      </c>
      <c r="AP18" s="95">
        <v>0</v>
      </c>
      <c r="AQ18" s="95">
        <v>0</v>
      </c>
      <c r="AR18" s="95">
        <v>0</v>
      </c>
      <c r="AS18" s="95">
        <v>0</v>
      </c>
      <c r="AT18" s="95">
        <v>0</v>
      </c>
      <c r="AU18" s="95">
        <v>0</v>
      </c>
      <c r="AV18" s="95">
        <v>0</v>
      </c>
      <c r="AW18" s="95">
        <v>0</v>
      </c>
      <c r="AX18" s="95">
        <v>0</v>
      </c>
      <c r="AY18" s="95">
        <v>0</v>
      </c>
      <c r="AZ18" s="95">
        <v>0</v>
      </c>
      <c r="BA18" s="95">
        <v>0</v>
      </c>
      <c r="BB18" s="95">
        <f>+AC18+AE18+AG18+AI18+AK18+AM18+AO18+AQ18+AS18+AU18+AW18</f>
        <v>0</v>
      </c>
      <c r="BC18" s="95">
        <v>0</v>
      </c>
      <c r="BD18" s="95">
        <v>0</v>
      </c>
      <c r="BE18" s="95">
        <v>0</v>
      </c>
      <c r="BF18" s="95">
        <v>0</v>
      </c>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v>0</v>
      </c>
      <c r="CI18" s="95">
        <v>0</v>
      </c>
      <c r="CJ18" s="100">
        <v>39681000</v>
      </c>
      <c r="CK18" s="100">
        <v>0</v>
      </c>
      <c r="CL18" s="100">
        <v>0</v>
      </c>
      <c r="CM18" s="100">
        <v>0</v>
      </c>
      <c r="CN18" s="100">
        <v>0</v>
      </c>
      <c r="CO18" s="100">
        <v>0</v>
      </c>
      <c r="CP18" s="100">
        <v>0</v>
      </c>
      <c r="CQ18" s="100">
        <v>35272000</v>
      </c>
      <c r="CR18" s="100">
        <v>35272000</v>
      </c>
      <c r="CS18" s="100">
        <v>0</v>
      </c>
      <c r="CT18" s="100">
        <v>0</v>
      </c>
      <c r="CU18" s="100">
        <v>0</v>
      </c>
      <c r="CV18" s="100">
        <v>0</v>
      </c>
      <c r="CW18" s="100">
        <v>0</v>
      </c>
      <c r="CX18" s="100"/>
      <c r="CY18" s="100">
        <v>0</v>
      </c>
      <c r="CZ18" s="100">
        <v>0</v>
      </c>
      <c r="DA18" s="100">
        <v>0</v>
      </c>
      <c r="DB18" s="100">
        <v>0</v>
      </c>
      <c r="DC18" s="100">
        <v>0</v>
      </c>
      <c r="DD18" s="100">
        <v>0</v>
      </c>
      <c r="DE18" s="100">
        <v>0</v>
      </c>
      <c r="DF18" s="100">
        <v>0</v>
      </c>
      <c r="DG18" s="100">
        <v>3674167</v>
      </c>
      <c r="DH18" s="100">
        <v>3674167</v>
      </c>
      <c r="DI18" s="100">
        <f>+CK18+CM18+CO18+CQ18+CS18+CU18+CW18+CY18+DA18+DC18+DE18+DG18</f>
        <v>38946167</v>
      </c>
      <c r="DJ18" s="100">
        <f t="shared" si="6"/>
        <v>38946167</v>
      </c>
      <c r="DK18" s="100">
        <f>+CL18+CN18+CP18+CR18+CT18+CV18+CX18+CZ18+DB18+DD18+DF18+DH18</f>
        <v>38946167</v>
      </c>
      <c r="DL18" s="100">
        <f t="shared" si="24"/>
        <v>38946167</v>
      </c>
      <c r="DM18" s="100">
        <f t="shared" si="24"/>
        <v>38946167</v>
      </c>
      <c r="DN18" s="247">
        <v>106920000</v>
      </c>
      <c r="DO18" s="100">
        <v>19449000</v>
      </c>
      <c r="DP18" s="100">
        <v>8818000</v>
      </c>
      <c r="DQ18" s="100">
        <v>0</v>
      </c>
      <c r="DR18" s="552">
        <v>0</v>
      </c>
      <c r="DS18" s="100">
        <v>0</v>
      </c>
      <c r="DT18" s="552">
        <v>21870000</v>
      </c>
      <c r="DU18" s="100">
        <v>0</v>
      </c>
      <c r="DV18" s="559">
        <v>17010000</v>
      </c>
      <c r="DW18" s="100">
        <v>0</v>
      </c>
      <c r="DX18" s="552"/>
      <c r="DY18" s="100">
        <f>DN18-(DO18+DQ18+DS18+DU18+DW18)</f>
        <v>87471000</v>
      </c>
      <c r="DZ18" s="552"/>
      <c r="EA18" s="552"/>
      <c r="EB18" s="552"/>
      <c r="EC18" s="552"/>
      <c r="ED18" s="552"/>
      <c r="EE18" s="552"/>
      <c r="EF18" s="552"/>
      <c r="EG18" s="552"/>
      <c r="EH18" s="552"/>
      <c r="EI18" s="552"/>
      <c r="EJ18" s="552"/>
      <c r="EK18" s="552"/>
      <c r="EL18" s="552"/>
      <c r="EM18" s="100">
        <f>DO18+DQ18+DS18+DU18+DW18+DY18</f>
        <v>106920000</v>
      </c>
      <c r="EN18" s="100">
        <f>+DO18+DQ18+DS18+DU18</f>
        <v>19449000</v>
      </c>
      <c r="EO18" s="100">
        <f t="shared" ref="EO18:EO21" si="26">+DP18+DR18+DT18+DV18+DX18+DZ18</f>
        <v>47698000</v>
      </c>
      <c r="EP18" s="100">
        <f t="shared" ref="EP18:EQ21" si="27">+DO18+DQ18+DS18+DU18+DW18+DY18</f>
        <v>106920000</v>
      </c>
      <c r="EQ18" s="100">
        <f t="shared" si="27"/>
        <v>47698000</v>
      </c>
      <c r="ER18" s="401">
        <f>IFERROR(DX18/DW18,0)</f>
        <v>0</v>
      </c>
      <c r="ES18" s="401">
        <f t="shared" si="9"/>
        <v>2.452465422386755</v>
      </c>
      <c r="ET18" s="401">
        <f t="shared" si="10"/>
        <v>0.446109240553685</v>
      </c>
      <c r="EU18" s="407">
        <f t="shared" si="25"/>
        <v>1.4837557875294713</v>
      </c>
      <c r="EV18" s="401">
        <f t="shared" si="23"/>
        <v>0.59399769516120893</v>
      </c>
      <c r="EW18" s="810"/>
      <c r="EX18" s="825"/>
      <c r="EY18" s="825"/>
      <c r="EZ18" s="825"/>
      <c r="FA18" s="837"/>
    </row>
    <row r="19" spans="1:157" s="110" customFormat="1" ht="39" customHeight="1" x14ac:dyDescent="0.25">
      <c r="A19" s="786"/>
      <c r="B19" s="801"/>
      <c r="C19" s="804"/>
      <c r="D19" s="804"/>
      <c r="E19" s="807"/>
      <c r="F19" s="435" t="s">
        <v>108</v>
      </c>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100">
        <v>39681000</v>
      </c>
      <c r="CK19" s="100">
        <v>0</v>
      </c>
      <c r="CL19" s="100">
        <v>0</v>
      </c>
      <c r="CM19" s="100">
        <v>0</v>
      </c>
      <c r="CN19" s="100">
        <v>0</v>
      </c>
      <c r="CO19" s="100">
        <v>0</v>
      </c>
      <c r="CP19" s="100">
        <v>0</v>
      </c>
      <c r="CQ19" s="100">
        <v>0</v>
      </c>
      <c r="CR19" s="100">
        <v>0</v>
      </c>
      <c r="CS19" s="100">
        <v>1028767</v>
      </c>
      <c r="CT19" s="100">
        <v>1028767</v>
      </c>
      <c r="CU19" s="100">
        <v>4409000</v>
      </c>
      <c r="CV19" s="100">
        <v>4409000</v>
      </c>
      <c r="CW19" s="100">
        <v>4409000</v>
      </c>
      <c r="CX19" s="100">
        <v>4409000</v>
      </c>
      <c r="CY19" s="100">
        <v>4409000</v>
      </c>
      <c r="CZ19" s="100">
        <v>4409000</v>
      </c>
      <c r="DA19" s="100">
        <v>4409000</v>
      </c>
      <c r="DB19" s="100">
        <v>4409000</v>
      </c>
      <c r="DC19" s="100">
        <v>4409000</v>
      </c>
      <c r="DD19" s="100">
        <v>4409000</v>
      </c>
      <c r="DE19" s="100">
        <v>4409000</v>
      </c>
      <c r="DF19" s="100">
        <v>4409000</v>
      </c>
      <c r="DG19" s="100">
        <v>11463400</v>
      </c>
      <c r="DH19" s="100">
        <v>8818000</v>
      </c>
      <c r="DI19" s="100">
        <f>+CK19+CM19+CO19+CQ19+CS19+CU19+CW19+CY19+DA19+DC19+DE19+DG19</f>
        <v>38946167</v>
      </c>
      <c r="DJ19" s="100">
        <v>38946167</v>
      </c>
      <c r="DK19" s="100">
        <f>+CL19+CN19+CP19+CR19+CT19+CV19+CX19+CZ19+DB19+DD19+DF19+DH19</f>
        <v>36300767</v>
      </c>
      <c r="DL19" s="100">
        <f t="shared" si="24"/>
        <v>38946167</v>
      </c>
      <c r="DM19" s="100">
        <f t="shared" si="24"/>
        <v>36300767</v>
      </c>
      <c r="DN19" s="247">
        <f>+DN18</f>
        <v>106920000</v>
      </c>
      <c r="DO19" s="100">
        <v>0</v>
      </c>
      <c r="DP19" s="100">
        <v>0</v>
      </c>
      <c r="DQ19" s="100">
        <v>3240000</v>
      </c>
      <c r="DR19" s="552">
        <v>1763600</v>
      </c>
      <c r="DS19" s="100">
        <v>9720000</v>
      </c>
      <c r="DT19" s="552">
        <v>4409000</v>
      </c>
      <c r="DU19" s="100">
        <v>9720000</v>
      </c>
      <c r="DV19" s="559">
        <v>3078000</v>
      </c>
      <c r="DW19" s="100">
        <v>9720000</v>
      </c>
      <c r="DX19" s="552">
        <v>7505400</v>
      </c>
      <c r="DY19" s="100">
        <f>DN19-(DO19+DQ19+DS19+DU19+DW19)</f>
        <v>74520000</v>
      </c>
      <c r="DZ19" s="552"/>
      <c r="EA19" s="100"/>
      <c r="EB19" s="552"/>
      <c r="EC19" s="552"/>
      <c r="ED19" s="552"/>
      <c r="EE19" s="552"/>
      <c r="EF19" s="552"/>
      <c r="EG19" s="552"/>
      <c r="EH19" s="552"/>
      <c r="EI19" s="552"/>
      <c r="EJ19" s="552"/>
      <c r="EK19" s="552"/>
      <c r="EL19" s="552"/>
      <c r="EM19" s="100">
        <f t="shared" ref="EM19:EM22" si="28">DO19+DQ19+DS19+DU19+DW19+DY19</f>
        <v>106920000</v>
      </c>
      <c r="EN19" s="100">
        <f>+DO19+DQ19+DS19+DU19</f>
        <v>22680000</v>
      </c>
      <c r="EO19" s="100">
        <f t="shared" si="26"/>
        <v>16756000</v>
      </c>
      <c r="EP19" s="100">
        <f t="shared" si="27"/>
        <v>106920000</v>
      </c>
      <c r="EQ19" s="100">
        <f t="shared" si="27"/>
        <v>16756000</v>
      </c>
      <c r="ER19" s="401">
        <f t="shared" si="8"/>
        <v>0.77216049382716045</v>
      </c>
      <c r="ES19" s="401">
        <f t="shared" si="9"/>
        <v>0.73880070546737209</v>
      </c>
      <c r="ET19" s="401">
        <f t="shared" si="10"/>
        <v>0.15671530115974561</v>
      </c>
      <c r="EU19" s="407">
        <f t="shared" si="25"/>
        <v>0.86094543248162747</v>
      </c>
      <c r="EV19" s="401">
        <f>IFERROR((AA19+BE19+CI19+DM19+EQ19)/G19,0)</f>
        <v>0</v>
      </c>
      <c r="EW19" s="810"/>
      <c r="EX19" s="825"/>
      <c r="EY19" s="825"/>
      <c r="EZ19" s="825"/>
      <c r="FA19" s="837"/>
    </row>
    <row r="20" spans="1:157" s="21" customFormat="1" ht="39" customHeight="1" x14ac:dyDescent="0.25">
      <c r="A20" s="786"/>
      <c r="B20" s="801"/>
      <c r="C20" s="804"/>
      <c r="D20" s="804"/>
      <c r="E20" s="807"/>
      <c r="F20" s="436" t="s">
        <v>109</v>
      </c>
      <c r="G20" s="546">
        <f>+AA20+BE20+CI20+DM20+DN20</f>
        <v>0.4</v>
      </c>
      <c r="H20" s="553"/>
      <c r="I20" s="553"/>
      <c r="J20" s="553"/>
      <c r="K20" s="546"/>
      <c r="L20" s="553"/>
      <c r="M20" s="546"/>
      <c r="N20" s="553"/>
      <c r="O20" s="546"/>
      <c r="P20" s="546"/>
      <c r="Q20" s="546"/>
      <c r="R20" s="546"/>
      <c r="S20" s="546"/>
      <c r="T20" s="546"/>
      <c r="U20" s="553"/>
      <c r="V20" s="546"/>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4"/>
      <c r="BG20" s="554"/>
      <c r="BH20" s="554"/>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46"/>
      <c r="CF20" s="546"/>
      <c r="CG20" s="546"/>
      <c r="CH20" s="546"/>
      <c r="CI20" s="546"/>
      <c r="CJ20" s="555">
        <v>0</v>
      </c>
      <c r="CK20" s="556">
        <v>0</v>
      </c>
      <c r="CL20" s="556">
        <v>0</v>
      </c>
      <c r="CM20" s="555">
        <v>0</v>
      </c>
      <c r="CN20" s="555">
        <v>0</v>
      </c>
      <c r="CO20" s="555">
        <v>0</v>
      </c>
      <c r="CP20" s="555">
        <v>0</v>
      </c>
      <c r="CQ20" s="556">
        <v>0</v>
      </c>
      <c r="CR20" s="556">
        <v>0</v>
      </c>
      <c r="CS20" s="556">
        <v>0</v>
      </c>
      <c r="CT20" s="556">
        <v>0</v>
      </c>
      <c r="CU20" s="556">
        <v>0</v>
      </c>
      <c r="CV20" s="556">
        <v>0</v>
      </c>
      <c r="CW20" s="556">
        <v>0</v>
      </c>
      <c r="CX20" s="556">
        <v>0</v>
      </c>
      <c r="CY20" s="556">
        <v>0</v>
      </c>
      <c r="CZ20" s="556">
        <v>0</v>
      </c>
      <c r="DA20" s="556">
        <v>0</v>
      </c>
      <c r="DB20" s="556">
        <v>0</v>
      </c>
      <c r="DC20" s="556">
        <v>0</v>
      </c>
      <c r="DD20" s="556">
        <v>0</v>
      </c>
      <c r="DE20" s="556">
        <v>0</v>
      </c>
      <c r="DF20" s="556">
        <v>0</v>
      </c>
      <c r="DG20" s="556">
        <v>0</v>
      </c>
      <c r="DH20" s="557"/>
      <c r="DI20" s="556">
        <f t="shared" si="6"/>
        <v>0</v>
      </c>
      <c r="DJ20" s="556">
        <f t="shared" si="7"/>
        <v>0</v>
      </c>
      <c r="DK20" s="556">
        <f>+CL20+CN20+CP20+CR20+CT20+CV20+CX20+CZ20+DB20+DD20+DF20+DH20</f>
        <v>0</v>
      </c>
      <c r="DL20" s="556">
        <f t="shared" si="24"/>
        <v>0</v>
      </c>
      <c r="DM20" s="572"/>
      <c r="DN20" s="573">
        <v>0.4</v>
      </c>
      <c r="DO20" s="554">
        <v>0.1</v>
      </c>
      <c r="DP20" s="554"/>
      <c r="DQ20" s="554">
        <f>DN20/4</f>
        <v>0.1</v>
      </c>
      <c r="DR20" s="554">
        <v>0.1</v>
      </c>
      <c r="DS20" s="554">
        <v>0.1</v>
      </c>
      <c r="DT20" s="554">
        <v>0.2</v>
      </c>
      <c r="DU20" s="554">
        <v>0.1</v>
      </c>
      <c r="DV20" s="574">
        <v>0.1</v>
      </c>
      <c r="DW20" s="554"/>
      <c r="DX20" s="554"/>
      <c r="DY20" s="554"/>
      <c r="DZ20" s="554"/>
      <c r="EA20" s="554"/>
      <c r="EB20" s="554"/>
      <c r="EC20" s="554"/>
      <c r="ED20" s="554"/>
      <c r="EE20" s="554"/>
      <c r="EF20" s="554"/>
      <c r="EG20" s="554"/>
      <c r="EH20" s="554"/>
      <c r="EI20" s="554"/>
      <c r="EJ20" s="554"/>
      <c r="EK20" s="554"/>
      <c r="EL20" s="554"/>
      <c r="EM20" s="575">
        <f>+DO20+DQ20+DS20+DU20</f>
        <v>0.4</v>
      </c>
      <c r="EN20" s="571">
        <f>+DO20+DQ20+DS20+DU20</f>
        <v>0.4</v>
      </c>
      <c r="EO20" s="576">
        <f t="shared" si="26"/>
        <v>0.4</v>
      </c>
      <c r="EP20" s="577">
        <f t="shared" si="27"/>
        <v>0.4</v>
      </c>
      <c r="EQ20" s="576">
        <v>0.4</v>
      </c>
      <c r="ER20" s="401">
        <f>IFERROR(DX20/DW20,0)</f>
        <v>0</v>
      </c>
      <c r="ES20" s="401">
        <f t="shared" si="9"/>
        <v>1</v>
      </c>
      <c r="ET20" s="401">
        <f t="shared" si="10"/>
        <v>1</v>
      </c>
      <c r="EU20" s="407">
        <f t="shared" si="25"/>
        <v>1</v>
      </c>
      <c r="EV20" s="401">
        <f t="shared" si="23"/>
        <v>1</v>
      </c>
      <c r="EW20" s="810"/>
      <c r="EX20" s="825"/>
      <c r="EY20" s="825"/>
      <c r="EZ20" s="825"/>
      <c r="FA20" s="837"/>
    </row>
    <row r="21" spans="1:157" s="110" customFormat="1" ht="39" customHeight="1" x14ac:dyDescent="0.25">
      <c r="A21" s="786"/>
      <c r="B21" s="801"/>
      <c r="C21" s="804"/>
      <c r="D21" s="804"/>
      <c r="E21" s="807"/>
      <c r="F21" s="434" t="s">
        <v>110</v>
      </c>
      <c r="G21" s="95">
        <f>+AA21+BE21+CI21+DM21+EP21</f>
        <v>2645400</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100">
        <v>0</v>
      </c>
      <c r="CK21" s="100">
        <v>0</v>
      </c>
      <c r="CL21" s="100">
        <v>0</v>
      </c>
      <c r="CM21" s="100">
        <v>0</v>
      </c>
      <c r="CN21" s="100">
        <v>0</v>
      </c>
      <c r="CO21" s="100">
        <v>0</v>
      </c>
      <c r="CP21" s="100">
        <v>0</v>
      </c>
      <c r="CQ21" s="100">
        <v>0</v>
      </c>
      <c r="CR21" s="100">
        <v>0</v>
      </c>
      <c r="CS21" s="100">
        <v>0</v>
      </c>
      <c r="CT21" s="100">
        <v>0</v>
      </c>
      <c r="CU21" s="100">
        <v>0</v>
      </c>
      <c r="CV21" s="100"/>
      <c r="CW21" s="100">
        <v>0</v>
      </c>
      <c r="CX21" s="100">
        <v>0</v>
      </c>
      <c r="CY21" s="100">
        <v>0</v>
      </c>
      <c r="CZ21" s="100">
        <v>0</v>
      </c>
      <c r="DA21" s="100">
        <v>0</v>
      </c>
      <c r="DB21" s="100">
        <v>0</v>
      </c>
      <c r="DC21" s="100">
        <v>0</v>
      </c>
      <c r="DD21" s="100">
        <v>0</v>
      </c>
      <c r="DE21" s="100">
        <v>0</v>
      </c>
      <c r="DF21" s="100">
        <v>0</v>
      </c>
      <c r="DG21" s="100">
        <v>0</v>
      </c>
      <c r="DH21" s="201"/>
      <c r="DI21" s="100">
        <f t="shared" si="6"/>
        <v>0</v>
      </c>
      <c r="DJ21" s="100">
        <f t="shared" si="7"/>
        <v>0</v>
      </c>
      <c r="DK21" s="100">
        <f>+CL21+CN21+CP21+CR21+CT21+CV21+CX21+CZ21+DB21+DD21+DF21+DH21</f>
        <v>0</v>
      </c>
      <c r="DL21" s="100">
        <f t="shared" si="24"/>
        <v>0</v>
      </c>
      <c r="DM21" s="100">
        <f t="shared" si="24"/>
        <v>0</v>
      </c>
      <c r="DN21" s="247">
        <f>+DM18-DM19</f>
        <v>2645400</v>
      </c>
      <c r="DO21" s="552">
        <v>0</v>
      </c>
      <c r="DP21" s="552">
        <v>0</v>
      </c>
      <c r="DQ21" s="552">
        <v>2645400</v>
      </c>
      <c r="DR21" s="552">
        <v>2645400</v>
      </c>
      <c r="DS21" s="552">
        <v>0</v>
      </c>
      <c r="DT21" s="552">
        <v>0</v>
      </c>
      <c r="DU21" s="552">
        <v>0</v>
      </c>
      <c r="DV21" s="559">
        <v>0</v>
      </c>
      <c r="DW21" s="552">
        <v>0</v>
      </c>
      <c r="DX21" s="552">
        <v>0</v>
      </c>
      <c r="DY21" s="552">
        <v>0</v>
      </c>
      <c r="DZ21" s="552"/>
      <c r="EA21" s="552"/>
      <c r="EB21" s="552"/>
      <c r="EC21" s="552"/>
      <c r="ED21" s="552"/>
      <c r="EE21" s="552"/>
      <c r="EF21" s="552"/>
      <c r="EG21" s="552"/>
      <c r="EH21" s="552"/>
      <c r="EI21" s="552"/>
      <c r="EJ21" s="552"/>
      <c r="EK21" s="552"/>
      <c r="EL21" s="552"/>
      <c r="EM21" s="100">
        <f>DO21+DQ21+DS21+DU21+DW21+DY21</f>
        <v>2645400</v>
      </c>
      <c r="EN21" s="100">
        <f>+DO21+DQ21+DS21+DU21</f>
        <v>2645400</v>
      </c>
      <c r="EO21" s="100">
        <f t="shared" si="26"/>
        <v>2645400</v>
      </c>
      <c r="EP21" s="100">
        <f t="shared" si="27"/>
        <v>2645400</v>
      </c>
      <c r="EQ21" s="100">
        <f t="shared" si="27"/>
        <v>2645400</v>
      </c>
      <c r="ER21" s="401">
        <f>IFERROR(DX21/DW21,0)</f>
        <v>0</v>
      </c>
      <c r="ES21" s="401">
        <f t="shared" si="9"/>
        <v>1</v>
      </c>
      <c r="ET21" s="401">
        <f t="shared" si="10"/>
        <v>1</v>
      </c>
      <c r="EU21" s="407">
        <f t="shared" si="25"/>
        <v>1</v>
      </c>
      <c r="EV21" s="401">
        <f t="shared" si="23"/>
        <v>1</v>
      </c>
      <c r="EW21" s="810"/>
      <c r="EX21" s="825"/>
      <c r="EY21" s="825"/>
      <c r="EZ21" s="825"/>
      <c r="FA21" s="837"/>
    </row>
    <row r="22" spans="1:157" s="110" customFormat="1" ht="39" customHeight="1" thickBot="1" x14ac:dyDescent="0.3">
      <c r="A22" s="786"/>
      <c r="B22" s="801"/>
      <c r="C22" s="804"/>
      <c r="D22" s="804"/>
      <c r="E22" s="807"/>
      <c r="F22" s="436" t="s">
        <v>111</v>
      </c>
      <c r="G22" s="561">
        <f>+G17+G20</f>
        <v>4</v>
      </c>
      <c r="H22" s="379">
        <f>+H17+H20</f>
        <v>0</v>
      </c>
      <c r="I22" s="379"/>
      <c r="J22" s="379"/>
      <c r="K22" s="561">
        <v>0</v>
      </c>
      <c r="L22" s="379"/>
      <c r="M22" s="561">
        <v>0</v>
      </c>
      <c r="N22" s="561"/>
      <c r="O22" s="561">
        <v>0</v>
      </c>
      <c r="P22" s="561">
        <v>0</v>
      </c>
      <c r="Q22" s="561">
        <v>0</v>
      </c>
      <c r="R22" s="561">
        <v>0</v>
      </c>
      <c r="S22" s="561">
        <v>0</v>
      </c>
      <c r="T22" s="561">
        <v>0</v>
      </c>
      <c r="U22" s="379">
        <v>0</v>
      </c>
      <c r="V22" s="561">
        <v>0</v>
      </c>
      <c r="W22" s="379">
        <v>0</v>
      </c>
      <c r="X22" s="379">
        <v>0</v>
      </c>
      <c r="Y22" s="379">
        <v>0</v>
      </c>
      <c r="Z22" s="379">
        <v>0</v>
      </c>
      <c r="AA22" s="379">
        <v>0</v>
      </c>
      <c r="AB22" s="379">
        <v>0</v>
      </c>
      <c r="AC22" s="379">
        <v>0</v>
      </c>
      <c r="AD22" s="379">
        <v>0</v>
      </c>
      <c r="AE22" s="379">
        <v>0</v>
      </c>
      <c r="AF22" s="379">
        <v>0</v>
      </c>
      <c r="AG22" s="379">
        <v>0</v>
      </c>
      <c r="AH22" s="379">
        <v>0</v>
      </c>
      <c r="AI22" s="379">
        <v>0</v>
      </c>
      <c r="AJ22" s="379">
        <v>0</v>
      </c>
      <c r="AK22" s="379">
        <v>0</v>
      </c>
      <c r="AL22" s="379">
        <v>0</v>
      </c>
      <c r="AM22" s="379">
        <v>0</v>
      </c>
      <c r="AN22" s="379">
        <v>0</v>
      </c>
      <c r="AO22" s="379">
        <v>0</v>
      </c>
      <c r="AP22" s="379">
        <v>0</v>
      </c>
      <c r="AQ22" s="379">
        <v>0</v>
      </c>
      <c r="AR22" s="379">
        <v>0</v>
      </c>
      <c r="AS22" s="379">
        <v>0</v>
      </c>
      <c r="AT22" s="379">
        <v>0</v>
      </c>
      <c r="AU22" s="379">
        <v>0</v>
      </c>
      <c r="AV22" s="379">
        <v>0</v>
      </c>
      <c r="AW22" s="379">
        <v>0</v>
      </c>
      <c r="AX22" s="379">
        <v>0</v>
      </c>
      <c r="AY22" s="379">
        <v>0</v>
      </c>
      <c r="AZ22" s="379">
        <v>0</v>
      </c>
      <c r="BA22" s="379">
        <v>0</v>
      </c>
      <c r="BB22" s="379">
        <f>+AC22+AE22+AG22+AI22+AK22+AM22+AO22+AQ22+AS22+AU22+AW22</f>
        <v>0</v>
      </c>
      <c r="BC22" s="379">
        <v>0</v>
      </c>
      <c r="BD22" s="379">
        <v>0</v>
      </c>
      <c r="BE22" s="379">
        <v>0</v>
      </c>
      <c r="BF22" s="379">
        <f>+BF17</f>
        <v>0</v>
      </c>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v>0</v>
      </c>
      <c r="CI22" s="379">
        <v>0</v>
      </c>
      <c r="CJ22" s="389">
        <f>+CJ17</f>
        <v>2</v>
      </c>
      <c r="CK22" s="389">
        <f t="shared" ref="CK22:DH23" si="29">+CK17</f>
        <v>0</v>
      </c>
      <c r="CL22" s="389">
        <f t="shared" si="29"/>
        <v>0</v>
      </c>
      <c r="CM22" s="389">
        <f>+CM17</f>
        <v>0</v>
      </c>
      <c r="CN22" s="389">
        <f>+CN17</f>
        <v>0</v>
      </c>
      <c r="CO22" s="389">
        <f t="shared" si="29"/>
        <v>0</v>
      </c>
      <c r="CP22" s="389">
        <f>+CP17</f>
        <v>0</v>
      </c>
      <c r="CQ22" s="390">
        <f t="shared" si="29"/>
        <v>0.08</v>
      </c>
      <c r="CR22" s="390">
        <f t="shared" si="29"/>
        <v>0.08</v>
      </c>
      <c r="CS22" s="390">
        <f t="shared" si="29"/>
        <v>0.16</v>
      </c>
      <c r="CT22" s="390">
        <f t="shared" si="29"/>
        <v>0.16</v>
      </c>
      <c r="CU22" s="390">
        <f>+CU17</f>
        <v>0.16</v>
      </c>
      <c r="CV22" s="390">
        <f t="shared" si="29"/>
        <v>0.16</v>
      </c>
      <c r="CW22" s="390">
        <f>+CW17</f>
        <v>0.16</v>
      </c>
      <c r="CX22" s="390">
        <f>+CX17</f>
        <v>0.16</v>
      </c>
      <c r="CY22" s="390">
        <f>+CY17</f>
        <v>0.16</v>
      </c>
      <c r="CZ22" s="390">
        <f t="shared" si="29"/>
        <v>0.16</v>
      </c>
      <c r="DA22" s="390">
        <f t="shared" si="29"/>
        <v>0.16</v>
      </c>
      <c r="DB22" s="390">
        <f t="shared" si="29"/>
        <v>0.16</v>
      </c>
      <c r="DC22" s="390">
        <f t="shared" si="29"/>
        <v>0.16</v>
      </c>
      <c r="DD22" s="390">
        <f t="shared" si="29"/>
        <v>0.16</v>
      </c>
      <c r="DE22" s="390">
        <f t="shared" si="29"/>
        <v>0.16</v>
      </c>
      <c r="DF22" s="390">
        <f t="shared" si="29"/>
        <v>0.16</v>
      </c>
      <c r="DG22" s="390">
        <f t="shared" si="29"/>
        <v>0.8</v>
      </c>
      <c r="DH22" s="396">
        <f t="shared" si="29"/>
        <v>0.4</v>
      </c>
      <c r="DI22" s="390">
        <f t="shared" si="6"/>
        <v>2</v>
      </c>
      <c r="DJ22" s="390">
        <f t="shared" si="7"/>
        <v>1.2</v>
      </c>
      <c r="DK22" s="390">
        <f>+DK17+DK20</f>
        <v>1.6</v>
      </c>
      <c r="DL22" s="390">
        <f>+DL17+DL20</f>
        <v>2</v>
      </c>
      <c r="DM22" s="390">
        <f>+DM17+DM20</f>
        <v>1.6</v>
      </c>
      <c r="DN22" s="248">
        <f>DN20+DN17</f>
        <v>2.4</v>
      </c>
      <c r="DO22" s="399">
        <f>+DO17+DO20</f>
        <v>0.2</v>
      </c>
      <c r="DP22" s="399">
        <f t="shared" ref="DP22" si="30">+DP17</f>
        <v>0.1</v>
      </c>
      <c r="DQ22" s="399">
        <f>+DQ17+DQ20</f>
        <v>0.2</v>
      </c>
      <c r="DR22" s="399">
        <f t="shared" ref="DR22:DY22" si="31">+DR17+DR20</f>
        <v>0.2</v>
      </c>
      <c r="DS22" s="399">
        <f t="shared" si="31"/>
        <v>0.30000000000000004</v>
      </c>
      <c r="DT22" s="399">
        <f t="shared" si="31"/>
        <v>0.4</v>
      </c>
      <c r="DU22" s="399">
        <f t="shared" si="31"/>
        <v>0.30000000000000004</v>
      </c>
      <c r="DV22" s="578">
        <f t="shared" si="31"/>
        <v>0.2</v>
      </c>
      <c r="DW22" s="399">
        <f t="shared" si="31"/>
        <v>1.4</v>
      </c>
      <c r="DX22" s="399">
        <f t="shared" si="31"/>
        <v>0.8</v>
      </c>
      <c r="DY22" s="399">
        <f t="shared" si="31"/>
        <v>0</v>
      </c>
      <c r="DZ22" s="379"/>
      <c r="EA22" s="379"/>
      <c r="EB22" s="379"/>
      <c r="EC22" s="379"/>
      <c r="ED22" s="379"/>
      <c r="EE22" s="379"/>
      <c r="EF22" s="379"/>
      <c r="EG22" s="379"/>
      <c r="EH22" s="379"/>
      <c r="EI22" s="379"/>
      <c r="EJ22" s="379"/>
      <c r="EK22" s="379"/>
      <c r="EL22" s="379"/>
      <c r="EM22" s="579">
        <f t="shared" si="28"/>
        <v>2.4</v>
      </c>
      <c r="EN22" s="580">
        <f>+EN20+EN17</f>
        <v>2.4</v>
      </c>
      <c r="EO22" s="580">
        <f t="shared" ref="EO22:EP22" si="32">+EO20+EO17</f>
        <v>1.7000000000000002</v>
      </c>
      <c r="EP22" s="580">
        <f t="shared" si="32"/>
        <v>2.4</v>
      </c>
      <c r="EQ22" s="580">
        <f>+EQ17+EQ20</f>
        <v>1.7000000000000002</v>
      </c>
      <c r="ER22" s="406">
        <f t="shared" si="8"/>
        <v>0.57142857142857151</v>
      </c>
      <c r="ES22" s="406">
        <f t="shared" si="9"/>
        <v>0.70833333333333348</v>
      </c>
      <c r="ET22" s="406">
        <f>+EQ22/EP22</f>
        <v>0.70833333333333348</v>
      </c>
      <c r="EU22" s="593">
        <f t="shared" si="25"/>
        <v>0.75</v>
      </c>
      <c r="EV22" s="406">
        <f t="shared" si="23"/>
        <v>0.82500000000000007</v>
      </c>
      <c r="EW22" s="810"/>
      <c r="EX22" s="825"/>
      <c r="EY22" s="825"/>
      <c r="EZ22" s="825"/>
      <c r="FA22" s="837"/>
    </row>
    <row r="23" spans="1:157" s="111" customFormat="1" ht="39" customHeight="1" thickBot="1" x14ac:dyDescent="0.3">
      <c r="A23" s="786"/>
      <c r="B23" s="801"/>
      <c r="C23" s="804"/>
      <c r="D23" s="804"/>
      <c r="E23" s="807"/>
      <c r="F23" s="437" t="s">
        <v>112</v>
      </c>
      <c r="G23" s="197">
        <f>+G18+G21</f>
        <v>148511567</v>
      </c>
      <c r="H23" s="196">
        <f>+H18+H21</f>
        <v>0</v>
      </c>
      <c r="I23" s="196"/>
      <c r="J23" s="196"/>
      <c r="K23" s="196">
        <v>0</v>
      </c>
      <c r="L23" s="196"/>
      <c r="M23" s="196">
        <v>0</v>
      </c>
      <c r="N23" s="196"/>
      <c r="O23" s="196">
        <v>0</v>
      </c>
      <c r="P23" s="196">
        <v>0</v>
      </c>
      <c r="Q23" s="196">
        <v>0</v>
      </c>
      <c r="R23" s="196">
        <v>0</v>
      </c>
      <c r="S23" s="196">
        <v>0</v>
      </c>
      <c r="T23" s="196">
        <v>0</v>
      </c>
      <c r="U23" s="196">
        <v>0</v>
      </c>
      <c r="V23" s="196">
        <v>0</v>
      </c>
      <c r="W23" s="196">
        <v>0</v>
      </c>
      <c r="X23" s="196">
        <v>0</v>
      </c>
      <c r="Y23" s="196">
        <v>0</v>
      </c>
      <c r="Z23" s="196">
        <v>0</v>
      </c>
      <c r="AA23" s="196">
        <v>0</v>
      </c>
      <c r="AB23" s="196">
        <v>0</v>
      </c>
      <c r="AC23" s="196">
        <v>0</v>
      </c>
      <c r="AD23" s="196">
        <v>0</v>
      </c>
      <c r="AE23" s="196">
        <v>0</v>
      </c>
      <c r="AF23" s="196">
        <v>0</v>
      </c>
      <c r="AG23" s="196">
        <v>0</v>
      </c>
      <c r="AH23" s="196">
        <v>0</v>
      </c>
      <c r="AI23" s="196">
        <v>0</v>
      </c>
      <c r="AJ23" s="196">
        <v>0</v>
      </c>
      <c r="AK23" s="196">
        <v>0</v>
      </c>
      <c r="AL23" s="196">
        <v>0</v>
      </c>
      <c r="AM23" s="196">
        <v>0</v>
      </c>
      <c r="AN23" s="196">
        <v>0</v>
      </c>
      <c r="AO23" s="196">
        <v>0</v>
      </c>
      <c r="AP23" s="196">
        <v>0</v>
      </c>
      <c r="AQ23" s="196">
        <v>0</v>
      </c>
      <c r="AR23" s="196">
        <v>0</v>
      </c>
      <c r="AS23" s="196">
        <v>0</v>
      </c>
      <c r="AT23" s="196">
        <v>0</v>
      </c>
      <c r="AU23" s="196">
        <v>0</v>
      </c>
      <c r="AV23" s="196">
        <v>0</v>
      </c>
      <c r="AW23" s="196">
        <v>0</v>
      </c>
      <c r="AX23" s="196">
        <v>0</v>
      </c>
      <c r="AY23" s="196">
        <v>0</v>
      </c>
      <c r="AZ23" s="196">
        <v>0</v>
      </c>
      <c r="BA23" s="196">
        <v>0</v>
      </c>
      <c r="BB23" s="196">
        <f>+AC23+AE23+AG23+AI23+AK23+AM23+AO23+AQ23+AS23+AU23+AW23</f>
        <v>0</v>
      </c>
      <c r="BC23" s="196">
        <v>0</v>
      </c>
      <c r="BD23" s="196">
        <v>0</v>
      </c>
      <c r="BE23" s="196">
        <v>0</v>
      </c>
      <c r="BF23" s="196">
        <f>+BF18</f>
        <v>0</v>
      </c>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v>0</v>
      </c>
      <c r="CI23" s="196">
        <v>0</v>
      </c>
      <c r="CJ23" s="197">
        <f>+CJ18</f>
        <v>39681000</v>
      </c>
      <c r="CK23" s="197">
        <f t="shared" si="29"/>
        <v>0</v>
      </c>
      <c r="CL23" s="197">
        <f t="shared" si="29"/>
        <v>0</v>
      </c>
      <c r="CM23" s="197">
        <f>+CM18</f>
        <v>0</v>
      </c>
      <c r="CN23" s="197">
        <f>+CN18</f>
        <v>0</v>
      </c>
      <c r="CO23" s="197">
        <f t="shared" si="29"/>
        <v>0</v>
      </c>
      <c r="CP23" s="197">
        <f>+CP18</f>
        <v>0</v>
      </c>
      <c r="CQ23" s="197">
        <f>+CQ18</f>
        <v>35272000</v>
      </c>
      <c r="CR23" s="197">
        <f t="shared" si="29"/>
        <v>35272000</v>
      </c>
      <c r="CS23" s="197">
        <f t="shared" si="29"/>
        <v>0</v>
      </c>
      <c r="CT23" s="197">
        <f t="shared" si="29"/>
        <v>0</v>
      </c>
      <c r="CU23" s="197">
        <f>+CU18+CU21</f>
        <v>0</v>
      </c>
      <c r="CV23" s="197">
        <f>+CV18+CV21</f>
        <v>0</v>
      </c>
      <c r="CW23" s="197">
        <f>+CW18</f>
        <v>0</v>
      </c>
      <c r="CX23" s="197">
        <f t="shared" si="29"/>
        <v>0</v>
      </c>
      <c r="CY23" s="197">
        <f>+CY18</f>
        <v>0</v>
      </c>
      <c r="CZ23" s="197">
        <f t="shared" si="29"/>
        <v>0</v>
      </c>
      <c r="DA23" s="197">
        <f t="shared" si="29"/>
        <v>0</v>
      </c>
      <c r="DB23" s="197">
        <f t="shared" si="29"/>
        <v>0</v>
      </c>
      <c r="DC23" s="197">
        <f t="shared" si="29"/>
        <v>0</v>
      </c>
      <c r="DD23" s="197">
        <f t="shared" si="29"/>
        <v>0</v>
      </c>
      <c r="DE23" s="197">
        <f t="shared" si="29"/>
        <v>0</v>
      </c>
      <c r="DF23" s="197">
        <f t="shared" si="29"/>
        <v>0</v>
      </c>
      <c r="DG23" s="197">
        <f t="shared" si="29"/>
        <v>3674167</v>
      </c>
      <c r="DH23" s="202">
        <f t="shared" si="29"/>
        <v>3674167</v>
      </c>
      <c r="DI23" s="197">
        <f t="shared" si="6"/>
        <v>38946167</v>
      </c>
      <c r="DJ23" s="197">
        <f t="shared" si="7"/>
        <v>35272000</v>
      </c>
      <c r="DK23" s="197">
        <f>+DK18++DK21</f>
        <v>38946167</v>
      </c>
      <c r="DL23" s="197">
        <f>+DL18++DL21</f>
        <v>38946167</v>
      </c>
      <c r="DM23" s="202">
        <f>+DM18++DM21</f>
        <v>38946167</v>
      </c>
      <c r="DN23" s="440">
        <f>+DN18</f>
        <v>106920000</v>
      </c>
      <c r="DO23" s="438">
        <f>+DO18+DO21</f>
        <v>19449000</v>
      </c>
      <c r="DP23" s="438">
        <f t="shared" ref="DP23:DY23" si="33">+DP18+DP21</f>
        <v>8818000</v>
      </c>
      <c r="DQ23" s="438">
        <f t="shared" si="33"/>
        <v>2645400</v>
      </c>
      <c r="DR23" s="438">
        <f t="shared" si="33"/>
        <v>2645400</v>
      </c>
      <c r="DS23" s="438">
        <f t="shared" si="33"/>
        <v>0</v>
      </c>
      <c r="DT23" s="438">
        <f t="shared" si="33"/>
        <v>21870000</v>
      </c>
      <c r="DU23" s="438">
        <f t="shared" si="33"/>
        <v>0</v>
      </c>
      <c r="DV23" s="438">
        <f t="shared" si="33"/>
        <v>17010000</v>
      </c>
      <c r="DW23" s="438">
        <f t="shared" si="33"/>
        <v>0</v>
      </c>
      <c r="DX23" s="438">
        <f t="shared" si="33"/>
        <v>0</v>
      </c>
      <c r="DY23" s="438">
        <f t="shared" si="33"/>
        <v>87471000</v>
      </c>
      <c r="DZ23" s="438"/>
      <c r="EA23" s="438"/>
      <c r="EB23" s="438"/>
      <c r="EC23" s="438"/>
      <c r="ED23" s="438"/>
      <c r="EE23" s="438"/>
      <c r="EF23" s="438"/>
      <c r="EG23" s="438"/>
      <c r="EH23" s="438"/>
      <c r="EI23" s="438"/>
      <c r="EJ23" s="438"/>
      <c r="EK23" s="438"/>
      <c r="EL23" s="438"/>
      <c r="EM23" s="438">
        <f t="shared" si="13"/>
        <v>159908800</v>
      </c>
      <c r="EN23" s="438">
        <f>+EN18+EN21</f>
        <v>22094400</v>
      </c>
      <c r="EO23" s="438">
        <f t="shared" ref="EO23:EQ23" si="34">+EO18+EO21</f>
        <v>50343400</v>
      </c>
      <c r="EP23" s="438">
        <f t="shared" si="34"/>
        <v>109565400</v>
      </c>
      <c r="EQ23" s="438">
        <f t="shared" si="34"/>
        <v>50343400</v>
      </c>
      <c r="ER23" s="592">
        <f>IFERROR(DX23/DW23,0)</f>
        <v>0</v>
      </c>
      <c r="ES23" s="273">
        <f t="shared" si="9"/>
        <v>2.2785592729379389</v>
      </c>
      <c r="ET23" s="273">
        <f t="shared" si="10"/>
        <v>0.4594826468940012</v>
      </c>
      <c r="EU23" s="273">
        <f t="shared" si="25"/>
        <v>1.4627905897400986</v>
      </c>
      <c r="EV23" s="274">
        <f t="shared" si="23"/>
        <v>0.60122971431578798</v>
      </c>
      <c r="EW23" s="811"/>
      <c r="EX23" s="826"/>
      <c r="EY23" s="826"/>
      <c r="EZ23" s="826"/>
      <c r="FA23" s="838"/>
    </row>
    <row r="24" spans="1:157" s="21" customFormat="1" ht="39" customHeight="1" x14ac:dyDescent="0.25">
      <c r="A24" s="786"/>
      <c r="B24" s="800">
        <v>3</v>
      </c>
      <c r="C24" s="803" t="s">
        <v>114</v>
      </c>
      <c r="D24" s="803" t="s">
        <v>78</v>
      </c>
      <c r="E24" s="806">
        <v>239</v>
      </c>
      <c r="F24" s="433" t="s">
        <v>106</v>
      </c>
      <c r="G24" s="564">
        <f>+AA24+BE24+CI24+DM24+EP24</f>
        <v>23568</v>
      </c>
      <c r="H24" s="564">
        <v>2000</v>
      </c>
      <c r="I24" s="564"/>
      <c r="J24" s="564"/>
      <c r="K24" s="564">
        <v>2000</v>
      </c>
      <c r="L24" s="564">
        <v>301</v>
      </c>
      <c r="M24" s="564">
        <v>2000</v>
      </c>
      <c r="N24" s="564">
        <v>345</v>
      </c>
      <c r="O24" s="564">
        <v>2000</v>
      </c>
      <c r="P24" s="564">
        <v>722</v>
      </c>
      <c r="Q24" s="564">
        <v>2000</v>
      </c>
      <c r="R24" s="564">
        <v>1359</v>
      </c>
      <c r="S24" s="564">
        <v>2000</v>
      </c>
      <c r="T24" s="564">
        <v>1891</v>
      </c>
      <c r="U24" s="564">
        <v>2400</v>
      </c>
      <c r="V24" s="564">
        <v>2642</v>
      </c>
      <c r="W24" s="564">
        <f>+U24</f>
        <v>2400</v>
      </c>
      <c r="X24" s="564">
        <f>+U24</f>
        <v>2400</v>
      </c>
      <c r="Y24" s="564">
        <f>+V24</f>
        <v>2642</v>
      </c>
      <c r="Z24" s="564">
        <f>+X24</f>
        <v>2400</v>
      </c>
      <c r="AA24" s="564">
        <f>+Y24</f>
        <v>2642</v>
      </c>
      <c r="AB24" s="564">
        <v>3200</v>
      </c>
      <c r="AC24" s="564">
        <v>0</v>
      </c>
      <c r="AD24" s="564">
        <v>0</v>
      </c>
      <c r="AE24" s="564">
        <f>+AF24</f>
        <v>419</v>
      </c>
      <c r="AF24" s="564">
        <v>419</v>
      </c>
      <c r="AG24" s="564">
        <v>182</v>
      </c>
      <c r="AH24" s="564">
        <v>182</v>
      </c>
      <c r="AI24" s="564">
        <v>444</v>
      </c>
      <c r="AJ24" s="564">
        <v>444</v>
      </c>
      <c r="AK24" s="564">
        <v>495</v>
      </c>
      <c r="AL24" s="564">
        <v>495</v>
      </c>
      <c r="AM24" s="564">
        <v>300</v>
      </c>
      <c r="AN24" s="564">
        <v>616</v>
      </c>
      <c r="AO24" s="564">
        <v>300</v>
      </c>
      <c r="AP24" s="564">
        <v>285</v>
      </c>
      <c r="AQ24" s="564">
        <v>300</v>
      </c>
      <c r="AR24" s="564">
        <v>367</v>
      </c>
      <c r="AS24" s="564">
        <v>643</v>
      </c>
      <c r="AT24" s="564">
        <v>275</v>
      </c>
      <c r="AU24" s="564">
        <v>275</v>
      </c>
      <c r="AV24" s="564">
        <v>275</v>
      </c>
      <c r="AW24" s="564">
        <v>275</v>
      </c>
      <c r="AX24" s="564">
        <v>279</v>
      </c>
      <c r="AY24" s="564">
        <v>167</v>
      </c>
      <c r="AZ24" s="564">
        <v>163</v>
      </c>
      <c r="BA24" s="564">
        <f>+AC24+AE24+AG24+AI24+AK24+AM24+AO24+AQ24+AS24+AU24+AW24+AY24</f>
        <v>3800</v>
      </c>
      <c r="BB24" s="564">
        <f>+AC24+AE24+AG24+AI24+AK24+AM24+AO24+AQ24+AS24+AU24+AW24+AY24</f>
        <v>3800</v>
      </c>
      <c r="BC24" s="564">
        <f>+AD24+AF24+AH24+AJ24+AL24+AN24+AP24+AR24+AT24+AV24+AX24+AZ24</f>
        <v>3800</v>
      </c>
      <c r="BD24" s="564">
        <f>AC24+AE24+AG24+AI24+AK24+AM24+AO24+AQ24+AS24+AU24+AW24+AY24</f>
        <v>3800</v>
      </c>
      <c r="BE24" s="564">
        <f>AD24+AF24+AH24+AJ24+AL24+AN24++AP24+AR24+AT24+AV24+AX24+AZ24</f>
        <v>3800</v>
      </c>
      <c r="BF24" s="564">
        <v>7900</v>
      </c>
      <c r="BG24" s="564">
        <v>109</v>
      </c>
      <c r="BH24" s="564">
        <v>109</v>
      </c>
      <c r="BI24" s="564">
        <v>500</v>
      </c>
      <c r="BJ24" s="564">
        <v>515</v>
      </c>
      <c r="BK24" s="564">
        <v>591</v>
      </c>
      <c r="BL24" s="564">
        <v>576</v>
      </c>
      <c r="BM24" s="564">
        <v>750</v>
      </c>
      <c r="BN24" s="564">
        <v>753</v>
      </c>
      <c r="BO24" s="564">
        <v>750</v>
      </c>
      <c r="BP24" s="564">
        <v>747</v>
      </c>
      <c r="BQ24" s="564">
        <v>800</v>
      </c>
      <c r="BR24" s="564">
        <v>678</v>
      </c>
      <c r="BS24" s="564">
        <v>750</v>
      </c>
      <c r="BT24" s="564">
        <v>822</v>
      </c>
      <c r="BU24" s="564">
        <v>750</v>
      </c>
      <c r="BV24" s="564">
        <v>813</v>
      </c>
      <c r="BW24" s="564">
        <v>800</v>
      </c>
      <c r="BX24" s="564">
        <v>788</v>
      </c>
      <c r="BY24" s="564">
        <v>750</v>
      </c>
      <c r="BZ24" s="564">
        <v>847</v>
      </c>
      <c r="CA24" s="564">
        <v>750</v>
      </c>
      <c r="CB24" s="564">
        <v>796</v>
      </c>
      <c r="CC24" s="564">
        <v>1400</v>
      </c>
      <c r="CD24" s="564">
        <v>824</v>
      </c>
      <c r="CE24" s="564">
        <f>+BG24+BI24+BK24+BM24+BO24+BQ24+BS24+BU24+BW24+BY24+CA24+CC24</f>
        <v>8700</v>
      </c>
      <c r="CF24" s="564">
        <f>+BG24+BI24+BK24+BM24+BO24+BQ24+BS24+BU24+BW24+BY24+CA24+CC24</f>
        <v>8700</v>
      </c>
      <c r="CG24" s="564">
        <f>+BH24+BJ24+BL24+BN24+BP24+BR24+BT24+BV24+BX24+BZ24+CB24+CD24</f>
        <v>8268</v>
      </c>
      <c r="CH24" s="564">
        <f t="shared" ref="CH24:CI28" si="35">+BG24+BI24+BK24+BM24+BO24+BQ24+BS24+BU24+BW24+BY24+CA24+CC24</f>
        <v>8700</v>
      </c>
      <c r="CI24" s="564">
        <f t="shared" si="35"/>
        <v>8268</v>
      </c>
      <c r="CJ24" s="566">
        <v>5590</v>
      </c>
      <c r="CK24" s="566">
        <v>291</v>
      </c>
      <c r="CL24" s="566">
        <v>291</v>
      </c>
      <c r="CM24" s="566">
        <v>334</v>
      </c>
      <c r="CN24" s="566">
        <v>334</v>
      </c>
      <c r="CO24" s="566">
        <v>258</v>
      </c>
      <c r="CP24" s="566">
        <v>258</v>
      </c>
      <c r="CQ24" s="566">
        <v>450</v>
      </c>
      <c r="CR24" s="566">
        <v>450</v>
      </c>
      <c r="CS24" s="566">
        <v>500</v>
      </c>
      <c r="CT24" s="566">
        <v>511</v>
      </c>
      <c r="CU24" s="566">
        <v>550</v>
      </c>
      <c r="CV24" s="566">
        <v>554</v>
      </c>
      <c r="CW24" s="566">
        <v>550</v>
      </c>
      <c r="CX24" s="566">
        <v>556</v>
      </c>
      <c r="CY24" s="566">
        <v>550</v>
      </c>
      <c r="CZ24" s="566">
        <v>571</v>
      </c>
      <c r="DA24" s="566">
        <v>550</v>
      </c>
      <c r="DB24" s="566">
        <v>595</v>
      </c>
      <c r="DC24" s="566">
        <v>550</v>
      </c>
      <c r="DD24" s="566">
        <v>585</v>
      </c>
      <c r="DE24" s="566">
        <v>550</v>
      </c>
      <c r="DF24" s="566">
        <v>438</v>
      </c>
      <c r="DG24" s="566">
        <v>974</v>
      </c>
      <c r="DH24" s="566">
        <v>964</v>
      </c>
      <c r="DI24" s="566">
        <f t="shared" si="6"/>
        <v>6107</v>
      </c>
      <c r="DJ24" s="566">
        <f>+CK24+CM24+CO24+CQ24+CS24+CU24+CW24+CY24+DA24+DC24+DE24</f>
        <v>5133</v>
      </c>
      <c r="DK24" s="566">
        <f>+CL24+CN24+CP24+CR24+CT24+CV24+CX24+CZ24+DB24+DD24+DF24+DH24</f>
        <v>6107</v>
      </c>
      <c r="DL24" s="566">
        <f t="shared" ref="DL24:DM28" si="36">+CK24+CM24+CO24+CQ24+CS24+CU24+CW24+CY24+DA24+DC24+DE24+DG24</f>
        <v>6107</v>
      </c>
      <c r="DM24" s="566">
        <f t="shared" si="36"/>
        <v>6107</v>
      </c>
      <c r="DN24" s="581">
        <v>2751</v>
      </c>
      <c r="DO24" s="564">
        <v>500</v>
      </c>
      <c r="DP24" s="564">
        <v>308</v>
      </c>
      <c r="DQ24" s="564">
        <v>500</v>
      </c>
      <c r="DR24" s="571">
        <v>223</v>
      </c>
      <c r="DS24" s="564">
        <v>640</v>
      </c>
      <c r="DT24" s="564">
        <v>503</v>
      </c>
      <c r="DU24" s="564">
        <v>650</v>
      </c>
      <c r="DV24" s="582">
        <v>320</v>
      </c>
      <c r="DW24" s="564">
        <f>703-242</f>
        <v>461</v>
      </c>
      <c r="DX24" s="564">
        <v>541</v>
      </c>
      <c r="DY24" s="564">
        <v>0</v>
      </c>
      <c r="DZ24" s="564"/>
      <c r="EA24" s="564"/>
      <c r="EB24" s="564"/>
      <c r="EC24" s="564"/>
      <c r="ED24" s="564"/>
      <c r="EE24" s="564"/>
      <c r="EF24" s="564"/>
      <c r="EG24" s="564"/>
      <c r="EH24" s="564"/>
      <c r="EI24" s="564"/>
      <c r="EJ24" s="564"/>
      <c r="EK24" s="564"/>
      <c r="EL24" s="564"/>
      <c r="EM24" s="564">
        <f>DO24+DQ24+DS24+DU24+DW24+DY24</f>
        <v>2751</v>
      </c>
      <c r="EN24" s="564">
        <f>+DO24+DQ24+DS24+DU24+DW24</f>
        <v>2751</v>
      </c>
      <c r="EO24" s="564">
        <f>+DP24+DR24+DT24+DV24+DX24+DZ24</f>
        <v>1895</v>
      </c>
      <c r="EP24" s="564">
        <f>+DO24+DQ24+DS24+DU24+DW24+DY24</f>
        <v>2751</v>
      </c>
      <c r="EQ24" s="564">
        <f>+DP24+DR24+DT24+DV24+DX24+DZ24</f>
        <v>1895</v>
      </c>
      <c r="ER24" s="407">
        <f t="shared" si="8"/>
        <v>1.1735357917570499</v>
      </c>
      <c r="ES24" s="407">
        <f>+EO24/EN24</f>
        <v>0.68884042166484916</v>
      </c>
      <c r="ET24" s="407">
        <f>+EQ24/EP24</f>
        <v>0.68884042166484916</v>
      </c>
      <c r="EU24" s="407">
        <f t="shared" si="25"/>
        <v>0.95597272497684993</v>
      </c>
      <c r="EV24" s="407">
        <f>+(AA24+BE24+CI24+DM24+EQ24)/G24</f>
        <v>0.9636795655125594</v>
      </c>
      <c r="EW24" s="839" t="s">
        <v>444</v>
      </c>
      <c r="EX24" s="824" t="s">
        <v>442</v>
      </c>
      <c r="EY24" s="824" t="s">
        <v>81</v>
      </c>
      <c r="EZ24" s="827" t="s">
        <v>425</v>
      </c>
      <c r="FA24" s="830" t="s">
        <v>364</v>
      </c>
    </row>
    <row r="25" spans="1:157" s="110" customFormat="1" ht="39" customHeight="1" x14ac:dyDescent="0.25">
      <c r="A25" s="786"/>
      <c r="B25" s="801"/>
      <c r="C25" s="804"/>
      <c r="D25" s="804"/>
      <c r="E25" s="807"/>
      <c r="F25" s="434" t="s">
        <v>107</v>
      </c>
      <c r="G25" s="95">
        <f>+AA25+BE25+CI25+DM25+EP25</f>
        <v>3459453514</v>
      </c>
      <c r="H25" s="95">
        <v>260000000</v>
      </c>
      <c r="I25" s="95"/>
      <c r="J25" s="95"/>
      <c r="K25" s="95">
        <v>260000000</v>
      </c>
      <c r="L25" s="95">
        <v>10000000</v>
      </c>
      <c r="M25" s="95">
        <v>260000000</v>
      </c>
      <c r="N25" s="95">
        <v>192696000</v>
      </c>
      <c r="O25" s="95">
        <v>260000000</v>
      </c>
      <c r="P25" s="95">
        <v>192696000</v>
      </c>
      <c r="Q25" s="95">
        <v>260000000</v>
      </c>
      <c r="R25" s="95">
        <v>192696000</v>
      </c>
      <c r="S25" s="95">
        <v>252764000</v>
      </c>
      <c r="T25" s="95">
        <v>222696000</v>
      </c>
      <c r="U25" s="95">
        <v>251413000</v>
      </c>
      <c r="V25" s="95">
        <v>249751280</v>
      </c>
      <c r="W25" s="95">
        <f>+U25</f>
        <v>251413000</v>
      </c>
      <c r="X25" s="95">
        <f>+U25</f>
        <v>251413000</v>
      </c>
      <c r="Y25" s="95">
        <f>+V25</f>
        <v>249751280</v>
      </c>
      <c r="Z25" s="95">
        <f>+X25</f>
        <v>251413000</v>
      </c>
      <c r="AA25" s="95">
        <f>+Y25</f>
        <v>249751280</v>
      </c>
      <c r="AB25" s="95">
        <v>464056000</v>
      </c>
      <c r="AC25" s="95">
        <v>0</v>
      </c>
      <c r="AD25" s="95">
        <v>0</v>
      </c>
      <c r="AE25" s="95">
        <f>+AF25</f>
        <v>247600000</v>
      </c>
      <c r="AF25" s="95">
        <v>247600000</v>
      </c>
      <c r="AG25" s="95">
        <v>164029000</v>
      </c>
      <c r="AH25" s="95">
        <f>+AG25</f>
        <v>164029000</v>
      </c>
      <c r="AI25" s="95">
        <v>0</v>
      </c>
      <c r="AJ25" s="95">
        <v>0</v>
      </c>
      <c r="AK25" s="95">
        <v>0</v>
      </c>
      <c r="AL25" s="95">
        <v>0</v>
      </c>
      <c r="AM25" s="95">
        <v>0</v>
      </c>
      <c r="AN25" s="95">
        <v>0</v>
      </c>
      <c r="AO25" s="95">
        <v>5000000</v>
      </c>
      <c r="AP25" s="95">
        <v>0</v>
      </c>
      <c r="AQ25" s="95">
        <v>0</v>
      </c>
      <c r="AR25" s="95">
        <v>0</v>
      </c>
      <c r="AS25" s="95">
        <v>11508000</v>
      </c>
      <c r="AT25" s="95">
        <v>16508000</v>
      </c>
      <c r="AU25" s="95">
        <v>3210000</v>
      </c>
      <c r="AV25" s="95">
        <v>0</v>
      </c>
      <c r="AW25" s="95">
        <v>0</v>
      </c>
      <c r="AX25" s="95">
        <v>3210000</v>
      </c>
      <c r="AY25" s="95">
        <v>15966000</v>
      </c>
      <c r="AZ25" s="95">
        <v>8072533</v>
      </c>
      <c r="BA25" s="95">
        <f t="shared" ref="BA25:BA30" si="37">+AC25+AE25+AG25+AI25+AK25+AM25+AO25+AQ25+AS25+AU25+AW25+AY25</f>
        <v>447313000</v>
      </c>
      <c r="BB25" s="95">
        <f t="shared" ref="BB25:BC30" si="38">+AC25+AE25+AG25+AI25+AK25+AM25+AO25+AQ25+AS25+AU25+AW25+AY25</f>
        <v>447313000</v>
      </c>
      <c r="BC25" s="95">
        <f t="shared" si="38"/>
        <v>439419533</v>
      </c>
      <c r="BD25" s="95">
        <f t="shared" ref="BD25:BD30" si="39">AC25+AE25+AG25+AI25+AK25+AM25+AO25+AQ25+AS25+AU25+AW25+AY25</f>
        <v>447313000</v>
      </c>
      <c r="BE25" s="95">
        <f t="shared" ref="BE25:BE30" si="40">AD25+AF25+AH25+AJ25+AL25+AN25++AP25+AR25+AT25+AV25+AX25+AZ25</f>
        <v>439419533</v>
      </c>
      <c r="BF25" s="95">
        <v>934892000</v>
      </c>
      <c r="BG25" s="95">
        <v>862267000</v>
      </c>
      <c r="BH25" s="95">
        <v>862267000</v>
      </c>
      <c r="BI25" s="95">
        <v>0</v>
      </c>
      <c r="BJ25" s="95">
        <v>0</v>
      </c>
      <c r="BK25" s="95">
        <v>8862000</v>
      </c>
      <c r="BL25" s="95">
        <v>0</v>
      </c>
      <c r="BM25" s="95">
        <v>31304000</v>
      </c>
      <c r="BN25" s="95">
        <v>27504000</v>
      </c>
      <c r="BO25" s="95">
        <v>27391000</v>
      </c>
      <c r="BP25" s="95">
        <v>0</v>
      </c>
      <c r="BQ25" s="95">
        <v>0</v>
      </c>
      <c r="BR25" s="95">
        <v>0</v>
      </c>
      <c r="BS25" s="95">
        <v>0</v>
      </c>
      <c r="BT25" s="95">
        <v>0</v>
      </c>
      <c r="BU25" s="95">
        <v>0</v>
      </c>
      <c r="BV25" s="95">
        <v>31304000</v>
      </c>
      <c r="BW25" s="95">
        <v>0</v>
      </c>
      <c r="BX25" s="95">
        <v>0</v>
      </c>
      <c r="BY25" s="95">
        <v>4366000</v>
      </c>
      <c r="BZ25" s="95">
        <v>4366000</v>
      </c>
      <c r="CA25" s="95">
        <v>75756433</v>
      </c>
      <c r="CB25" s="95">
        <v>58349667</v>
      </c>
      <c r="CC25" s="95">
        <v>139183267</v>
      </c>
      <c r="CD25" s="95">
        <v>140293967</v>
      </c>
      <c r="CE25" s="95">
        <f t="shared" ref="CE25:CE34" si="41">+BG25+BI25+BK25+BM25+BO25+BQ25+BS25+BU25+BW25+BY25+CA25+CC25</f>
        <v>1149129700</v>
      </c>
      <c r="CF25" s="95">
        <f t="shared" ref="CF25:CF30" si="42">+BG25+BI25+BK25+BM25+BO25+BQ25+BS25+BU25+BW25+BY25+CA25+CC25</f>
        <v>1149129700</v>
      </c>
      <c r="CG25" s="95">
        <f>+BH25+BJ25+BL25+BN25+BP25+BR25+BT25+BV25+BX25+BZ25+CB25+CD25</f>
        <v>1124084634</v>
      </c>
      <c r="CH25" s="95">
        <f t="shared" si="35"/>
        <v>1149129700</v>
      </c>
      <c r="CI25" s="95">
        <v>1124084634</v>
      </c>
      <c r="CJ25" s="100">
        <v>653358000</v>
      </c>
      <c r="CK25" s="100">
        <v>215000000</v>
      </c>
      <c r="CL25" s="100">
        <v>215000000</v>
      </c>
      <c r="CM25" s="100">
        <v>0</v>
      </c>
      <c r="CN25" s="100">
        <v>0</v>
      </c>
      <c r="CO25" s="100">
        <v>369711500</v>
      </c>
      <c r="CP25" s="100">
        <v>369711500</v>
      </c>
      <c r="CQ25" s="100">
        <v>64596333</v>
      </c>
      <c r="CR25" s="100">
        <v>62413333</v>
      </c>
      <c r="CS25" s="100">
        <v>0</v>
      </c>
      <c r="CT25" s="100">
        <v>0</v>
      </c>
      <c r="CU25" s="100">
        <v>0</v>
      </c>
      <c r="CV25" s="100">
        <v>0</v>
      </c>
      <c r="CW25" s="100">
        <v>0</v>
      </c>
      <c r="CX25" s="100"/>
      <c r="CY25" s="100">
        <v>4000000</v>
      </c>
      <c r="CZ25" s="100">
        <v>0</v>
      </c>
      <c r="DA25" s="100">
        <v>0</v>
      </c>
      <c r="DB25" s="100">
        <v>0</v>
      </c>
      <c r="DC25" s="100">
        <v>0</v>
      </c>
      <c r="DD25" s="100">
        <v>0</v>
      </c>
      <c r="DE25" s="100">
        <v>0</v>
      </c>
      <c r="DF25" s="100">
        <v>0</v>
      </c>
      <c r="DG25" s="100">
        <v>22436800</v>
      </c>
      <c r="DH25" s="100">
        <v>28531234</v>
      </c>
      <c r="DI25" s="100">
        <f>+CK25+CM25+CO25+CQ25+CS25+CU25+CW25+CY25+DA25+DC25+DE25+DG25</f>
        <v>675744633</v>
      </c>
      <c r="DJ25" s="100">
        <f>+CK25+CM25+CO25+CQ25+CS25+CU25+CW25+CY25+DA25+DC25+DE25+DG25</f>
        <v>675744633</v>
      </c>
      <c r="DK25" s="100">
        <f>+CL25+CN25+CP25+CR25+CT25+CV25+CX25+CZ25+DB25+DD25+DF25+DH25</f>
        <v>675656067</v>
      </c>
      <c r="DL25" s="100">
        <f t="shared" si="36"/>
        <v>675744633</v>
      </c>
      <c r="DM25" s="100">
        <f t="shared" si="36"/>
        <v>675656067</v>
      </c>
      <c r="DN25" s="247">
        <v>970542000</v>
      </c>
      <c r="DO25" s="100">
        <v>81579000</v>
      </c>
      <c r="DP25" s="441">
        <v>27692000</v>
      </c>
      <c r="DQ25" s="100">
        <v>28561000</v>
      </c>
      <c r="DR25" s="100">
        <v>97042500</v>
      </c>
      <c r="DS25" s="100">
        <v>7874000</v>
      </c>
      <c r="DT25" s="100">
        <v>103000000</v>
      </c>
      <c r="DU25" s="100">
        <v>20000000</v>
      </c>
      <c r="DV25" s="551">
        <v>114537500</v>
      </c>
      <c r="DW25" s="100">
        <v>207000000</v>
      </c>
      <c r="DX25" s="100">
        <v>49599500</v>
      </c>
      <c r="DY25" s="100">
        <f>DN25-(DO25+DQ25+DS25+DU25+DW25)</f>
        <v>625528000</v>
      </c>
      <c r="DZ25" s="552"/>
      <c r="EA25" s="552"/>
      <c r="EB25" s="552"/>
      <c r="EC25" s="552"/>
      <c r="ED25" s="552"/>
      <c r="EE25" s="552"/>
      <c r="EF25" s="552"/>
      <c r="EG25" s="552"/>
      <c r="EH25" s="552"/>
      <c r="EI25" s="552"/>
      <c r="EJ25" s="552"/>
      <c r="EK25" s="552"/>
      <c r="EL25" s="552"/>
      <c r="EM25" s="100">
        <f>DO25+DQ25+DS25+DU25+DW25+DY25</f>
        <v>970542000</v>
      </c>
      <c r="EN25" s="100">
        <f>+DO25+DQ25+DS25+DU25</f>
        <v>138014000</v>
      </c>
      <c r="EO25" s="100">
        <f t="shared" ref="EO25:EO28" si="43">+DP25+DR25+DT25+DV25+DX25+DZ25</f>
        <v>391871500</v>
      </c>
      <c r="EP25" s="100">
        <f t="shared" ref="EP25:EQ28" si="44">+DO25+DQ25+DS25+DU25+DW25+DY25</f>
        <v>970542000</v>
      </c>
      <c r="EQ25" s="100">
        <f t="shared" si="44"/>
        <v>391871500</v>
      </c>
      <c r="ER25" s="401">
        <f t="shared" si="8"/>
        <v>0.23961111111111111</v>
      </c>
      <c r="ES25" s="401">
        <f t="shared" si="9"/>
        <v>2.8393604996594548</v>
      </c>
      <c r="ET25" s="407">
        <f t="shared" ref="ET25:ET28" si="45">+EQ25/EP25</f>
        <v>0.40376562786566683</v>
      </c>
      <c r="EU25" s="407">
        <f t="shared" si="25"/>
        <v>1.0823442668919532</v>
      </c>
      <c r="EV25" s="401">
        <f t="shared" si="23"/>
        <v>0.83272777111812923</v>
      </c>
      <c r="EW25" s="840"/>
      <c r="EX25" s="825"/>
      <c r="EY25" s="825"/>
      <c r="EZ25" s="828"/>
      <c r="FA25" s="831"/>
    </row>
    <row r="26" spans="1:157" s="110" customFormat="1" ht="39" customHeight="1" x14ac:dyDescent="0.25">
      <c r="A26" s="786"/>
      <c r="B26" s="801"/>
      <c r="C26" s="804"/>
      <c r="D26" s="804"/>
      <c r="E26" s="807"/>
      <c r="F26" s="435" t="s">
        <v>108</v>
      </c>
      <c r="G26" s="95"/>
      <c r="H26" s="95"/>
      <c r="I26" s="95"/>
      <c r="J26" s="95"/>
      <c r="K26" s="95"/>
      <c r="L26" s="95"/>
      <c r="M26" s="95"/>
      <c r="N26" s="95"/>
      <c r="O26" s="95"/>
      <c r="P26" s="95"/>
      <c r="Q26" s="95"/>
      <c r="R26" s="95"/>
      <c r="S26" s="95"/>
      <c r="T26" s="95"/>
      <c r="U26" s="95"/>
      <c r="V26" s="95"/>
      <c r="W26" s="95"/>
      <c r="X26" s="95"/>
      <c r="Y26" s="95"/>
      <c r="Z26" s="95"/>
      <c r="AA26" s="95"/>
      <c r="AB26" s="95">
        <v>464056000</v>
      </c>
      <c r="AC26" s="95">
        <v>0</v>
      </c>
      <c r="AD26" s="95">
        <v>0</v>
      </c>
      <c r="AE26" s="95">
        <v>0</v>
      </c>
      <c r="AF26" s="95">
        <v>0</v>
      </c>
      <c r="AG26" s="95">
        <f>+[3]SPI!F201</f>
        <v>12276200</v>
      </c>
      <c r="AH26" s="95">
        <f>+AG26</f>
        <v>12276200</v>
      </c>
      <c r="AI26" s="95">
        <v>26499333</v>
      </c>
      <c r="AJ26" s="95">
        <v>26499333</v>
      </c>
      <c r="AK26" s="95">
        <v>38991467</v>
      </c>
      <c r="AL26" s="95">
        <v>38991467</v>
      </c>
      <c r="AM26" s="95">
        <v>43042000</v>
      </c>
      <c r="AN26" s="95">
        <v>36585000</v>
      </c>
      <c r="AO26" s="95">
        <v>39988600</v>
      </c>
      <c r="AP26" s="95">
        <v>40407600</v>
      </c>
      <c r="AQ26" s="95">
        <v>40293000</v>
      </c>
      <c r="AR26" s="95">
        <v>40293000</v>
      </c>
      <c r="AS26" s="95">
        <v>43312000</v>
      </c>
      <c r="AT26" s="95">
        <v>36855000</v>
      </c>
      <c r="AU26" s="95">
        <f>48312000+3836000</f>
        <v>52148000</v>
      </c>
      <c r="AV26" s="95">
        <v>30552000</v>
      </c>
      <c r="AW26" s="95">
        <f>43312000+3836000</f>
        <v>47148000</v>
      </c>
      <c r="AX26" s="95">
        <v>29558200</v>
      </c>
      <c r="AY26" s="95">
        <f>95930400+7684000</f>
        <v>103614400</v>
      </c>
      <c r="AZ26" s="95">
        <v>71527585</v>
      </c>
      <c r="BA26" s="95">
        <f t="shared" si="37"/>
        <v>447313000</v>
      </c>
      <c r="BB26" s="95">
        <f t="shared" si="38"/>
        <v>447313000</v>
      </c>
      <c r="BC26" s="95">
        <f t="shared" si="38"/>
        <v>363545385</v>
      </c>
      <c r="BD26" s="95">
        <f t="shared" si="39"/>
        <v>447313000</v>
      </c>
      <c r="BE26" s="95">
        <f t="shared" si="40"/>
        <v>363545385</v>
      </c>
      <c r="BF26" s="95">
        <v>934892000</v>
      </c>
      <c r="BG26" s="95">
        <v>0</v>
      </c>
      <c r="BH26" s="95">
        <v>0</v>
      </c>
      <c r="BI26" s="95">
        <v>12861667</v>
      </c>
      <c r="BJ26" s="95">
        <v>4644934</v>
      </c>
      <c r="BK26" s="95">
        <v>62861667</v>
      </c>
      <c r="BL26" s="95">
        <v>82845557</v>
      </c>
      <c r="BM26" s="95">
        <v>62861667</v>
      </c>
      <c r="BN26" s="95">
        <v>89275917</v>
      </c>
      <c r="BO26" s="95">
        <v>62861667</v>
      </c>
      <c r="BP26" s="95">
        <v>63438600</v>
      </c>
      <c r="BQ26" s="95">
        <v>62861667</v>
      </c>
      <c r="BR26" s="95">
        <v>99424277</v>
      </c>
      <c r="BS26" s="95">
        <v>62861667</v>
      </c>
      <c r="BT26" s="95">
        <v>87251857</v>
      </c>
      <c r="BU26" s="95">
        <v>62861667</v>
      </c>
      <c r="BV26" s="95">
        <v>71821000</v>
      </c>
      <c r="BW26" s="95">
        <v>82861667</v>
      </c>
      <c r="BX26" s="95">
        <v>76502010</v>
      </c>
      <c r="BY26" s="95">
        <v>131421559</v>
      </c>
      <c r="BZ26" s="95">
        <v>91421559</v>
      </c>
      <c r="CA26" s="95">
        <v>131421559</v>
      </c>
      <c r="CB26" s="95">
        <v>97085243</v>
      </c>
      <c r="CC26" s="95">
        <v>413393246</v>
      </c>
      <c r="CD26" s="95">
        <v>113949823</v>
      </c>
      <c r="CE26" s="95">
        <f t="shared" si="41"/>
        <v>1149129700</v>
      </c>
      <c r="CF26" s="95">
        <f t="shared" si="42"/>
        <v>1149129700</v>
      </c>
      <c r="CG26" s="95">
        <f>+BH26+BJ26+BL26+BN26+BP26+BR26+BT26+BV26+BX26+BZ26+CB26+CD26</f>
        <v>877660777</v>
      </c>
      <c r="CH26" s="95">
        <f t="shared" si="35"/>
        <v>1149129700</v>
      </c>
      <c r="CI26" s="95">
        <f t="shared" si="35"/>
        <v>877660777</v>
      </c>
      <c r="CJ26" s="100">
        <v>653358000</v>
      </c>
      <c r="CK26" s="100">
        <v>0</v>
      </c>
      <c r="CL26" s="100">
        <v>0</v>
      </c>
      <c r="CM26" s="100">
        <v>0</v>
      </c>
      <c r="CN26" s="100">
        <v>0</v>
      </c>
      <c r="CO26" s="100">
        <v>0</v>
      </c>
      <c r="CP26" s="100">
        <v>0</v>
      </c>
      <c r="CQ26" s="100">
        <v>4056933</v>
      </c>
      <c r="CR26" s="100">
        <v>4521934</v>
      </c>
      <c r="CS26" s="100">
        <v>50369000</v>
      </c>
      <c r="CT26" s="100">
        <v>41842599</v>
      </c>
      <c r="CU26" s="100">
        <v>50369000</v>
      </c>
      <c r="CV26" s="100">
        <v>62134847</v>
      </c>
      <c r="CW26" s="100">
        <v>67369000</v>
      </c>
      <c r="CX26" s="100">
        <v>60082905</v>
      </c>
      <c r="CY26" s="100">
        <v>67369000</v>
      </c>
      <c r="CZ26" s="100">
        <v>58506814</v>
      </c>
      <c r="DA26" s="100">
        <v>67369000</v>
      </c>
      <c r="DB26" s="100">
        <v>81096449</v>
      </c>
      <c r="DC26" s="100">
        <v>67369000</v>
      </c>
      <c r="DD26" s="100">
        <v>87589564</v>
      </c>
      <c r="DE26" s="100">
        <v>87589564</v>
      </c>
      <c r="DF26" s="100">
        <v>80282257</v>
      </c>
      <c r="DG26" s="100">
        <v>213884136</v>
      </c>
      <c r="DH26" s="100">
        <v>116101040</v>
      </c>
      <c r="DI26" s="100">
        <f t="shared" ref="DI26" si="46">+CK26+CM26+CO26+CQ26+CS26+CU26+CW26+CY26+DA26+DC26+DE26+DG26</f>
        <v>675744633</v>
      </c>
      <c r="DJ26" s="100">
        <f>+CK26+CM26+CO26+CQ26+CS26+CU26+CW26+CY26+DA26+DC26+DE26+DG26</f>
        <v>675744633</v>
      </c>
      <c r="DK26" s="100">
        <f>+CL26+CN26+CP26+CR26+CT26+CV26+CX26+CZ26+DB26+DD26+DF26+DH26</f>
        <v>592158409</v>
      </c>
      <c r="DL26" s="100">
        <f t="shared" si="36"/>
        <v>675744633</v>
      </c>
      <c r="DM26" s="100">
        <f t="shared" si="36"/>
        <v>592158409</v>
      </c>
      <c r="DN26" s="247">
        <f>+DN25</f>
        <v>970542000</v>
      </c>
      <c r="DO26" s="100">
        <v>21774004</v>
      </c>
      <c r="DP26" s="100">
        <v>0</v>
      </c>
      <c r="DQ26" s="100">
        <v>65322000</v>
      </c>
      <c r="DR26" s="100">
        <v>5177199</v>
      </c>
      <c r="DS26" s="100">
        <v>65322000</v>
      </c>
      <c r="DT26" s="100">
        <v>20027967</v>
      </c>
      <c r="DU26" s="100">
        <v>65322000</v>
      </c>
      <c r="DV26" s="551">
        <v>28440328.19953052</v>
      </c>
      <c r="DW26" s="100">
        <v>65322000</v>
      </c>
      <c r="DX26" s="100">
        <v>52677493.799999997</v>
      </c>
      <c r="DY26" s="100">
        <f>DN26-SUM(DO26:DW26)</f>
        <v>633834501.8004694</v>
      </c>
      <c r="DZ26" s="552"/>
      <c r="EA26" s="100"/>
      <c r="EB26" s="552"/>
      <c r="EC26" s="552"/>
      <c r="ED26" s="552"/>
      <c r="EE26" s="552"/>
      <c r="EF26" s="552"/>
      <c r="EG26" s="552"/>
      <c r="EH26" s="552"/>
      <c r="EI26" s="552"/>
      <c r="EJ26" s="552"/>
      <c r="EK26" s="552"/>
      <c r="EL26" s="552"/>
      <c r="EM26" s="100">
        <f t="shared" ref="EM26:EM29" si="47">DO26+DQ26+DS26+DU26+DW26+DY26</f>
        <v>916896505.8004694</v>
      </c>
      <c r="EN26" s="100">
        <f>+DO26+DQ26+DS26+DU26</f>
        <v>217740004</v>
      </c>
      <c r="EO26" s="100">
        <f t="shared" si="43"/>
        <v>106322987.99953052</v>
      </c>
      <c r="EP26" s="100">
        <f t="shared" si="44"/>
        <v>916896505.8004694</v>
      </c>
      <c r="EQ26" s="100">
        <f t="shared" si="44"/>
        <v>106322987.99953052</v>
      </c>
      <c r="ER26" s="401">
        <f t="shared" si="8"/>
        <v>0.80642806099017172</v>
      </c>
      <c r="ES26" s="401">
        <f t="shared" si="9"/>
        <v>0.4883024986053115</v>
      </c>
      <c r="ET26" s="407">
        <f t="shared" si="45"/>
        <v>0.11595963920345446</v>
      </c>
      <c r="EU26" s="407">
        <f t="shared" si="25"/>
        <v>0.77901372067209473</v>
      </c>
      <c r="EV26" s="401">
        <f>IFERROR((AA26+BE26+CI26+DM26+EQ26)/G26,0)</f>
        <v>0</v>
      </c>
      <c r="EW26" s="840"/>
      <c r="EX26" s="825"/>
      <c r="EY26" s="825"/>
      <c r="EZ26" s="828"/>
      <c r="FA26" s="831"/>
    </row>
    <row r="27" spans="1:157" s="21" customFormat="1" ht="39" customHeight="1" x14ac:dyDescent="0.25">
      <c r="A27" s="786"/>
      <c r="B27" s="801"/>
      <c r="C27" s="804"/>
      <c r="D27" s="804"/>
      <c r="E27" s="807"/>
      <c r="F27" s="436" t="s">
        <v>109</v>
      </c>
      <c r="G27" s="546">
        <f>+AA27+BE27+CI27+DM27+EP27</f>
        <v>432</v>
      </c>
      <c r="H27" s="553"/>
      <c r="I27" s="553"/>
      <c r="J27" s="553"/>
      <c r="K27" s="546"/>
      <c r="L27" s="553"/>
      <c r="M27" s="546"/>
      <c r="N27" s="553"/>
      <c r="O27" s="546"/>
      <c r="P27" s="546"/>
      <c r="Q27" s="546"/>
      <c r="R27" s="546"/>
      <c r="S27" s="546"/>
      <c r="T27" s="546"/>
      <c r="U27" s="553"/>
      <c r="V27" s="546"/>
      <c r="W27" s="553"/>
      <c r="X27" s="553"/>
      <c r="Y27" s="553"/>
      <c r="Z27" s="553"/>
      <c r="AA27" s="553"/>
      <c r="AB27" s="378">
        <v>0</v>
      </c>
      <c r="AC27" s="378">
        <v>0</v>
      </c>
      <c r="AD27" s="378">
        <v>0</v>
      </c>
      <c r="AE27" s="378">
        <v>0</v>
      </c>
      <c r="AF27" s="378">
        <v>0</v>
      </c>
      <c r="AG27" s="378">
        <v>0</v>
      </c>
      <c r="AH27" s="378">
        <v>0</v>
      </c>
      <c r="AI27" s="378">
        <v>0</v>
      </c>
      <c r="AJ27" s="378">
        <v>0</v>
      </c>
      <c r="AK27" s="378">
        <v>0</v>
      </c>
      <c r="AL27" s="378">
        <v>0</v>
      </c>
      <c r="AM27" s="554">
        <v>0</v>
      </c>
      <c r="AN27" s="554">
        <v>0</v>
      </c>
      <c r="AO27" s="554">
        <v>0</v>
      </c>
      <c r="AP27" s="554">
        <v>0</v>
      </c>
      <c r="AQ27" s="554">
        <v>0</v>
      </c>
      <c r="AR27" s="554">
        <v>0</v>
      </c>
      <c r="AS27" s="554">
        <v>0</v>
      </c>
      <c r="AT27" s="554">
        <v>0</v>
      </c>
      <c r="AU27" s="546">
        <v>0</v>
      </c>
      <c r="AV27" s="546">
        <v>0</v>
      </c>
      <c r="AW27" s="546">
        <v>0</v>
      </c>
      <c r="AX27" s="546">
        <v>0</v>
      </c>
      <c r="AY27" s="554">
        <v>0</v>
      </c>
      <c r="AZ27" s="554">
        <v>0</v>
      </c>
      <c r="BA27" s="552">
        <f t="shared" si="37"/>
        <v>0</v>
      </c>
      <c r="BB27" s="552">
        <f t="shared" si="38"/>
        <v>0</v>
      </c>
      <c r="BC27" s="552">
        <f t="shared" si="38"/>
        <v>0</v>
      </c>
      <c r="BD27" s="552">
        <f t="shared" si="39"/>
        <v>0</v>
      </c>
      <c r="BE27" s="552">
        <f t="shared" si="40"/>
        <v>0</v>
      </c>
      <c r="BF27" s="552">
        <v>0</v>
      </c>
      <c r="BG27" s="554">
        <v>0</v>
      </c>
      <c r="BH27" s="554">
        <v>0</v>
      </c>
      <c r="BI27" s="554">
        <v>0</v>
      </c>
      <c r="BJ27" s="554">
        <v>0</v>
      </c>
      <c r="BK27" s="554">
        <v>0</v>
      </c>
      <c r="BL27" s="554">
        <v>0</v>
      </c>
      <c r="BM27" s="554">
        <v>0</v>
      </c>
      <c r="BN27" s="554">
        <v>0</v>
      </c>
      <c r="BO27" s="554">
        <v>0</v>
      </c>
      <c r="BP27" s="554">
        <v>0</v>
      </c>
      <c r="BQ27" s="554">
        <v>0</v>
      </c>
      <c r="BR27" s="554">
        <v>0</v>
      </c>
      <c r="BS27" s="554">
        <v>0</v>
      </c>
      <c r="BT27" s="554">
        <v>0</v>
      </c>
      <c r="BU27" s="554">
        <v>0</v>
      </c>
      <c r="BV27" s="554">
        <v>0</v>
      </c>
      <c r="BW27" s="554">
        <v>0</v>
      </c>
      <c r="BX27" s="554">
        <v>0</v>
      </c>
      <c r="BY27" s="554">
        <v>0</v>
      </c>
      <c r="BZ27" s="554">
        <v>0</v>
      </c>
      <c r="CA27" s="554">
        <v>0</v>
      </c>
      <c r="CB27" s="554">
        <v>0</v>
      </c>
      <c r="CC27" s="554">
        <v>0</v>
      </c>
      <c r="CD27" s="552">
        <v>0</v>
      </c>
      <c r="CE27" s="554">
        <f t="shared" si="41"/>
        <v>0</v>
      </c>
      <c r="CF27" s="554">
        <f t="shared" si="42"/>
        <v>0</v>
      </c>
      <c r="CG27" s="546">
        <f>+BH27+BJ27+BL27+BN27+BP27+BR27+BT27+BV27+BX27+BZ27+CB27+CD27</f>
        <v>0</v>
      </c>
      <c r="CH27" s="546">
        <f t="shared" si="35"/>
        <v>0</v>
      </c>
      <c r="CI27" s="546">
        <f t="shared" si="35"/>
        <v>0</v>
      </c>
      <c r="CJ27" s="555">
        <v>432</v>
      </c>
      <c r="CK27" s="556">
        <v>327</v>
      </c>
      <c r="CL27" s="556">
        <v>327</v>
      </c>
      <c r="CM27" s="555">
        <v>63</v>
      </c>
      <c r="CN27" s="556">
        <v>63</v>
      </c>
      <c r="CO27" s="555">
        <v>42</v>
      </c>
      <c r="CP27" s="556">
        <v>42</v>
      </c>
      <c r="CQ27" s="556">
        <v>0</v>
      </c>
      <c r="CR27" s="556">
        <v>0</v>
      </c>
      <c r="CS27" s="556">
        <v>0</v>
      </c>
      <c r="CT27" s="556">
        <v>0</v>
      </c>
      <c r="CU27" s="556">
        <v>0</v>
      </c>
      <c r="CV27" s="556">
        <v>0</v>
      </c>
      <c r="CW27" s="556">
        <v>0</v>
      </c>
      <c r="CX27" s="556">
        <v>0</v>
      </c>
      <c r="CY27" s="556">
        <v>0</v>
      </c>
      <c r="CZ27" s="556">
        <v>0</v>
      </c>
      <c r="DA27" s="556">
        <v>0</v>
      </c>
      <c r="DB27" s="556">
        <v>0</v>
      </c>
      <c r="DC27" s="556">
        <v>0</v>
      </c>
      <c r="DD27" s="556">
        <v>0</v>
      </c>
      <c r="DE27" s="556">
        <v>0</v>
      </c>
      <c r="DF27" s="556">
        <v>0</v>
      </c>
      <c r="DG27" s="556">
        <v>0</v>
      </c>
      <c r="DH27" s="556">
        <v>0</v>
      </c>
      <c r="DI27" s="556">
        <f t="shared" si="6"/>
        <v>432</v>
      </c>
      <c r="DJ27" s="556">
        <f t="shared" si="7"/>
        <v>432</v>
      </c>
      <c r="DK27" s="556">
        <f>+CL27+CN27+CP27+CR27+CT27+CV27+CX27+CZ27+DB27+DD27+DF27+DH27</f>
        <v>432</v>
      </c>
      <c r="DL27" s="556">
        <f t="shared" si="36"/>
        <v>432</v>
      </c>
      <c r="DM27" s="556">
        <f t="shared" si="36"/>
        <v>432</v>
      </c>
      <c r="DN27" s="558">
        <v>0</v>
      </c>
      <c r="DO27" s="554"/>
      <c r="DP27" s="554"/>
      <c r="DQ27" s="554"/>
      <c r="DR27" s="554"/>
      <c r="DS27" s="554"/>
      <c r="DT27" s="554"/>
      <c r="DU27" s="554"/>
      <c r="DV27" s="574"/>
      <c r="DW27" s="554"/>
      <c r="DX27" s="554"/>
      <c r="DY27" s="554"/>
      <c r="DZ27" s="554"/>
      <c r="EA27" s="554"/>
      <c r="EB27" s="554"/>
      <c r="EC27" s="554"/>
      <c r="ED27" s="554"/>
      <c r="EE27" s="554"/>
      <c r="EF27" s="554"/>
      <c r="EG27" s="554"/>
      <c r="EH27" s="554"/>
      <c r="EI27" s="554"/>
      <c r="EJ27" s="554"/>
      <c r="EK27" s="554"/>
      <c r="EL27" s="554"/>
      <c r="EM27" s="546">
        <f t="shared" si="47"/>
        <v>0</v>
      </c>
      <c r="EN27" s="546">
        <f>+DO27+DQ27+DS27+DU27</f>
        <v>0</v>
      </c>
      <c r="EO27" s="546">
        <f t="shared" si="43"/>
        <v>0</v>
      </c>
      <c r="EP27" s="547">
        <f t="shared" si="44"/>
        <v>0</v>
      </c>
      <c r="EQ27" s="546">
        <f t="shared" si="44"/>
        <v>0</v>
      </c>
      <c r="ER27" s="401">
        <f>IFERROR(DX27/DW27,0)</f>
        <v>0</v>
      </c>
      <c r="ES27" s="401">
        <f>IFERROR(EO27/EN27,0)</f>
        <v>0</v>
      </c>
      <c r="ET27" s="407">
        <f>+IFERROR(EQ27/EP27,0)</f>
        <v>0</v>
      </c>
      <c r="EU27" s="407">
        <f t="shared" si="25"/>
        <v>1</v>
      </c>
      <c r="EV27" s="401">
        <f t="shared" si="23"/>
        <v>1</v>
      </c>
      <c r="EW27" s="840"/>
      <c r="EX27" s="825"/>
      <c r="EY27" s="825"/>
      <c r="EZ27" s="828"/>
      <c r="FA27" s="831"/>
    </row>
    <row r="28" spans="1:157" s="110" customFormat="1" ht="39" customHeight="1" x14ac:dyDescent="0.25">
      <c r="A28" s="786"/>
      <c r="B28" s="801"/>
      <c r="C28" s="804"/>
      <c r="D28" s="804"/>
      <c r="E28" s="807"/>
      <c r="F28" s="434" t="s">
        <v>110</v>
      </c>
      <c r="G28" s="95">
        <f>+AA28+BE28+CI28+DM28+EP28</f>
        <v>448316810</v>
      </c>
      <c r="H28" s="95"/>
      <c r="I28" s="95"/>
      <c r="J28" s="95"/>
      <c r="K28" s="95"/>
      <c r="L28" s="95"/>
      <c r="M28" s="95"/>
      <c r="N28" s="95"/>
      <c r="O28" s="95"/>
      <c r="P28" s="95"/>
      <c r="Q28" s="95"/>
      <c r="R28" s="95"/>
      <c r="S28" s="95"/>
      <c r="T28" s="95"/>
      <c r="U28" s="95"/>
      <c r="V28" s="95"/>
      <c r="W28" s="95"/>
      <c r="X28" s="95"/>
      <c r="Y28" s="95"/>
      <c r="Z28" s="95"/>
      <c r="AA28" s="95"/>
      <c r="AB28" s="95">
        <v>69920505</v>
      </c>
      <c r="AC28" s="95">
        <v>25662534</v>
      </c>
      <c r="AD28" s="95">
        <v>25662534</v>
      </c>
      <c r="AE28" s="95">
        <v>30548566</v>
      </c>
      <c r="AF28" s="95">
        <v>30548566</v>
      </c>
      <c r="AG28" s="95">
        <v>13290900</v>
      </c>
      <c r="AH28" s="95">
        <v>13290900</v>
      </c>
      <c r="AI28" s="95">
        <v>0</v>
      </c>
      <c r="AJ28" s="95">
        <v>0</v>
      </c>
      <c r="AK28" s="95">
        <v>0</v>
      </c>
      <c r="AL28" s="95">
        <v>0</v>
      </c>
      <c r="AM28" s="95">
        <v>411280</v>
      </c>
      <c r="AN28" s="95">
        <v>411280</v>
      </c>
      <c r="AO28" s="95">
        <v>0</v>
      </c>
      <c r="AP28" s="95">
        <v>0</v>
      </c>
      <c r="AQ28" s="95">
        <v>0</v>
      </c>
      <c r="AR28" s="95">
        <v>0</v>
      </c>
      <c r="AS28" s="95">
        <v>0</v>
      </c>
      <c r="AT28" s="95">
        <v>0</v>
      </c>
      <c r="AU28" s="95">
        <v>0</v>
      </c>
      <c r="AV28" s="95">
        <v>0</v>
      </c>
      <c r="AW28" s="95">
        <v>0</v>
      </c>
      <c r="AX28" s="95">
        <v>0</v>
      </c>
      <c r="AY28" s="95">
        <v>0</v>
      </c>
      <c r="AZ28" s="95">
        <v>0</v>
      </c>
      <c r="BA28" s="95">
        <f t="shared" si="37"/>
        <v>69913280</v>
      </c>
      <c r="BB28" s="95">
        <f t="shared" si="38"/>
        <v>69913280</v>
      </c>
      <c r="BC28" s="95">
        <f t="shared" si="38"/>
        <v>69913280</v>
      </c>
      <c r="BD28" s="95">
        <f t="shared" si="39"/>
        <v>69913280</v>
      </c>
      <c r="BE28" s="95">
        <f t="shared" si="40"/>
        <v>69913280</v>
      </c>
      <c r="BF28" s="95">
        <v>75874148</v>
      </c>
      <c r="BG28" s="95">
        <v>17547548</v>
      </c>
      <c r="BH28" s="95">
        <v>17547548</v>
      </c>
      <c r="BI28" s="95">
        <v>20100000</v>
      </c>
      <c r="BJ28" s="95">
        <v>10535667</v>
      </c>
      <c r="BK28" s="95">
        <v>38226600</v>
      </c>
      <c r="BL28" s="95">
        <v>9053400</v>
      </c>
      <c r="BM28" s="95">
        <v>-2062800</v>
      </c>
      <c r="BN28" s="95">
        <v>6876000</v>
      </c>
      <c r="BO28" s="95">
        <v>0</v>
      </c>
      <c r="BP28" s="95">
        <v>4469400</v>
      </c>
      <c r="BQ28" s="95">
        <v>0</v>
      </c>
      <c r="BR28" s="95">
        <v>0</v>
      </c>
      <c r="BS28" s="95">
        <v>0</v>
      </c>
      <c r="BT28" s="95">
        <v>0</v>
      </c>
      <c r="BU28" s="95">
        <v>0</v>
      </c>
      <c r="BV28" s="95">
        <v>0</v>
      </c>
      <c r="BW28" s="95">
        <v>0</v>
      </c>
      <c r="BX28" s="95">
        <v>0</v>
      </c>
      <c r="BY28" s="95">
        <v>0</v>
      </c>
      <c r="BZ28" s="95">
        <v>0</v>
      </c>
      <c r="CA28" s="95">
        <v>0</v>
      </c>
      <c r="CB28" s="95">
        <v>0</v>
      </c>
      <c r="CC28" s="95">
        <v>0</v>
      </c>
      <c r="CD28" s="95">
        <v>0</v>
      </c>
      <c r="CE28" s="95">
        <f t="shared" si="41"/>
        <v>73811348</v>
      </c>
      <c r="CF28" s="95">
        <f t="shared" si="42"/>
        <v>73811348</v>
      </c>
      <c r="CG28" s="95">
        <f>+BH28+BJ28+BL28+BN28+BP28+BR28+BT28+BV28+BX28+BZ28+CB28+CD28</f>
        <v>48482015</v>
      </c>
      <c r="CH28" s="95">
        <f t="shared" si="35"/>
        <v>73811348</v>
      </c>
      <c r="CI28" s="95">
        <f t="shared" si="35"/>
        <v>48482015</v>
      </c>
      <c r="CJ28" s="100">
        <v>246423857</v>
      </c>
      <c r="CK28" s="100">
        <v>45374067</v>
      </c>
      <c r="CL28" s="100">
        <v>45374067</v>
      </c>
      <c r="CM28" s="100">
        <f>+CN28</f>
        <v>69966117</v>
      </c>
      <c r="CN28" s="100">
        <f>69966117</f>
        <v>69966117</v>
      </c>
      <c r="CO28" s="100">
        <v>54682266</v>
      </c>
      <c r="CP28" s="100">
        <v>54682266</v>
      </c>
      <c r="CQ28" s="100">
        <v>65719508</v>
      </c>
      <c r="CR28" s="100">
        <v>60852318</v>
      </c>
      <c r="CS28" s="100">
        <v>10681899</v>
      </c>
      <c r="CT28" s="100">
        <v>11767203</v>
      </c>
      <c r="CU28" s="100">
        <v>0</v>
      </c>
      <c r="CV28" s="100">
        <v>870223</v>
      </c>
      <c r="CW28" s="100">
        <v>0</v>
      </c>
      <c r="CX28" s="100">
        <v>0</v>
      </c>
      <c r="CY28" s="100">
        <v>0</v>
      </c>
      <c r="CZ28" s="100">
        <v>2911663</v>
      </c>
      <c r="DA28" s="100">
        <v>0</v>
      </c>
      <c r="DB28" s="100">
        <v>0</v>
      </c>
      <c r="DC28" s="100">
        <v>0</v>
      </c>
      <c r="DD28" s="100">
        <v>0</v>
      </c>
      <c r="DE28" s="100">
        <v>0</v>
      </c>
      <c r="DF28" s="100">
        <v>0</v>
      </c>
      <c r="DG28" s="100">
        <v>0</v>
      </c>
      <c r="DH28" s="100">
        <v>0</v>
      </c>
      <c r="DI28" s="100">
        <f>+CK28+CM28+CO28+CQ28+CS28+CU28+CW28+CY28+DA28+DC28+DE28+DG28</f>
        <v>246423857</v>
      </c>
      <c r="DJ28" s="100">
        <f t="shared" si="7"/>
        <v>246423857</v>
      </c>
      <c r="DK28" s="100">
        <f>+CL28+CN28+CP28+CR28+CT28+CV28+CX28+CZ28+DB28+DD28+DF28+DH28</f>
        <v>246423857</v>
      </c>
      <c r="DL28" s="100">
        <f>+CK28+CM28+CO28+CQ28+CS28+CU28+CW28+CY28+DA28+DC28+DE28+DG28</f>
        <v>246423857</v>
      </c>
      <c r="DM28" s="100">
        <f t="shared" si="36"/>
        <v>246423857</v>
      </c>
      <c r="DN28" s="558">
        <f>DM25-DM26</f>
        <v>83497658</v>
      </c>
      <c r="DO28" s="552">
        <v>10825967</v>
      </c>
      <c r="DP28" s="552">
        <v>10825967</v>
      </c>
      <c r="DQ28" s="552">
        <v>24011634</v>
      </c>
      <c r="DR28" s="552">
        <v>35446971.298041716</v>
      </c>
      <c r="DS28" s="552">
        <v>903000</v>
      </c>
      <c r="DT28" s="552">
        <v>19732542.8526164</v>
      </c>
      <c r="DU28" s="552">
        <v>47757057</v>
      </c>
      <c r="DV28" s="559">
        <v>15279376.849341854</v>
      </c>
      <c r="DW28" s="552">
        <v>0</v>
      </c>
      <c r="DX28" s="552">
        <v>1309800</v>
      </c>
      <c r="DY28" s="552">
        <v>0</v>
      </c>
      <c r="DZ28" s="552"/>
      <c r="EA28" s="552"/>
      <c r="EB28" s="552"/>
      <c r="EC28" s="552"/>
      <c r="ED28" s="552"/>
      <c r="EE28" s="552"/>
      <c r="EF28" s="552"/>
      <c r="EG28" s="552"/>
      <c r="EH28" s="552"/>
      <c r="EI28" s="552"/>
      <c r="EJ28" s="552"/>
      <c r="EK28" s="552"/>
      <c r="EL28" s="552"/>
      <c r="EM28" s="100">
        <f>DO28+DQ28+DS28+DU28+DW28+DY28</f>
        <v>83497658</v>
      </c>
      <c r="EN28" s="100">
        <f>+DO28+DQ28+DS28+DU28</f>
        <v>83497658</v>
      </c>
      <c r="EO28" s="100">
        <f t="shared" si="43"/>
        <v>82594657.99999997</v>
      </c>
      <c r="EP28" s="100">
        <f t="shared" si="44"/>
        <v>83497658</v>
      </c>
      <c r="EQ28" s="100">
        <f t="shared" si="44"/>
        <v>82594657.99999997</v>
      </c>
      <c r="ER28" s="401">
        <f>IFERROR(DX28/DW28,0)</f>
        <v>0</v>
      </c>
      <c r="ES28" s="401">
        <f t="shared" si="9"/>
        <v>0.98918532541355797</v>
      </c>
      <c r="ET28" s="407">
        <f t="shared" si="45"/>
        <v>0.98918532541355797</v>
      </c>
      <c r="EU28" s="407">
        <f t="shared" si="25"/>
        <v>0.94461617942490028</v>
      </c>
      <c r="EV28" s="401">
        <f t="shared" si="23"/>
        <v>0.99798579937254639</v>
      </c>
      <c r="EW28" s="840"/>
      <c r="EX28" s="825"/>
      <c r="EY28" s="825"/>
      <c r="EZ28" s="828"/>
      <c r="FA28" s="831"/>
    </row>
    <row r="29" spans="1:157" s="110" customFormat="1" ht="39" customHeight="1" thickBot="1" x14ac:dyDescent="0.3">
      <c r="A29" s="786"/>
      <c r="B29" s="801"/>
      <c r="C29" s="804"/>
      <c r="D29" s="804"/>
      <c r="E29" s="807"/>
      <c r="F29" s="436" t="s">
        <v>111</v>
      </c>
      <c r="G29" s="561">
        <f>+G24+G27</f>
        <v>24000</v>
      </c>
      <c r="H29" s="379">
        <f>+H24+H27</f>
        <v>2000</v>
      </c>
      <c r="I29" s="379"/>
      <c r="J29" s="379"/>
      <c r="K29" s="561">
        <v>10000</v>
      </c>
      <c r="L29" s="379">
        <f>+L24</f>
        <v>301</v>
      </c>
      <c r="M29" s="561">
        <v>10000</v>
      </c>
      <c r="N29" s="561">
        <v>2889</v>
      </c>
      <c r="O29" s="561">
        <v>10000</v>
      </c>
      <c r="P29" s="561">
        <f>+P24</f>
        <v>722</v>
      </c>
      <c r="Q29" s="561">
        <v>10000</v>
      </c>
      <c r="R29" s="561">
        <f>+R24</f>
        <v>1359</v>
      </c>
      <c r="S29" s="379">
        <v>10000</v>
      </c>
      <c r="T29" s="379">
        <f>+T24</f>
        <v>1891</v>
      </c>
      <c r="U29" s="379">
        <v>10000</v>
      </c>
      <c r="V29" s="561">
        <v>8177</v>
      </c>
      <c r="W29" s="379">
        <f>+W24</f>
        <v>2400</v>
      </c>
      <c r="X29" s="379">
        <f t="shared" ref="X29:AA30" si="48">+X24</f>
        <v>2400</v>
      </c>
      <c r="Y29" s="379">
        <f t="shared" si="48"/>
        <v>2642</v>
      </c>
      <c r="Z29" s="379">
        <f t="shared" si="48"/>
        <v>2400</v>
      </c>
      <c r="AA29" s="379">
        <f t="shared" si="48"/>
        <v>2642</v>
      </c>
      <c r="AB29" s="379">
        <f t="shared" ref="AB29:AZ30" si="49">+AB24+AB27</f>
        <v>3200</v>
      </c>
      <c r="AC29" s="379">
        <f t="shared" si="49"/>
        <v>0</v>
      </c>
      <c r="AD29" s="379">
        <f t="shared" si="49"/>
        <v>0</v>
      </c>
      <c r="AE29" s="379">
        <f t="shared" si="49"/>
        <v>419</v>
      </c>
      <c r="AF29" s="379">
        <f t="shared" si="49"/>
        <v>419</v>
      </c>
      <c r="AG29" s="379">
        <f t="shared" si="49"/>
        <v>182</v>
      </c>
      <c r="AH29" s="379">
        <f t="shared" si="49"/>
        <v>182</v>
      </c>
      <c r="AI29" s="379">
        <f t="shared" si="49"/>
        <v>444</v>
      </c>
      <c r="AJ29" s="379">
        <f t="shared" si="49"/>
        <v>444</v>
      </c>
      <c r="AK29" s="379">
        <f t="shared" si="49"/>
        <v>495</v>
      </c>
      <c r="AL29" s="379">
        <f t="shared" si="49"/>
        <v>495</v>
      </c>
      <c r="AM29" s="379">
        <f t="shared" si="49"/>
        <v>300</v>
      </c>
      <c r="AN29" s="379">
        <f t="shared" si="49"/>
        <v>616</v>
      </c>
      <c r="AO29" s="379">
        <f t="shared" si="49"/>
        <v>300</v>
      </c>
      <c r="AP29" s="379">
        <f t="shared" si="49"/>
        <v>285</v>
      </c>
      <c r="AQ29" s="379">
        <f t="shared" si="49"/>
        <v>300</v>
      </c>
      <c r="AR29" s="379">
        <f t="shared" si="49"/>
        <v>367</v>
      </c>
      <c r="AS29" s="379">
        <f t="shared" si="49"/>
        <v>643</v>
      </c>
      <c r="AT29" s="379">
        <f t="shared" si="49"/>
        <v>275</v>
      </c>
      <c r="AU29" s="379">
        <f t="shared" si="49"/>
        <v>275</v>
      </c>
      <c r="AV29" s="379">
        <f>+AV24+AV27</f>
        <v>275</v>
      </c>
      <c r="AW29" s="379">
        <f t="shared" si="49"/>
        <v>275</v>
      </c>
      <c r="AX29" s="379">
        <f t="shared" si="49"/>
        <v>279</v>
      </c>
      <c r="AY29" s="379">
        <f t="shared" si="49"/>
        <v>167</v>
      </c>
      <c r="AZ29" s="379">
        <f t="shared" si="49"/>
        <v>163</v>
      </c>
      <c r="BA29" s="562">
        <f t="shared" si="37"/>
        <v>3800</v>
      </c>
      <c r="BB29" s="562">
        <f t="shared" si="38"/>
        <v>3800</v>
      </c>
      <c r="BC29" s="562">
        <f t="shared" si="38"/>
        <v>3800</v>
      </c>
      <c r="BD29" s="562">
        <f t="shared" si="39"/>
        <v>3800</v>
      </c>
      <c r="BE29" s="562">
        <f t="shared" si="40"/>
        <v>3800</v>
      </c>
      <c r="BF29" s="379">
        <f>+BF24+BF27</f>
        <v>7900</v>
      </c>
      <c r="BG29" s="379">
        <f>+BG24+BG27</f>
        <v>109</v>
      </c>
      <c r="BH29" s="379">
        <f t="shared" ref="BH29:CG30" si="50">+BH24+BH27</f>
        <v>109</v>
      </c>
      <c r="BI29" s="379">
        <f t="shared" si="50"/>
        <v>500</v>
      </c>
      <c r="BJ29" s="379">
        <f t="shared" si="50"/>
        <v>515</v>
      </c>
      <c r="BK29" s="379">
        <f t="shared" si="50"/>
        <v>591</v>
      </c>
      <c r="BL29" s="379">
        <f t="shared" si="50"/>
        <v>576</v>
      </c>
      <c r="BM29" s="379">
        <f t="shared" si="50"/>
        <v>750</v>
      </c>
      <c r="BN29" s="379">
        <f t="shared" si="50"/>
        <v>753</v>
      </c>
      <c r="BO29" s="379">
        <f t="shared" si="50"/>
        <v>750</v>
      </c>
      <c r="BP29" s="379">
        <f t="shared" si="50"/>
        <v>747</v>
      </c>
      <c r="BQ29" s="379">
        <f t="shared" si="50"/>
        <v>800</v>
      </c>
      <c r="BR29" s="379">
        <f t="shared" si="50"/>
        <v>678</v>
      </c>
      <c r="BS29" s="379">
        <f t="shared" si="50"/>
        <v>750</v>
      </c>
      <c r="BT29" s="379">
        <f t="shared" si="50"/>
        <v>822</v>
      </c>
      <c r="BU29" s="379">
        <f t="shared" si="50"/>
        <v>750</v>
      </c>
      <c r="BV29" s="379">
        <f t="shared" si="50"/>
        <v>813</v>
      </c>
      <c r="BW29" s="379">
        <f t="shared" si="50"/>
        <v>800</v>
      </c>
      <c r="BX29" s="379">
        <f t="shared" si="50"/>
        <v>788</v>
      </c>
      <c r="BY29" s="379">
        <f t="shared" si="50"/>
        <v>750</v>
      </c>
      <c r="BZ29" s="379">
        <f t="shared" si="50"/>
        <v>847</v>
      </c>
      <c r="CA29" s="379">
        <f t="shared" si="50"/>
        <v>750</v>
      </c>
      <c r="CB29" s="379">
        <f t="shared" si="50"/>
        <v>796</v>
      </c>
      <c r="CC29" s="379">
        <f t="shared" si="50"/>
        <v>1400</v>
      </c>
      <c r="CD29" s="379">
        <f t="shared" si="50"/>
        <v>824</v>
      </c>
      <c r="CE29" s="379">
        <f t="shared" si="50"/>
        <v>8700</v>
      </c>
      <c r="CF29" s="379">
        <f t="shared" si="42"/>
        <v>8700</v>
      </c>
      <c r="CG29" s="379">
        <f t="shared" si="50"/>
        <v>8268</v>
      </c>
      <c r="CH29" s="379">
        <f>+CH24+CH27</f>
        <v>8700</v>
      </c>
      <c r="CI29" s="379">
        <f>+CI24+CI27</f>
        <v>8268</v>
      </c>
      <c r="CJ29" s="389">
        <f>+CJ24+CJ27</f>
        <v>6022</v>
      </c>
      <c r="CK29" s="389">
        <f>+CK24+CK27</f>
        <v>618</v>
      </c>
      <c r="CL29" s="389">
        <f t="shared" ref="CL29:DH30" si="51">+CL24+CL27</f>
        <v>618</v>
      </c>
      <c r="CM29" s="389">
        <f t="shared" si="51"/>
        <v>397</v>
      </c>
      <c r="CN29" s="389">
        <f t="shared" si="51"/>
        <v>397</v>
      </c>
      <c r="CO29" s="389">
        <f t="shared" si="51"/>
        <v>300</v>
      </c>
      <c r="CP29" s="389">
        <f t="shared" si="51"/>
        <v>300</v>
      </c>
      <c r="CQ29" s="389">
        <f t="shared" si="51"/>
        <v>450</v>
      </c>
      <c r="CR29" s="389">
        <f t="shared" si="51"/>
        <v>450</v>
      </c>
      <c r="CS29" s="389">
        <f t="shared" si="51"/>
        <v>500</v>
      </c>
      <c r="CT29" s="389">
        <f t="shared" si="51"/>
        <v>511</v>
      </c>
      <c r="CU29" s="389">
        <f t="shared" si="51"/>
        <v>550</v>
      </c>
      <c r="CV29" s="389">
        <f t="shared" si="51"/>
        <v>554</v>
      </c>
      <c r="CW29" s="389">
        <f t="shared" si="51"/>
        <v>550</v>
      </c>
      <c r="CX29" s="389">
        <f>+CX24+CX27</f>
        <v>556</v>
      </c>
      <c r="CY29" s="389">
        <f t="shared" si="51"/>
        <v>550</v>
      </c>
      <c r="CZ29" s="389">
        <f t="shared" si="51"/>
        <v>571</v>
      </c>
      <c r="DA29" s="389">
        <f t="shared" si="51"/>
        <v>550</v>
      </c>
      <c r="DB29" s="389">
        <f t="shared" si="51"/>
        <v>595</v>
      </c>
      <c r="DC29" s="389">
        <f t="shared" si="51"/>
        <v>550</v>
      </c>
      <c r="DD29" s="389">
        <f t="shared" si="51"/>
        <v>585</v>
      </c>
      <c r="DE29" s="389">
        <f t="shared" si="51"/>
        <v>550</v>
      </c>
      <c r="DF29" s="389">
        <f t="shared" si="51"/>
        <v>438</v>
      </c>
      <c r="DG29" s="389">
        <f t="shared" si="51"/>
        <v>974</v>
      </c>
      <c r="DH29" s="389">
        <f t="shared" si="51"/>
        <v>964</v>
      </c>
      <c r="DI29" s="389">
        <f t="shared" si="6"/>
        <v>6539</v>
      </c>
      <c r="DJ29" s="389">
        <f t="shared" si="7"/>
        <v>5565</v>
      </c>
      <c r="DK29" s="389">
        <f>+DK24+DK27</f>
        <v>6539</v>
      </c>
      <c r="DL29" s="389">
        <f>+DL24+DL27</f>
        <v>6539</v>
      </c>
      <c r="DM29" s="389">
        <f>+DM24+DM27</f>
        <v>6539</v>
      </c>
      <c r="DN29" s="379">
        <f>+DN24</f>
        <v>2751</v>
      </c>
      <c r="DO29" s="379">
        <f>+DO24</f>
        <v>500</v>
      </c>
      <c r="DP29" s="379">
        <f t="shared" ref="DP29:DY29" si="52">+DP24</f>
        <v>308</v>
      </c>
      <c r="DQ29" s="379">
        <f t="shared" si="52"/>
        <v>500</v>
      </c>
      <c r="DR29" s="379">
        <f>+DR24+DR27</f>
        <v>223</v>
      </c>
      <c r="DS29" s="379">
        <f t="shared" si="52"/>
        <v>640</v>
      </c>
      <c r="DT29" s="379">
        <f>+DT24+DT27</f>
        <v>503</v>
      </c>
      <c r="DU29" s="379">
        <f t="shared" si="52"/>
        <v>650</v>
      </c>
      <c r="DV29" s="563">
        <f t="shared" si="52"/>
        <v>320</v>
      </c>
      <c r="DW29" s="379">
        <f t="shared" si="52"/>
        <v>461</v>
      </c>
      <c r="DX29" s="379">
        <v>541</v>
      </c>
      <c r="DY29" s="379">
        <f t="shared" si="52"/>
        <v>0</v>
      </c>
      <c r="DZ29" s="379"/>
      <c r="EA29" s="379"/>
      <c r="EB29" s="379"/>
      <c r="EC29" s="379"/>
      <c r="ED29" s="379"/>
      <c r="EE29" s="379"/>
      <c r="EF29" s="379"/>
      <c r="EG29" s="379"/>
      <c r="EH29" s="379"/>
      <c r="EI29" s="379"/>
      <c r="EJ29" s="379"/>
      <c r="EK29" s="379"/>
      <c r="EL29" s="379"/>
      <c r="EM29" s="561">
        <f t="shared" si="47"/>
        <v>2751</v>
      </c>
      <c r="EN29" s="561">
        <f>+EN27+EN24</f>
        <v>2751</v>
      </c>
      <c r="EO29" s="561">
        <f t="shared" ref="EO29:EQ29" si="53">+EO27+EO24</f>
        <v>1895</v>
      </c>
      <c r="EP29" s="561">
        <f t="shared" si="53"/>
        <v>2751</v>
      </c>
      <c r="EQ29" s="561">
        <f t="shared" si="53"/>
        <v>1895</v>
      </c>
      <c r="ER29" s="406">
        <f t="shared" si="8"/>
        <v>1.1735357917570499</v>
      </c>
      <c r="ES29" s="406">
        <f t="shared" si="9"/>
        <v>0.68884042166484916</v>
      </c>
      <c r="ET29" s="593">
        <f>+EQ29/EP29</f>
        <v>0.68884042166484916</v>
      </c>
      <c r="EU29" s="593">
        <f t="shared" si="25"/>
        <v>0.95675899131872677</v>
      </c>
      <c r="EV29" s="406">
        <f t="shared" si="23"/>
        <v>0.96433333333333338</v>
      </c>
      <c r="EW29" s="840"/>
      <c r="EX29" s="825"/>
      <c r="EY29" s="825"/>
      <c r="EZ29" s="828"/>
      <c r="FA29" s="831"/>
    </row>
    <row r="30" spans="1:157" s="111" customFormat="1" ht="39" customHeight="1" thickBot="1" x14ac:dyDescent="0.3">
      <c r="A30" s="786"/>
      <c r="B30" s="801"/>
      <c r="C30" s="804"/>
      <c r="D30" s="804"/>
      <c r="E30" s="807"/>
      <c r="F30" s="437" t="s">
        <v>112</v>
      </c>
      <c r="G30" s="197">
        <f>+G25+G28</f>
        <v>3907770324</v>
      </c>
      <c r="H30" s="196">
        <f>+H25+H28</f>
        <v>260000000</v>
      </c>
      <c r="I30" s="196"/>
      <c r="J30" s="196"/>
      <c r="K30" s="196">
        <v>1900000000</v>
      </c>
      <c r="L30" s="196">
        <f>+L25</f>
        <v>10000000</v>
      </c>
      <c r="M30" s="196">
        <v>1900000000</v>
      </c>
      <c r="N30" s="196">
        <v>1574140000</v>
      </c>
      <c r="O30" s="196">
        <v>1900000000</v>
      </c>
      <c r="P30" s="196">
        <f>+P25</f>
        <v>192696000</v>
      </c>
      <c r="Q30" s="196">
        <v>1900000000</v>
      </c>
      <c r="R30" s="196">
        <f>+R25</f>
        <v>192696000</v>
      </c>
      <c r="S30" s="196">
        <f>+S25</f>
        <v>252764000</v>
      </c>
      <c r="T30" s="196">
        <f>+T25</f>
        <v>222696000</v>
      </c>
      <c r="U30" s="196">
        <v>1908587000</v>
      </c>
      <c r="V30" s="196">
        <v>1899628200</v>
      </c>
      <c r="W30" s="196">
        <f>+W25</f>
        <v>251413000</v>
      </c>
      <c r="X30" s="196">
        <f t="shared" si="48"/>
        <v>251413000</v>
      </c>
      <c r="Y30" s="196">
        <f t="shared" si="48"/>
        <v>249751280</v>
      </c>
      <c r="Z30" s="196">
        <f t="shared" si="48"/>
        <v>251413000</v>
      </c>
      <c r="AA30" s="196">
        <f t="shared" si="48"/>
        <v>249751280</v>
      </c>
      <c r="AB30" s="196">
        <f>+AB25+AB28</f>
        <v>533976505</v>
      </c>
      <c r="AC30" s="196">
        <f>+AC25+AC28</f>
        <v>25662534</v>
      </c>
      <c r="AD30" s="196">
        <f>+AD25+AD28</f>
        <v>25662534</v>
      </c>
      <c r="AE30" s="196">
        <f t="shared" si="49"/>
        <v>278148566</v>
      </c>
      <c r="AF30" s="196">
        <f t="shared" si="49"/>
        <v>278148566</v>
      </c>
      <c r="AG30" s="196">
        <f t="shared" si="49"/>
        <v>177319900</v>
      </c>
      <c r="AH30" s="196">
        <f t="shared" si="49"/>
        <v>177319900</v>
      </c>
      <c r="AI30" s="196">
        <f t="shared" si="49"/>
        <v>0</v>
      </c>
      <c r="AJ30" s="196">
        <f t="shared" si="49"/>
        <v>0</v>
      </c>
      <c r="AK30" s="196">
        <f>+AK25+AK28</f>
        <v>0</v>
      </c>
      <c r="AL30" s="196">
        <f>+AL25+AL28</f>
        <v>0</v>
      </c>
      <c r="AM30" s="196">
        <f t="shared" si="49"/>
        <v>411280</v>
      </c>
      <c r="AN30" s="196">
        <f t="shared" si="49"/>
        <v>411280</v>
      </c>
      <c r="AO30" s="196">
        <f t="shared" si="49"/>
        <v>5000000</v>
      </c>
      <c r="AP30" s="196">
        <f t="shared" si="49"/>
        <v>0</v>
      </c>
      <c r="AQ30" s="196">
        <f t="shared" si="49"/>
        <v>0</v>
      </c>
      <c r="AR30" s="196">
        <f t="shared" si="49"/>
        <v>0</v>
      </c>
      <c r="AS30" s="196">
        <f t="shared" si="49"/>
        <v>11508000</v>
      </c>
      <c r="AT30" s="196">
        <f t="shared" si="49"/>
        <v>16508000</v>
      </c>
      <c r="AU30" s="196">
        <f t="shared" si="49"/>
        <v>3210000</v>
      </c>
      <c r="AV30" s="196">
        <f t="shared" si="49"/>
        <v>0</v>
      </c>
      <c r="AW30" s="196">
        <f>+AW25+AW28</f>
        <v>0</v>
      </c>
      <c r="AX30" s="196">
        <f>+AX25+AX28</f>
        <v>3210000</v>
      </c>
      <c r="AY30" s="196">
        <f t="shared" si="49"/>
        <v>15966000</v>
      </c>
      <c r="AZ30" s="196">
        <f t="shared" si="49"/>
        <v>8072533</v>
      </c>
      <c r="BA30" s="196">
        <f t="shared" si="37"/>
        <v>517226280</v>
      </c>
      <c r="BB30" s="196">
        <f t="shared" si="38"/>
        <v>517226280</v>
      </c>
      <c r="BC30" s="196">
        <f t="shared" si="38"/>
        <v>509332813</v>
      </c>
      <c r="BD30" s="196">
        <f t="shared" si="39"/>
        <v>517226280</v>
      </c>
      <c r="BE30" s="196">
        <f t="shared" si="40"/>
        <v>509332813</v>
      </c>
      <c r="BF30" s="196">
        <f>+BF25+BF28</f>
        <v>1010766148</v>
      </c>
      <c r="BG30" s="196">
        <f>+BG25+BG28</f>
        <v>879814548</v>
      </c>
      <c r="BH30" s="196">
        <f t="shared" si="50"/>
        <v>879814548</v>
      </c>
      <c r="BI30" s="196">
        <f t="shared" si="50"/>
        <v>20100000</v>
      </c>
      <c r="BJ30" s="196">
        <f t="shared" si="50"/>
        <v>10535667</v>
      </c>
      <c r="BK30" s="196">
        <f t="shared" si="50"/>
        <v>47088600</v>
      </c>
      <c r="BL30" s="196">
        <f t="shared" si="50"/>
        <v>9053400</v>
      </c>
      <c r="BM30" s="196">
        <f t="shared" si="50"/>
        <v>29241200</v>
      </c>
      <c r="BN30" s="196">
        <f t="shared" si="50"/>
        <v>34380000</v>
      </c>
      <c r="BO30" s="196">
        <f t="shared" si="50"/>
        <v>27391000</v>
      </c>
      <c r="BP30" s="196">
        <f t="shared" si="50"/>
        <v>4469400</v>
      </c>
      <c r="BQ30" s="196">
        <f t="shared" si="50"/>
        <v>0</v>
      </c>
      <c r="BR30" s="196">
        <f t="shared" si="50"/>
        <v>0</v>
      </c>
      <c r="BS30" s="196">
        <f t="shared" si="50"/>
        <v>0</v>
      </c>
      <c r="BT30" s="196">
        <f t="shared" si="50"/>
        <v>0</v>
      </c>
      <c r="BU30" s="196">
        <f t="shared" si="50"/>
        <v>0</v>
      </c>
      <c r="BV30" s="196">
        <f t="shared" si="50"/>
        <v>31304000</v>
      </c>
      <c r="BW30" s="196">
        <f t="shared" si="50"/>
        <v>0</v>
      </c>
      <c r="BX30" s="196">
        <f t="shared" si="50"/>
        <v>0</v>
      </c>
      <c r="BY30" s="196">
        <f t="shared" si="50"/>
        <v>4366000</v>
      </c>
      <c r="BZ30" s="196">
        <f t="shared" si="50"/>
        <v>4366000</v>
      </c>
      <c r="CA30" s="196">
        <f t="shared" si="50"/>
        <v>75756433</v>
      </c>
      <c r="CB30" s="196">
        <f t="shared" si="50"/>
        <v>58349667</v>
      </c>
      <c r="CC30" s="196">
        <f t="shared" si="50"/>
        <v>139183267</v>
      </c>
      <c r="CD30" s="196">
        <f t="shared" si="50"/>
        <v>140293967</v>
      </c>
      <c r="CE30" s="196">
        <f t="shared" si="50"/>
        <v>1222941048</v>
      </c>
      <c r="CF30" s="196">
        <f t="shared" si="42"/>
        <v>1222941048</v>
      </c>
      <c r="CG30" s="196">
        <f t="shared" si="50"/>
        <v>1172566649</v>
      </c>
      <c r="CH30" s="196">
        <f>+CH25+CH28</f>
        <v>1222941048</v>
      </c>
      <c r="CI30" s="196">
        <f>+CI25++CI28</f>
        <v>1172566649</v>
      </c>
      <c r="CJ30" s="197">
        <f>+CJ25+CJ28</f>
        <v>899781857</v>
      </c>
      <c r="CK30" s="197">
        <f>+CK25+CK28</f>
        <v>260374067</v>
      </c>
      <c r="CL30" s="197">
        <f t="shared" si="51"/>
        <v>260374067</v>
      </c>
      <c r="CM30" s="197">
        <f t="shared" si="51"/>
        <v>69966117</v>
      </c>
      <c r="CN30" s="197">
        <f t="shared" si="51"/>
        <v>69966117</v>
      </c>
      <c r="CO30" s="197">
        <f t="shared" si="51"/>
        <v>424393766</v>
      </c>
      <c r="CP30" s="197">
        <f t="shared" si="51"/>
        <v>424393766</v>
      </c>
      <c r="CQ30" s="197">
        <f t="shared" si="51"/>
        <v>130315841</v>
      </c>
      <c r="CR30" s="197">
        <f t="shared" si="51"/>
        <v>123265651</v>
      </c>
      <c r="CS30" s="197">
        <f t="shared" si="51"/>
        <v>10681899</v>
      </c>
      <c r="CT30" s="197">
        <f t="shared" si="51"/>
        <v>11767203</v>
      </c>
      <c r="CU30" s="197">
        <f t="shared" si="51"/>
        <v>0</v>
      </c>
      <c r="CV30" s="197">
        <f t="shared" si="51"/>
        <v>870223</v>
      </c>
      <c r="CW30" s="197">
        <f t="shared" si="51"/>
        <v>0</v>
      </c>
      <c r="CX30" s="197">
        <f t="shared" si="51"/>
        <v>0</v>
      </c>
      <c r="CY30" s="197">
        <f t="shared" si="51"/>
        <v>4000000</v>
      </c>
      <c r="CZ30" s="197">
        <f t="shared" si="51"/>
        <v>2911663</v>
      </c>
      <c r="DA30" s="197">
        <f t="shared" si="51"/>
        <v>0</v>
      </c>
      <c r="DB30" s="197">
        <f t="shared" si="51"/>
        <v>0</v>
      </c>
      <c r="DC30" s="197">
        <f t="shared" si="51"/>
        <v>0</v>
      </c>
      <c r="DD30" s="197">
        <f t="shared" si="51"/>
        <v>0</v>
      </c>
      <c r="DE30" s="197">
        <f t="shared" si="51"/>
        <v>0</v>
      </c>
      <c r="DF30" s="197">
        <f t="shared" si="51"/>
        <v>0</v>
      </c>
      <c r="DG30" s="197">
        <f t="shared" si="51"/>
        <v>22436800</v>
      </c>
      <c r="DH30" s="202">
        <f t="shared" si="51"/>
        <v>28531234</v>
      </c>
      <c r="DI30" s="197">
        <f t="shared" si="6"/>
        <v>922168490</v>
      </c>
      <c r="DJ30" s="197">
        <f t="shared" si="7"/>
        <v>899731690</v>
      </c>
      <c r="DK30" s="197">
        <f>+DK25++DK28</f>
        <v>922079924</v>
      </c>
      <c r="DL30" s="197">
        <f>+DL25++DL28</f>
        <v>922168490</v>
      </c>
      <c r="DM30" s="197">
        <f>+DM25++DM28</f>
        <v>922079924</v>
      </c>
      <c r="DN30" s="438">
        <f>+DN25</f>
        <v>970542000</v>
      </c>
      <c r="DO30" s="438">
        <f>+DO25+DO28</f>
        <v>92404967</v>
      </c>
      <c r="DP30" s="438">
        <f>+DP25+DP28</f>
        <v>38517967</v>
      </c>
      <c r="DQ30" s="438">
        <f t="shared" ref="DQ30:DY30" si="54">+DQ25+DQ28</f>
        <v>52572634</v>
      </c>
      <c r="DR30" s="438">
        <f t="shared" si="54"/>
        <v>132489471.29804172</v>
      </c>
      <c r="DS30" s="438">
        <f t="shared" si="54"/>
        <v>8777000</v>
      </c>
      <c r="DT30" s="438">
        <f t="shared" si="54"/>
        <v>122732542.8526164</v>
      </c>
      <c r="DU30" s="438">
        <f t="shared" si="54"/>
        <v>67757057</v>
      </c>
      <c r="DV30" s="438">
        <f t="shared" si="54"/>
        <v>129816876.84934185</v>
      </c>
      <c r="DW30" s="438">
        <f t="shared" si="54"/>
        <v>207000000</v>
      </c>
      <c r="DX30" s="438">
        <f t="shared" si="54"/>
        <v>50909300</v>
      </c>
      <c r="DY30" s="438">
        <f t="shared" si="54"/>
        <v>625528000</v>
      </c>
      <c r="DZ30" s="438"/>
      <c r="EA30" s="438"/>
      <c r="EB30" s="438"/>
      <c r="EC30" s="438"/>
      <c r="ED30" s="438"/>
      <c r="EE30" s="438"/>
      <c r="EF30" s="438"/>
      <c r="EG30" s="438"/>
      <c r="EH30" s="438"/>
      <c r="EI30" s="438"/>
      <c r="EJ30" s="438"/>
      <c r="EK30" s="438"/>
      <c r="EL30" s="438"/>
      <c r="EM30" s="442">
        <f t="shared" si="13"/>
        <v>1528505816</v>
      </c>
      <c r="EN30" s="438">
        <f>+EN25+EN28</f>
        <v>221511658</v>
      </c>
      <c r="EO30" s="438">
        <f t="shared" ref="EO30:EQ30" si="55">+EO25+EO28</f>
        <v>474466158</v>
      </c>
      <c r="EP30" s="438">
        <f t="shared" si="55"/>
        <v>1054039658</v>
      </c>
      <c r="EQ30" s="438">
        <f t="shared" si="55"/>
        <v>474466158</v>
      </c>
      <c r="ER30" s="592">
        <f t="shared" si="8"/>
        <v>0.24593864734299517</v>
      </c>
      <c r="ES30" s="273">
        <f t="shared" si="9"/>
        <v>2.1419466690100797</v>
      </c>
      <c r="ET30" s="273">
        <f t="shared" si="10"/>
        <v>0.45014070808330059</v>
      </c>
      <c r="EU30" s="273">
        <f>(AA30+BE30+CI30+DM30+EO30)/(Z30+BD30+CH30+DL30+EN30)</f>
        <v>1.0615375817980361</v>
      </c>
      <c r="EV30" s="274">
        <f t="shared" si="23"/>
        <v>0.85168690789208212</v>
      </c>
      <c r="EW30" s="841"/>
      <c r="EX30" s="826"/>
      <c r="EY30" s="826"/>
      <c r="EZ30" s="829"/>
      <c r="FA30" s="832"/>
    </row>
    <row r="31" spans="1:157" s="96" customFormat="1" ht="39" customHeight="1" x14ac:dyDescent="0.25">
      <c r="A31" s="786"/>
      <c r="B31" s="800">
        <v>4</v>
      </c>
      <c r="C31" s="803" t="s">
        <v>115</v>
      </c>
      <c r="D31" s="803" t="s">
        <v>78</v>
      </c>
      <c r="E31" s="806">
        <v>239</v>
      </c>
      <c r="F31" s="382" t="s">
        <v>106</v>
      </c>
      <c r="G31" s="443">
        <f>+AA31+BE31+CI31+DM31+EP31</f>
        <v>0.99</v>
      </c>
      <c r="H31" s="381">
        <v>0.125</v>
      </c>
      <c r="I31" s="381"/>
      <c r="J31" s="381"/>
      <c r="K31" s="381">
        <v>0.125</v>
      </c>
      <c r="L31" s="381">
        <v>0</v>
      </c>
      <c r="M31" s="381">
        <v>0.125</v>
      </c>
      <c r="N31" s="381">
        <v>0</v>
      </c>
      <c r="O31" s="381">
        <v>0.125</v>
      </c>
      <c r="P31" s="381">
        <v>0.05</v>
      </c>
      <c r="Q31" s="381">
        <v>0.125</v>
      </c>
      <c r="R31" s="381">
        <v>7.4999999999999997E-2</v>
      </c>
      <c r="S31" s="381">
        <v>0.125</v>
      </c>
      <c r="T31" s="381">
        <v>7.5999999999999998E-2</v>
      </c>
      <c r="U31" s="381">
        <v>0.125</v>
      </c>
      <c r="V31" s="381">
        <v>0.1178</v>
      </c>
      <c r="W31" s="381">
        <f>+U31</f>
        <v>0.125</v>
      </c>
      <c r="X31" s="381">
        <f>+U31</f>
        <v>0.125</v>
      </c>
      <c r="Y31" s="381">
        <f>+V31</f>
        <v>0.1178</v>
      </c>
      <c r="Z31" s="381">
        <f>+X31</f>
        <v>0.125</v>
      </c>
      <c r="AA31" s="381">
        <f>+Y31</f>
        <v>0.1178</v>
      </c>
      <c r="AB31" s="381">
        <v>0.25</v>
      </c>
      <c r="AC31" s="381">
        <v>0</v>
      </c>
      <c r="AD31" s="381">
        <v>0</v>
      </c>
      <c r="AE31" s="381">
        <v>2.2700000000000001E-2</v>
      </c>
      <c r="AF31" s="381">
        <v>2.2700000000000001E-2</v>
      </c>
      <c r="AG31" s="381">
        <v>2.2700000000000001E-2</v>
      </c>
      <c r="AH31" s="381">
        <v>2.2700000000000001E-2</v>
      </c>
      <c r="AI31" s="381">
        <v>2.2700000000000001E-2</v>
      </c>
      <c r="AJ31" s="381">
        <v>2.2700000000000001E-2</v>
      </c>
      <c r="AK31" s="381">
        <v>2.2700000000000001E-2</v>
      </c>
      <c r="AL31" s="381">
        <v>2.2700000000000001E-2</v>
      </c>
      <c r="AM31" s="381">
        <v>2.2700000000000001E-2</v>
      </c>
      <c r="AN31" s="381">
        <v>2.2700000000000001E-2</v>
      </c>
      <c r="AO31" s="381">
        <v>2.2700000000000001E-2</v>
      </c>
      <c r="AP31" s="381">
        <v>2.2700000000000001E-2</v>
      </c>
      <c r="AQ31" s="381">
        <v>2.2700000000000001E-2</v>
      </c>
      <c r="AR31" s="381">
        <v>2.2700000000000001E-2</v>
      </c>
      <c r="AS31" s="381">
        <v>2.2700000000000001E-2</v>
      </c>
      <c r="AT31" s="381">
        <v>2.2700000000000001E-2</v>
      </c>
      <c r="AU31" s="381">
        <v>2.2700000000000001E-2</v>
      </c>
      <c r="AV31" s="381">
        <v>2.2700000000000001E-2</v>
      </c>
      <c r="AW31" s="381">
        <v>2.2700000000000001E-2</v>
      </c>
      <c r="AX31" s="381">
        <v>2.2700000000000001E-2</v>
      </c>
      <c r="AY31" s="381">
        <v>2.3E-2</v>
      </c>
      <c r="AZ31" s="381">
        <v>2.3E-2</v>
      </c>
      <c r="BA31" s="381">
        <f>+AC31+AE31+AG31+AI31+AK31+AM31+AO31+AQ31+AS31+AU31+AW31+AY31</f>
        <v>0.25</v>
      </c>
      <c r="BB31" s="381">
        <f>+AC31+AE31+AG31+AI31+AK31+AM31+AO31+AQ31+AS31+AU31+AW31+AY31</f>
        <v>0.25</v>
      </c>
      <c r="BC31" s="381">
        <f>+AD31+AF31+AH31+AJ31+AL31+AN31+AP31+AR31+AT31+AV31+AX31+AZ31</f>
        <v>0.25</v>
      </c>
      <c r="BD31" s="381">
        <f>AC31+AE31+AG31+AI31+AK31+AM31+AO31+AQ31+AS31+AU31+AW31+AY31</f>
        <v>0.25</v>
      </c>
      <c r="BE31" s="381">
        <f>AD31+AF31+AH31+AJ31+AL31+AN31++AP31+AR31+AT31+AV31+AX31+AZ31</f>
        <v>0.25</v>
      </c>
      <c r="BF31" s="381">
        <v>0.25</v>
      </c>
      <c r="BG31" s="381">
        <v>0</v>
      </c>
      <c r="BH31" s="381">
        <v>0</v>
      </c>
      <c r="BI31" s="381">
        <v>2.4E-2</v>
      </c>
      <c r="BJ31" s="381">
        <v>2.4E-2</v>
      </c>
      <c r="BK31" s="381">
        <v>2.4E-2</v>
      </c>
      <c r="BL31" s="381">
        <v>2.4E-2</v>
      </c>
      <c r="BM31" s="381">
        <v>2.4E-2</v>
      </c>
      <c r="BN31" s="381">
        <v>2.4E-2</v>
      </c>
      <c r="BO31" s="381">
        <v>2.4E-2</v>
      </c>
      <c r="BP31" s="381">
        <v>2.4E-2</v>
      </c>
      <c r="BQ31" s="381">
        <v>2.4E-2</v>
      </c>
      <c r="BR31" s="381">
        <v>2.4E-2</v>
      </c>
      <c r="BS31" s="381">
        <v>2.4E-2</v>
      </c>
      <c r="BT31" s="381">
        <v>2.4E-2</v>
      </c>
      <c r="BU31" s="381">
        <v>2.4E-2</v>
      </c>
      <c r="BV31" s="381">
        <v>2.2700000000000001E-2</v>
      </c>
      <c r="BW31" s="381">
        <v>2.4E-2</v>
      </c>
      <c r="BX31" s="381">
        <v>2.53E-2</v>
      </c>
      <c r="BY31" s="381">
        <v>2.4E-2</v>
      </c>
      <c r="BZ31" s="381">
        <v>2.1100000000000001E-2</v>
      </c>
      <c r="CA31" s="381">
        <v>2.4E-2</v>
      </c>
      <c r="CB31" s="381">
        <v>2.69E-2</v>
      </c>
      <c r="CC31" s="381">
        <v>0.01</v>
      </c>
      <c r="CD31" s="381">
        <v>7.1999999999999998E-3</v>
      </c>
      <c r="CE31" s="381">
        <f>+BG31+BI31+BK31+BM31+BO31+BQ31+BS31+BU31+BW31+BY31+CA31+CC31</f>
        <v>0.24999999999999997</v>
      </c>
      <c r="CF31" s="381">
        <f>+BG31+BI31+BK31+BM31+BO31+BQ31+BS31+BU31+BW31+BY31+CA31+CC31</f>
        <v>0.24999999999999997</v>
      </c>
      <c r="CG31" s="381">
        <f>+BH31+BJ31+BL31+BN31+BP31+BR31+BT31+BV31+BX31+BZ31+CB31+CD31</f>
        <v>0.2472</v>
      </c>
      <c r="CH31" s="381">
        <f t="shared" ref="CH31:CI35" si="56">+BG31+BI31+BK31+BM31+BO31+BQ31+BS31+BU31+BW31+BY31+CA31+CC31</f>
        <v>0.24999999999999997</v>
      </c>
      <c r="CI31" s="381">
        <f t="shared" si="56"/>
        <v>0.2472</v>
      </c>
      <c r="CJ31" s="391">
        <v>0.25</v>
      </c>
      <c r="CK31" s="391">
        <v>0</v>
      </c>
      <c r="CL31" s="391">
        <v>0</v>
      </c>
      <c r="CM31" s="391">
        <v>2.4E-2</v>
      </c>
      <c r="CN31" s="391">
        <v>2.4E-2</v>
      </c>
      <c r="CO31" s="391">
        <v>2.4E-2</v>
      </c>
      <c r="CP31" s="391">
        <v>2.4E-2</v>
      </c>
      <c r="CQ31" s="391">
        <v>2.4E-2</v>
      </c>
      <c r="CR31" s="391">
        <v>2.4E-2</v>
      </c>
      <c r="CS31" s="391">
        <v>2.4E-2</v>
      </c>
      <c r="CT31" s="391">
        <v>2.4E-2</v>
      </c>
      <c r="CU31" s="391">
        <v>2.4E-2</v>
      </c>
      <c r="CV31" s="391">
        <v>2.35E-2</v>
      </c>
      <c r="CW31" s="391">
        <v>2.4E-2</v>
      </c>
      <c r="CX31" s="391">
        <v>2.4500000000000001E-2</v>
      </c>
      <c r="CY31" s="391">
        <v>2.4E-2</v>
      </c>
      <c r="CZ31" s="391">
        <v>2.4E-2</v>
      </c>
      <c r="DA31" s="391">
        <v>2.4E-2</v>
      </c>
      <c r="DB31" s="391">
        <v>2.4E-2</v>
      </c>
      <c r="DC31" s="391">
        <v>2.4E-2</v>
      </c>
      <c r="DD31" s="391">
        <v>2.4E-2</v>
      </c>
      <c r="DE31" s="391">
        <v>2.4E-2</v>
      </c>
      <c r="DF31" s="391">
        <v>2.4E-2</v>
      </c>
      <c r="DG31" s="391">
        <v>0.01</v>
      </c>
      <c r="DH31" s="391">
        <v>0.01</v>
      </c>
      <c r="DI31" s="391">
        <f t="shared" si="6"/>
        <v>0.24999999999999997</v>
      </c>
      <c r="DJ31" s="391">
        <f>+CK31+CM31+CO31+CQ31+CS31+CU31+CW31+CY31+DA31+DC31+DE31+DH31</f>
        <v>0.24999999999999997</v>
      </c>
      <c r="DK31" s="391">
        <f>+CL31+CN31+CP31+CR31+CT31+CV31+CX31+CZ31+DB31+DD31+DF31+DH31</f>
        <v>0.24999999999999997</v>
      </c>
      <c r="DL31" s="391">
        <f t="shared" ref="DL31:DM35" si="57">+CK31+CM31+CO31+CQ31+CS31+CU31+CW31+CY31+DA31+DC31+DE31+DG31</f>
        <v>0.24999999999999997</v>
      </c>
      <c r="DM31" s="391">
        <f t="shared" si="57"/>
        <v>0.24999999999999997</v>
      </c>
      <c r="DN31" s="405">
        <f>100%-DM36-CI31-AA31-BE36</f>
        <v>0.12500000000000011</v>
      </c>
      <c r="DO31" s="444">
        <v>0</v>
      </c>
      <c r="DP31" s="571">
        <v>0</v>
      </c>
      <c r="DQ31" s="444">
        <v>1.4999999999999999E-2</v>
      </c>
      <c r="DR31" s="583">
        <f>DQ31</f>
        <v>1.4999999999999999E-2</v>
      </c>
      <c r="DS31" s="444">
        <v>0.04</v>
      </c>
      <c r="DT31" s="444">
        <v>0.04</v>
      </c>
      <c r="DU31" s="383">
        <v>0.04</v>
      </c>
      <c r="DV31" s="584">
        <v>2.1999999999999999E-2</v>
      </c>
      <c r="DW31" s="383">
        <v>0.03</v>
      </c>
      <c r="DX31" s="583">
        <v>4.8000000000000001E-2</v>
      </c>
      <c r="DY31" s="444">
        <v>0</v>
      </c>
      <c r="DZ31" s="564"/>
      <c r="EA31" s="564"/>
      <c r="EB31" s="564"/>
      <c r="EC31" s="564"/>
      <c r="ED31" s="564"/>
      <c r="EE31" s="564"/>
      <c r="EF31" s="564"/>
      <c r="EG31" s="564"/>
      <c r="EH31" s="564"/>
      <c r="EI31" s="564"/>
      <c r="EJ31" s="564"/>
      <c r="EK31" s="564"/>
      <c r="EL31" s="564"/>
      <c r="EM31" s="444">
        <f>DO31+DQ31+DS31+DU31+DW31+DY31</f>
        <v>0.125</v>
      </c>
      <c r="EN31" s="383">
        <f>+DO31+DQ31+DS31+DU31+DW31</f>
        <v>0.125</v>
      </c>
      <c r="EO31" s="383">
        <f>+DP31+DR31+DT31+DV31+DX31+DZ31</f>
        <v>0.125</v>
      </c>
      <c r="EP31" s="383">
        <f>+DO31+DQ31+DS31+DU31+DW31+DY31</f>
        <v>0.125</v>
      </c>
      <c r="EQ31" s="383">
        <f>+DP31+DR31+DT31+DV31+DX31+DZ31</f>
        <v>0.125</v>
      </c>
      <c r="ER31" s="407">
        <f t="shared" si="8"/>
        <v>1.6</v>
      </c>
      <c r="ES31" s="407">
        <f t="shared" si="9"/>
        <v>1</v>
      </c>
      <c r="ET31" s="407">
        <f t="shared" si="10"/>
        <v>1</v>
      </c>
      <c r="EU31" s="407">
        <f t="shared" si="25"/>
        <v>0.99</v>
      </c>
      <c r="EV31" s="407">
        <f t="shared" si="23"/>
        <v>1</v>
      </c>
      <c r="EW31" s="842" t="s">
        <v>435</v>
      </c>
      <c r="EX31" s="824" t="s">
        <v>81</v>
      </c>
      <c r="EY31" s="824" t="s">
        <v>81</v>
      </c>
      <c r="EZ31" s="833" t="s">
        <v>436</v>
      </c>
      <c r="FA31" s="836" t="s">
        <v>365</v>
      </c>
    </row>
    <row r="32" spans="1:157" s="21" customFormat="1" ht="39" customHeight="1" x14ac:dyDescent="0.25">
      <c r="A32" s="786"/>
      <c r="B32" s="801"/>
      <c r="C32" s="804"/>
      <c r="D32" s="804"/>
      <c r="E32" s="807"/>
      <c r="F32" s="434" t="s">
        <v>107</v>
      </c>
      <c r="G32" s="95">
        <f>+AA32+BE32+CI32+DM32+EP32</f>
        <v>1582899067</v>
      </c>
      <c r="H32" s="95">
        <v>250000000</v>
      </c>
      <c r="I32" s="95"/>
      <c r="J32" s="95"/>
      <c r="K32" s="95">
        <v>250000000</v>
      </c>
      <c r="L32" s="95">
        <v>0</v>
      </c>
      <c r="M32" s="95">
        <v>250000000</v>
      </c>
      <c r="N32" s="95">
        <v>201132000</v>
      </c>
      <c r="O32" s="95">
        <v>250000000</v>
      </c>
      <c r="P32" s="95">
        <v>209100000</v>
      </c>
      <c r="Q32" s="95">
        <v>250000000</v>
      </c>
      <c r="R32" s="95">
        <v>209100000</v>
      </c>
      <c r="S32" s="95">
        <v>250000000</v>
      </c>
      <c r="T32" s="95">
        <v>209100000</v>
      </c>
      <c r="U32" s="95">
        <v>250000000</v>
      </c>
      <c r="V32" s="95">
        <v>249161000</v>
      </c>
      <c r="W32" s="95">
        <f>+U32</f>
        <v>250000000</v>
      </c>
      <c r="X32" s="95">
        <f>+U32</f>
        <v>250000000</v>
      </c>
      <c r="Y32" s="95">
        <f>+V32</f>
        <v>249161000</v>
      </c>
      <c r="Z32" s="95">
        <f>+X32</f>
        <v>250000000</v>
      </c>
      <c r="AA32" s="95">
        <f>+Y32</f>
        <v>249161000</v>
      </c>
      <c r="AB32" s="95">
        <v>390000000</v>
      </c>
      <c r="AC32" s="95">
        <v>0</v>
      </c>
      <c r="AD32" s="95">
        <v>0</v>
      </c>
      <c r="AE32" s="95">
        <f>+AF32</f>
        <v>288293000</v>
      </c>
      <c r="AF32" s="95">
        <v>288293000</v>
      </c>
      <c r="AG32" s="95">
        <v>99173000</v>
      </c>
      <c r="AH32" s="95">
        <f>+AG32</f>
        <v>99173000</v>
      </c>
      <c r="AI32" s="95">
        <v>0</v>
      </c>
      <c r="AJ32" s="95">
        <v>0</v>
      </c>
      <c r="AK32" s="95">
        <v>0</v>
      </c>
      <c r="AL32" s="95">
        <v>0</v>
      </c>
      <c r="AM32" s="95">
        <v>0</v>
      </c>
      <c r="AN32" s="95">
        <v>0</v>
      </c>
      <c r="AO32" s="95">
        <v>0</v>
      </c>
      <c r="AP32" s="95">
        <v>0</v>
      </c>
      <c r="AQ32" s="95">
        <v>0</v>
      </c>
      <c r="AR32" s="95">
        <v>0</v>
      </c>
      <c r="AS32" s="95">
        <v>0</v>
      </c>
      <c r="AT32" s="95">
        <v>0</v>
      </c>
      <c r="AU32" s="95">
        <v>64657601</v>
      </c>
      <c r="AV32" s="95">
        <v>28510600</v>
      </c>
      <c r="AW32" s="95">
        <v>29479836</v>
      </c>
      <c r="AX32" s="95">
        <v>49519100</v>
      </c>
      <c r="AY32" s="95">
        <v>2035600</v>
      </c>
      <c r="AZ32" s="95">
        <v>2035600</v>
      </c>
      <c r="BA32" s="95">
        <f t="shared" ref="BA32:BA37" si="58">+AC32+AE32+AG32+AI32+AK32+AM32+AO32+AQ32+AS32+AU32+AW32+AY32</f>
        <v>483639037</v>
      </c>
      <c r="BB32" s="95">
        <f t="shared" ref="BB32:BC37" si="59">+AC32+AE32+AG32+AI32+AK32+AM32+AO32+AQ32+AS32+AU32+AW32+AY32</f>
        <v>483639037</v>
      </c>
      <c r="BC32" s="95">
        <f t="shared" si="59"/>
        <v>467531300</v>
      </c>
      <c r="BD32" s="95">
        <f t="shared" ref="BD32:BD37" si="60">AC32+AE32+AG32+AI32+AK32+AM32+AO32+AQ32+AS32+AU32+AW32+AY32</f>
        <v>483639037</v>
      </c>
      <c r="BE32" s="95">
        <f t="shared" ref="BE32:BE37" si="61">AD32+AF32+AH32+AJ32+AL32+AN32++AP32+AR32+AT32+AV32+AX32+AZ32</f>
        <v>467531300</v>
      </c>
      <c r="BF32" s="95">
        <v>376030000</v>
      </c>
      <c r="BG32" s="95">
        <v>348906000</v>
      </c>
      <c r="BH32" s="95">
        <v>348906000</v>
      </c>
      <c r="BI32" s="95">
        <v>0</v>
      </c>
      <c r="BJ32" s="95">
        <v>0</v>
      </c>
      <c r="BK32" s="95">
        <v>0</v>
      </c>
      <c r="BL32" s="95">
        <v>0</v>
      </c>
      <c r="BM32" s="95">
        <v>0</v>
      </c>
      <c r="BN32" s="95">
        <v>0</v>
      </c>
      <c r="BO32" s="95">
        <v>0</v>
      </c>
      <c r="BP32" s="95">
        <v>0</v>
      </c>
      <c r="BQ32" s="95">
        <v>0</v>
      </c>
      <c r="BR32" s="95">
        <v>0</v>
      </c>
      <c r="BS32" s="95">
        <v>0</v>
      </c>
      <c r="BT32" s="95">
        <v>0</v>
      </c>
      <c r="BU32" s="95">
        <v>0</v>
      </c>
      <c r="BV32" s="95">
        <v>0</v>
      </c>
      <c r="BW32" s="95">
        <v>-345467</v>
      </c>
      <c r="BX32" s="95">
        <v>7424667</v>
      </c>
      <c r="BY32" s="95">
        <v>38459234</v>
      </c>
      <c r="BZ32" s="95">
        <v>18504933</v>
      </c>
      <c r="CA32" s="95">
        <v>27124000</v>
      </c>
      <c r="CB32" s="95">
        <v>24128167</v>
      </c>
      <c r="CC32" s="95">
        <v>0</v>
      </c>
      <c r="CD32" s="95">
        <v>15180000</v>
      </c>
      <c r="CE32" s="95">
        <f t="shared" si="41"/>
        <v>414143767</v>
      </c>
      <c r="CF32" s="95">
        <f t="shared" ref="CF32:CF37" si="62">+BG32+BI32+BK32+BM32+BO32+BQ32+BS32+BU32+BW32+BY32+CA32+CC32</f>
        <v>414143767</v>
      </c>
      <c r="CG32" s="95">
        <f>+BH32+BJ32+BL32+BN32+BP32+BR32+BT32+BV32+BX32+BZ32+CB32+CD32</f>
        <v>414143767</v>
      </c>
      <c r="CH32" s="95">
        <f t="shared" si="56"/>
        <v>414143767</v>
      </c>
      <c r="CI32" s="95">
        <f t="shared" si="56"/>
        <v>414143767</v>
      </c>
      <c r="CJ32" s="100">
        <v>224969000</v>
      </c>
      <c r="CK32" s="100">
        <v>0</v>
      </c>
      <c r="CL32" s="100">
        <v>0</v>
      </c>
      <c r="CM32" s="100">
        <v>95190000</v>
      </c>
      <c r="CN32" s="100">
        <v>95190000</v>
      </c>
      <c r="CO32" s="100">
        <v>85439000</v>
      </c>
      <c r="CP32" s="100">
        <v>85439000</v>
      </c>
      <c r="CQ32" s="100">
        <v>26780000</v>
      </c>
      <c r="CR32" s="100">
        <v>0</v>
      </c>
      <c r="CS32" s="100">
        <v>0</v>
      </c>
      <c r="CT32" s="100">
        <v>0</v>
      </c>
      <c r="CU32" s="100">
        <v>0</v>
      </c>
      <c r="CV32" s="100">
        <v>0</v>
      </c>
      <c r="CW32" s="100">
        <v>0</v>
      </c>
      <c r="CX32" s="100">
        <v>12186000</v>
      </c>
      <c r="CY32" s="100">
        <v>0</v>
      </c>
      <c r="CZ32" s="100">
        <v>0</v>
      </c>
      <c r="DA32" s="100">
        <v>0</v>
      </c>
      <c r="DB32" s="100">
        <v>0</v>
      </c>
      <c r="DC32" s="100">
        <v>-14594000</v>
      </c>
      <c r="DD32" s="100">
        <v>0</v>
      </c>
      <c r="DE32" s="100">
        <v>0</v>
      </c>
      <c r="DF32" s="100">
        <v>0</v>
      </c>
      <c r="DG32" s="100">
        <v>0</v>
      </c>
      <c r="DH32" s="100">
        <v>0</v>
      </c>
      <c r="DI32" s="100">
        <f t="shared" si="6"/>
        <v>192815000</v>
      </c>
      <c r="DJ32" s="100">
        <f>+CK32+CM32+CO32+CQ32+CS32+CU32+CW32+CY32+DA32+DC32+DE32</f>
        <v>192815000</v>
      </c>
      <c r="DK32" s="100">
        <f>+CL32+CN32+CP32+CR32+CT32+CV32+CX32+CZ32+DB32+DD32+DF32+DH32</f>
        <v>192815000</v>
      </c>
      <c r="DL32" s="100">
        <f t="shared" si="57"/>
        <v>192815000</v>
      </c>
      <c r="DM32" s="100">
        <f t="shared" si="57"/>
        <v>192815000</v>
      </c>
      <c r="DN32" s="247">
        <v>259248000</v>
      </c>
      <c r="DO32" s="100">
        <v>23568000</v>
      </c>
      <c r="DP32" s="100">
        <v>0</v>
      </c>
      <c r="DQ32" s="100"/>
      <c r="DR32" s="100">
        <v>37170000</v>
      </c>
      <c r="DS32" s="100"/>
      <c r="DT32" s="100">
        <v>24040000</v>
      </c>
      <c r="DU32" s="100"/>
      <c r="DV32" s="551">
        <v>0</v>
      </c>
      <c r="DW32" s="100"/>
      <c r="DX32" s="585">
        <v>43237000</v>
      </c>
      <c r="DY32" s="100">
        <f>DN32-DO32</f>
        <v>235680000</v>
      </c>
      <c r="DZ32" s="552"/>
      <c r="EA32" s="552"/>
      <c r="EB32" s="552"/>
      <c r="EC32" s="552"/>
      <c r="ED32" s="552"/>
      <c r="EE32" s="552"/>
      <c r="EF32" s="552"/>
      <c r="EG32" s="552"/>
      <c r="EH32" s="552"/>
      <c r="EI32" s="552"/>
      <c r="EJ32" s="552"/>
      <c r="EK32" s="552"/>
      <c r="EL32" s="552"/>
      <c r="EM32" s="100">
        <f>DO32+DQ32+DS32+DU32+DW32+DY32</f>
        <v>259248000</v>
      </c>
      <c r="EN32" s="100">
        <f>+DO32+DQ32+DS32+DU32</f>
        <v>23568000</v>
      </c>
      <c r="EO32" s="100">
        <f>+DP32+DR32+DT32+DV32+DX32+DZ32</f>
        <v>104447000</v>
      </c>
      <c r="EP32" s="100">
        <f>+DO32+DQ32+DS32+DU32+DW32+DY32</f>
        <v>259248000</v>
      </c>
      <c r="EQ32" s="100">
        <f>+DP32+DR32+DT32+DV32+DX32+DZ32</f>
        <v>104447000</v>
      </c>
      <c r="ER32" s="401">
        <f>IFERROR(DX32/DW32,0)</f>
        <v>0</v>
      </c>
      <c r="ES32" s="401">
        <f t="shared" si="9"/>
        <v>4.4317294636795657</v>
      </c>
      <c r="ET32" s="401">
        <f t="shared" si="10"/>
        <v>0.4028844966981423</v>
      </c>
      <c r="EU32" s="407">
        <f t="shared" si="25"/>
        <v>1.0468654637233525</v>
      </c>
      <c r="EV32" s="401">
        <f t="shared" si="23"/>
        <v>0.90220412455395049</v>
      </c>
      <c r="EW32" s="843"/>
      <c r="EX32" s="825"/>
      <c r="EY32" s="825"/>
      <c r="EZ32" s="834"/>
      <c r="FA32" s="837"/>
    </row>
    <row r="33" spans="1:157" s="111" customFormat="1" ht="39" customHeight="1" x14ac:dyDescent="0.25">
      <c r="A33" s="786"/>
      <c r="B33" s="801"/>
      <c r="C33" s="804"/>
      <c r="D33" s="804"/>
      <c r="E33" s="807"/>
      <c r="F33" s="435" t="s">
        <v>108</v>
      </c>
      <c r="G33" s="95"/>
      <c r="H33" s="95"/>
      <c r="I33" s="95"/>
      <c r="J33" s="95"/>
      <c r="K33" s="95"/>
      <c r="L33" s="95"/>
      <c r="M33" s="95"/>
      <c r="N33" s="95"/>
      <c r="O33" s="95"/>
      <c r="P33" s="95"/>
      <c r="Q33" s="95"/>
      <c r="R33" s="95"/>
      <c r="S33" s="95"/>
      <c r="T33" s="95"/>
      <c r="U33" s="95"/>
      <c r="V33" s="95"/>
      <c r="W33" s="95"/>
      <c r="X33" s="95"/>
      <c r="Y33" s="95"/>
      <c r="Z33" s="95"/>
      <c r="AA33" s="95"/>
      <c r="AB33" s="95">
        <v>390000000</v>
      </c>
      <c r="AC33" s="95">
        <v>0</v>
      </c>
      <c r="AD33" s="95">
        <v>0</v>
      </c>
      <c r="AE33" s="95">
        <v>0</v>
      </c>
      <c r="AF33" s="95">
        <v>0</v>
      </c>
      <c r="AG33" s="95">
        <f>+[3]SPI!F200</f>
        <v>12052966</v>
      </c>
      <c r="AH33" s="95">
        <f>+AG33</f>
        <v>12052966</v>
      </c>
      <c r="AI33" s="95">
        <v>38401767</v>
      </c>
      <c r="AJ33" s="95">
        <v>38401767</v>
      </c>
      <c r="AK33" s="95">
        <v>44436000</v>
      </c>
      <c r="AL33" s="95">
        <v>44436000</v>
      </c>
      <c r="AM33" s="95">
        <v>44436000</v>
      </c>
      <c r="AN33" s="95">
        <v>44436000</v>
      </c>
      <c r="AO33" s="95">
        <v>44436000</v>
      </c>
      <c r="AP33" s="95">
        <v>44436000</v>
      </c>
      <c r="AQ33" s="95">
        <v>44436000</v>
      </c>
      <c r="AR33" s="95">
        <v>44436000</v>
      </c>
      <c r="AS33" s="95">
        <v>44436000</v>
      </c>
      <c r="AT33" s="95">
        <v>44436000</v>
      </c>
      <c r="AU33" s="95">
        <v>44436000</v>
      </c>
      <c r="AV33" s="95">
        <v>44436000</v>
      </c>
      <c r="AW33" s="95">
        <v>76744201</v>
      </c>
      <c r="AX33" s="95">
        <v>42296000</v>
      </c>
      <c r="AY33" s="95">
        <v>89824103</v>
      </c>
      <c r="AZ33" s="95">
        <v>67925233</v>
      </c>
      <c r="BA33" s="95">
        <f t="shared" si="58"/>
        <v>483639037</v>
      </c>
      <c r="BB33" s="95">
        <f t="shared" si="59"/>
        <v>483639037</v>
      </c>
      <c r="BC33" s="95">
        <f t="shared" si="59"/>
        <v>427291966</v>
      </c>
      <c r="BD33" s="95">
        <f t="shared" si="60"/>
        <v>483639037</v>
      </c>
      <c r="BE33" s="95">
        <f t="shared" si="61"/>
        <v>427291966</v>
      </c>
      <c r="BF33" s="95">
        <v>376030000</v>
      </c>
      <c r="BG33" s="95">
        <v>0</v>
      </c>
      <c r="BH33" s="95">
        <v>0</v>
      </c>
      <c r="BI33" s="95">
        <v>5394100</v>
      </c>
      <c r="BJ33" s="95">
        <v>5394100</v>
      </c>
      <c r="BK33" s="95">
        <v>38806000</v>
      </c>
      <c r="BL33" s="95">
        <v>38605333</v>
      </c>
      <c r="BM33" s="95">
        <v>38806000</v>
      </c>
      <c r="BN33" s="95">
        <v>38806000</v>
      </c>
      <c r="BO33" s="95">
        <v>38806000</v>
      </c>
      <c r="BP33" s="95">
        <v>38806000</v>
      </c>
      <c r="BQ33" s="95">
        <v>38806000</v>
      </c>
      <c r="BR33" s="95">
        <v>38806000</v>
      </c>
      <c r="BS33" s="95">
        <v>38806000</v>
      </c>
      <c r="BT33" s="95">
        <v>38806000</v>
      </c>
      <c r="BU33" s="95">
        <v>38806000</v>
      </c>
      <c r="BV33" s="95">
        <v>38806000</v>
      </c>
      <c r="BW33" s="95">
        <v>38806000</v>
      </c>
      <c r="BX33" s="95">
        <v>38806000</v>
      </c>
      <c r="BY33" s="95">
        <v>38806000</v>
      </c>
      <c r="BZ33" s="95">
        <v>23626000</v>
      </c>
      <c r="CA33" s="95">
        <v>26634067</v>
      </c>
      <c r="CB33" s="95">
        <v>31216000</v>
      </c>
      <c r="CC33" s="95">
        <v>71667600</v>
      </c>
      <c r="CD33" s="95">
        <v>52891834</v>
      </c>
      <c r="CE33" s="95">
        <f t="shared" si="41"/>
        <v>414143767</v>
      </c>
      <c r="CF33" s="95">
        <f t="shared" si="62"/>
        <v>414143767</v>
      </c>
      <c r="CG33" s="95">
        <f>+BH33+BJ33+BL33+BN33+BP33+BR33+BT33+BV33+BX33+BZ33+CB33+CD33</f>
        <v>384569267</v>
      </c>
      <c r="CH33" s="95">
        <f t="shared" si="56"/>
        <v>414143767</v>
      </c>
      <c r="CI33" s="95">
        <f t="shared" si="56"/>
        <v>384569267</v>
      </c>
      <c r="CJ33" s="100">
        <v>224969000</v>
      </c>
      <c r="CK33" s="100">
        <v>0</v>
      </c>
      <c r="CL33" s="100">
        <v>0</v>
      </c>
      <c r="CM33" s="100">
        <v>0</v>
      </c>
      <c r="CN33" s="100">
        <v>0</v>
      </c>
      <c r="CO33" s="100">
        <v>7165533</v>
      </c>
      <c r="CP33" s="100">
        <v>7165533</v>
      </c>
      <c r="CQ33" s="100">
        <v>14999967</v>
      </c>
      <c r="CR33" s="100">
        <v>12321767</v>
      </c>
      <c r="CS33" s="100">
        <v>21382000</v>
      </c>
      <c r="CT33" s="100">
        <v>18704000</v>
      </c>
      <c r="CU33" s="100">
        <v>21382000</v>
      </c>
      <c r="CV33" s="100">
        <v>18704000</v>
      </c>
      <c r="CW33" s="100">
        <v>21382000</v>
      </c>
      <c r="CX33" s="100">
        <v>18704000</v>
      </c>
      <c r="CY33" s="100">
        <v>21382000</v>
      </c>
      <c r="CZ33" s="100">
        <v>19922600</v>
      </c>
      <c r="DA33" s="100">
        <v>21382000</v>
      </c>
      <c r="DB33" s="100">
        <v>20735000</v>
      </c>
      <c r="DC33" s="100">
        <v>21382000</v>
      </c>
      <c r="DD33" s="100">
        <v>20735000</v>
      </c>
      <c r="DE33" s="100">
        <v>21382000</v>
      </c>
      <c r="DF33" s="100">
        <v>20735000</v>
      </c>
      <c r="DG33" s="100">
        <v>20975500</v>
      </c>
      <c r="DH33" s="100">
        <v>25119467</v>
      </c>
      <c r="DI33" s="100">
        <f>+CK33+CM33+CO33+CQ33+CS33+CU33+CW33+CY33+DA33+DC33+DE33+DG33</f>
        <v>192815000</v>
      </c>
      <c r="DJ33" s="100">
        <f>+CK33+CM33+CO33+CQ33+CS33+CU33+CW33+CY33+DA33+DC33+DE33+DG33</f>
        <v>192815000</v>
      </c>
      <c r="DK33" s="100">
        <f>+CL33+CN33+CP33+CR33+CT33+CV33+CX33+CZ33+DB33+DD33+DF33+DH33</f>
        <v>182846367</v>
      </c>
      <c r="DL33" s="100">
        <f t="shared" si="57"/>
        <v>192815000</v>
      </c>
      <c r="DM33" s="100">
        <f t="shared" si="57"/>
        <v>182846367</v>
      </c>
      <c r="DN33" s="247">
        <f>+DN32</f>
        <v>259248000</v>
      </c>
      <c r="DO33" s="100">
        <v>7855999</v>
      </c>
      <c r="DP33" s="100">
        <v>0</v>
      </c>
      <c r="DQ33" s="100">
        <v>23568000</v>
      </c>
      <c r="DR33" s="100">
        <v>0</v>
      </c>
      <c r="DS33" s="100">
        <v>23568000</v>
      </c>
      <c r="DT33" s="100">
        <v>1982400</v>
      </c>
      <c r="DU33" s="100">
        <v>23568000</v>
      </c>
      <c r="DV33" s="551">
        <v>11553200</v>
      </c>
      <c r="DW33" s="100">
        <v>23568000</v>
      </c>
      <c r="DX33" s="100">
        <v>13444000</v>
      </c>
      <c r="DY33" s="100">
        <f>DN33-(DO33+DQ33+DS33+DU33+DW33)</f>
        <v>157120001</v>
      </c>
      <c r="DZ33" s="552"/>
      <c r="EA33" s="100"/>
      <c r="EB33" s="552"/>
      <c r="EC33" s="552"/>
      <c r="ED33" s="552"/>
      <c r="EE33" s="552"/>
      <c r="EF33" s="552"/>
      <c r="EG33" s="552"/>
      <c r="EH33" s="552"/>
      <c r="EI33" s="552"/>
      <c r="EJ33" s="552"/>
      <c r="EK33" s="552"/>
      <c r="EL33" s="552"/>
      <c r="EM33" s="100">
        <f t="shared" ref="EM33:EM35" si="63">DO33+DQ33+DS33+DU33+DW33+DY33</f>
        <v>259248000</v>
      </c>
      <c r="EN33" s="100">
        <f>+DO33+DQ33+DS33+DU33</f>
        <v>78559999</v>
      </c>
      <c r="EO33" s="100">
        <f t="shared" ref="EO33:EO35" si="64">+DP33+DR33+DT33+DV33+DX33+DZ33</f>
        <v>26979600</v>
      </c>
      <c r="EP33" s="100">
        <f t="shared" ref="EP33:EQ35" si="65">+DO33+DQ33+DS33+DU33+DW33+DY33</f>
        <v>259248000</v>
      </c>
      <c r="EQ33" s="100">
        <f t="shared" si="65"/>
        <v>26979600</v>
      </c>
      <c r="ER33" s="401">
        <f t="shared" si="8"/>
        <v>0.57043448744059744</v>
      </c>
      <c r="ES33" s="401">
        <f t="shared" si="9"/>
        <v>0.34342668461592013</v>
      </c>
      <c r="ET33" s="401">
        <f t="shared" si="10"/>
        <v>0.10406869098315127</v>
      </c>
      <c r="EU33" s="407">
        <f t="shared" si="25"/>
        <v>0.87386595494500585</v>
      </c>
      <c r="EV33" s="401">
        <f>IFERROR((AA33+BE33+CI33+DM33+EQ33)/G33,0)</f>
        <v>0</v>
      </c>
      <c r="EW33" s="843"/>
      <c r="EX33" s="825"/>
      <c r="EY33" s="825"/>
      <c r="EZ33" s="834"/>
      <c r="FA33" s="837"/>
    </row>
    <row r="34" spans="1:157" s="96" customFormat="1" ht="39" customHeight="1" x14ac:dyDescent="0.25">
      <c r="A34" s="786"/>
      <c r="B34" s="801"/>
      <c r="C34" s="804"/>
      <c r="D34" s="804"/>
      <c r="E34" s="807"/>
      <c r="F34" s="384" t="s">
        <v>109</v>
      </c>
      <c r="G34" s="445">
        <f>+AA34+BE34+CI34+DM34+EP34</f>
        <v>0.01</v>
      </c>
      <c r="H34" s="553"/>
      <c r="I34" s="553"/>
      <c r="J34" s="553"/>
      <c r="K34" s="546"/>
      <c r="L34" s="553"/>
      <c r="M34" s="546"/>
      <c r="N34" s="553"/>
      <c r="O34" s="546"/>
      <c r="P34" s="546"/>
      <c r="Q34" s="546"/>
      <c r="R34" s="546"/>
      <c r="S34" s="546"/>
      <c r="T34" s="546"/>
      <c r="U34" s="553"/>
      <c r="V34" s="546"/>
      <c r="W34" s="553"/>
      <c r="X34" s="553"/>
      <c r="Y34" s="553"/>
      <c r="Z34" s="553"/>
      <c r="AA34" s="553"/>
      <c r="AB34" s="377">
        <v>7.1999999999999981E-3</v>
      </c>
      <c r="AC34" s="377">
        <f>+AD34</f>
        <v>3.5999999999999999E-3</v>
      </c>
      <c r="AD34" s="377">
        <v>3.5999999999999999E-3</v>
      </c>
      <c r="AE34" s="377">
        <v>0</v>
      </c>
      <c r="AF34" s="377">
        <v>0</v>
      </c>
      <c r="AG34" s="377">
        <v>1.7999999999999995E-3</v>
      </c>
      <c r="AH34" s="377">
        <v>1.7999999999999995E-3</v>
      </c>
      <c r="AI34" s="377">
        <v>0</v>
      </c>
      <c r="AJ34" s="586">
        <v>0</v>
      </c>
      <c r="AK34" s="586">
        <v>0</v>
      </c>
      <c r="AL34" s="586">
        <v>0</v>
      </c>
      <c r="AM34" s="385">
        <f>+AD34-AF34-AH34-AJ34</f>
        <v>1.8000000000000004E-3</v>
      </c>
      <c r="AN34" s="385">
        <v>0</v>
      </c>
      <c r="AO34" s="385">
        <v>0</v>
      </c>
      <c r="AP34" s="385">
        <v>1.8E-3</v>
      </c>
      <c r="AQ34" s="385">
        <v>0</v>
      </c>
      <c r="AR34" s="385">
        <v>0</v>
      </c>
      <c r="AS34" s="385">
        <v>0</v>
      </c>
      <c r="AT34" s="385">
        <v>0</v>
      </c>
      <c r="AU34" s="385">
        <v>0</v>
      </c>
      <c r="AV34" s="385">
        <v>0</v>
      </c>
      <c r="AW34" s="385">
        <v>0</v>
      </c>
      <c r="AX34" s="385">
        <v>0</v>
      </c>
      <c r="AY34" s="385">
        <v>0</v>
      </c>
      <c r="AZ34" s="385">
        <v>0</v>
      </c>
      <c r="BA34" s="385">
        <f t="shared" si="58"/>
        <v>7.1999999999999998E-3</v>
      </c>
      <c r="BB34" s="385">
        <f t="shared" si="59"/>
        <v>7.1999999999999998E-3</v>
      </c>
      <c r="BC34" s="385">
        <f t="shared" si="59"/>
        <v>7.1999999999999998E-3</v>
      </c>
      <c r="BD34" s="385">
        <f t="shared" si="60"/>
        <v>7.1999999999999998E-3</v>
      </c>
      <c r="BE34" s="385">
        <f t="shared" si="61"/>
        <v>7.1999999999999998E-3</v>
      </c>
      <c r="BF34" s="386">
        <v>0</v>
      </c>
      <c r="BG34" s="386">
        <v>0</v>
      </c>
      <c r="BH34" s="386">
        <v>0</v>
      </c>
      <c r="BI34" s="386">
        <v>0</v>
      </c>
      <c r="BJ34" s="386">
        <v>0</v>
      </c>
      <c r="BK34" s="386">
        <v>0</v>
      </c>
      <c r="BL34" s="554">
        <v>0</v>
      </c>
      <c r="BM34" s="386">
        <v>0</v>
      </c>
      <c r="BN34" s="386">
        <v>0</v>
      </c>
      <c r="BO34" s="386">
        <v>0</v>
      </c>
      <c r="BP34" s="386">
        <v>0</v>
      </c>
      <c r="BQ34" s="386">
        <v>0</v>
      </c>
      <c r="BR34" s="587">
        <v>0</v>
      </c>
      <c r="BS34" s="386">
        <v>0</v>
      </c>
      <c r="BT34" s="587">
        <v>0</v>
      </c>
      <c r="BU34" s="386">
        <v>0</v>
      </c>
      <c r="BV34" s="386">
        <v>0</v>
      </c>
      <c r="BW34" s="386">
        <v>0</v>
      </c>
      <c r="BX34" s="386">
        <v>0</v>
      </c>
      <c r="BY34" s="386">
        <v>0</v>
      </c>
      <c r="BZ34" s="386">
        <v>0</v>
      </c>
      <c r="CA34" s="386">
        <v>0</v>
      </c>
      <c r="CB34" s="386">
        <v>0</v>
      </c>
      <c r="CC34" s="386">
        <v>0</v>
      </c>
      <c r="CD34" s="386">
        <v>0</v>
      </c>
      <c r="CE34" s="385">
        <f t="shared" si="41"/>
        <v>0</v>
      </c>
      <c r="CF34" s="385">
        <f t="shared" si="62"/>
        <v>0</v>
      </c>
      <c r="CG34" s="377">
        <f>+BH34+BJ34+BL34+BN34+BP34+BR34+BT34+BV34+BX34+BZ34+CB34+CD34</f>
        <v>0</v>
      </c>
      <c r="CH34" s="377">
        <f t="shared" si="56"/>
        <v>0</v>
      </c>
      <c r="CI34" s="377">
        <f t="shared" si="56"/>
        <v>0</v>
      </c>
      <c r="CJ34" s="392">
        <f>+CH31-CI31</f>
        <v>2.7999999999999692E-3</v>
      </c>
      <c r="CK34" s="392">
        <v>5.9999999999999995E-4</v>
      </c>
      <c r="CL34" s="392">
        <v>5.9999999999999995E-4</v>
      </c>
      <c r="CM34" s="392">
        <v>2.9999999999999997E-4</v>
      </c>
      <c r="CN34" s="392">
        <v>2.9999999999999997E-4</v>
      </c>
      <c r="CO34" s="392">
        <v>1.9E-3</v>
      </c>
      <c r="CP34" s="392">
        <v>1.9E-3</v>
      </c>
      <c r="CQ34" s="392">
        <v>0</v>
      </c>
      <c r="CR34" s="392">
        <v>0</v>
      </c>
      <c r="CS34" s="392">
        <v>0</v>
      </c>
      <c r="CT34" s="392">
        <v>0</v>
      </c>
      <c r="CU34" s="392">
        <v>0</v>
      </c>
      <c r="CV34" s="392">
        <v>0</v>
      </c>
      <c r="CW34" s="392">
        <v>0</v>
      </c>
      <c r="CX34" s="392">
        <v>0</v>
      </c>
      <c r="CY34" s="392">
        <v>0</v>
      </c>
      <c r="CZ34" s="392">
        <v>0</v>
      </c>
      <c r="DA34" s="392">
        <v>0</v>
      </c>
      <c r="DB34" s="392">
        <v>0</v>
      </c>
      <c r="DC34" s="392">
        <v>0</v>
      </c>
      <c r="DD34" s="392">
        <v>0</v>
      </c>
      <c r="DE34" s="392">
        <v>0</v>
      </c>
      <c r="DF34" s="392">
        <v>0</v>
      </c>
      <c r="DG34" s="392">
        <v>0</v>
      </c>
      <c r="DH34" s="392">
        <v>0</v>
      </c>
      <c r="DI34" s="392">
        <f t="shared" si="6"/>
        <v>2.8E-3</v>
      </c>
      <c r="DJ34" s="392">
        <f t="shared" si="7"/>
        <v>2.8E-3</v>
      </c>
      <c r="DK34" s="392">
        <f>+CL34+CN34+CP34+CR34+CT34+CV34+CX34+CZ34+DB34+DD34+DF34+DH34</f>
        <v>2.8E-3</v>
      </c>
      <c r="DL34" s="392">
        <f t="shared" si="57"/>
        <v>2.8E-3</v>
      </c>
      <c r="DM34" s="392">
        <f t="shared" si="57"/>
        <v>2.8E-3</v>
      </c>
      <c r="DN34" s="588">
        <v>0</v>
      </c>
      <c r="DO34" s="589"/>
      <c r="DP34" s="589"/>
      <c r="DQ34" s="589"/>
      <c r="DR34" s="589">
        <v>0</v>
      </c>
      <c r="DS34" s="589"/>
      <c r="DT34" s="589"/>
      <c r="DU34" s="589"/>
      <c r="DV34" s="590">
        <v>0</v>
      </c>
      <c r="DW34" s="589"/>
      <c r="DX34" s="589">
        <v>0</v>
      </c>
      <c r="DY34" s="589"/>
      <c r="DZ34" s="554"/>
      <c r="EA34" s="554"/>
      <c r="EB34" s="554"/>
      <c r="EC34" s="554"/>
      <c r="ED34" s="554"/>
      <c r="EE34" s="554"/>
      <c r="EF34" s="554"/>
      <c r="EG34" s="554"/>
      <c r="EH34" s="554"/>
      <c r="EI34" s="554"/>
      <c r="EJ34" s="554"/>
      <c r="EK34" s="554"/>
      <c r="EL34" s="554"/>
      <c r="EM34" s="446">
        <f t="shared" si="63"/>
        <v>0</v>
      </c>
      <c r="EN34" s="546">
        <f>+DO34+DQ34+DS34+DU34</f>
        <v>0</v>
      </c>
      <c r="EO34" s="546">
        <f t="shared" si="64"/>
        <v>0</v>
      </c>
      <c r="EP34" s="547">
        <f t="shared" si="65"/>
        <v>0</v>
      </c>
      <c r="EQ34" s="546">
        <f t="shared" si="65"/>
        <v>0</v>
      </c>
      <c r="ER34" s="401">
        <f>IFERROR(DX34/DW34,0)</f>
        <v>0</v>
      </c>
      <c r="ES34" s="401">
        <f>IFERROR(EO34/EN34,0)</f>
        <v>0</v>
      </c>
      <c r="ET34" s="401">
        <f>IFERROR(EQ34/EP34,0)</f>
        <v>0</v>
      </c>
      <c r="EU34" s="407">
        <f t="shared" si="25"/>
        <v>1</v>
      </c>
      <c r="EV34" s="401">
        <f t="shared" si="23"/>
        <v>1</v>
      </c>
      <c r="EW34" s="843"/>
      <c r="EX34" s="825"/>
      <c r="EY34" s="825"/>
      <c r="EZ34" s="834"/>
      <c r="FA34" s="837"/>
    </row>
    <row r="35" spans="1:157" s="111" customFormat="1" ht="39" customHeight="1" x14ac:dyDescent="0.25">
      <c r="A35" s="786"/>
      <c r="B35" s="801"/>
      <c r="C35" s="804"/>
      <c r="D35" s="804"/>
      <c r="E35" s="807"/>
      <c r="F35" s="434" t="s">
        <v>110</v>
      </c>
      <c r="G35" s="95">
        <f>+AA35+BE35+CI35+DM35+EP35</f>
        <v>141686332</v>
      </c>
      <c r="H35" s="95"/>
      <c r="I35" s="95"/>
      <c r="J35" s="95"/>
      <c r="K35" s="95"/>
      <c r="L35" s="95"/>
      <c r="M35" s="95"/>
      <c r="N35" s="95"/>
      <c r="O35" s="95"/>
      <c r="P35" s="95"/>
      <c r="Q35" s="95"/>
      <c r="R35" s="95"/>
      <c r="S35" s="95"/>
      <c r="T35" s="95"/>
      <c r="U35" s="95"/>
      <c r="V35" s="95"/>
      <c r="W35" s="95"/>
      <c r="X35" s="95"/>
      <c r="Y35" s="95"/>
      <c r="Z35" s="95"/>
      <c r="AA35" s="95"/>
      <c r="AB35" s="95">
        <v>61903867</v>
      </c>
      <c r="AC35" s="95">
        <f>+AD35</f>
        <v>36540000</v>
      </c>
      <c r="AD35" s="95">
        <v>36540000</v>
      </c>
      <c r="AE35" s="95">
        <v>21003667</v>
      </c>
      <c r="AF35" s="95">
        <v>21003667</v>
      </c>
      <c r="AG35" s="95">
        <v>4360200</v>
      </c>
      <c r="AH35" s="95">
        <v>4360200</v>
      </c>
      <c r="AI35" s="95">
        <v>0</v>
      </c>
      <c r="AJ35" s="95">
        <v>0</v>
      </c>
      <c r="AK35" s="95">
        <v>0</v>
      </c>
      <c r="AL35" s="95">
        <v>0</v>
      </c>
      <c r="AM35" s="95">
        <v>0</v>
      </c>
      <c r="AN35" s="95">
        <v>0</v>
      </c>
      <c r="AO35" s="95">
        <v>0</v>
      </c>
      <c r="AP35" s="95">
        <v>0</v>
      </c>
      <c r="AQ35" s="95">
        <v>0</v>
      </c>
      <c r="AR35" s="95">
        <v>0</v>
      </c>
      <c r="AS35" s="95">
        <v>0</v>
      </c>
      <c r="AT35" s="95">
        <v>0</v>
      </c>
      <c r="AU35" s="95">
        <v>0</v>
      </c>
      <c r="AV35" s="95">
        <v>0</v>
      </c>
      <c r="AW35" s="95">
        <v>0</v>
      </c>
      <c r="AX35" s="95">
        <v>0</v>
      </c>
      <c r="AY35" s="95">
        <v>0</v>
      </c>
      <c r="AZ35" s="95">
        <v>0</v>
      </c>
      <c r="BA35" s="95">
        <f t="shared" si="58"/>
        <v>61903867</v>
      </c>
      <c r="BB35" s="95">
        <f t="shared" si="59"/>
        <v>61903867</v>
      </c>
      <c r="BC35" s="95">
        <f t="shared" si="59"/>
        <v>61903867</v>
      </c>
      <c r="BD35" s="95">
        <f t="shared" si="60"/>
        <v>61903867</v>
      </c>
      <c r="BE35" s="95">
        <f t="shared" si="61"/>
        <v>61903867</v>
      </c>
      <c r="BF35" s="95">
        <v>40239334</v>
      </c>
      <c r="BG35" s="95">
        <v>27313966</v>
      </c>
      <c r="BH35" s="95">
        <v>27313966</v>
      </c>
      <c r="BI35" s="95">
        <v>12925368</v>
      </c>
      <c r="BJ35" s="95">
        <v>1783333</v>
      </c>
      <c r="BK35" s="95">
        <v>0</v>
      </c>
      <c r="BL35" s="95">
        <v>2449700</v>
      </c>
      <c r="BM35" s="95">
        <v>0</v>
      </c>
      <c r="BN35" s="95">
        <v>1569333</v>
      </c>
      <c r="BO35" s="95">
        <v>0</v>
      </c>
      <c r="BP35" s="95">
        <v>7123000</v>
      </c>
      <c r="BQ35" s="95">
        <v>0</v>
      </c>
      <c r="BR35" s="95">
        <v>0</v>
      </c>
      <c r="BS35" s="95">
        <v>-2</v>
      </c>
      <c r="BT35" s="95">
        <v>0</v>
      </c>
      <c r="BU35" s="95">
        <v>0</v>
      </c>
      <c r="BV35" s="95">
        <v>0</v>
      </c>
      <c r="BW35" s="95">
        <v>0</v>
      </c>
      <c r="BX35" s="95">
        <v>0</v>
      </c>
      <c r="BY35" s="95">
        <v>0</v>
      </c>
      <c r="BZ35" s="95">
        <v>0</v>
      </c>
      <c r="CA35" s="95">
        <v>0</v>
      </c>
      <c r="CB35" s="95">
        <v>0</v>
      </c>
      <c r="CC35" s="95">
        <v>0</v>
      </c>
      <c r="CD35" s="95">
        <v>0</v>
      </c>
      <c r="CE35" s="95">
        <f>+BG35+BI35+BK35+BM35+BO35+BQ35+BS35+BU35+BW35+BY35+CA35+CC35</f>
        <v>40239332</v>
      </c>
      <c r="CF35" s="95">
        <f t="shared" si="62"/>
        <v>40239332</v>
      </c>
      <c r="CG35" s="95">
        <f>+BH35+BJ35+BL35+BN35+BP35+BR35+BT35+BV35+BX35+BZ35+CB35+CD35</f>
        <v>40239332</v>
      </c>
      <c r="CH35" s="95">
        <f t="shared" si="56"/>
        <v>40239332</v>
      </c>
      <c r="CI35" s="95">
        <f t="shared" si="56"/>
        <v>40239332</v>
      </c>
      <c r="CJ35" s="100">
        <f>+CI32-CI33</f>
        <v>29574500</v>
      </c>
      <c r="CK35" s="100">
        <v>12641000</v>
      </c>
      <c r="CL35" s="100">
        <v>12641000</v>
      </c>
      <c r="CM35" s="100">
        <v>9343500</v>
      </c>
      <c r="CN35" s="100">
        <v>9343500</v>
      </c>
      <c r="CO35" s="100">
        <v>7590000</v>
      </c>
      <c r="CP35" s="100">
        <v>7590000</v>
      </c>
      <c r="CQ35" s="100">
        <v>0</v>
      </c>
      <c r="CR35" s="100">
        <v>0</v>
      </c>
      <c r="CS35" s="100">
        <v>0</v>
      </c>
      <c r="CT35" s="100">
        <v>0</v>
      </c>
      <c r="CU35" s="100">
        <v>0</v>
      </c>
      <c r="CV35" s="100">
        <v>0</v>
      </c>
      <c r="CW35" s="100">
        <v>0</v>
      </c>
      <c r="CX35" s="100">
        <v>0</v>
      </c>
      <c r="CY35" s="100">
        <v>0</v>
      </c>
      <c r="CZ35" s="100">
        <v>0</v>
      </c>
      <c r="DA35" s="100">
        <v>0</v>
      </c>
      <c r="DB35" s="100">
        <v>0</v>
      </c>
      <c r="DC35" s="100">
        <v>0</v>
      </c>
      <c r="DD35" s="100"/>
      <c r="DE35" s="100">
        <v>0</v>
      </c>
      <c r="DF35" s="100">
        <v>0</v>
      </c>
      <c r="DG35" s="100">
        <v>0</v>
      </c>
      <c r="DH35" s="100">
        <v>0</v>
      </c>
      <c r="DI35" s="100">
        <f>+CK35+CM35+CO35+CQ35+CS35+CU35+CW35+CY35+DA35+DC35+DE35+DG35</f>
        <v>29574500</v>
      </c>
      <c r="DJ35" s="100">
        <f>+CK35+CM35+CO35+CQ35+CS35+CU35+CW35+CY35+DA35+DC35+DE35+DG35</f>
        <v>29574500</v>
      </c>
      <c r="DK35" s="100">
        <f>+CL35+CN35+CP35+CR35+CT35+CV35+CX35+CZ35+DB35+DD35+DF35+DH35</f>
        <v>29574500</v>
      </c>
      <c r="DL35" s="100">
        <f>+CK35+CM35+CO35+CQ35+CS35+CU35+CW35+CY35+DA35+DC35+DE35+DG35</f>
        <v>29574500</v>
      </c>
      <c r="DM35" s="100">
        <f t="shared" si="57"/>
        <v>29574500</v>
      </c>
      <c r="DN35" s="247">
        <f>DM32-DM33</f>
        <v>9968633</v>
      </c>
      <c r="DO35" s="100">
        <v>9156233</v>
      </c>
      <c r="DP35" s="552">
        <v>9156233</v>
      </c>
      <c r="DQ35" s="100">
        <v>812400</v>
      </c>
      <c r="DR35" s="100">
        <v>0</v>
      </c>
      <c r="DS35" s="100"/>
      <c r="DT35" s="100">
        <v>0</v>
      </c>
      <c r="DU35" s="100"/>
      <c r="DV35" s="551">
        <v>0</v>
      </c>
      <c r="DW35" s="100">
        <v>0</v>
      </c>
      <c r="DX35" s="100">
        <v>812400</v>
      </c>
      <c r="DY35" s="100">
        <v>0</v>
      </c>
      <c r="DZ35" s="552"/>
      <c r="EA35" s="552"/>
      <c r="EB35" s="552"/>
      <c r="EC35" s="552"/>
      <c r="ED35" s="552"/>
      <c r="EE35" s="552"/>
      <c r="EF35" s="552"/>
      <c r="EG35" s="552"/>
      <c r="EH35" s="552"/>
      <c r="EI35" s="552"/>
      <c r="EJ35" s="552"/>
      <c r="EK35" s="552"/>
      <c r="EL35" s="552"/>
      <c r="EM35" s="100">
        <f t="shared" si="63"/>
        <v>9968633</v>
      </c>
      <c r="EN35" s="100">
        <f>+DO35+DQ35+DS35+DU35</f>
        <v>9968633</v>
      </c>
      <c r="EO35" s="100">
        <f t="shared" si="64"/>
        <v>9968633</v>
      </c>
      <c r="EP35" s="100">
        <f t="shared" si="65"/>
        <v>9968633</v>
      </c>
      <c r="EQ35" s="100">
        <f t="shared" si="65"/>
        <v>9968633</v>
      </c>
      <c r="ER35" s="401">
        <f>IFERROR(DX35/DW35,0)</f>
        <v>0</v>
      </c>
      <c r="ES35" s="401">
        <f t="shared" si="9"/>
        <v>1</v>
      </c>
      <c r="ET35" s="401">
        <f t="shared" si="10"/>
        <v>1</v>
      </c>
      <c r="EU35" s="407">
        <f t="shared" si="25"/>
        <v>1</v>
      </c>
      <c r="EV35" s="401">
        <f t="shared" si="23"/>
        <v>1</v>
      </c>
      <c r="EW35" s="843"/>
      <c r="EX35" s="825"/>
      <c r="EY35" s="825"/>
      <c r="EZ35" s="834"/>
      <c r="FA35" s="837"/>
    </row>
    <row r="36" spans="1:157" s="96" customFormat="1" ht="39" customHeight="1" thickBot="1" x14ac:dyDescent="0.3">
      <c r="A36" s="786"/>
      <c r="B36" s="801"/>
      <c r="C36" s="804"/>
      <c r="D36" s="804"/>
      <c r="E36" s="807"/>
      <c r="F36" s="384" t="s">
        <v>111</v>
      </c>
      <c r="G36" s="387">
        <f>+G31+G34</f>
        <v>1</v>
      </c>
      <c r="H36" s="380">
        <f>+H31+H34</f>
        <v>0.125</v>
      </c>
      <c r="I36" s="380"/>
      <c r="J36" s="380"/>
      <c r="K36" s="380">
        <v>0.125</v>
      </c>
      <c r="L36" s="380">
        <v>0</v>
      </c>
      <c r="M36" s="380">
        <v>0.125</v>
      </c>
      <c r="N36" s="380">
        <v>0</v>
      </c>
      <c r="O36" s="380">
        <v>0.125</v>
      </c>
      <c r="P36" s="380">
        <f>+P31</f>
        <v>0.05</v>
      </c>
      <c r="Q36" s="380">
        <v>0.125</v>
      </c>
      <c r="R36" s="380">
        <f>+R31</f>
        <v>7.4999999999999997E-2</v>
      </c>
      <c r="S36" s="380">
        <v>0.125</v>
      </c>
      <c r="T36" s="380">
        <f>+T31</f>
        <v>7.5999999999999998E-2</v>
      </c>
      <c r="U36" s="380">
        <v>0.125</v>
      </c>
      <c r="V36" s="380">
        <v>0.1178</v>
      </c>
      <c r="W36" s="380">
        <f>+W31</f>
        <v>0.125</v>
      </c>
      <c r="X36" s="380">
        <f t="shared" ref="X36:AA37" si="66">+X31</f>
        <v>0.125</v>
      </c>
      <c r="Y36" s="380">
        <f t="shared" si="66"/>
        <v>0.1178</v>
      </c>
      <c r="Z36" s="380">
        <f t="shared" si="66"/>
        <v>0.125</v>
      </c>
      <c r="AA36" s="380">
        <f t="shared" si="66"/>
        <v>0.1178</v>
      </c>
      <c r="AB36" s="380">
        <f t="shared" ref="AB36:AZ37" si="67">+AB31+AB34</f>
        <v>0.25719999999999998</v>
      </c>
      <c r="AC36" s="380">
        <f t="shared" si="67"/>
        <v>3.5999999999999999E-3</v>
      </c>
      <c r="AD36" s="380">
        <f t="shared" si="67"/>
        <v>3.5999999999999999E-3</v>
      </c>
      <c r="AE36" s="380">
        <f t="shared" si="67"/>
        <v>2.2700000000000001E-2</v>
      </c>
      <c r="AF36" s="380">
        <f t="shared" si="67"/>
        <v>2.2700000000000001E-2</v>
      </c>
      <c r="AG36" s="380">
        <f t="shared" si="67"/>
        <v>2.4500000000000001E-2</v>
      </c>
      <c r="AH36" s="380">
        <f t="shared" si="67"/>
        <v>2.4500000000000001E-2</v>
      </c>
      <c r="AI36" s="380">
        <f t="shared" si="67"/>
        <v>2.2700000000000001E-2</v>
      </c>
      <c r="AJ36" s="380">
        <f t="shared" si="67"/>
        <v>2.2700000000000001E-2</v>
      </c>
      <c r="AK36" s="380">
        <f t="shared" si="67"/>
        <v>2.2700000000000001E-2</v>
      </c>
      <c r="AL36" s="380">
        <f t="shared" si="67"/>
        <v>2.2700000000000001E-2</v>
      </c>
      <c r="AM36" s="380">
        <f t="shared" si="67"/>
        <v>2.4500000000000001E-2</v>
      </c>
      <c r="AN36" s="380">
        <f t="shared" si="67"/>
        <v>2.2700000000000001E-2</v>
      </c>
      <c r="AO36" s="380">
        <f t="shared" si="67"/>
        <v>2.2700000000000001E-2</v>
      </c>
      <c r="AP36" s="380">
        <f t="shared" si="67"/>
        <v>2.4500000000000001E-2</v>
      </c>
      <c r="AQ36" s="380">
        <f t="shared" si="67"/>
        <v>2.2700000000000001E-2</v>
      </c>
      <c r="AR36" s="380">
        <f t="shared" si="67"/>
        <v>2.2700000000000001E-2</v>
      </c>
      <c r="AS36" s="380">
        <f t="shared" si="67"/>
        <v>2.2700000000000001E-2</v>
      </c>
      <c r="AT36" s="380">
        <f>+AT31+AT34</f>
        <v>2.2700000000000001E-2</v>
      </c>
      <c r="AU36" s="380">
        <f t="shared" si="67"/>
        <v>2.2700000000000001E-2</v>
      </c>
      <c r="AV36" s="380">
        <f t="shared" si="67"/>
        <v>2.2700000000000001E-2</v>
      </c>
      <c r="AW36" s="380">
        <f t="shared" si="67"/>
        <v>2.2700000000000001E-2</v>
      </c>
      <c r="AX36" s="380">
        <f t="shared" si="67"/>
        <v>2.2700000000000001E-2</v>
      </c>
      <c r="AY36" s="380">
        <f t="shared" si="67"/>
        <v>2.3E-2</v>
      </c>
      <c r="AZ36" s="380">
        <f t="shared" si="67"/>
        <v>2.3E-2</v>
      </c>
      <c r="BA36" s="388">
        <f t="shared" si="58"/>
        <v>0.25719999999999998</v>
      </c>
      <c r="BB36" s="388">
        <f t="shared" si="59"/>
        <v>0.25719999999999998</v>
      </c>
      <c r="BC36" s="388">
        <f t="shared" si="59"/>
        <v>0.25719999999999998</v>
      </c>
      <c r="BD36" s="388">
        <f t="shared" si="60"/>
        <v>0.25719999999999998</v>
      </c>
      <c r="BE36" s="388">
        <f t="shared" si="61"/>
        <v>0.25719999999999998</v>
      </c>
      <c r="BF36" s="380">
        <f>+BF31+BF34</f>
        <v>0.25</v>
      </c>
      <c r="BG36" s="380">
        <f>+BG31+BG34</f>
        <v>0</v>
      </c>
      <c r="BH36" s="380">
        <f t="shared" ref="BH36:CI37" si="68">+BH31+BH34</f>
        <v>0</v>
      </c>
      <c r="BI36" s="380">
        <f t="shared" si="68"/>
        <v>2.4E-2</v>
      </c>
      <c r="BJ36" s="380">
        <f t="shared" si="68"/>
        <v>2.4E-2</v>
      </c>
      <c r="BK36" s="380">
        <f t="shared" si="68"/>
        <v>2.4E-2</v>
      </c>
      <c r="BL36" s="380">
        <f t="shared" si="68"/>
        <v>2.4E-2</v>
      </c>
      <c r="BM36" s="380">
        <f t="shared" si="68"/>
        <v>2.4E-2</v>
      </c>
      <c r="BN36" s="380">
        <f t="shared" si="68"/>
        <v>2.4E-2</v>
      </c>
      <c r="BO36" s="380">
        <f t="shared" si="68"/>
        <v>2.4E-2</v>
      </c>
      <c r="BP36" s="380">
        <f t="shared" si="68"/>
        <v>2.4E-2</v>
      </c>
      <c r="BQ36" s="380">
        <f t="shared" si="68"/>
        <v>2.4E-2</v>
      </c>
      <c r="BR36" s="380">
        <f t="shared" si="68"/>
        <v>2.4E-2</v>
      </c>
      <c r="BS36" s="380">
        <f t="shared" si="68"/>
        <v>2.4E-2</v>
      </c>
      <c r="BT36" s="380">
        <f t="shared" si="68"/>
        <v>2.4E-2</v>
      </c>
      <c r="BU36" s="380">
        <f t="shared" si="68"/>
        <v>2.4E-2</v>
      </c>
      <c r="BV36" s="380">
        <f t="shared" si="68"/>
        <v>2.2700000000000001E-2</v>
      </c>
      <c r="BW36" s="380">
        <f t="shared" si="68"/>
        <v>2.4E-2</v>
      </c>
      <c r="BX36" s="380">
        <f t="shared" si="68"/>
        <v>2.53E-2</v>
      </c>
      <c r="BY36" s="380">
        <f t="shared" si="68"/>
        <v>2.4E-2</v>
      </c>
      <c r="BZ36" s="380">
        <f t="shared" si="68"/>
        <v>2.1100000000000001E-2</v>
      </c>
      <c r="CA36" s="380">
        <f t="shared" si="68"/>
        <v>2.4E-2</v>
      </c>
      <c r="CB36" s="380">
        <f t="shared" si="68"/>
        <v>2.69E-2</v>
      </c>
      <c r="CC36" s="380">
        <f t="shared" si="68"/>
        <v>0.01</v>
      </c>
      <c r="CD36" s="380">
        <f t="shared" si="68"/>
        <v>7.1999999999999998E-3</v>
      </c>
      <c r="CE36" s="380">
        <f t="shared" si="68"/>
        <v>0.24999999999999997</v>
      </c>
      <c r="CF36" s="380">
        <f t="shared" si="62"/>
        <v>0.24999999999999997</v>
      </c>
      <c r="CG36" s="380">
        <f t="shared" si="68"/>
        <v>0.2472</v>
      </c>
      <c r="CH36" s="380">
        <f t="shared" si="68"/>
        <v>0.24999999999999997</v>
      </c>
      <c r="CI36" s="380">
        <f t="shared" si="68"/>
        <v>0.2472</v>
      </c>
      <c r="CJ36" s="393">
        <f>+CJ31+CJ34</f>
        <v>0.25279999999999997</v>
      </c>
      <c r="CK36" s="393">
        <f t="shared" ref="CK36:DH37" si="69">+CK31+CK34</f>
        <v>5.9999999999999995E-4</v>
      </c>
      <c r="CL36" s="393">
        <f t="shared" si="69"/>
        <v>5.9999999999999995E-4</v>
      </c>
      <c r="CM36" s="393">
        <v>2.4300000000000002E-2</v>
      </c>
      <c r="CN36" s="393">
        <f t="shared" si="69"/>
        <v>2.4300000000000002E-2</v>
      </c>
      <c r="CO36" s="393">
        <f t="shared" si="69"/>
        <v>2.5899999999999999E-2</v>
      </c>
      <c r="CP36" s="393">
        <f t="shared" si="69"/>
        <v>2.5899999999999999E-2</v>
      </c>
      <c r="CQ36" s="393">
        <f t="shared" si="69"/>
        <v>2.4E-2</v>
      </c>
      <c r="CR36" s="393">
        <f t="shared" si="69"/>
        <v>2.4E-2</v>
      </c>
      <c r="CS36" s="393">
        <f t="shared" si="69"/>
        <v>2.4E-2</v>
      </c>
      <c r="CT36" s="393">
        <f t="shared" si="69"/>
        <v>2.4E-2</v>
      </c>
      <c r="CU36" s="393">
        <f t="shared" si="69"/>
        <v>2.4E-2</v>
      </c>
      <c r="CV36" s="393">
        <f t="shared" si="69"/>
        <v>2.35E-2</v>
      </c>
      <c r="CW36" s="393">
        <f t="shared" si="69"/>
        <v>2.4E-2</v>
      </c>
      <c r="CX36" s="393">
        <f>+CX31+CX34</f>
        <v>2.4500000000000001E-2</v>
      </c>
      <c r="CY36" s="393">
        <f t="shared" si="69"/>
        <v>2.4E-2</v>
      </c>
      <c r="CZ36" s="393">
        <f t="shared" si="69"/>
        <v>2.4E-2</v>
      </c>
      <c r="DA36" s="393">
        <f t="shared" si="69"/>
        <v>2.4E-2</v>
      </c>
      <c r="DB36" s="393">
        <f t="shared" si="69"/>
        <v>2.4E-2</v>
      </c>
      <c r="DC36" s="393">
        <f t="shared" si="69"/>
        <v>2.4E-2</v>
      </c>
      <c r="DD36" s="393">
        <f t="shared" si="69"/>
        <v>2.4E-2</v>
      </c>
      <c r="DE36" s="393">
        <f t="shared" si="69"/>
        <v>2.4E-2</v>
      </c>
      <c r="DF36" s="393">
        <f t="shared" si="69"/>
        <v>2.4E-2</v>
      </c>
      <c r="DG36" s="393">
        <f t="shared" si="69"/>
        <v>0.01</v>
      </c>
      <c r="DH36" s="393">
        <f t="shared" si="69"/>
        <v>0.01</v>
      </c>
      <c r="DI36" s="393">
        <f t="shared" si="6"/>
        <v>0.25279999999999997</v>
      </c>
      <c r="DJ36" s="393">
        <f t="shared" si="7"/>
        <v>0.24279999999999996</v>
      </c>
      <c r="DK36" s="393">
        <f>+DK31+DK34</f>
        <v>0.25279999999999997</v>
      </c>
      <c r="DL36" s="393">
        <f>+DL31+DL34</f>
        <v>0.25279999999999997</v>
      </c>
      <c r="DM36" s="393">
        <f>+DM31+DM34</f>
        <v>0.25279999999999997</v>
      </c>
      <c r="DN36" s="275">
        <f>DN31</f>
        <v>0.12500000000000011</v>
      </c>
      <c r="DO36" s="400">
        <f>+DO31</f>
        <v>0</v>
      </c>
      <c r="DP36" s="400">
        <f t="shared" ref="DP36:DY36" si="70">+DP31</f>
        <v>0</v>
      </c>
      <c r="DQ36" s="400">
        <f>+DQ31</f>
        <v>1.4999999999999999E-2</v>
      </c>
      <c r="DR36" s="400">
        <f>+DR31+DR35</f>
        <v>1.4999999999999999E-2</v>
      </c>
      <c r="DS36" s="400">
        <f>+DS31</f>
        <v>0.04</v>
      </c>
      <c r="DT36" s="400">
        <f t="shared" si="70"/>
        <v>0.04</v>
      </c>
      <c r="DU36" s="400">
        <f>+DU31</f>
        <v>0.04</v>
      </c>
      <c r="DV36" s="591">
        <f t="shared" si="70"/>
        <v>2.1999999999999999E-2</v>
      </c>
      <c r="DW36" s="400">
        <f t="shared" si="70"/>
        <v>0.03</v>
      </c>
      <c r="DX36" s="400">
        <f>+DX31+DX34</f>
        <v>4.8000000000000001E-2</v>
      </c>
      <c r="DY36" s="400">
        <f t="shared" si="70"/>
        <v>0</v>
      </c>
      <c r="DZ36" s="379"/>
      <c r="EA36" s="379"/>
      <c r="EB36" s="379"/>
      <c r="EC36" s="379"/>
      <c r="ED36" s="379"/>
      <c r="EE36" s="379"/>
      <c r="EF36" s="379"/>
      <c r="EG36" s="379"/>
      <c r="EH36" s="379"/>
      <c r="EI36" s="379"/>
      <c r="EJ36" s="379"/>
      <c r="EK36" s="379"/>
      <c r="EL36" s="379"/>
      <c r="EM36" s="400">
        <f>+DO36+DQ36+DS36+DU36+DW36+DY36</f>
        <v>0.125</v>
      </c>
      <c r="EN36" s="561">
        <f>+EN34+EN31</f>
        <v>0.125</v>
      </c>
      <c r="EO36" s="561">
        <f t="shared" ref="EO36:EQ36" si="71">+EO34+EO31</f>
        <v>0.125</v>
      </c>
      <c r="EP36" s="561">
        <f t="shared" si="71"/>
        <v>0.125</v>
      </c>
      <c r="EQ36" s="561">
        <f t="shared" si="71"/>
        <v>0.125</v>
      </c>
      <c r="ER36" s="406">
        <f t="shared" si="8"/>
        <v>1.6</v>
      </c>
      <c r="ES36" s="406">
        <f t="shared" si="9"/>
        <v>1</v>
      </c>
      <c r="ET36" s="406">
        <f t="shared" si="10"/>
        <v>1</v>
      </c>
      <c r="EU36" s="593">
        <f t="shared" si="25"/>
        <v>0.99009900990099009</v>
      </c>
      <c r="EV36" s="406">
        <f t="shared" si="23"/>
        <v>1</v>
      </c>
      <c r="EW36" s="843"/>
      <c r="EX36" s="825"/>
      <c r="EY36" s="825"/>
      <c r="EZ36" s="834"/>
      <c r="FA36" s="837"/>
    </row>
    <row r="37" spans="1:157" s="111" customFormat="1" ht="39" customHeight="1" thickBot="1" x14ac:dyDescent="0.3">
      <c r="A37" s="786"/>
      <c r="B37" s="802"/>
      <c r="C37" s="805"/>
      <c r="D37" s="805"/>
      <c r="E37" s="808"/>
      <c r="F37" s="437" t="s">
        <v>112</v>
      </c>
      <c r="G37" s="197">
        <f>+G32+G35</f>
        <v>1724585399</v>
      </c>
      <c r="H37" s="196">
        <f>+H32+H35</f>
        <v>250000000</v>
      </c>
      <c r="I37" s="196"/>
      <c r="J37" s="196"/>
      <c r="K37" s="196">
        <v>250000000</v>
      </c>
      <c r="L37" s="196">
        <v>0</v>
      </c>
      <c r="M37" s="196">
        <v>250000000</v>
      </c>
      <c r="N37" s="196">
        <f>+N32</f>
        <v>201132000</v>
      </c>
      <c r="O37" s="196">
        <v>250000000</v>
      </c>
      <c r="P37" s="196">
        <f>+P32</f>
        <v>209100000</v>
      </c>
      <c r="Q37" s="196">
        <v>250000000</v>
      </c>
      <c r="R37" s="196">
        <f>+R32</f>
        <v>209100000</v>
      </c>
      <c r="S37" s="196">
        <f>+S32</f>
        <v>250000000</v>
      </c>
      <c r="T37" s="196">
        <f>+T32</f>
        <v>209100000</v>
      </c>
      <c r="U37" s="196">
        <v>250000000</v>
      </c>
      <c r="V37" s="196">
        <v>249161000</v>
      </c>
      <c r="W37" s="196">
        <f>+W32</f>
        <v>250000000</v>
      </c>
      <c r="X37" s="196">
        <f t="shared" si="66"/>
        <v>250000000</v>
      </c>
      <c r="Y37" s="196">
        <f t="shared" si="66"/>
        <v>249161000</v>
      </c>
      <c r="Z37" s="196">
        <f t="shared" si="66"/>
        <v>250000000</v>
      </c>
      <c r="AA37" s="196">
        <f t="shared" si="66"/>
        <v>249161000</v>
      </c>
      <c r="AB37" s="196">
        <f>+AB32+AB35</f>
        <v>451903867</v>
      </c>
      <c r="AC37" s="196">
        <f>+AC32+AC35</f>
        <v>36540000</v>
      </c>
      <c r="AD37" s="196">
        <f>+AD32+AD35</f>
        <v>36540000</v>
      </c>
      <c r="AE37" s="196">
        <f t="shared" si="67"/>
        <v>309296667</v>
      </c>
      <c r="AF37" s="196">
        <f t="shared" si="67"/>
        <v>309296667</v>
      </c>
      <c r="AG37" s="196">
        <f t="shared" si="67"/>
        <v>103533200</v>
      </c>
      <c r="AH37" s="196">
        <f t="shared" si="67"/>
        <v>103533200</v>
      </c>
      <c r="AI37" s="196">
        <f t="shared" si="67"/>
        <v>0</v>
      </c>
      <c r="AJ37" s="196">
        <f t="shared" si="67"/>
        <v>0</v>
      </c>
      <c r="AK37" s="196">
        <f>+AK32+AK35</f>
        <v>0</v>
      </c>
      <c r="AL37" s="196">
        <f>+AL32+AL35</f>
        <v>0</v>
      </c>
      <c r="AM37" s="196">
        <f t="shared" si="67"/>
        <v>0</v>
      </c>
      <c r="AN37" s="196">
        <f t="shared" si="67"/>
        <v>0</v>
      </c>
      <c r="AO37" s="196">
        <f t="shared" si="67"/>
        <v>0</v>
      </c>
      <c r="AP37" s="196">
        <f t="shared" si="67"/>
        <v>0</v>
      </c>
      <c r="AQ37" s="196">
        <f t="shared" si="67"/>
        <v>0</v>
      </c>
      <c r="AR37" s="196">
        <f t="shared" si="67"/>
        <v>0</v>
      </c>
      <c r="AS37" s="196">
        <f>+AS32+AS35</f>
        <v>0</v>
      </c>
      <c r="AT37" s="196">
        <f>+AT32+AT35</f>
        <v>0</v>
      </c>
      <c r="AU37" s="196">
        <f t="shared" si="67"/>
        <v>64657601</v>
      </c>
      <c r="AV37" s="196">
        <f t="shared" si="67"/>
        <v>28510600</v>
      </c>
      <c r="AW37" s="196">
        <f>+AW32+AW35</f>
        <v>29479836</v>
      </c>
      <c r="AX37" s="196">
        <f>+AX32+AX35</f>
        <v>49519100</v>
      </c>
      <c r="AY37" s="196">
        <f t="shared" si="67"/>
        <v>2035600</v>
      </c>
      <c r="AZ37" s="196">
        <f t="shared" si="67"/>
        <v>2035600</v>
      </c>
      <c r="BA37" s="196">
        <f t="shared" si="58"/>
        <v>545542904</v>
      </c>
      <c r="BB37" s="196">
        <f t="shared" si="59"/>
        <v>545542904</v>
      </c>
      <c r="BC37" s="196">
        <f t="shared" si="59"/>
        <v>529435167</v>
      </c>
      <c r="BD37" s="196">
        <f t="shared" si="60"/>
        <v>545542904</v>
      </c>
      <c r="BE37" s="196">
        <f t="shared" si="61"/>
        <v>529435167</v>
      </c>
      <c r="BF37" s="196">
        <f>+BF32+BF35</f>
        <v>416269334</v>
      </c>
      <c r="BG37" s="196">
        <f>+BG32+BG35</f>
        <v>376219966</v>
      </c>
      <c r="BH37" s="196">
        <f t="shared" si="68"/>
        <v>376219966</v>
      </c>
      <c r="BI37" s="196">
        <f t="shared" si="68"/>
        <v>12925368</v>
      </c>
      <c r="BJ37" s="196">
        <f t="shared" si="68"/>
        <v>1783333</v>
      </c>
      <c r="BK37" s="196">
        <f t="shared" si="68"/>
        <v>0</v>
      </c>
      <c r="BL37" s="196">
        <f t="shared" si="68"/>
        <v>2449700</v>
      </c>
      <c r="BM37" s="196">
        <f t="shared" si="68"/>
        <v>0</v>
      </c>
      <c r="BN37" s="196">
        <f t="shared" si="68"/>
        <v>1569333</v>
      </c>
      <c r="BO37" s="196">
        <f t="shared" si="68"/>
        <v>0</v>
      </c>
      <c r="BP37" s="196">
        <f t="shared" si="68"/>
        <v>7123000</v>
      </c>
      <c r="BQ37" s="196">
        <f t="shared" si="68"/>
        <v>0</v>
      </c>
      <c r="BR37" s="196">
        <f t="shared" si="68"/>
        <v>0</v>
      </c>
      <c r="BS37" s="196">
        <f t="shared" si="68"/>
        <v>-2</v>
      </c>
      <c r="BT37" s="196">
        <f t="shared" si="68"/>
        <v>0</v>
      </c>
      <c r="BU37" s="196">
        <f t="shared" si="68"/>
        <v>0</v>
      </c>
      <c r="BV37" s="196">
        <f t="shared" si="68"/>
        <v>0</v>
      </c>
      <c r="BW37" s="196">
        <f t="shared" si="68"/>
        <v>-345467</v>
      </c>
      <c r="BX37" s="196">
        <f t="shared" si="68"/>
        <v>7424667</v>
      </c>
      <c r="BY37" s="196">
        <f t="shared" si="68"/>
        <v>38459234</v>
      </c>
      <c r="BZ37" s="196">
        <f t="shared" si="68"/>
        <v>18504933</v>
      </c>
      <c r="CA37" s="196">
        <f t="shared" si="68"/>
        <v>27124000</v>
      </c>
      <c r="CB37" s="196">
        <f t="shared" si="68"/>
        <v>24128167</v>
      </c>
      <c r="CC37" s="196">
        <f t="shared" si="68"/>
        <v>0</v>
      </c>
      <c r="CD37" s="196">
        <f t="shared" si="68"/>
        <v>15180000</v>
      </c>
      <c r="CE37" s="196">
        <f t="shared" si="68"/>
        <v>454383099</v>
      </c>
      <c r="CF37" s="196">
        <f t="shared" si="62"/>
        <v>454383099</v>
      </c>
      <c r="CG37" s="196">
        <f t="shared" si="68"/>
        <v>454383099</v>
      </c>
      <c r="CH37" s="196">
        <f t="shared" si="68"/>
        <v>454383099</v>
      </c>
      <c r="CI37" s="196">
        <f t="shared" si="68"/>
        <v>454383099</v>
      </c>
      <c r="CJ37" s="197">
        <f>+CJ32+CJ35</f>
        <v>254543500</v>
      </c>
      <c r="CK37" s="197">
        <f t="shared" si="69"/>
        <v>12641000</v>
      </c>
      <c r="CL37" s="197">
        <f t="shared" si="69"/>
        <v>12641000</v>
      </c>
      <c r="CM37" s="197">
        <f t="shared" si="69"/>
        <v>104533500</v>
      </c>
      <c r="CN37" s="197">
        <f t="shared" si="69"/>
        <v>104533500</v>
      </c>
      <c r="CO37" s="197">
        <f t="shared" si="69"/>
        <v>93029000</v>
      </c>
      <c r="CP37" s="197">
        <f t="shared" si="69"/>
        <v>93029000</v>
      </c>
      <c r="CQ37" s="197">
        <f t="shared" si="69"/>
        <v>26780000</v>
      </c>
      <c r="CR37" s="197">
        <f t="shared" si="69"/>
        <v>0</v>
      </c>
      <c r="CS37" s="197">
        <f t="shared" si="69"/>
        <v>0</v>
      </c>
      <c r="CT37" s="197">
        <f t="shared" si="69"/>
        <v>0</v>
      </c>
      <c r="CU37" s="197">
        <f t="shared" si="69"/>
        <v>0</v>
      </c>
      <c r="CV37" s="197">
        <f t="shared" si="69"/>
        <v>0</v>
      </c>
      <c r="CW37" s="197">
        <f t="shared" si="69"/>
        <v>0</v>
      </c>
      <c r="CX37" s="197">
        <f t="shared" si="69"/>
        <v>12186000</v>
      </c>
      <c r="CY37" s="197">
        <f t="shared" si="69"/>
        <v>0</v>
      </c>
      <c r="CZ37" s="197">
        <f t="shared" si="69"/>
        <v>0</v>
      </c>
      <c r="DA37" s="197">
        <f t="shared" si="69"/>
        <v>0</v>
      </c>
      <c r="DB37" s="197">
        <f t="shared" si="69"/>
        <v>0</v>
      </c>
      <c r="DC37" s="197">
        <f t="shared" si="69"/>
        <v>-14594000</v>
      </c>
      <c r="DD37" s="197">
        <f t="shared" si="69"/>
        <v>0</v>
      </c>
      <c r="DE37" s="197">
        <f t="shared" si="69"/>
        <v>0</v>
      </c>
      <c r="DF37" s="197">
        <f t="shared" si="69"/>
        <v>0</v>
      </c>
      <c r="DG37" s="197">
        <f t="shared" si="69"/>
        <v>0</v>
      </c>
      <c r="DH37" s="202">
        <f t="shared" si="69"/>
        <v>0</v>
      </c>
      <c r="DI37" s="197">
        <f t="shared" si="6"/>
        <v>222389500</v>
      </c>
      <c r="DJ37" s="197">
        <f t="shared" si="7"/>
        <v>222389500</v>
      </c>
      <c r="DK37" s="197">
        <f>+DK32++DK35</f>
        <v>222389500</v>
      </c>
      <c r="DL37" s="197">
        <f>+DL32++DL35</f>
        <v>222389500</v>
      </c>
      <c r="DM37" s="197">
        <f>+DM32++DM35</f>
        <v>222389500</v>
      </c>
      <c r="DN37" s="438">
        <f>+DN32</f>
        <v>259248000</v>
      </c>
      <c r="DO37" s="438">
        <f>+DO32+DO35</f>
        <v>32724233</v>
      </c>
      <c r="DP37" s="438">
        <f>+DP32+DP35</f>
        <v>9156233</v>
      </c>
      <c r="DQ37" s="438">
        <f>+DQ32+DQ35</f>
        <v>812400</v>
      </c>
      <c r="DR37" s="438">
        <f t="shared" ref="DR37:DZ37" si="72">+DR32+DR35</f>
        <v>37170000</v>
      </c>
      <c r="DS37" s="438">
        <f t="shared" si="72"/>
        <v>0</v>
      </c>
      <c r="DT37" s="438">
        <f t="shared" si="72"/>
        <v>24040000</v>
      </c>
      <c r="DU37" s="438">
        <f t="shared" si="72"/>
        <v>0</v>
      </c>
      <c r="DV37" s="438">
        <f t="shared" si="72"/>
        <v>0</v>
      </c>
      <c r="DW37" s="438">
        <f t="shared" si="72"/>
        <v>0</v>
      </c>
      <c r="DX37" s="438">
        <f t="shared" si="72"/>
        <v>44049400</v>
      </c>
      <c r="DY37" s="438">
        <f t="shared" si="72"/>
        <v>235680000</v>
      </c>
      <c r="DZ37" s="438">
        <f t="shared" si="72"/>
        <v>0</v>
      </c>
      <c r="EA37" s="438">
        <f>+EA32+EA35</f>
        <v>0</v>
      </c>
      <c r="EB37" s="438"/>
      <c r="EC37" s="438"/>
      <c r="ED37" s="438"/>
      <c r="EE37" s="438"/>
      <c r="EF37" s="438"/>
      <c r="EG37" s="438"/>
      <c r="EH37" s="438"/>
      <c r="EI37" s="438"/>
      <c r="EJ37" s="438"/>
      <c r="EK37" s="438"/>
      <c r="EL37" s="438"/>
      <c r="EM37" s="438">
        <f>SUM(DO37:EA37)</f>
        <v>383632266</v>
      </c>
      <c r="EN37" s="438">
        <f>+EN32+EN35</f>
        <v>33536633</v>
      </c>
      <c r="EO37" s="438">
        <f t="shared" ref="EO37:EQ37" si="73">+EO32+EO35</f>
        <v>114415633</v>
      </c>
      <c r="EP37" s="438">
        <f t="shared" si="73"/>
        <v>269216633</v>
      </c>
      <c r="EQ37" s="438">
        <f t="shared" si="73"/>
        <v>114415633</v>
      </c>
      <c r="ER37" s="592">
        <f>IFERROR(DX37/DW37,0)</f>
        <v>0</v>
      </c>
      <c r="ES37" s="273">
        <f>+EO37/EN37</f>
        <v>3.4116613018367108</v>
      </c>
      <c r="ET37" s="273">
        <f t="shared" si="10"/>
        <v>0.42499466591278556</v>
      </c>
      <c r="EU37" s="273">
        <f>(AA37+BE37+CI37+DM37+EO37)/(Z37+BD37+CH37+DL37+EN37)</f>
        <v>1.0424558703152778</v>
      </c>
      <c r="EV37" s="274">
        <f>+(AA37+BE37+CI37+DM37+EQ37)/G37</f>
        <v>0.91023871587353034</v>
      </c>
      <c r="EW37" s="844"/>
      <c r="EX37" s="826"/>
      <c r="EY37" s="826"/>
      <c r="EZ37" s="835"/>
      <c r="FA37" s="838"/>
    </row>
    <row r="38" spans="1:157" s="110" customFormat="1" ht="24.75" customHeight="1" thickBot="1" x14ac:dyDescent="0.3">
      <c r="A38" s="791" t="s">
        <v>116</v>
      </c>
      <c r="B38" s="792"/>
      <c r="C38" s="792"/>
      <c r="D38" s="792"/>
      <c r="E38" s="793"/>
      <c r="F38" s="447" t="s">
        <v>117</v>
      </c>
      <c r="G38" s="276">
        <f>+G11+G18+G25+G32</f>
        <v>26731335135</v>
      </c>
      <c r="H38" s="276">
        <f t="shared" ref="H38:BS38" si="74">+H11+H18+H25+H32</f>
        <v>2410000000</v>
      </c>
      <c r="I38" s="276">
        <f t="shared" si="74"/>
        <v>0</v>
      </c>
      <c r="J38" s="276">
        <f t="shared" si="74"/>
        <v>0</v>
      </c>
      <c r="K38" s="276">
        <f t="shared" si="74"/>
        <v>2410000000</v>
      </c>
      <c r="L38" s="276">
        <f t="shared" si="74"/>
        <v>430855000</v>
      </c>
      <c r="M38" s="276">
        <f t="shared" si="74"/>
        <v>2410000000</v>
      </c>
      <c r="N38" s="276">
        <f t="shared" si="74"/>
        <v>1967968000</v>
      </c>
      <c r="O38" s="276">
        <f t="shared" si="74"/>
        <v>2410000000</v>
      </c>
      <c r="P38" s="276">
        <f t="shared" si="74"/>
        <v>1988602000</v>
      </c>
      <c r="Q38" s="276">
        <f t="shared" si="74"/>
        <v>2410000000</v>
      </c>
      <c r="R38" s="276">
        <f t="shared" si="74"/>
        <v>1988602000</v>
      </c>
      <c r="S38" s="276">
        <f t="shared" si="74"/>
        <v>2410000000</v>
      </c>
      <c r="T38" s="276">
        <f t="shared" si="74"/>
        <v>2178974000</v>
      </c>
      <c r="U38" s="276">
        <f t="shared" si="74"/>
        <v>2410000000</v>
      </c>
      <c r="V38" s="276">
        <f t="shared" si="74"/>
        <v>2398540480</v>
      </c>
      <c r="W38" s="276">
        <f t="shared" si="74"/>
        <v>2410000000</v>
      </c>
      <c r="X38" s="276">
        <f t="shared" si="74"/>
        <v>2410000000</v>
      </c>
      <c r="Y38" s="276">
        <f t="shared" si="74"/>
        <v>2398540480</v>
      </c>
      <c r="Z38" s="276">
        <f>+Z11+Z18+Z25+Z32</f>
        <v>2410000000</v>
      </c>
      <c r="AA38" s="276">
        <f t="shared" si="74"/>
        <v>2398540480</v>
      </c>
      <c r="AB38" s="276">
        <f t="shared" si="74"/>
        <v>4564236000</v>
      </c>
      <c r="AC38" s="276">
        <f t="shared" si="74"/>
        <v>0</v>
      </c>
      <c r="AD38" s="276">
        <f t="shared" si="74"/>
        <v>0</v>
      </c>
      <c r="AE38" s="276">
        <f t="shared" si="74"/>
        <v>2641756000</v>
      </c>
      <c r="AF38" s="276">
        <f t="shared" si="74"/>
        <v>2641756000</v>
      </c>
      <c r="AG38" s="276">
        <f t="shared" si="74"/>
        <v>963878000</v>
      </c>
      <c r="AH38" s="276">
        <f t="shared" si="74"/>
        <v>963878000</v>
      </c>
      <c r="AI38" s="276">
        <f t="shared" si="74"/>
        <v>179072000</v>
      </c>
      <c r="AJ38" s="276">
        <f t="shared" si="74"/>
        <v>179072000</v>
      </c>
      <c r="AK38" s="276">
        <f t="shared" si="74"/>
        <v>24066000</v>
      </c>
      <c r="AL38" s="276">
        <f t="shared" si="74"/>
        <v>24066000</v>
      </c>
      <c r="AM38" s="276">
        <f t="shared" si="74"/>
        <v>333770000</v>
      </c>
      <c r="AN38" s="276">
        <f t="shared" si="74"/>
        <v>277938000</v>
      </c>
      <c r="AO38" s="276">
        <f t="shared" si="74"/>
        <v>13500000</v>
      </c>
      <c r="AP38" s="276">
        <f t="shared" si="74"/>
        <v>3025600</v>
      </c>
      <c r="AQ38" s="276">
        <f t="shared" si="74"/>
        <v>13752000</v>
      </c>
      <c r="AR38" s="276">
        <f t="shared" si="74"/>
        <v>13752000</v>
      </c>
      <c r="AS38" s="276">
        <f t="shared" si="74"/>
        <v>471965633</v>
      </c>
      <c r="AT38" s="276">
        <f t="shared" si="74"/>
        <v>274630133</v>
      </c>
      <c r="AU38" s="276">
        <f t="shared" si="74"/>
        <v>113586101</v>
      </c>
      <c r="AV38" s="276">
        <f t="shared" si="74"/>
        <v>102055100</v>
      </c>
      <c r="AW38" s="276">
        <f t="shared" si="74"/>
        <v>36920836</v>
      </c>
      <c r="AX38" s="276">
        <f t="shared" si="74"/>
        <v>109417100</v>
      </c>
      <c r="AY38" s="276">
        <f t="shared" si="74"/>
        <v>85530567</v>
      </c>
      <c r="AZ38" s="276">
        <f t="shared" si="74"/>
        <v>80444133</v>
      </c>
      <c r="BA38" s="276">
        <f t="shared" si="74"/>
        <v>4877797137</v>
      </c>
      <c r="BB38" s="276">
        <f t="shared" si="74"/>
        <v>4877797137</v>
      </c>
      <c r="BC38" s="276">
        <f t="shared" si="74"/>
        <v>4670034066</v>
      </c>
      <c r="BD38" s="276">
        <f t="shared" si="74"/>
        <v>4877797137</v>
      </c>
      <c r="BE38" s="276">
        <f t="shared" si="74"/>
        <v>4670034066</v>
      </c>
      <c r="BF38" s="276">
        <f t="shared" si="74"/>
        <v>6265502000</v>
      </c>
      <c r="BG38" s="276">
        <f t="shared" si="74"/>
        <v>5977658000</v>
      </c>
      <c r="BH38" s="276">
        <f t="shared" si="74"/>
        <v>5977658000</v>
      </c>
      <c r="BI38" s="276">
        <f t="shared" si="74"/>
        <v>8000000</v>
      </c>
      <c r="BJ38" s="276">
        <f t="shared" si="74"/>
        <v>0</v>
      </c>
      <c r="BK38" s="276">
        <f t="shared" si="74"/>
        <v>26862000</v>
      </c>
      <c r="BL38" s="276">
        <f t="shared" si="74"/>
        <v>0</v>
      </c>
      <c r="BM38" s="276">
        <f t="shared" si="74"/>
        <v>31304000</v>
      </c>
      <c r="BN38" s="276">
        <f t="shared" si="74"/>
        <v>27504000</v>
      </c>
      <c r="BO38" s="276">
        <f t="shared" si="74"/>
        <v>27391000</v>
      </c>
      <c r="BP38" s="276">
        <f t="shared" si="74"/>
        <v>0</v>
      </c>
      <c r="BQ38" s="276">
        <f t="shared" si="74"/>
        <v>0</v>
      </c>
      <c r="BR38" s="276">
        <f t="shared" si="74"/>
        <v>0</v>
      </c>
      <c r="BS38" s="276">
        <f t="shared" si="74"/>
        <v>0</v>
      </c>
      <c r="BT38" s="276">
        <f t="shared" ref="BT38:DM38" si="75">+BT11+BT18+BT25+BT32</f>
        <v>0</v>
      </c>
      <c r="BU38" s="276">
        <f t="shared" si="75"/>
        <v>0</v>
      </c>
      <c r="BV38" s="276">
        <f t="shared" si="75"/>
        <v>73919000</v>
      </c>
      <c r="BW38" s="276">
        <f t="shared" si="75"/>
        <v>-41477267</v>
      </c>
      <c r="BX38" s="276">
        <f t="shared" si="75"/>
        <v>-33707133</v>
      </c>
      <c r="BY38" s="276">
        <f t="shared" si="75"/>
        <v>135519200</v>
      </c>
      <c r="BZ38" s="276">
        <f t="shared" si="75"/>
        <v>98949899</v>
      </c>
      <c r="CA38" s="276">
        <f t="shared" si="75"/>
        <v>580083675</v>
      </c>
      <c r="CB38" s="276">
        <f t="shared" si="75"/>
        <v>530595070</v>
      </c>
      <c r="CC38" s="276">
        <f t="shared" si="75"/>
        <v>409720226</v>
      </c>
      <c r="CD38" s="276">
        <f t="shared" si="75"/>
        <v>432574599</v>
      </c>
      <c r="CE38" s="276">
        <f t="shared" si="75"/>
        <v>7155060834</v>
      </c>
      <c r="CF38" s="276">
        <f t="shared" si="75"/>
        <v>7155060834</v>
      </c>
      <c r="CG38" s="276">
        <f t="shared" si="75"/>
        <v>7107493435</v>
      </c>
      <c r="CH38" s="276">
        <f t="shared" si="75"/>
        <v>7155060834</v>
      </c>
      <c r="CI38" s="276">
        <f t="shared" si="75"/>
        <v>7107493435</v>
      </c>
      <c r="CJ38" s="277">
        <f t="shared" si="75"/>
        <v>4914337000</v>
      </c>
      <c r="CK38" s="277">
        <f t="shared" si="75"/>
        <v>840000000</v>
      </c>
      <c r="CL38" s="277">
        <f t="shared" si="75"/>
        <v>840000000</v>
      </c>
      <c r="CM38" s="277">
        <f t="shared" si="75"/>
        <v>203846500</v>
      </c>
      <c r="CN38" s="277">
        <f t="shared" si="75"/>
        <v>203846500</v>
      </c>
      <c r="CO38" s="277">
        <f t="shared" si="75"/>
        <v>3309319500</v>
      </c>
      <c r="CP38" s="277">
        <f t="shared" si="75"/>
        <v>3309319500</v>
      </c>
      <c r="CQ38" s="277">
        <f t="shared" si="75"/>
        <v>347625333</v>
      </c>
      <c r="CR38" s="277">
        <f t="shared" si="75"/>
        <v>284157333</v>
      </c>
      <c r="CS38" s="277">
        <f t="shared" si="75"/>
        <v>38000000</v>
      </c>
      <c r="CT38" s="277">
        <f t="shared" si="75"/>
        <v>0</v>
      </c>
      <c r="CU38" s="277">
        <f t="shared" si="75"/>
        <v>0</v>
      </c>
      <c r="CV38" s="277">
        <f t="shared" si="75"/>
        <v>0</v>
      </c>
      <c r="CW38" s="277">
        <f t="shared" si="75"/>
        <v>0</v>
      </c>
      <c r="CX38" s="277">
        <f t="shared" si="75"/>
        <v>12186000</v>
      </c>
      <c r="CY38" s="278">
        <f t="shared" si="75"/>
        <v>14172000</v>
      </c>
      <c r="CZ38" s="278">
        <f t="shared" si="75"/>
        <v>8000000</v>
      </c>
      <c r="DA38" s="278">
        <f t="shared" si="75"/>
        <v>0</v>
      </c>
      <c r="DB38" s="278">
        <f t="shared" si="75"/>
        <v>0</v>
      </c>
      <c r="DC38" s="278">
        <f t="shared" si="75"/>
        <v>-14594000</v>
      </c>
      <c r="DD38" s="278">
        <f t="shared" si="75"/>
        <v>-17759000</v>
      </c>
      <c r="DE38" s="278">
        <f t="shared" si="75"/>
        <v>0</v>
      </c>
      <c r="DF38" s="278">
        <f t="shared" si="75"/>
        <v>37155601</v>
      </c>
      <c r="DG38" s="278">
        <f t="shared" si="75"/>
        <v>247523947</v>
      </c>
      <c r="DH38" s="279">
        <f t="shared" si="75"/>
        <v>308739220</v>
      </c>
      <c r="DI38" s="278">
        <f t="shared" si="6"/>
        <v>4985893280</v>
      </c>
      <c r="DJ38" s="278">
        <f t="shared" si="7"/>
        <v>4738369333</v>
      </c>
      <c r="DK38" s="278">
        <f t="shared" si="75"/>
        <v>4985645154</v>
      </c>
      <c r="DL38" s="278">
        <f t="shared" si="75"/>
        <v>4985893280</v>
      </c>
      <c r="DM38" s="278">
        <f t="shared" si="75"/>
        <v>4985645154</v>
      </c>
      <c r="DN38" s="280">
        <f>+DN11+DN18+DN25+DN32</f>
        <v>7569622000</v>
      </c>
      <c r="DO38" s="280">
        <f t="shared" ref="DO38:EK38" si="76">+DO11+DO18+DO25+DO32</f>
        <v>721295000</v>
      </c>
      <c r="DP38" s="280">
        <f>+DP11+DP18+DP25+DP32</f>
        <v>346990000</v>
      </c>
      <c r="DQ38" s="280">
        <f>+DQ11+DQ18+DQ25+DQ32</f>
        <v>56363000</v>
      </c>
      <c r="DR38" s="280">
        <f t="shared" si="76"/>
        <v>1043193000</v>
      </c>
      <c r="DS38" s="280">
        <f t="shared" si="76"/>
        <v>151259000</v>
      </c>
      <c r="DT38" s="280">
        <f t="shared" si="76"/>
        <v>510722000</v>
      </c>
      <c r="DU38" s="280">
        <f t="shared" si="76"/>
        <v>663398000</v>
      </c>
      <c r="DV38" s="280">
        <f t="shared" si="76"/>
        <v>797736000</v>
      </c>
      <c r="DW38" s="280">
        <f t="shared" si="76"/>
        <v>793000000</v>
      </c>
      <c r="DX38" s="280">
        <f>+DX11+DX18+DX25+DX32</f>
        <v>481332073</v>
      </c>
      <c r="DY38" s="280">
        <f>+DY11+DY18+DY25+DY32</f>
        <v>5184307000</v>
      </c>
      <c r="DZ38" s="280">
        <f t="shared" ref="DZ38:EA38" si="77">+DZ11+DZ18+DZ25+DZ32</f>
        <v>0</v>
      </c>
      <c r="EA38" s="280">
        <f t="shared" si="77"/>
        <v>0</v>
      </c>
      <c r="EB38" s="280">
        <f t="shared" si="76"/>
        <v>0</v>
      </c>
      <c r="EC38" s="280">
        <f t="shared" si="76"/>
        <v>0</v>
      </c>
      <c r="ED38" s="280">
        <f t="shared" si="76"/>
        <v>0</v>
      </c>
      <c r="EE38" s="280">
        <f t="shared" si="76"/>
        <v>0</v>
      </c>
      <c r="EF38" s="280">
        <f t="shared" si="76"/>
        <v>0</v>
      </c>
      <c r="EG38" s="280">
        <f t="shared" si="76"/>
        <v>0</v>
      </c>
      <c r="EH38" s="280">
        <f t="shared" si="76"/>
        <v>0</v>
      </c>
      <c r="EI38" s="280">
        <f t="shared" si="76"/>
        <v>0</v>
      </c>
      <c r="EJ38" s="280">
        <f t="shared" si="76"/>
        <v>0</v>
      </c>
      <c r="EK38" s="280">
        <f t="shared" si="76"/>
        <v>0</v>
      </c>
      <c r="EL38" s="281"/>
      <c r="EM38" s="282">
        <f>+EM11+EM18+EM25+EM32</f>
        <v>7569622000</v>
      </c>
      <c r="EN38" s="283">
        <f t="shared" ref="EN38:EO38" si="78">+EN11+EN18+EN25+EN32</f>
        <v>1592315000</v>
      </c>
      <c r="EO38" s="283">
        <f t="shared" si="78"/>
        <v>3179973073</v>
      </c>
      <c r="EP38" s="283">
        <f>+EP11+EP18+EP25+EP32</f>
        <v>7569622000</v>
      </c>
      <c r="EQ38" s="282">
        <f>+EQ11+EQ18+EQ25+EQ32</f>
        <v>3179973073</v>
      </c>
      <c r="ER38" s="812"/>
      <c r="ES38" s="813"/>
      <c r="ET38" s="813"/>
      <c r="EU38" s="813"/>
      <c r="EV38" s="813"/>
      <c r="EW38" s="813"/>
      <c r="EX38" s="813"/>
      <c r="EY38" s="813"/>
      <c r="EZ38" s="813"/>
      <c r="FA38" s="814"/>
    </row>
    <row r="39" spans="1:157" s="110" customFormat="1" ht="24.75" customHeight="1" thickBot="1" x14ac:dyDescent="0.3">
      <c r="A39" s="794"/>
      <c r="B39" s="795"/>
      <c r="C39" s="795"/>
      <c r="D39" s="795"/>
      <c r="E39" s="796"/>
      <c r="F39" s="434" t="s">
        <v>118</v>
      </c>
      <c r="G39" s="276">
        <f>+G14+G21+G28+G35</f>
        <v>2894721361</v>
      </c>
      <c r="H39" s="276">
        <f t="shared" ref="H39:BS39" si="79">+H14+H21+H28+H35</f>
        <v>0</v>
      </c>
      <c r="I39" s="276">
        <f t="shared" si="79"/>
        <v>0</v>
      </c>
      <c r="J39" s="276">
        <f t="shared" si="79"/>
        <v>0</v>
      </c>
      <c r="K39" s="276">
        <f t="shared" si="79"/>
        <v>0</v>
      </c>
      <c r="L39" s="276">
        <f t="shared" si="79"/>
        <v>0</v>
      </c>
      <c r="M39" s="276">
        <f t="shared" si="79"/>
        <v>0</v>
      </c>
      <c r="N39" s="276">
        <f t="shared" si="79"/>
        <v>0</v>
      </c>
      <c r="O39" s="276">
        <f t="shared" si="79"/>
        <v>0</v>
      </c>
      <c r="P39" s="276">
        <f t="shared" si="79"/>
        <v>0</v>
      </c>
      <c r="Q39" s="276">
        <f t="shared" si="79"/>
        <v>0</v>
      </c>
      <c r="R39" s="276">
        <f t="shared" si="79"/>
        <v>0</v>
      </c>
      <c r="S39" s="276">
        <f t="shared" si="79"/>
        <v>0</v>
      </c>
      <c r="T39" s="276">
        <f t="shared" si="79"/>
        <v>0</v>
      </c>
      <c r="U39" s="276">
        <f t="shared" si="79"/>
        <v>0</v>
      </c>
      <c r="V39" s="276">
        <f t="shared" si="79"/>
        <v>0</v>
      </c>
      <c r="W39" s="276">
        <f t="shared" si="79"/>
        <v>0</v>
      </c>
      <c r="X39" s="276">
        <f t="shared" si="79"/>
        <v>0</v>
      </c>
      <c r="Y39" s="276">
        <f t="shared" si="79"/>
        <v>0</v>
      </c>
      <c r="Z39" s="276">
        <f t="shared" si="79"/>
        <v>0</v>
      </c>
      <c r="AA39" s="276">
        <f t="shared" si="79"/>
        <v>0</v>
      </c>
      <c r="AB39" s="276">
        <f t="shared" si="79"/>
        <v>724017139</v>
      </c>
      <c r="AC39" s="276">
        <f t="shared" si="79"/>
        <v>287863134</v>
      </c>
      <c r="AD39" s="276">
        <f t="shared" si="79"/>
        <v>287863134</v>
      </c>
      <c r="AE39" s="276">
        <f t="shared" si="79"/>
        <v>237472966</v>
      </c>
      <c r="AF39" s="276">
        <f t="shared" si="79"/>
        <v>237472966</v>
      </c>
      <c r="AG39" s="276">
        <f t="shared" si="79"/>
        <v>118740567</v>
      </c>
      <c r="AH39" s="276">
        <f t="shared" si="79"/>
        <v>118740567</v>
      </c>
      <c r="AI39" s="276">
        <f t="shared" si="79"/>
        <v>32518933</v>
      </c>
      <c r="AJ39" s="276">
        <f t="shared" si="79"/>
        <v>32518933</v>
      </c>
      <c r="AK39" s="276">
        <f t="shared" si="79"/>
        <v>16944400</v>
      </c>
      <c r="AL39" s="276">
        <f t="shared" si="79"/>
        <v>16944400</v>
      </c>
      <c r="AM39" s="276">
        <f t="shared" si="79"/>
        <v>23597497</v>
      </c>
      <c r="AN39" s="276">
        <f t="shared" si="79"/>
        <v>18880530</v>
      </c>
      <c r="AO39" s="276">
        <f t="shared" si="79"/>
        <v>2685600</v>
      </c>
      <c r="AP39" s="276">
        <f t="shared" si="79"/>
        <v>1902300</v>
      </c>
      <c r="AQ39" s="276">
        <f t="shared" si="79"/>
        <v>0</v>
      </c>
      <c r="AR39" s="276">
        <f t="shared" si="79"/>
        <v>2814667</v>
      </c>
      <c r="AS39" s="276">
        <f t="shared" si="79"/>
        <v>0</v>
      </c>
      <c r="AT39" s="276">
        <f t="shared" si="79"/>
        <v>2685600</v>
      </c>
      <c r="AU39" s="276">
        <f t="shared" si="79"/>
        <v>0</v>
      </c>
      <c r="AV39" s="276">
        <f t="shared" si="79"/>
        <v>0</v>
      </c>
      <c r="AW39" s="276">
        <f t="shared" si="79"/>
        <v>0</v>
      </c>
      <c r="AX39" s="276">
        <f t="shared" si="79"/>
        <v>0</v>
      </c>
      <c r="AY39" s="276">
        <f t="shared" si="79"/>
        <v>0</v>
      </c>
      <c r="AZ39" s="276">
        <f t="shared" si="79"/>
        <v>0</v>
      </c>
      <c r="BA39" s="276">
        <f t="shared" si="79"/>
        <v>719823097</v>
      </c>
      <c r="BB39" s="276">
        <f t="shared" si="79"/>
        <v>719823097</v>
      </c>
      <c r="BC39" s="276">
        <f t="shared" si="79"/>
        <v>719823097</v>
      </c>
      <c r="BD39" s="276">
        <f t="shared" si="79"/>
        <v>719823097</v>
      </c>
      <c r="BE39" s="276">
        <f t="shared" si="79"/>
        <v>719823097</v>
      </c>
      <c r="BF39" s="276">
        <f t="shared" si="79"/>
        <v>622591480</v>
      </c>
      <c r="BG39" s="276">
        <f t="shared" si="79"/>
        <v>247267331</v>
      </c>
      <c r="BH39" s="276">
        <f t="shared" si="79"/>
        <v>247267331</v>
      </c>
      <c r="BI39" s="276">
        <f t="shared" si="79"/>
        <v>243025368</v>
      </c>
      <c r="BJ39" s="276">
        <f t="shared" si="79"/>
        <v>202589667</v>
      </c>
      <c r="BK39" s="276">
        <f t="shared" si="79"/>
        <v>132298781</v>
      </c>
      <c r="BL39" s="276">
        <f t="shared" si="79"/>
        <v>43808449</v>
      </c>
      <c r="BM39" s="276">
        <f t="shared" si="79"/>
        <v>-25846000</v>
      </c>
      <c r="BN39" s="276">
        <f t="shared" si="79"/>
        <v>21318866</v>
      </c>
      <c r="BO39" s="276">
        <f t="shared" si="79"/>
        <v>-9956000</v>
      </c>
      <c r="BP39" s="276">
        <f t="shared" si="79"/>
        <v>20922999</v>
      </c>
      <c r="BQ39" s="276">
        <f t="shared" si="79"/>
        <v>-5370400</v>
      </c>
      <c r="BR39" s="276">
        <f t="shared" si="79"/>
        <v>2301600</v>
      </c>
      <c r="BS39" s="276">
        <f t="shared" si="79"/>
        <v>-2</v>
      </c>
      <c r="BT39" s="276">
        <f t="shared" ref="BT39:DM39" si="80">+BT14+BT21+BT28+BT35</f>
        <v>6726200</v>
      </c>
      <c r="BU39" s="276">
        <f t="shared" si="80"/>
        <v>0</v>
      </c>
      <c r="BV39" s="276">
        <f t="shared" si="80"/>
        <v>8213700</v>
      </c>
      <c r="BW39" s="276">
        <f t="shared" si="80"/>
        <v>0</v>
      </c>
      <c r="BX39" s="276">
        <f t="shared" si="80"/>
        <v>2940933</v>
      </c>
      <c r="BY39" s="276">
        <f t="shared" si="80"/>
        <v>0</v>
      </c>
      <c r="BZ39" s="276">
        <f t="shared" si="80"/>
        <v>0</v>
      </c>
      <c r="CA39" s="276">
        <f t="shared" si="80"/>
        <v>0</v>
      </c>
      <c r="CB39" s="276">
        <f t="shared" si="80"/>
        <v>0</v>
      </c>
      <c r="CC39" s="276">
        <f t="shared" si="80"/>
        <v>0</v>
      </c>
      <c r="CD39" s="276">
        <f t="shared" si="80"/>
        <v>0</v>
      </c>
      <c r="CE39" s="276">
        <f t="shared" si="80"/>
        <v>581419078</v>
      </c>
      <c r="CF39" s="276">
        <f t="shared" si="80"/>
        <v>581419078</v>
      </c>
      <c r="CG39" s="276">
        <f t="shared" si="80"/>
        <v>556089745</v>
      </c>
      <c r="CH39" s="276">
        <f t="shared" si="80"/>
        <v>581419078</v>
      </c>
      <c r="CI39" s="276">
        <f t="shared" si="80"/>
        <v>556089745</v>
      </c>
      <c r="CJ39" s="277">
        <f t="shared" si="80"/>
        <v>1083606189</v>
      </c>
      <c r="CK39" s="277">
        <f t="shared" si="80"/>
        <v>200068434</v>
      </c>
      <c r="CL39" s="277">
        <f t="shared" si="80"/>
        <v>200068434</v>
      </c>
      <c r="CM39" s="277">
        <f t="shared" si="80"/>
        <v>360201502</v>
      </c>
      <c r="CN39" s="277">
        <f t="shared" si="80"/>
        <v>360201502</v>
      </c>
      <c r="CO39" s="277">
        <f t="shared" si="80"/>
        <v>178610790</v>
      </c>
      <c r="CP39" s="277">
        <f t="shared" si="80"/>
        <v>178610790</v>
      </c>
      <c r="CQ39" s="277">
        <f t="shared" si="80"/>
        <v>180350365</v>
      </c>
      <c r="CR39" s="277">
        <f t="shared" si="80"/>
        <v>184397166</v>
      </c>
      <c r="CS39" s="277">
        <f>+CS14+CS21+CS28+CS35</f>
        <v>53415632</v>
      </c>
      <c r="CT39" s="277">
        <f t="shared" si="80"/>
        <v>47441721</v>
      </c>
      <c r="CU39" s="277">
        <f t="shared" si="80"/>
        <v>37623467</v>
      </c>
      <c r="CV39" s="277">
        <f t="shared" si="80"/>
        <v>7046772</v>
      </c>
      <c r="CW39" s="277">
        <f t="shared" si="80"/>
        <v>41663322</v>
      </c>
      <c r="CX39" s="277">
        <f t="shared" si="80"/>
        <v>23696967</v>
      </c>
      <c r="CY39" s="278">
        <f t="shared" si="80"/>
        <v>0</v>
      </c>
      <c r="CZ39" s="278">
        <f t="shared" si="80"/>
        <v>13234671</v>
      </c>
      <c r="DA39" s="278">
        <f t="shared" si="80"/>
        <v>0</v>
      </c>
      <c r="DB39" s="278">
        <f t="shared" si="80"/>
        <v>2057533</v>
      </c>
      <c r="DC39" s="278">
        <f t="shared" si="80"/>
        <v>31672677</v>
      </c>
      <c r="DD39" s="278">
        <f t="shared" si="80"/>
        <v>0</v>
      </c>
      <c r="DE39" s="278">
        <f t="shared" si="80"/>
        <v>0</v>
      </c>
      <c r="DF39" s="278">
        <f t="shared" si="80"/>
        <v>2351467</v>
      </c>
      <c r="DG39" s="278">
        <f t="shared" si="80"/>
        <v>-37770433</v>
      </c>
      <c r="DH39" s="279">
        <f t="shared" si="80"/>
        <v>1910567</v>
      </c>
      <c r="DI39" s="278">
        <f t="shared" si="6"/>
        <v>1045835756</v>
      </c>
      <c r="DJ39" s="278">
        <f t="shared" si="7"/>
        <v>1083606189</v>
      </c>
      <c r="DK39" s="278">
        <f t="shared" si="80"/>
        <v>1021017590</v>
      </c>
      <c r="DL39" s="278">
        <f t="shared" si="80"/>
        <v>1045835756</v>
      </c>
      <c r="DM39" s="278">
        <f t="shared" si="80"/>
        <v>1021017590</v>
      </c>
      <c r="DN39" s="280">
        <f>+DN14+DN21+DN28+DN35</f>
        <v>597790929</v>
      </c>
      <c r="DO39" s="280">
        <f t="shared" ref="DO39:EK39" si="81">+DO14+DO21+DO28+DO35</f>
        <v>63134133</v>
      </c>
      <c r="DP39" s="280">
        <f>+DP14+DP21+DP28+DP35</f>
        <v>90387299</v>
      </c>
      <c r="DQ39" s="280">
        <f t="shared" si="81"/>
        <v>320853336</v>
      </c>
      <c r="DR39" s="280">
        <f t="shared" si="81"/>
        <v>262223289</v>
      </c>
      <c r="DS39" s="280">
        <f t="shared" si="81"/>
        <v>99833701</v>
      </c>
      <c r="DT39" s="280">
        <f t="shared" si="81"/>
        <v>149978000.99999997</v>
      </c>
      <c r="DU39" s="280">
        <f t="shared" si="81"/>
        <v>104314768</v>
      </c>
      <c r="DV39" s="280">
        <f t="shared" si="81"/>
        <v>67434138.999999985</v>
      </c>
      <c r="DW39" s="280">
        <f t="shared" si="81"/>
        <v>9654991</v>
      </c>
      <c r="DX39" s="280">
        <f t="shared" ref="DX39" si="82">+DX14+DX21+DX28+DX35</f>
        <v>2122200</v>
      </c>
      <c r="DY39" s="280">
        <f t="shared" si="81"/>
        <v>0</v>
      </c>
      <c r="DZ39" s="280">
        <f t="shared" ref="DZ39:EA39" si="83">+DZ14+DZ21+DZ28+DZ35</f>
        <v>0</v>
      </c>
      <c r="EA39" s="280">
        <f t="shared" si="83"/>
        <v>0</v>
      </c>
      <c r="EB39" s="280">
        <f t="shared" si="81"/>
        <v>0</v>
      </c>
      <c r="EC39" s="280">
        <f t="shared" si="81"/>
        <v>0</v>
      </c>
      <c r="ED39" s="280">
        <f t="shared" si="81"/>
        <v>0</v>
      </c>
      <c r="EE39" s="280">
        <f t="shared" si="81"/>
        <v>0</v>
      </c>
      <c r="EF39" s="280">
        <f t="shared" si="81"/>
        <v>0</v>
      </c>
      <c r="EG39" s="280">
        <f t="shared" si="81"/>
        <v>0</v>
      </c>
      <c r="EH39" s="280">
        <f t="shared" si="81"/>
        <v>0</v>
      </c>
      <c r="EI39" s="280">
        <f t="shared" si="81"/>
        <v>0</v>
      </c>
      <c r="EJ39" s="280">
        <f t="shared" si="81"/>
        <v>0</v>
      </c>
      <c r="EK39" s="280">
        <f t="shared" si="81"/>
        <v>0</v>
      </c>
      <c r="EL39" s="284"/>
      <c r="EM39" s="282">
        <f>+EM14+EM21+EM28+EM35</f>
        <v>597790929</v>
      </c>
      <c r="EN39" s="283">
        <f t="shared" ref="EN39:EO39" si="84">+EN14+EN21+EN28+EN35</f>
        <v>588135938</v>
      </c>
      <c r="EO39" s="283">
        <f t="shared" si="84"/>
        <v>572144928</v>
      </c>
      <c r="EP39" s="283">
        <f>+EP14+EP21+EP28+EP35</f>
        <v>597790929</v>
      </c>
      <c r="EQ39" s="282">
        <f>+EQ14+EQ21+EQ28+EQ35</f>
        <v>572144928</v>
      </c>
      <c r="ER39" s="815"/>
      <c r="ES39" s="816"/>
      <c r="ET39" s="816"/>
      <c r="EU39" s="816"/>
      <c r="EV39" s="816"/>
      <c r="EW39" s="816"/>
      <c r="EX39" s="816"/>
      <c r="EY39" s="816"/>
      <c r="EZ39" s="816"/>
      <c r="FA39" s="817"/>
    </row>
    <row r="40" spans="1:157" s="110" customFormat="1" ht="24.75" customHeight="1" thickBot="1" x14ac:dyDescent="0.3">
      <c r="A40" s="797"/>
      <c r="B40" s="798"/>
      <c r="C40" s="798"/>
      <c r="D40" s="798"/>
      <c r="E40" s="799"/>
      <c r="F40" s="448" t="s">
        <v>119</v>
      </c>
      <c r="G40" s="276">
        <f>+G38+G39</f>
        <v>29626056496</v>
      </c>
      <c r="H40" s="276">
        <f t="shared" ref="H40:BS40" si="85">+H38+H39</f>
        <v>2410000000</v>
      </c>
      <c r="I40" s="276">
        <f t="shared" si="85"/>
        <v>0</v>
      </c>
      <c r="J40" s="276">
        <f t="shared" si="85"/>
        <v>0</v>
      </c>
      <c r="K40" s="276">
        <f t="shared" si="85"/>
        <v>2410000000</v>
      </c>
      <c r="L40" s="276">
        <f t="shared" si="85"/>
        <v>430855000</v>
      </c>
      <c r="M40" s="276">
        <f t="shared" si="85"/>
        <v>2410000000</v>
      </c>
      <c r="N40" s="276">
        <f t="shared" si="85"/>
        <v>1967968000</v>
      </c>
      <c r="O40" s="276">
        <f t="shared" si="85"/>
        <v>2410000000</v>
      </c>
      <c r="P40" s="276">
        <f t="shared" si="85"/>
        <v>1988602000</v>
      </c>
      <c r="Q40" s="276">
        <f t="shared" si="85"/>
        <v>2410000000</v>
      </c>
      <c r="R40" s="276">
        <f t="shared" si="85"/>
        <v>1988602000</v>
      </c>
      <c r="S40" s="276">
        <f t="shared" si="85"/>
        <v>2410000000</v>
      </c>
      <c r="T40" s="276">
        <f t="shared" si="85"/>
        <v>2178974000</v>
      </c>
      <c r="U40" s="276">
        <f t="shared" si="85"/>
        <v>2410000000</v>
      </c>
      <c r="V40" s="276">
        <f t="shared" si="85"/>
        <v>2398540480</v>
      </c>
      <c r="W40" s="276">
        <f t="shared" si="85"/>
        <v>2410000000</v>
      </c>
      <c r="X40" s="276">
        <f t="shared" si="85"/>
        <v>2410000000</v>
      </c>
      <c r="Y40" s="276">
        <f t="shared" si="85"/>
        <v>2398540480</v>
      </c>
      <c r="Z40" s="276">
        <f t="shared" si="85"/>
        <v>2410000000</v>
      </c>
      <c r="AA40" s="276">
        <f t="shared" si="85"/>
        <v>2398540480</v>
      </c>
      <c r="AB40" s="276">
        <f t="shared" si="85"/>
        <v>5288253139</v>
      </c>
      <c r="AC40" s="276">
        <f t="shared" si="85"/>
        <v>287863134</v>
      </c>
      <c r="AD40" s="276">
        <f t="shared" si="85"/>
        <v>287863134</v>
      </c>
      <c r="AE40" s="276">
        <f t="shared" si="85"/>
        <v>2879228966</v>
      </c>
      <c r="AF40" s="276">
        <f t="shared" si="85"/>
        <v>2879228966</v>
      </c>
      <c r="AG40" s="276">
        <f t="shared" si="85"/>
        <v>1082618567</v>
      </c>
      <c r="AH40" s="276">
        <f t="shared" si="85"/>
        <v>1082618567</v>
      </c>
      <c r="AI40" s="276">
        <f t="shared" si="85"/>
        <v>211590933</v>
      </c>
      <c r="AJ40" s="276">
        <f t="shared" si="85"/>
        <v>211590933</v>
      </c>
      <c r="AK40" s="276">
        <f t="shared" si="85"/>
        <v>41010400</v>
      </c>
      <c r="AL40" s="276">
        <f t="shared" si="85"/>
        <v>41010400</v>
      </c>
      <c r="AM40" s="276">
        <f t="shared" si="85"/>
        <v>357367497</v>
      </c>
      <c r="AN40" s="276">
        <f t="shared" si="85"/>
        <v>296818530</v>
      </c>
      <c r="AO40" s="276">
        <f t="shared" si="85"/>
        <v>16185600</v>
      </c>
      <c r="AP40" s="276">
        <f t="shared" si="85"/>
        <v>4927900</v>
      </c>
      <c r="AQ40" s="276">
        <f t="shared" si="85"/>
        <v>13752000</v>
      </c>
      <c r="AR40" s="276">
        <f t="shared" si="85"/>
        <v>16566667</v>
      </c>
      <c r="AS40" s="276">
        <f t="shared" si="85"/>
        <v>471965633</v>
      </c>
      <c r="AT40" s="276">
        <f t="shared" si="85"/>
        <v>277315733</v>
      </c>
      <c r="AU40" s="276">
        <f t="shared" si="85"/>
        <v>113586101</v>
      </c>
      <c r="AV40" s="276">
        <f t="shared" si="85"/>
        <v>102055100</v>
      </c>
      <c r="AW40" s="276">
        <f t="shared" si="85"/>
        <v>36920836</v>
      </c>
      <c r="AX40" s="276">
        <f t="shared" si="85"/>
        <v>109417100</v>
      </c>
      <c r="AY40" s="276">
        <f t="shared" si="85"/>
        <v>85530567</v>
      </c>
      <c r="AZ40" s="276">
        <f t="shared" si="85"/>
        <v>80444133</v>
      </c>
      <c r="BA40" s="276">
        <f t="shared" si="85"/>
        <v>5597620234</v>
      </c>
      <c r="BB40" s="276">
        <f t="shared" si="85"/>
        <v>5597620234</v>
      </c>
      <c r="BC40" s="276">
        <f t="shared" si="85"/>
        <v>5389857163</v>
      </c>
      <c r="BD40" s="276">
        <f t="shared" si="85"/>
        <v>5597620234</v>
      </c>
      <c r="BE40" s="276">
        <f t="shared" si="85"/>
        <v>5389857163</v>
      </c>
      <c r="BF40" s="276">
        <f t="shared" si="85"/>
        <v>6888093480</v>
      </c>
      <c r="BG40" s="276">
        <f t="shared" si="85"/>
        <v>6224925331</v>
      </c>
      <c r="BH40" s="276">
        <f t="shared" si="85"/>
        <v>6224925331</v>
      </c>
      <c r="BI40" s="276">
        <f t="shared" si="85"/>
        <v>251025368</v>
      </c>
      <c r="BJ40" s="276">
        <f t="shared" si="85"/>
        <v>202589667</v>
      </c>
      <c r="BK40" s="276">
        <f t="shared" si="85"/>
        <v>159160781</v>
      </c>
      <c r="BL40" s="276">
        <f t="shared" si="85"/>
        <v>43808449</v>
      </c>
      <c r="BM40" s="276">
        <f t="shared" si="85"/>
        <v>5458000</v>
      </c>
      <c r="BN40" s="276">
        <f t="shared" si="85"/>
        <v>48822866</v>
      </c>
      <c r="BO40" s="276">
        <f t="shared" si="85"/>
        <v>17435000</v>
      </c>
      <c r="BP40" s="276">
        <f t="shared" si="85"/>
        <v>20922999</v>
      </c>
      <c r="BQ40" s="276">
        <f t="shared" si="85"/>
        <v>-5370400</v>
      </c>
      <c r="BR40" s="276">
        <f t="shared" si="85"/>
        <v>2301600</v>
      </c>
      <c r="BS40" s="276">
        <f t="shared" si="85"/>
        <v>-2</v>
      </c>
      <c r="BT40" s="276">
        <f t="shared" ref="BT40:DM40" si="86">+BT38+BT39</f>
        <v>6726200</v>
      </c>
      <c r="BU40" s="276">
        <f t="shared" si="86"/>
        <v>0</v>
      </c>
      <c r="BV40" s="276">
        <f t="shared" si="86"/>
        <v>82132700</v>
      </c>
      <c r="BW40" s="276">
        <f t="shared" si="86"/>
        <v>-41477267</v>
      </c>
      <c r="BX40" s="276">
        <f t="shared" si="86"/>
        <v>-30766200</v>
      </c>
      <c r="BY40" s="276">
        <f t="shared" si="86"/>
        <v>135519200</v>
      </c>
      <c r="BZ40" s="276">
        <f t="shared" si="86"/>
        <v>98949899</v>
      </c>
      <c r="CA40" s="276">
        <f t="shared" si="86"/>
        <v>580083675</v>
      </c>
      <c r="CB40" s="276">
        <f t="shared" si="86"/>
        <v>530595070</v>
      </c>
      <c r="CC40" s="276">
        <f t="shared" si="86"/>
        <v>409720226</v>
      </c>
      <c r="CD40" s="276">
        <f t="shared" si="86"/>
        <v>432574599</v>
      </c>
      <c r="CE40" s="276">
        <f t="shared" si="86"/>
        <v>7736479912</v>
      </c>
      <c r="CF40" s="276">
        <f t="shared" si="86"/>
        <v>7736479912</v>
      </c>
      <c r="CG40" s="276">
        <f t="shared" si="86"/>
        <v>7663583180</v>
      </c>
      <c r="CH40" s="276">
        <f t="shared" si="86"/>
        <v>7736479912</v>
      </c>
      <c r="CI40" s="276">
        <f t="shared" si="86"/>
        <v>7663583180</v>
      </c>
      <c r="CJ40" s="277">
        <f t="shared" si="86"/>
        <v>5997943189</v>
      </c>
      <c r="CK40" s="277">
        <f t="shared" si="86"/>
        <v>1040068434</v>
      </c>
      <c r="CL40" s="277">
        <f t="shared" si="86"/>
        <v>1040068434</v>
      </c>
      <c r="CM40" s="277">
        <f t="shared" si="86"/>
        <v>564048002</v>
      </c>
      <c r="CN40" s="277">
        <f t="shared" si="86"/>
        <v>564048002</v>
      </c>
      <c r="CO40" s="277">
        <f t="shared" si="86"/>
        <v>3487930290</v>
      </c>
      <c r="CP40" s="277">
        <f t="shared" si="86"/>
        <v>3487930290</v>
      </c>
      <c r="CQ40" s="277">
        <f t="shared" si="86"/>
        <v>527975698</v>
      </c>
      <c r="CR40" s="277">
        <f t="shared" si="86"/>
        <v>468554499</v>
      </c>
      <c r="CS40" s="277">
        <f t="shared" si="86"/>
        <v>91415632</v>
      </c>
      <c r="CT40" s="277">
        <f t="shared" si="86"/>
        <v>47441721</v>
      </c>
      <c r="CU40" s="277">
        <f t="shared" si="86"/>
        <v>37623467</v>
      </c>
      <c r="CV40" s="277">
        <f t="shared" si="86"/>
        <v>7046772</v>
      </c>
      <c r="CW40" s="277">
        <f t="shared" si="86"/>
        <v>41663322</v>
      </c>
      <c r="CX40" s="277">
        <f t="shared" si="86"/>
        <v>35882967</v>
      </c>
      <c r="CY40" s="278">
        <f t="shared" si="86"/>
        <v>14172000</v>
      </c>
      <c r="CZ40" s="278">
        <f t="shared" si="86"/>
        <v>21234671</v>
      </c>
      <c r="DA40" s="278">
        <f t="shared" si="86"/>
        <v>0</v>
      </c>
      <c r="DB40" s="278">
        <f t="shared" si="86"/>
        <v>2057533</v>
      </c>
      <c r="DC40" s="278">
        <f t="shared" si="86"/>
        <v>17078677</v>
      </c>
      <c r="DD40" s="278">
        <f t="shared" si="86"/>
        <v>-17759000</v>
      </c>
      <c r="DE40" s="278">
        <f t="shared" si="86"/>
        <v>0</v>
      </c>
      <c r="DF40" s="278">
        <f t="shared" si="86"/>
        <v>39507068</v>
      </c>
      <c r="DG40" s="278">
        <f t="shared" si="86"/>
        <v>209753514</v>
      </c>
      <c r="DH40" s="279">
        <f t="shared" si="86"/>
        <v>310649787</v>
      </c>
      <c r="DI40" s="278">
        <f t="shared" si="6"/>
        <v>6031729036</v>
      </c>
      <c r="DJ40" s="278">
        <f t="shared" si="7"/>
        <v>5821975522</v>
      </c>
      <c r="DK40" s="278">
        <f t="shared" si="86"/>
        <v>6006662744</v>
      </c>
      <c r="DL40" s="278">
        <f t="shared" si="86"/>
        <v>6031729036</v>
      </c>
      <c r="DM40" s="278">
        <f t="shared" si="86"/>
        <v>6006662744</v>
      </c>
      <c r="DN40" s="280">
        <f>+DN38+DN39</f>
        <v>8167412929</v>
      </c>
      <c r="DO40" s="280">
        <f t="shared" ref="DO40:EK40" si="87">+DO38+DO39</f>
        <v>784429133</v>
      </c>
      <c r="DP40" s="280">
        <f t="shared" si="87"/>
        <v>437377299</v>
      </c>
      <c r="DQ40" s="280">
        <f t="shared" si="87"/>
        <v>377216336</v>
      </c>
      <c r="DR40" s="280">
        <f t="shared" si="87"/>
        <v>1305416289</v>
      </c>
      <c r="DS40" s="280">
        <f t="shared" si="87"/>
        <v>251092701</v>
      </c>
      <c r="DT40" s="280">
        <f t="shared" si="87"/>
        <v>660700001</v>
      </c>
      <c r="DU40" s="280">
        <f t="shared" si="87"/>
        <v>767712768</v>
      </c>
      <c r="DV40" s="280">
        <f t="shared" si="87"/>
        <v>865170139</v>
      </c>
      <c r="DW40" s="280">
        <f t="shared" si="87"/>
        <v>802654991</v>
      </c>
      <c r="DX40" s="280">
        <f t="shared" ref="DX40" si="88">+DX38+DX39</f>
        <v>483454273</v>
      </c>
      <c r="DY40" s="280">
        <f t="shared" si="87"/>
        <v>5184307000</v>
      </c>
      <c r="DZ40" s="280">
        <f t="shared" ref="DZ40:EA40" si="89">+DZ38+DZ39</f>
        <v>0</v>
      </c>
      <c r="EA40" s="280">
        <f t="shared" si="89"/>
        <v>0</v>
      </c>
      <c r="EB40" s="280">
        <f t="shared" si="87"/>
        <v>0</v>
      </c>
      <c r="EC40" s="280">
        <f t="shared" si="87"/>
        <v>0</v>
      </c>
      <c r="ED40" s="280">
        <f t="shared" si="87"/>
        <v>0</v>
      </c>
      <c r="EE40" s="280">
        <f t="shared" si="87"/>
        <v>0</v>
      </c>
      <c r="EF40" s="280">
        <f t="shared" si="87"/>
        <v>0</v>
      </c>
      <c r="EG40" s="280">
        <f t="shared" si="87"/>
        <v>0</v>
      </c>
      <c r="EH40" s="280">
        <f t="shared" si="87"/>
        <v>0</v>
      </c>
      <c r="EI40" s="280">
        <f t="shared" si="87"/>
        <v>0</v>
      </c>
      <c r="EJ40" s="280">
        <f t="shared" si="87"/>
        <v>0</v>
      </c>
      <c r="EK40" s="280">
        <f t="shared" si="87"/>
        <v>0</v>
      </c>
      <c r="EL40" s="449"/>
      <c r="EM40" s="282">
        <f>+EM38+EM39</f>
        <v>8167412929</v>
      </c>
      <c r="EN40" s="283">
        <f t="shared" ref="EN40:EP40" si="90">+EN38+EN39</f>
        <v>2180450938</v>
      </c>
      <c r="EO40" s="283">
        <f t="shared" si="90"/>
        <v>3752118001</v>
      </c>
      <c r="EP40" s="283">
        <f t="shared" si="90"/>
        <v>8167412929</v>
      </c>
      <c r="EQ40" s="282">
        <f>+EQ38+EQ39</f>
        <v>3752118001</v>
      </c>
      <c r="ER40" s="818"/>
      <c r="ES40" s="819"/>
      <c r="ET40" s="819"/>
      <c r="EU40" s="819"/>
      <c r="EV40" s="819"/>
      <c r="EW40" s="819"/>
      <c r="EX40" s="819"/>
      <c r="EY40" s="819"/>
      <c r="EZ40" s="819"/>
      <c r="FA40" s="820"/>
    </row>
    <row r="41" spans="1:157" ht="18.600000000000001" customHeight="1" x14ac:dyDescent="0.25">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K41" s="97"/>
      <c r="DL41" s="97"/>
      <c r="DM41" s="97"/>
      <c r="DN41" s="97"/>
      <c r="DO41" s="97"/>
      <c r="DP41" s="97"/>
      <c r="DQ41" s="97"/>
      <c r="DR41" s="97"/>
      <c r="DS41" s="97"/>
      <c r="DT41" s="97"/>
      <c r="DU41" s="97"/>
      <c r="DV41" s="97"/>
      <c r="DW41" s="97"/>
      <c r="DX41" s="97"/>
      <c r="DY41" s="97"/>
      <c r="DZ41" s="97"/>
      <c r="EA41" s="97"/>
      <c r="EB41" s="97"/>
      <c r="EC41" s="97"/>
      <c r="ED41" s="97"/>
      <c r="EE41" s="97"/>
      <c r="EF41" s="97"/>
      <c r="ET41" s="530"/>
    </row>
    <row r="42" spans="1:157" ht="18.600000000000001" customHeight="1" x14ac:dyDescent="0.25">
      <c r="F42" s="114" t="s">
        <v>82</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15"/>
      <c r="BD42" s="101"/>
      <c r="BE42" s="115"/>
      <c r="BW42" s="101"/>
      <c r="BX42" s="101"/>
      <c r="BY42" s="101"/>
      <c r="BZ42" s="101"/>
      <c r="CA42" s="101"/>
      <c r="CB42" s="101"/>
      <c r="CC42" s="101"/>
      <c r="CD42" s="101"/>
      <c r="CE42" s="101"/>
      <c r="CF42" s="101"/>
      <c r="CG42" s="101"/>
      <c r="CH42" s="101"/>
      <c r="CI42" s="116"/>
      <c r="CQ42" s="117"/>
      <c r="CS42" s="117"/>
      <c r="CU42" s="117"/>
      <c r="DN42" s="123"/>
      <c r="DO42" s="243"/>
      <c r="DQ42" s="242"/>
    </row>
    <row r="43" spans="1:157" ht="18.600000000000001" customHeight="1" x14ac:dyDescent="0.25">
      <c r="F43" s="118" t="s">
        <v>83</v>
      </c>
      <c r="G43" s="821" t="s">
        <v>84</v>
      </c>
      <c r="H43" s="821"/>
      <c r="I43" s="821"/>
      <c r="J43" s="821"/>
      <c r="K43" s="821"/>
      <c r="L43" s="821"/>
      <c r="M43" s="821"/>
      <c r="N43" s="822" t="s">
        <v>85</v>
      </c>
      <c r="O43" s="822"/>
      <c r="P43" s="822"/>
      <c r="Q43" s="822"/>
      <c r="R43" s="822"/>
      <c r="S43" s="822"/>
      <c r="T43" s="822"/>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c r="BA43" s="823"/>
      <c r="BB43" s="823"/>
      <c r="BC43" s="823"/>
      <c r="BD43" s="823"/>
      <c r="BE43" s="823"/>
      <c r="CH43" s="117"/>
      <c r="CI43" s="117"/>
      <c r="CQ43" s="117"/>
      <c r="CS43" s="117"/>
      <c r="CU43" s="117"/>
    </row>
    <row r="44" spans="1:157" ht="18.600000000000001" customHeight="1" x14ac:dyDescent="0.25">
      <c r="F44" s="119">
        <v>13</v>
      </c>
      <c r="G44" s="787" t="s">
        <v>120</v>
      </c>
      <c r="H44" s="787"/>
      <c r="I44" s="787"/>
      <c r="J44" s="787"/>
      <c r="K44" s="787"/>
      <c r="L44" s="787"/>
      <c r="M44" s="787"/>
      <c r="N44" s="788" t="s">
        <v>87</v>
      </c>
      <c r="O44" s="788"/>
      <c r="P44" s="788"/>
      <c r="Q44" s="788"/>
      <c r="R44" s="788"/>
      <c r="S44" s="788"/>
      <c r="T44" s="788"/>
      <c r="U44" s="789"/>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0"/>
      <c r="BB44" s="790"/>
      <c r="BC44" s="790"/>
      <c r="BD44" s="790"/>
      <c r="BE44" s="790"/>
      <c r="CI44" s="117"/>
    </row>
    <row r="45" spans="1:157" ht="18.600000000000001" customHeight="1" x14ac:dyDescent="0.25">
      <c r="F45" s="119">
        <v>14</v>
      </c>
      <c r="G45" s="787" t="s">
        <v>88</v>
      </c>
      <c r="H45" s="787"/>
      <c r="I45" s="787"/>
      <c r="J45" s="787"/>
      <c r="K45" s="787"/>
      <c r="L45" s="787"/>
      <c r="M45" s="787"/>
      <c r="N45" s="788" t="s">
        <v>89</v>
      </c>
      <c r="O45" s="788"/>
      <c r="P45" s="788"/>
      <c r="Q45" s="788"/>
      <c r="R45" s="788"/>
      <c r="S45" s="788"/>
      <c r="T45" s="788"/>
      <c r="AZ45" s="117"/>
      <c r="BA45" s="117"/>
      <c r="BD45" s="117"/>
      <c r="BE45" s="117"/>
      <c r="BF45" s="120"/>
      <c r="CC45" s="117"/>
    </row>
    <row r="46" spans="1:157" ht="18.600000000000001" customHeight="1" x14ac:dyDescent="0.25">
      <c r="AH46" s="121"/>
      <c r="AI46" s="121"/>
      <c r="AJ46" s="121"/>
      <c r="AK46" s="121"/>
      <c r="AL46" s="121"/>
      <c r="AM46" s="121"/>
      <c r="AN46" s="121"/>
      <c r="AO46" s="121"/>
      <c r="AP46" s="121"/>
      <c r="AQ46" s="121"/>
      <c r="AR46" s="121"/>
      <c r="AS46" s="121"/>
      <c r="AT46" s="121"/>
      <c r="AU46" s="121"/>
      <c r="AV46" s="121"/>
      <c r="AW46" s="121"/>
      <c r="AX46" s="121"/>
      <c r="BF46" s="98"/>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row>
    <row r="47" spans="1:157" ht="18.600000000000001" customHeight="1" x14ac:dyDescent="0.25">
      <c r="BE47" s="117"/>
      <c r="BF47" s="122"/>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Y47" s="244">
        <f>DN35-EM35</f>
        <v>0</v>
      </c>
    </row>
    <row r="48" spans="1:157" ht="18.600000000000001" customHeight="1" x14ac:dyDescent="0.25">
      <c r="G48" s="123"/>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N48" s="99"/>
      <c r="DO48" s="99"/>
      <c r="DP48" s="99"/>
      <c r="DQ48" s="99"/>
      <c r="DR48" s="99"/>
      <c r="DS48" s="99"/>
      <c r="DT48" s="99"/>
      <c r="DU48" s="99"/>
      <c r="DV48" s="99"/>
      <c r="DW48" s="99"/>
      <c r="DX48" s="99"/>
      <c r="DY48" s="99"/>
      <c r="DZ48" s="99"/>
      <c r="EA48" s="99"/>
      <c r="EB48" s="99"/>
      <c r="EC48" s="99"/>
      <c r="ED48" s="99"/>
      <c r="EE48" s="99"/>
      <c r="EF48" s="99"/>
      <c r="EP48" s="251"/>
    </row>
    <row r="49" spans="7:112" ht="18.600000000000001" customHeight="1" x14ac:dyDescent="0.25">
      <c r="BF49" s="124"/>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row>
    <row r="50" spans="7:112" ht="18.600000000000001" customHeight="1" x14ac:dyDescent="0.25">
      <c r="G50" s="123"/>
      <c r="Q50" s="123"/>
    </row>
    <row r="51" spans="7:112" ht="18.600000000000001" customHeight="1" x14ac:dyDescent="0.25">
      <c r="BF51" s="121"/>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row>
    <row r="53" spans="7:112" ht="18.600000000000001" customHeight="1" x14ac:dyDescent="0.25">
      <c r="BF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row>
  </sheetData>
  <mergeCells count="73">
    <mergeCell ref="A4:E4"/>
    <mergeCell ref="F4:FA4"/>
    <mergeCell ref="A5:E5"/>
    <mergeCell ref="F5:FA5"/>
    <mergeCell ref="A7:G8"/>
    <mergeCell ref="H7:EQ7"/>
    <mergeCell ref="ER7:ER9"/>
    <mergeCell ref="ES7:ES9"/>
    <mergeCell ref="ET7:ET9"/>
    <mergeCell ref="EU7:EU9"/>
    <mergeCell ref="EV7:EV9"/>
    <mergeCell ref="EX7:EX9"/>
    <mergeCell ref="EY7:EY9"/>
    <mergeCell ref="H8:AA8"/>
    <mergeCell ref="AB8:BE8"/>
    <mergeCell ref="BF8:CI8"/>
    <mergeCell ref="A1:E3"/>
    <mergeCell ref="F1:FA1"/>
    <mergeCell ref="F2:FA2"/>
    <mergeCell ref="F3:EQ3"/>
    <mergeCell ref="ER3:FA3"/>
    <mergeCell ref="CJ8:DM8"/>
    <mergeCell ref="DN8:EQ8"/>
    <mergeCell ref="EW7:EW9"/>
    <mergeCell ref="EW10:EW16"/>
    <mergeCell ref="EZ10:EZ16"/>
    <mergeCell ref="EZ7:EZ9"/>
    <mergeCell ref="FA7:FA9"/>
    <mergeCell ref="FA10:FA16"/>
    <mergeCell ref="B17:B23"/>
    <mergeCell ref="C17:C23"/>
    <mergeCell ref="D17:D23"/>
    <mergeCell ref="E17:E23"/>
    <mergeCell ref="EX17:EX23"/>
    <mergeCell ref="B10:B16"/>
    <mergeCell ref="C10:C16"/>
    <mergeCell ref="D10:D16"/>
    <mergeCell ref="E10:E16"/>
    <mergeCell ref="EY17:EY23"/>
    <mergeCell ref="EZ17:EZ23"/>
    <mergeCell ref="FA17:FA23"/>
    <mergeCell ref="EX10:EX16"/>
    <mergeCell ref="EY10:EY16"/>
    <mergeCell ref="EW17:EW23"/>
    <mergeCell ref="ER38:FA40"/>
    <mergeCell ref="G43:M43"/>
    <mergeCell ref="N43:T43"/>
    <mergeCell ref="U43:BE43"/>
    <mergeCell ref="EX24:EX30"/>
    <mergeCell ref="EY24:EY30"/>
    <mergeCell ref="EZ24:EZ30"/>
    <mergeCell ref="FA24:FA30"/>
    <mergeCell ref="EX31:EX37"/>
    <mergeCell ref="EY31:EY37"/>
    <mergeCell ref="EZ31:EZ37"/>
    <mergeCell ref="FA31:FA37"/>
    <mergeCell ref="EW24:EW30"/>
    <mergeCell ref="EW31:EW37"/>
    <mergeCell ref="A10:A37"/>
    <mergeCell ref="G44:M44"/>
    <mergeCell ref="N44:T44"/>
    <mergeCell ref="U44:BE44"/>
    <mergeCell ref="G45:M45"/>
    <mergeCell ref="N45:T45"/>
    <mergeCell ref="A38:E40"/>
    <mergeCell ref="B31:B37"/>
    <mergeCell ref="C31:C37"/>
    <mergeCell ref="D31:D37"/>
    <mergeCell ref="E31:E37"/>
    <mergeCell ref="B24:B30"/>
    <mergeCell ref="C24:C30"/>
    <mergeCell ref="D24:D30"/>
    <mergeCell ref="E24:E30"/>
  </mergeCells>
  <dataValidations count="4">
    <dataValidation type="textLength" operator="lessThan" allowBlank="1" showInputMessage="1" showErrorMessage="1" sqref="EX10:EY37" xr:uid="{00000000-0002-0000-0200-000000000000}">
      <formula1>500</formula1>
    </dataValidation>
    <dataValidation type="textLength" operator="lessThan" allowBlank="1" showInputMessage="1" showErrorMessage="1" sqref="EZ10:EZ17 EZ31:EZ37" xr:uid="{00000000-0002-0000-0200-000001000000}">
      <formula1>2000</formula1>
    </dataValidation>
    <dataValidation type="list" allowBlank="1" showInputMessage="1" showErrorMessage="1" sqref="D10:D37" xr:uid="{00000000-0002-0000-0200-000002000000}">
      <formula1>"suma, creciente"</formula1>
    </dataValidation>
    <dataValidation operator="lessThan" allowBlank="1" showInputMessage="1" showErrorMessage="1" sqref="EZ24:EZ30" xr:uid="{00000000-0002-0000-0200-000003000000}"/>
  </dataValidations>
  <pageMargins left="0.7" right="0.7" top="0.75" bottom="0.75" header="0.3" footer="0.3"/>
  <pageSetup paperSize="9" orientation="portrait" r:id="rId1"/>
  <ignoredErrors>
    <ignoredError sqref="EM20 ES13:ET13 EV12 EV19 ES27:ET27 EV26 ES34:ET34" formula="1"/>
    <ignoredError sqref="EM13" formulaRange="1"/>
    <ignoredError sqref="DR22 DV29 DV36 DV22 DV1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AN38"/>
  <sheetViews>
    <sheetView workbookViewId="0"/>
  </sheetViews>
  <sheetFormatPr baseColWidth="10" defaultRowHeight="15" x14ac:dyDescent="0.25"/>
  <cols>
    <col min="1" max="1" width="7.28515625" customWidth="1"/>
    <col min="2" max="2" width="29.140625" customWidth="1"/>
    <col min="3" max="3" width="16.42578125" customWidth="1"/>
    <col min="4" max="4" width="16.42578125" hidden="1" customWidth="1"/>
    <col min="5" max="5" width="16.42578125" customWidth="1"/>
    <col min="6" max="6" width="16.42578125" hidden="1" customWidth="1"/>
    <col min="7" max="7" width="16.42578125" customWidth="1"/>
    <col min="8" max="8" width="16.42578125" hidden="1" customWidth="1"/>
    <col min="9" max="9" width="16.42578125" customWidth="1"/>
    <col min="10" max="10" width="16.42578125" hidden="1" customWidth="1"/>
    <col min="11" max="11" width="16.42578125" customWidth="1"/>
    <col min="12" max="26" width="16.42578125" hidden="1" customWidth="1"/>
    <col min="27" max="27" width="13.7109375" bestFit="1" customWidth="1"/>
    <col min="28" max="28" width="15.140625" customWidth="1"/>
    <col min="29" max="29" width="12.7109375" bestFit="1" customWidth="1"/>
    <col min="31" max="31" width="12" bestFit="1" customWidth="1"/>
  </cols>
  <sheetData>
    <row r="1" spans="1:40" x14ac:dyDescent="0.25">
      <c r="C1" s="35"/>
      <c r="D1" s="35"/>
      <c r="E1" s="35"/>
      <c r="F1" s="35"/>
      <c r="K1" s="36"/>
      <c r="L1" s="36"/>
      <c r="M1" s="28"/>
      <c r="N1" s="28"/>
      <c r="Q1" s="35"/>
      <c r="R1" s="35"/>
      <c r="U1" s="28"/>
      <c r="V1" s="28"/>
      <c r="W1" s="35"/>
      <c r="X1" s="35"/>
    </row>
    <row r="2" spans="1:40" ht="39" customHeight="1" x14ac:dyDescent="0.25">
      <c r="A2" s="37">
        <v>1</v>
      </c>
      <c r="B2" s="38" t="s">
        <v>307</v>
      </c>
      <c r="C2" s="898" t="s">
        <v>146</v>
      </c>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900"/>
    </row>
    <row r="3" spans="1:40" ht="26.25" customHeight="1" x14ac:dyDescent="0.25">
      <c r="B3" s="729" t="s">
        <v>308</v>
      </c>
      <c r="C3" s="724" t="s">
        <v>207</v>
      </c>
      <c r="D3" s="725"/>
      <c r="E3" s="724" t="s">
        <v>208</v>
      </c>
      <c r="F3" s="725"/>
      <c r="G3" s="724" t="s">
        <v>209</v>
      </c>
      <c r="H3" s="725"/>
      <c r="I3" s="724" t="s">
        <v>210</v>
      </c>
      <c r="J3" s="725"/>
      <c r="K3" s="724" t="s">
        <v>211</v>
      </c>
      <c r="L3" s="725"/>
      <c r="M3" s="724" t="s">
        <v>212</v>
      </c>
      <c r="N3" s="725"/>
      <c r="O3" s="724" t="s">
        <v>199</v>
      </c>
      <c r="P3" s="725"/>
      <c r="Q3" s="724" t="s">
        <v>201</v>
      </c>
      <c r="R3" s="725"/>
      <c r="S3" s="724" t="s">
        <v>202</v>
      </c>
      <c r="T3" s="725"/>
      <c r="U3" s="724" t="s">
        <v>203</v>
      </c>
      <c r="V3" s="725"/>
      <c r="W3" s="724" t="s">
        <v>204</v>
      </c>
      <c r="X3" s="725"/>
      <c r="Y3" s="724" t="s">
        <v>205</v>
      </c>
      <c r="Z3" s="725"/>
      <c r="AA3" s="727" t="s">
        <v>309</v>
      </c>
      <c r="AB3" s="726" t="s">
        <v>310</v>
      </c>
      <c r="AC3" s="726" t="s">
        <v>311</v>
      </c>
    </row>
    <row r="4" spans="1:40" s="39" customFormat="1" ht="34.5" customHeight="1" x14ac:dyDescent="0.2">
      <c r="B4" s="730"/>
      <c r="C4" s="40" t="s">
        <v>312</v>
      </c>
      <c r="D4" s="40" t="s">
        <v>313</v>
      </c>
      <c r="E4" s="40" t="s">
        <v>312</v>
      </c>
      <c r="F4" s="40" t="s">
        <v>313</v>
      </c>
      <c r="G4" s="40" t="s">
        <v>312</v>
      </c>
      <c r="H4" s="40" t="s">
        <v>313</v>
      </c>
      <c r="I4" s="40" t="s">
        <v>312</v>
      </c>
      <c r="J4" s="40" t="s">
        <v>313</v>
      </c>
      <c r="K4" s="40" t="s">
        <v>312</v>
      </c>
      <c r="L4" s="40" t="s">
        <v>313</v>
      </c>
      <c r="M4" s="40" t="s">
        <v>312</v>
      </c>
      <c r="N4" s="40" t="s">
        <v>313</v>
      </c>
      <c r="O4" s="40" t="s">
        <v>312</v>
      </c>
      <c r="P4" s="40" t="s">
        <v>313</v>
      </c>
      <c r="Q4" s="40" t="s">
        <v>312</v>
      </c>
      <c r="R4" s="40" t="s">
        <v>313</v>
      </c>
      <c r="S4" s="40" t="s">
        <v>312</v>
      </c>
      <c r="T4" s="40" t="s">
        <v>313</v>
      </c>
      <c r="U4" s="40" t="s">
        <v>312</v>
      </c>
      <c r="V4" s="40" t="s">
        <v>313</v>
      </c>
      <c r="W4" s="40" t="s">
        <v>312</v>
      </c>
      <c r="X4" s="40" t="s">
        <v>313</v>
      </c>
      <c r="Y4" s="40" t="s">
        <v>312</v>
      </c>
      <c r="Z4" s="40" t="s">
        <v>313</v>
      </c>
      <c r="AA4" s="728"/>
      <c r="AB4" s="726"/>
      <c r="AC4" s="726"/>
    </row>
    <row r="5" spans="1:40" ht="30" customHeight="1" x14ac:dyDescent="0.25">
      <c r="B5" s="41" t="s">
        <v>314</v>
      </c>
      <c r="C5" s="42">
        <v>2410</v>
      </c>
      <c r="D5" s="42"/>
      <c r="E5" s="42">
        <v>2410</v>
      </c>
      <c r="F5" s="42"/>
      <c r="G5" s="42">
        <v>2410</v>
      </c>
      <c r="H5" s="42"/>
      <c r="I5" s="42">
        <v>1668</v>
      </c>
      <c r="J5" s="42"/>
      <c r="K5" s="42">
        <v>1902</v>
      </c>
      <c r="L5" s="42"/>
      <c r="M5" s="42"/>
      <c r="N5" s="42"/>
      <c r="O5" s="42"/>
      <c r="P5" s="42"/>
      <c r="Q5" s="42"/>
      <c r="R5" s="42"/>
      <c r="S5" s="42"/>
      <c r="T5" s="42"/>
      <c r="U5" s="42"/>
      <c r="V5" s="42"/>
      <c r="W5" s="42"/>
      <c r="X5" s="42"/>
      <c r="Y5" s="42"/>
      <c r="Z5" s="42"/>
      <c r="AA5" s="42">
        <f>+C5+E5+G5+I5+K5+M5+O5+Q5+S5+U5+W5+Y5</f>
        <v>10800</v>
      </c>
      <c r="AB5" s="43">
        <f>+C5</f>
        <v>2410</v>
      </c>
      <c r="AC5" s="43">
        <f>+D5</f>
        <v>0</v>
      </c>
      <c r="AD5" s="44"/>
      <c r="AE5" s="204">
        <f>27018+868</f>
        <v>27886</v>
      </c>
      <c r="AF5" s="205">
        <f>+AE5/$AE$8</f>
        <v>0.94789081885856075</v>
      </c>
      <c r="AG5" s="207">
        <v>10671.354838709676</v>
      </c>
      <c r="AH5" s="205">
        <f>+AG5/$AG$8</f>
        <v>0.94789081885856086</v>
      </c>
      <c r="AI5" s="53"/>
      <c r="AJ5" s="207">
        <v>10800</v>
      </c>
      <c r="AK5" s="64">
        <f>+AJ5/$AJ$8</f>
        <v>0.95931781844022024</v>
      </c>
      <c r="AM5" s="53">
        <v>0.82340000000000002</v>
      </c>
      <c r="AN5" s="49">
        <v>1</v>
      </c>
    </row>
    <row r="6" spans="1:40" ht="30" customHeight="1" x14ac:dyDescent="0.25">
      <c r="B6" s="41" t="s">
        <v>315</v>
      </c>
      <c r="C6" s="42"/>
      <c r="D6" s="42"/>
      <c r="E6" s="42"/>
      <c r="F6" s="42"/>
      <c r="G6" s="42">
        <v>1</v>
      </c>
      <c r="H6" s="42"/>
      <c r="I6" s="42">
        <v>1</v>
      </c>
      <c r="J6" s="42"/>
      <c r="K6" s="42">
        <v>1</v>
      </c>
      <c r="L6" s="42"/>
      <c r="M6" s="42"/>
      <c r="N6" s="42"/>
      <c r="O6" s="42"/>
      <c r="P6" s="42"/>
      <c r="Q6" s="42"/>
      <c r="R6" s="42"/>
      <c r="S6" s="42"/>
      <c r="T6" s="42"/>
      <c r="U6" s="42"/>
      <c r="V6" s="42"/>
      <c r="W6" s="42"/>
      <c r="X6" s="42"/>
      <c r="Y6" s="42"/>
      <c r="Z6" s="42"/>
      <c r="AA6" s="42">
        <f t="shared" ref="AA6:AA7" si="0">+C6+E6+G6+I6+K6+M6+O6+Q6+S6+U6+W6+Y6</f>
        <v>3</v>
      </c>
      <c r="AB6" s="43">
        <f t="shared" ref="AB6:AC7" si="1">+C6</f>
        <v>0</v>
      </c>
      <c r="AC6" s="43">
        <f t="shared" si="1"/>
        <v>0</v>
      </c>
      <c r="AD6" s="44"/>
      <c r="AE6" s="204">
        <v>10</v>
      </c>
      <c r="AF6" s="205">
        <f t="shared" ref="AF6:AF7" si="2">+AE6/$AE$8</f>
        <v>3.3991638057037968E-4</v>
      </c>
      <c r="AG6" s="207">
        <v>3.8267786124613345</v>
      </c>
      <c r="AH6" s="205">
        <f>+AG6/$AG$8</f>
        <v>3.3991638057037974E-4</v>
      </c>
      <c r="AI6" s="53"/>
      <c r="AJ6" s="207">
        <v>3</v>
      </c>
      <c r="AK6" s="64">
        <f>+AJ6/$AJ$8</f>
        <v>2.6647717178895008E-4</v>
      </c>
      <c r="AM6" s="64">
        <f>+AN6*AM5/AN5</f>
        <v>3.3278290993071592E-2</v>
      </c>
      <c r="AN6" s="53">
        <f>+AK7</f>
        <v>4.0415704387990761E-2</v>
      </c>
    </row>
    <row r="7" spans="1:40" ht="30" customHeight="1" x14ac:dyDescent="0.25">
      <c r="B7" s="41" t="s">
        <v>316</v>
      </c>
      <c r="C7" s="42">
        <v>90</v>
      </c>
      <c r="D7" s="42"/>
      <c r="E7" s="42">
        <v>90</v>
      </c>
      <c r="F7" s="42"/>
      <c r="G7" s="42">
        <v>89</v>
      </c>
      <c r="H7" s="42"/>
      <c r="I7" s="42">
        <v>89</v>
      </c>
      <c r="J7" s="42"/>
      <c r="K7" s="42">
        <v>97</v>
      </c>
      <c r="L7" s="42"/>
      <c r="M7" s="42"/>
      <c r="N7" s="42"/>
      <c r="O7" s="42"/>
      <c r="P7" s="42"/>
      <c r="Q7" s="42"/>
      <c r="R7" s="42"/>
      <c r="S7" s="42"/>
      <c r="T7" s="42"/>
      <c r="U7" s="42"/>
      <c r="V7" s="42"/>
      <c r="W7" s="42"/>
      <c r="X7" s="42"/>
      <c r="Y7" s="42"/>
      <c r="Z7" s="42"/>
      <c r="AA7" s="42">
        <f t="shared" si="0"/>
        <v>455</v>
      </c>
      <c r="AB7" s="43">
        <f t="shared" si="1"/>
        <v>90</v>
      </c>
      <c r="AC7" s="43">
        <f t="shared" si="1"/>
        <v>0</v>
      </c>
      <c r="AD7" s="44"/>
      <c r="AE7" s="204">
        <f>876+647</f>
        <v>1523</v>
      </c>
      <c r="AF7" s="205">
        <f t="shared" si="2"/>
        <v>5.1769264760868829E-2</v>
      </c>
      <c r="AG7" s="207">
        <v>582.81838267786122</v>
      </c>
      <c r="AH7" s="205">
        <f>+AG7/$AG$8</f>
        <v>5.1769264760868836E-2</v>
      </c>
      <c r="AI7" s="53"/>
      <c r="AJ7" s="207">
        <f>11258-AJ5-AJ6</f>
        <v>455</v>
      </c>
      <c r="AK7" s="64">
        <f>+AJ7/$AJ$8</f>
        <v>4.0415704387990761E-2</v>
      </c>
    </row>
    <row r="8" spans="1:40" ht="30" customHeight="1" x14ac:dyDescent="0.25">
      <c r="B8" s="34" t="s">
        <v>309</v>
      </c>
      <c r="C8" s="47">
        <f>SUM(C5:C7)</f>
        <v>2500</v>
      </c>
      <c r="D8" s="47">
        <f>SUM(D5:D7)</f>
        <v>0</v>
      </c>
      <c r="E8" s="47">
        <f>SUM(E5:E7)</f>
        <v>2500</v>
      </c>
      <c r="F8" s="47">
        <f>SUM(F5:F7)</f>
        <v>0</v>
      </c>
      <c r="G8" s="47">
        <f t="shared" ref="G8:Y8" si="3">SUM(G5:G7)</f>
        <v>2500</v>
      </c>
      <c r="H8" s="47">
        <f>SUM(H5:H7)</f>
        <v>0</v>
      </c>
      <c r="I8" s="47">
        <f t="shared" si="3"/>
        <v>1758</v>
      </c>
      <c r="J8" s="47">
        <f t="shared" si="3"/>
        <v>0</v>
      </c>
      <c r="K8" s="47">
        <f t="shared" si="3"/>
        <v>2000</v>
      </c>
      <c r="L8" s="47">
        <f t="shared" si="3"/>
        <v>0</v>
      </c>
      <c r="M8" s="47">
        <f>SUM(M5:M7)</f>
        <v>0</v>
      </c>
      <c r="N8" s="47">
        <f>SUM(N5:N7)</f>
        <v>0</v>
      </c>
      <c r="O8" s="47">
        <f t="shared" si="3"/>
        <v>0</v>
      </c>
      <c r="P8" s="47"/>
      <c r="Q8" s="47">
        <f t="shared" si="3"/>
        <v>0</v>
      </c>
      <c r="R8" s="47"/>
      <c r="S8" s="47">
        <f t="shared" si="3"/>
        <v>0</v>
      </c>
      <c r="T8" s="47"/>
      <c r="U8" s="47">
        <f t="shared" si="3"/>
        <v>0</v>
      </c>
      <c r="V8" s="47"/>
      <c r="W8" s="47">
        <f t="shared" si="3"/>
        <v>0</v>
      </c>
      <c r="X8" s="47"/>
      <c r="Y8" s="47">
        <f t="shared" si="3"/>
        <v>0</v>
      </c>
      <c r="Z8" s="47"/>
      <c r="AA8" s="47">
        <f>SUM(AA5:AA7)</f>
        <v>11258</v>
      </c>
      <c r="AB8" s="47">
        <f t="shared" ref="AB8" si="4">SUM(AB5:AB7)</f>
        <v>2500</v>
      </c>
      <c r="AC8" s="47">
        <f>SUM(AC5:AC7)</f>
        <v>0</v>
      </c>
      <c r="AD8" s="44"/>
      <c r="AE8" s="204">
        <f>+AE5+AE6+AE7</f>
        <v>29419</v>
      </c>
      <c r="AF8" s="45"/>
      <c r="AG8" s="207">
        <f>SUM(AG5:AG7)</f>
        <v>11257.999999999998</v>
      </c>
      <c r="AH8" s="28">
        <f>+AG5-AA5</f>
        <v>-128.64516129032381</v>
      </c>
      <c r="AJ8" s="207">
        <f>SUM(AJ5:AJ7)</f>
        <v>11258</v>
      </c>
    </row>
    <row r="9" spans="1:40" x14ac:dyDescent="0.25">
      <c r="L9">
        <v>0</v>
      </c>
      <c r="M9">
        <v>0</v>
      </c>
      <c r="N9">
        <v>0</v>
      </c>
      <c r="O9">
        <v>0</v>
      </c>
      <c r="Q9">
        <v>0</v>
      </c>
      <c r="S9">
        <v>0</v>
      </c>
      <c r="U9">
        <v>0</v>
      </c>
      <c r="W9">
        <v>0</v>
      </c>
      <c r="Y9">
        <v>0</v>
      </c>
      <c r="AE9" s="28"/>
    </row>
    <row r="10" spans="1:40" ht="39" customHeight="1" x14ac:dyDescent="0.25">
      <c r="B10" s="38" t="s">
        <v>307</v>
      </c>
      <c r="C10" s="905" t="s">
        <v>146</v>
      </c>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row>
    <row r="11" spans="1:40" ht="26.25" customHeight="1" x14ac:dyDescent="0.25">
      <c r="B11" s="729" t="s">
        <v>308</v>
      </c>
      <c r="C11" s="731" t="s">
        <v>207</v>
      </c>
      <c r="D11" s="731"/>
      <c r="E11" s="731" t="s">
        <v>208</v>
      </c>
      <c r="F11" s="731"/>
      <c r="G11" s="731" t="s">
        <v>209</v>
      </c>
      <c r="H11" s="731"/>
      <c r="I11" s="731" t="s">
        <v>210</v>
      </c>
      <c r="J11" s="731"/>
      <c r="K11" s="724" t="s">
        <v>211</v>
      </c>
      <c r="L11" s="725"/>
      <c r="M11" s="731" t="s">
        <v>212</v>
      </c>
      <c r="N11" s="731"/>
      <c r="O11" s="731" t="s">
        <v>199</v>
      </c>
      <c r="P11" s="731"/>
      <c r="Q11" s="731" t="s">
        <v>201</v>
      </c>
      <c r="R11" s="731"/>
      <c r="S11" s="731" t="s">
        <v>202</v>
      </c>
      <c r="T11" s="731"/>
      <c r="U11" s="731" t="s">
        <v>203</v>
      </c>
      <c r="V11" s="731"/>
      <c r="W11" s="731" t="s">
        <v>204</v>
      </c>
      <c r="X11" s="731"/>
      <c r="Y11" s="731" t="s">
        <v>205</v>
      </c>
      <c r="Z11" s="731"/>
      <c r="AA11" s="731" t="s">
        <v>309</v>
      </c>
      <c r="AB11" s="726" t="s">
        <v>310</v>
      </c>
      <c r="AC11" s="726" t="s">
        <v>311</v>
      </c>
      <c r="AG11" s="49"/>
    </row>
    <row r="12" spans="1:40" s="22" customFormat="1" ht="34.5" customHeight="1" x14ac:dyDescent="0.2">
      <c r="B12" s="730"/>
      <c r="C12" s="50" t="s">
        <v>312</v>
      </c>
      <c r="D12" s="50" t="s">
        <v>313</v>
      </c>
      <c r="E12" s="50" t="s">
        <v>312</v>
      </c>
      <c r="F12" s="50" t="s">
        <v>313</v>
      </c>
      <c r="G12" s="50" t="s">
        <v>312</v>
      </c>
      <c r="H12" s="50" t="s">
        <v>313</v>
      </c>
      <c r="I12" s="50" t="s">
        <v>312</v>
      </c>
      <c r="J12" s="50" t="s">
        <v>313</v>
      </c>
      <c r="K12" s="50" t="s">
        <v>312</v>
      </c>
      <c r="L12" s="50" t="s">
        <v>313</v>
      </c>
      <c r="M12" s="50" t="s">
        <v>312</v>
      </c>
      <c r="N12" s="50" t="s">
        <v>313</v>
      </c>
      <c r="O12" s="50" t="s">
        <v>312</v>
      </c>
      <c r="P12" s="50" t="s">
        <v>313</v>
      </c>
      <c r="Q12" s="50" t="s">
        <v>312</v>
      </c>
      <c r="R12" s="50" t="s">
        <v>313</v>
      </c>
      <c r="S12" s="50" t="s">
        <v>312</v>
      </c>
      <c r="T12" s="50" t="s">
        <v>313</v>
      </c>
      <c r="U12" s="50" t="s">
        <v>312</v>
      </c>
      <c r="V12" s="50" t="s">
        <v>313</v>
      </c>
      <c r="W12" s="50" t="s">
        <v>312</v>
      </c>
      <c r="X12" s="50" t="s">
        <v>313</v>
      </c>
      <c r="Y12" s="50" t="s">
        <v>312</v>
      </c>
      <c r="Z12" s="50" t="s">
        <v>313</v>
      </c>
      <c r="AA12" s="731"/>
      <c r="AB12" s="726"/>
      <c r="AC12" s="726"/>
      <c r="AE12" s="51"/>
      <c r="AG12" s="52"/>
    </row>
    <row r="13" spans="1:40" ht="30" customHeight="1" x14ac:dyDescent="0.25">
      <c r="B13" s="41" t="s">
        <v>314</v>
      </c>
      <c r="C13" s="31">
        <f>+C5/$AA$5</f>
        <v>0.22314814814814815</v>
      </c>
      <c r="D13" s="31">
        <f>+D5/$AA$5</f>
        <v>0</v>
      </c>
      <c r="E13" s="31">
        <f>+E5/$AA$5</f>
        <v>0.22314814814814815</v>
      </c>
      <c r="F13" s="31">
        <f t="shared" ref="F13:Z13" si="5">+F5/$AA$5</f>
        <v>0</v>
      </c>
      <c r="G13" s="31">
        <f t="shared" si="5"/>
        <v>0.22314814814814815</v>
      </c>
      <c r="H13" s="31">
        <f t="shared" si="5"/>
        <v>0</v>
      </c>
      <c r="I13" s="31">
        <f t="shared" si="5"/>
        <v>0.15444444444444444</v>
      </c>
      <c r="J13" s="31">
        <f t="shared" si="5"/>
        <v>0</v>
      </c>
      <c r="K13" s="31">
        <f>+K5/$AA$5</f>
        <v>0.17611111111111111</v>
      </c>
      <c r="L13" s="31">
        <f t="shared" si="5"/>
        <v>0</v>
      </c>
      <c r="M13" s="31">
        <f t="shared" si="5"/>
        <v>0</v>
      </c>
      <c r="N13" s="31">
        <f t="shared" si="5"/>
        <v>0</v>
      </c>
      <c r="O13" s="31">
        <f t="shared" si="5"/>
        <v>0</v>
      </c>
      <c r="P13" s="31">
        <f t="shared" si="5"/>
        <v>0</v>
      </c>
      <c r="Q13" s="31">
        <f t="shared" si="5"/>
        <v>0</v>
      </c>
      <c r="R13" s="31">
        <f t="shared" si="5"/>
        <v>0</v>
      </c>
      <c r="S13" s="31">
        <f t="shared" si="5"/>
        <v>0</v>
      </c>
      <c r="T13" s="31">
        <f t="shared" si="5"/>
        <v>0</v>
      </c>
      <c r="U13" s="31">
        <f t="shared" si="5"/>
        <v>0</v>
      </c>
      <c r="V13" s="31">
        <f t="shared" si="5"/>
        <v>0</v>
      </c>
      <c r="W13" s="31">
        <f t="shared" si="5"/>
        <v>0</v>
      </c>
      <c r="X13" s="31">
        <f t="shared" si="5"/>
        <v>0</v>
      </c>
      <c r="Y13" s="31">
        <f t="shared" si="5"/>
        <v>0</v>
      </c>
      <c r="Z13" s="30">
        <f t="shared" si="5"/>
        <v>0</v>
      </c>
      <c r="AA13" s="31">
        <f>+C13+E13+G13+I13+K13+M13+O13+Q13+S13+U13+W13+Y13</f>
        <v>1</v>
      </c>
      <c r="AB13" s="31">
        <f>+C13</f>
        <v>0.22314814814814815</v>
      </c>
      <c r="AC13" s="31">
        <f>+D13</f>
        <v>0</v>
      </c>
      <c r="AE13" s="46">
        <f>+ROUND(C13,4)</f>
        <v>0.22309999999999999</v>
      </c>
      <c r="AF13" s="46">
        <f t="shared" ref="AF13:AL13" si="6">+ROUND(D13,4)</f>
        <v>0</v>
      </c>
      <c r="AG13" s="46">
        <f t="shared" si="6"/>
        <v>0.22309999999999999</v>
      </c>
      <c r="AH13" s="46">
        <f t="shared" si="6"/>
        <v>0</v>
      </c>
      <c r="AI13" s="46">
        <f t="shared" si="6"/>
        <v>0.22309999999999999</v>
      </c>
      <c r="AJ13" s="46">
        <f t="shared" si="6"/>
        <v>0</v>
      </c>
      <c r="AK13" s="46">
        <f t="shared" si="6"/>
        <v>0.15440000000000001</v>
      </c>
      <c r="AL13" s="46">
        <f t="shared" si="6"/>
        <v>0</v>
      </c>
      <c r="AM13" s="46">
        <f>+ROUND(K13,4)+0.02%</f>
        <v>0.17630000000000001</v>
      </c>
      <c r="AN13" s="53">
        <f>SUM(AE13:AM13)</f>
        <v>1</v>
      </c>
    </row>
    <row r="14" spans="1:40" ht="30" customHeight="1" x14ac:dyDescent="0.25">
      <c r="B14" s="41" t="s">
        <v>315</v>
      </c>
      <c r="C14" s="31">
        <f>+C6/$AA$6</f>
        <v>0</v>
      </c>
      <c r="D14" s="31">
        <f>+D6/$AA$6</f>
        <v>0</v>
      </c>
      <c r="E14" s="31">
        <f>+E6/$AA$6</f>
        <v>0</v>
      </c>
      <c r="F14" s="31">
        <f t="shared" ref="F14:Z14" si="7">+F6/$AA$6</f>
        <v>0</v>
      </c>
      <c r="G14" s="31">
        <f t="shared" si="7"/>
        <v>0.33333333333333331</v>
      </c>
      <c r="H14" s="31">
        <f t="shared" si="7"/>
        <v>0</v>
      </c>
      <c r="I14" s="31">
        <f t="shared" si="7"/>
        <v>0.33333333333333331</v>
      </c>
      <c r="J14" s="31">
        <f t="shared" si="7"/>
        <v>0</v>
      </c>
      <c r="K14" s="31">
        <f t="shared" si="7"/>
        <v>0.33333333333333331</v>
      </c>
      <c r="L14" s="31">
        <f t="shared" si="7"/>
        <v>0</v>
      </c>
      <c r="M14" s="31">
        <f t="shared" si="7"/>
        <v>0</v>
      </c>
      <c r="N14" s="31">
        <f t="shared" si="7"/>
        <v>0</v>
      </c>
      <c r="O14" s="31">
        <f t="shared" si="7"/>
        <v>0</v>
      </c>
      <c r="P14" s="31">
        <f t="shared" si="7"/>
        <v>0</v>
      </c>
      <c r="Q14" s="31">
        <f t="shared" si="7"/>
        <v>0</v>
      </c>
      <c r="R14" s="31">
        <f t="shared" si="7"/>
        <v>0</v>
      </c>
      <c r="S14" s="31">
        <f t="shared" si="7"/>
        <v>0</v>
      </c>
      <c r="T14" s="31">
        <f t="shared" si="7"/>
        <v>0</v>
      </c>
      <c r="U14" s="31">
        <f t="shared" si="7"/>
        <v>0</v>
      </c>
      <c r="V14" s="31">
        <f t="shared" si="7"/>
        <v>0</v>
      </c>
      <c r="W14" s="31">
        <f t="shared" si="7"/>
        <v>0</v>
      </c>
      <c r="X14" s="31">
        <f t="shared" si="7"/>
        <v>0</v>
      </c>
      <c r="Y14" s="31">
        <f t="shared" si="7"/>
        <v>0</v>
      </c>
      <c r="Z14" s="30">
        <f t="shared" si="7"/>
        <v>0</v>
      </c>
      <c r="AA14" s="31">
        <f t="shared" ref="AA14:AA15" si="8">+C14+E14+G14+I14+K14+M14+O14+Q14+S14+U14+W14+Y14</f>
        <v>1</v>
      </c>
      <c r="AB14" s="31">
        <f t="shared" ref="AB14:AC15" si="9">+C14</f>
        <v>0</v>
      </c>
      <c r="AC14" s="31">
        <f t="shared" si="9"/>
        <v>0</v>
      </c>
      <c r="AE14" s="46">
        <f t="shared" ref="AE14:AE15" si="10">+ROUND(C14,4)</f>
        <v>0</v>
      </c>
      <c r="AF14" s="46">
        <f t="shared" ref="AF14:AF15" si="11">+ROUND(D14,4)</f>
        <v>0</v>
      </c>
      <c r="AG14" s="46">
        <f t="shared" ref="AG14:AG15" si="12">+ROUND(E14,4)</f>
        <v>0</v>
      </c>
      <c r="AH14" s="46">
        <f t="shared" ref="AH14:AH15" si="13">+ROUND(F14,4)</f>
        <v>0</v>
      </c>
      <c r="AI14" s="46">
        <f t="shared" ref="AI14:AI15" si="14">+ROUND(G14,4)</f>
        <v>0.33329999999999999</v>
      </c>
      <c r="AJ14" s="46">
        <f t="shared" ref="AJ14:AJ15" si="15">+ROUND(H14,4)</f>
        <v>0</v>
      </c>
      <c r="AK14" s="46">
        <f t="shared" ref="AK14:AK15" si="16">+ROUND(I14,4)</f>
        <v>0.33329999999999999</v>
      </c>
      <c r="AL14" s="46">
        <f t="shared" ref="AL14:AL15" si="17">+ROUND(J14,4)</f>
        <v>0</v>
      </c>
      <c r="AM14" s="46">
        <f>+ROUND(K14,4)+0.01%</f>
        <v>0.33339999999999997</v>
      </c>
      <c r="AN14" s="53">
        <f t="shared" ref="AN14:AN15" si="18">SUM(AE14:AM14)</f>
        <v>1</v>
      </c>
    </row>
    <row r="15" spans="1:40" ht="30" customHeight="1" x14ac:dyDescent="0.25">
      <c r="B15" s="41" t="s">
        <v>316</v>
      </c>
      <c r="C15" s="31">
        <f>+C7/$AA$7</f>
        <v>0.19780219780219779</v>
      </c>
      <c r="D15" s="31">
        <f>+D7/$AA$7</f>
        <v>0</v>
      </c>
      <c r="E15" s="31">
        <f>+E7/$AA$7</f>
        <v>0.19780219780219779</v>
      </c>
      <c r="F15" s="31">
        <f t="shared" ref="F15:Z15" si="19">+F7/$AA$7</f>
        <v>0</v>
      </c>
      <c r="G15" s="31">
        <f t="shared" si="19"/>
        <v>0.1956043956043956</v>
      </c>
      <c r="H15" s="31">
        <f t="shared" si="19"/>
        <v>0</v>
      </c>
      <c r="I15" s="31">
        <f t="shared" si="19"/>
        <v>0.1956043956043956</v>
      </c>
      <c r="J15" s="31">
        <f t="shared" si="19"/>
        <v>0</v>
      </c>
      <c r="K15" s="31">
        <f>+K7/$AA$7</f>
        <v>0.21318681318681318</v>
      </c>
      <c r="L15" s="31">
        <f t="shared" si="19"/>
        <v>0</v>
      </c>
      <c r="M15" s="31">
        <f t="shared" si="19"/>
        <v>0</v>
      </c>
      <c r="N15" s="31">
        <f t="shared" si="19"/>
        <v>0</v>
      </c>
      <c r="O15" s="31">
        <f t="shared" si="19"/>
        <v>0</v>
      </c>
      <c r="P15" s="31">
        <f t="shared" si="19"/>
        <v>0</v>
      </c>
      <c r="Q15" s="31">
        <f t="shared" si="19"/>
        <v>0</v>
      </c>
      <c r="R15" s="31">
        <f t="shared" si="19"/>
        <v>0</v>
      </c>
      <c r="S15" s="31">
        <f t="shared" si="19"/>
        <v>0</v>
      </c>
      <c r="T15" s="31">
        <f t="shared" si="19"/>
        <v>0</v>
      </c>
      <c r="U15" s="31">
        <f t="shared" si="19"/>
        <v>0</v>
      </c>
      <c r="V15" s="31">
        <f t="shared" si="19"/>
        <v>0</v>
      </c>
      <c r="W15" s="31">
        <f t="shared" si="19"/>
        <v>0</v>
      </c>
      <c r="X15" s="31">
        <f t="shared" si="19"/>
        <v>0</v>
      </c>
      <c r="Y15" s="31">
        <f t="shared" si="19"/>
        <v>0</v>
      </c>
      <c r="Z15" s="30">
        <f t="shared" si="19"/>
        <v>0</v>
      </c>
      <c r="AA15" s="31">
        <f t="shared" si="8"/>
        <v>1</v>
      </c>
      <c r="AB15" s="31">
        <f t="shared" si="9"/>
        <v>0.19780219780219779</v>
      </c>
      <c r="AC15" s="31">
        <f t="shared" si="9"/>
        <v>0</v>
      </c>
      <c r="AE15" s="46">
        <f t="shared" si="10"/>
        <v>0.1978</v>
      </c>
      <c r="AF15" s="46">
        <f t="shared" si="11"/>
        <v>0</v>
      </c>
      <c r="AG15" s="46">
        <f t="shared" si="12"/>
        <v>0.1978</v>
      </c>
      <c r="AH15" s="46">
        <f t="shared" si="13"/>
        <v>0</v>
      </c>
      <c r="AI15" s="46">
        <f t="shared" si="14"/>
        <v>0.1956</v>
      </c>
      <c r="AJ15" s="46">
        <f t="shared" si="15"/>
        <v>0</v>
      </c>
      <c r="AK15" s="46">
        <f t="shared" si="16"/>
        <v>0.1956</v>
      </c>
      <c r="AL15" s="46">
        <f t="shared" si="17"/>
        <v>0</v>
      </c>
      <c r="AM15" s="46">
        <f t="shared" ref="AM15" si="20">+ROUND(K15,4)</f>
        <v>0.2132</v>
      </c>
      <c r="AN15" s="53">
        <f t="shared" si="18"/>
        <v>1</v>
      </c>
    </row>
    <row r="17" spans="1:40" ht="39" customHeight="1" x14ac:dyDescent="0.25">
      <c r="A17" s="37">
        <v>3</v>
      </c>
      <c r="B17" s="38" t="s">
        <v>317</v>
      </c>
      <c r="C17" s="898" t="s">
        <v>150</v>
      </c>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900"/>
    </row>
    <row r="18" spans="1:40" ht="26.25" customHeight="1" x14ac:dyDescent="0.25">
      <c r="B18" s="901" t="s">
        <v>308</v>
      </c>
      <c r="C18" s="903" t="s">
        <v>207</v>
      </c>
      <c r="D18" s="904"/>
      <c r="E18" s="903" t="s">
        <v>208</v>
      </c>
      <c r="F18" s="904"/>
      <c r="G18" s="903" t="s">
        <v>209</v>
      </c>
      <c r="H18" s="904"/>
      <c r="I18" s="903" t="s">
        <v>210</v>
      </c>
      <c r="J18" s="904"/>
      <c r="K18" s="903" t="s">
        <v>211</v>
      </c>
      <c r="L18" s="904"/>
      <c r="M18" s="903" t="s">
        <v>212</v>
      </c>
      <c r="N18" s="904"/>
      <c r="O18" s="903" t="s">
        <v>199</v>
      </c>
      <c r="P18" s="904"/>
      <c r="Q18" s="903" t="s">
        <v>201</v>
      </c>
      <c r="R18" s="904"/>
      <c r="S18" s="903" t="s">
        <v>202</v>
      </c>
      <c r="T18" s="904"/>
      <c r="U18" s="903" t="s">
        <v>203</v>
      </c>
      <c r="V18" s="904"/>
      <c r="W18" s="903" t="s">
        <v>204</v>
      </c>
      <c r="X18" s="904"/>
      <c r="Y18" s="903" t="s">
        <v>205</v>
      </c>
      <c r="Z18" s="904"/>
      <c r="AA18" s="896" t="s">
        <v>309</v>
      </c>
      <c r="AB18" s="895" t="s">
        <v>310</v>
      </c>
      <c r="AC18" s="895" t="s">
        <v>311</v>
      </c>
    </row>
    <row r="19" spans="1:40" s="39" customFormat="1" ht="34.5" customHeight="1" thickBot="1" x14ac:dyDescent="0.25">
      <c r="B19" s="902"/>
      <c r="C19" s="40" t="s">
        <v>312</v>
      </c>
      <c r="D19" s="40" t="s">
        <v>313</v>
      </c>
      <c r="E19" s="40" t="s">
        <v>312</v>
      </c>
      <c r="F19" s="40" t="s">
        <v>313</v>
      </c>
      <c r="G19" s="40" t="s">
        <v>312</v>
      </c>
      <c r="H19" s="40" t="s">
        <v>313</v>
      </c>
      <c r="I19" s="40" t="s">
        <v>312</v>
      </c>
      <c r="J19" s="40" t="s">
        <v>313</v>
      </c>
      <c r="K19" s="40" t="s">
        <v>312</v>
      </c>
      <c r="L19" s="40" t="s">
        <v>313</v>
      </c>
      <c r="M19" s="40" t="s">
        <v>312</v>
      </c>
      <c r="N19" s="40" t="s">
        <v>313</v>
      </c>
      <c r="O19" s="40" t="s">
        <v>312</v>
      </c>
      <c r="P19" s="40" t="s">
        <v>313</v>
      </c>
      <c r="Q19" s="40" t="s">
        <v>312</v>
      </c>
      <c r="R19" s="40" t="s">
        <v>313</v>
      </c>
      <c r="S19" s="40" t="s">
        <v>312</v>
      </c>
      <c r="T19" s="40" t="s">
        <v>313</v>
      </c>
      <c r="U19" s="40" t="s">
        <v>312</v>
      </c>
      <c r="V19" s="40" t="s">
        <v>313</v>
      </c>
      <c r="W19" s="40" t="s">
        <v>312</v>
      </c>
      <c r="X19" s="40" t="s">
        <v>313</v>
      </c>
      <c r="Y19" s="40" t="s">
        <v>312</v>
      </c>
      <c r="Z19" s="40" t="s">
        <v>313</v>
      </c>
      <c r="AA19" s="897"/>
      <c r="AB19" s="895"/>
      <c r="AC19" s="895"/>
      <c r="AH19" s="39">
        <v>3510</v>
      </c>
    </row>
    <row r="20" spans="1:40" ht="54" customHeight="1" x14ac:dyDescent="0.25">
      <c r="B20" s="41" t="s">
        <v>318</v>
      </c>
      <c r="C20" s="54">
        <v>685</v>
      </c>
      <c r="D20" s="54">
        <v>0</v>
      </c>
      <c r="E20" s="54">
        <v>785</v>
      </c>
      <c r="F20" s="54">
        <v>0</v>
      </c>
      <c r="G20" s="54">
        <v>980</v>
      </c>
      <c r="H20" s="54">
        <v>0</v>
      </c>
      <c r="I20" s="54">
        <v>490</v>
      </c>
      <c r="J20" s="54">
        <v>0</v>
      </c>
      <c r="K20" s="54">
        <v>500</v>
      </c>
      <c r="L20" s="54"/>
      <c r="M20" s="54"/>
      <c r="N20" s="54"/>
      <c r="O20" s="54"/>
      <c r="P20" s="54"/>
      <c r="Q20" s="54"/>
      <c r="R20" s="54"/>
      <c r="S20" s="54"/>
      <c r="T20" s="54"/>
      <c r="U20" s="54"/>
      <c r="V20" s="54"/>
      <c r="W20" s="54"/>
      <c r="X20" s="54"/>
      <c r="Y20" s="54"/>
      <c r="Z20" s="54"/>
      <c r="AA20" s="42">
        <f>+C20+E20+G20+I20+K20+M20+O20+Q20+S20+U20+W20+Y20</f>
        <v>3440</v>
      </c>
      <c r="AB20" s="43">
        <f>+C20</f>
        <v>685</v>
      </c>
      <c r="AC20" s="43">
        <f>+D20</f>
        <v>0</v>
      </c>
      <c r="AD20" s="44">
        <f>+AA20*$AD$22/$AA$22</f>
        <v>0.13024957264957265</v>
      </c>
      <c r="AE20" s="204">
        <f>5013+432</f>
        <v>5445</v>
      </c>
      <c r="AF20" s="205">
        <f>+AE20/$AE$22</f>
        <v>0.97668161434977574</v>
      </c>
      <c r="AG20" s="204">
        <f>+AA23*AF20</f>
        <v>0</v>
      </c>
      <c r="AH20" s="49">
        <v>0.98</v>
      </c>
      <c r="AI20" s="36">
        <f>+AH19*AH20</f>
        <v>3439.7999999999997</v>
      </c>
      <c r="AK20" s="53">
        <v>0.12820000000000001</v>
      </c>
      <c r="AL20" s="49">
        <v>1</v>
      </c>
    </row>
    <row r="21" spans="1:40" ht="54" customHeight="1" x14ac:dyDescent="0.25">
      <c r="B21" s="41" t="s">
        <v>319</v>
      </c>
      <c r="C21" s="42">
        <v>15</v>
      </c>
      <c r="D21" s="42"/>
      <c r="E21" s="42">
        <v>15</v>
      </c>
      <c r="F21" s="42"/>
      <c r="G21" s="42">
        <v>20</v>
      </c>
      <c r="H21" s="42"/>
      <c r="I21" s="42">
        <v>10</v>
      </c>
      <c r="J21" s="42"/>
      <c r="K21" s="42">
        <v>10</v>
      </c>
      <c r="L21" s="42"/>
      <c r="M21" s="42"/>
      <c r="N21" s="42"/>
      <c r="O21" s="42"/>
      <c r="P21" s="42"/>
      <c r="Q21" s="42"/>
      <c r="R21" s="42"/>
      <c r="S21" s="42"/>
      <c r="T21" s="42"/>
      <c r="U21" s="42"/>
      <c r="V21" s="42"/>
      <c r="W21" s="42"/>
      <c r="X21" s="42"/>
      <c r="Y21" s="42"/>
      <c r="Z21" s="42"/>
      <c r="AA21" s="42">
        <f>+C21+E21+G21+I21+K21+M21+O21+Q21+S21+U21+W21+Y21</f>
        <v>70</v>
      </c>
      <c r="AB21" s="43">
        <f>+C21</f>
        <v>15</v>
      </c>
      <c r="AC21" s="43">
        <f>+D21</f>
        <v>0</v>
      </c>
      <c r="AD21" s="44">
        <f>+AA21*$AD$22/$AA$22</f>
        <v>2.6504273504273502E-3</v>
      </c>
      <c r="AE21" s="204">
        <v>130</v>
      </c>
      <c r="AF21" s="205">
        <f>+AE21/$AE$22</f>
        <v>2.3318385650224215E-2</v>
      </c>
      <c r="AG21" s="204">
        <f>+AA23*AF21</f>
        <v>0</v>
      </c>
      <c r="AH21" s="49">
        <v>0.02</v>
      </c>
      <c r="AI21" s="36">
        <f>+AH19*AH21</f>
        <v>70.2</v>
      </c>
      <c r="AK21" s="64">
        <f>+AL21*AK20/AL20</f>
        <v>2.5640000000000003E-3</v>
      </c>
      <c r="AL21" s="49">
        <f>+AH21</f>
        <v>0.02</v>
      </c>
    </row>
    <row r="22" spans="1:40" ht="30" customHeight="1" x14ac:dyDescent="0.25">
      <c r="B22" s="34" t="s">
        <v>309</v>
      </c>
      <c r="C22" s="47">
        <f t="shared" ref="C22:O22" si="21">SUM(C20:C21)</f>
        <v>700</v>
      </c>
      <c r="D22" s="47">
        <f t="shared" si="21"/>
        <v>0</v>
      </c>
      <c r="E22" s="47">
        <f t="shared" si="21"/>
        <v>800</v>
      </c>
      <c r="F22" s="47">
        <f t="shared" si="21"/>
        <v>0</v>
      </c>
      <c r="G22" s="47">
        <f t="shared" si="21"/>
        <v>1000</v>
      </c>
      <c r="H22" s="47">
        <f t="shared" si="21"/>
        <v>0</v>
      </c>
      <c r="I22" s="47">
        <f t="shared" si="21"/>
        <v>500</v>
      </c>
      <c r="J22" s="47">
        <f t="shared" si="21"/>
        <v>0</v>
      </c>
      <c r="K22" s="47">
        <f t="shared" si="21"/>
        <v>510</v>
      </c>
      <c r="L22" s="47">
        <f t="shared" si="21"/>
        <v>0</v>
      </c>
      <c r="M22" s="47">
        <f t="shared" si="21"/>
        <v>0</v>
      </c>
      <c r="N22" s="47">
        <f t="shared" si="21"/>
        <v>0</v>
      </c>
      <c r="O22" s="47">
        <f t="shared" si="21"/>
        <v>0</v>
      </c>
      <c r="P22" s="47"/>
      <c r="Q22" s="47">
        <f>SUM(Q20:Q21)</f>
        <v>0</v>
      </c>
      <c r="R22" s="47"/>
      <c r="S22" s="47">
        <f>SUM(S20:S21)</f>
        <v>0</v>
      </c>
      <c r="T22" s="47"/>
      <c r="U22" s="47">
        <f>SUM(U20:U21)</f>
        <v>0</v>
      </c>
      <c r="V22" s="47"/>
      <c r="W22" s="47">
        <f>SUM(W20:W21)</f>
        <v>0</v>
      </c>
      <c r="X22" s="47"/>
      <c r="Y22" s="47">
        <f>SUM(Y20:Y21)</f>
        <v>0</v>
      </c>
      <c r="Z22" s="47"/>
      <c r="AA22" s="47">
        <f>SUM(AA20:AA21)</f>
        <v>3510</v>
      </c>
      <c r="AB22" s="47">
        <f>SUM(AB20:AB21)</f>
        <v>700</v>
      </c>
      <c r="AC22" s="47">
        <f>SUM(AC20:AC21)</f>
        <v>0</v>
      </c>
      <c r="AD22" s="44">
        <v>0.13289999999999999</v>
      </c>
      <c r="AE22" s="204">
        <f>+AE20+AE21</f>
        <v>5575</v>
      </c>
      <c r="AF22" s="205"/>
    </row>
    <row r="23" spans="1:40" x14ac:dyDescent="0.25">
      <c r="B23" s="48"/>
      <c r="L23">
        <v>0</v>
      </c>
      <c r="M23">
        <v>0</v>
      </c>
    </row>
    <row r="24" spans="1:40" ht="39" customHeight="1" x14ac:dyDescent="0.25">
      <c r="B24" s="38" t="s">
        <v>317</v>
      </c>
      <c r="C24" s="898" t="s">
        <v>150</v>
      </c>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900"/>
    </row>
    <row r="25" spans="1:40" ht="26.25" customHeight="1" x14ac:dyDescent="0.25">
      <c r="B25" s="901" t="s">
        <v>308</v>
      </c>
      <c r="C25" s="894" t="s">
        <v>207</v>
      </c>
      <c r="D25" s="894"/>
      <c r="E25" s="894" t="s">
        <v>208</v>
      </c>
      <c r="F25" s="894"/>
      <c r="G25" s="894" t="s">
        <v>209</v>
      </c>
      <c r="H25" s="894"/>
      <c r="I25" s="894" t="s">
        <v>210</v>
      </c>
      <c r="J25" s="894"/>
      <c r="K25" s="894" t="s">
        <v>211</v>
      </c>
      <c r="L25" s="894"/>
      <c r="M25" s="894" t="s">
        <v>212</v>
      </c>
      <c r="N25" s="894"/>
      <c r="O25" s="894" t="s">
        <v>199</v>
      </c>
      <c r="P25" s="894"/>
      <c r="Q25" s="894" t="s">
        <v>201</v>
      </c>
      <c r="R25" s="894"/>
      <c r="S25" s="894" t="s">
        <v>202</v>
      </c>
      <c r="T25" s="894"/>
      <c r="U25" s="894" t="s">
        <v>203</v>
      </c>
      <c r="V25" s="894"/>
      <c r="W25" s="894" t="s">
        <v>204</v>
      </c>
      <c r="X25" s="894"/>
      <c r="Y25" s="894" t="s">
        <v>205</v>
      </c>
      <c r="Z25" s="894"/>
      <c r="AA25" s="894" t="s">
        <v>309</v>
      </c>
      <c r="AB25" s="895" t="s">
        <v>310</v>
      </c>
      <c r="AC25" s="895" t="s">
        <v>311</v>
      </c>
    </row>
    <row r="26" spans="1:40" s="22" customFormat="1" ht="34.5" customHeight="1" x14ac:dyDescent="0.2">
      <c r="B26" s="902"/>
      <c r="C26" s="50" t="s">
        <v>312</v>
      </c>
      <c r="D26" s="50" t="s">
        <v>313</v>
      </c>
      <c r="E26" s="50" t="s">
        <v>312</v>
      </c>
      <c r="F26" s="50" t="s">
        <v>313</v>
      </c>
      <c r="G26" s="50" t="s">
        <v>312</v>
      </c>
      <c r="H26" s="50" t="s">
        <v>313</v>
      </c>
      <c r="I26" s="50" t="s">
        <v>312</v>
      </c>
      <c r="J26" s="50" t="s">
        <v>313</v>
      </c>
      <c r="K26" s="50" t="s">
        <v>312</v>
      </c>
      <c r="L26" s="50" t="s">
        <v>313</v>
      </c>
      <c r="M26" s="50" t="s">
        <v>312</v>
      </c>
      <c r="N26" s="50" t="s">
        <v>313</v>
      </c>
      <c r="O26" s="50" t="s">
        <v>312</v>
      </c>
      <c r="P26" s="50" t="s">
        <v>313</v>
      </c>
      <c r="Q26" s="50" t="s">
        <v>312</v>
      </c>
      <c r="R26" s="50" t="s">
        <v>313</v>
      </c>
      <c r="S26" s="50" t="s">
        <v>312</v>
      </c>
      <c r="T26" s="50" t="s">
        <v>313</v>
      </c>
      <c r="U26" s="50" t="s">
        <v>312</v>
      </c>
      <c r="V26" s="50" t="s">
        <v>313</v>
      </c>
      <c r="W26" s="50" t="s">
        <v>312</v>
      </c>
      <c r="X26" s="50" t="s">
        <v>313</v>
      </c>
      <c r="Y26" s="50" t="s">
        <v>312</v>
      </c>
      <c r="Z26" s="50" t="s">
        <v>313</v>
      </c>
      <c r="AA26" s="894"/>
      <c r="AB26" s="895"/>
      <c r="AC26" s="895"/>
    </row>
    <row r="27" spans="1:40" ht="54.75" customHeight="1" x14ac:dyDescent="0.25">
      <c r="B27" s="41" t="s">
        <v>318</v>
      </c>
      <c r="C27" s="31">
        <f>+C20/$AA$20</f>
        <v>0.19912790697674418</v>
      </c>
      <c r="D27" s="31">
        <f>+D20/$AA$20</f>
        <v>0</v>
      </c>
      <c r="E27" s="31">
        <f t="shared" ref="E27:Z27" si="22">+E20/$AA$20</f>
        <v>0.22819767441860464</v>
      </c>
      <c r="F27" s="31">
        <f t="shared" si="22"/>
        <v>0</v>
      </c>
      <c r="G27" s="31">
        <f t="shared" si="22"/>
        <v>0.28488372093023256</v>
      </c>
      <c r="H27" s="31">
        <f t="shared" si="22"/>
        <v>0</v>
      </c>
      <c r="I27" s="31">
        <f>+I20/$AA$20</f>
        <v>0.14244186046511628</v>
      </c>
      <c r="J27" s="31">
        <f t="shared" si="22"/>
        <v>0</v>
      </c>
      <c r="K27" s="31">
        <f t="shared" si="22"/>
        <v>0.14534883720930233</v>
      </c>
      <c r="L27" s="31">
        <f t="shared" si="22"/>
        <v>0</v>
      </c>
      <c r="M27" s="31">
        <f t="shared" si="22"/>
        <v>0</v>
      </c>
      <c r="N27" s="31">
        <f t="shared" si="22"/>
        <v>0</v>
      </c>
      <c r="O27" s="31">
        <f t="shared" si="22"/>
        <v>0</v>
      </c>
      <c r="P27" s="31">
        <f t="shared" si="22"/>
        <v>0</v>
      </c>
      <c r="Q27" s="31">
        <f t="shared" si="22"/>
        <v>0</v>
      </c>
      <c r="R27" s="31">
        <f t="shared" si="22"/>
        <v>0</v>
      </c>
      <c r="S27" s="31">
        <f t="shared" si="22"/>
        <v>0</v>
      </c>
      <c r="T27" s="31">
        <f t="shared" si="22"/>
        <v>0</v>
      </c>
      <c r="U27" s="31">
        <f t="shared" si="22"/>
        <v>0</v>
      </c>
      <c r="V27" s="31">
        <f t="shared" si="22"/>
        <v>0</v>
      </c>
      <c r="W27" s="31">
        <f t="shared" si="22"/>
        <v>0</v>
      </c>
      <c r="X27" s="31">
        <f t="shared" si="22"/>
        <v>0</v>
      </c>
      <c r="Y27" s="31">
        <f t="shared" si="22"/>
        <v>0</v>
      </c>
      <c r="Z27" s="30">
        <f t="shared" si="22"/>
        <v>0</v>
      </c>
      <c r="AA27" s="31">
        <f>+C27+E27+G27+I27+K27+M27+O27+Q27+S27+U27+W27+Y27</f>
        <v>1</v>
      </c>
      <c r="AB27" s="31">
        <f>+C27</f>
        <v>0.19912790697674418</v>
      </c>
      <c r="AC27" s="31">
        <f>+D27</f>
        <v>0</v>
      </c>
      <c r="AE27" s="208">
        <f>+ROUND(C27,4)</f>
        <v>0.1991</v>
      </c>
      <c r="AF27" s="208">
        <f>+ROUND(D27,4)</f>
        <v>0</v>
      </c>
      <c r="AG27" s="208">
        <f t="shared" ref="AG27:AG28" si="23">+ROUND(E27,4)</f>
        <v>0.22819999999999999</v>
      </c>
      <c r="AH27" s="208">
        <f t="shared" ref="AH27:AH28" si="24">+ROUND(F27,4)</f>
        <v>0</v>
      </c>
      <c r="AI27" s="208">
        <f t="shared" ref="AI27:AI28" si="25">+ROUND(G27,4)</f>
        <v>0.28489999999999999</v>
      </c>
      <c r="AJ27" s="208">
        <f t="shared" ref="AJ27:AJ28" si="26">+ROUND(H27,4)</f>
        <v>0</v>
      </c>
      <c r="AK27" s="208">
        <f t="shared" ref="AK27:AK28" si="27">+ROUND(I27,4)</f>
        <v>0.1424</v>
      </c>
      <c r="AL27" s="208">
        <f t="shared" ref="AL27:AL28" si="28">+ROUND(J27,4)</f>
        <v>0</v>
      </c>
      <c r="AM27" s="208">
        <f>+ROUND(K27,4)+0.01%</f>
        <v>0.1454</v>
      </c>
      <c r="AN27" s="209">
        <f>SUM(AE27:AM27)</f>
        <v>0.99999999999999989</v>
      </c>
    </row>
    <row r="28" spans="1:40" ht="54.75" customHeight="1" x14ac:dyDescent="0.25">
      <c r="B28" s="41" t="s">
        <v>319</v>
      </c>
      <c r="C28" s="31">
        <f>+C21/$AA$21</f>
        <v>0.21428571428571427</v>
      </c>
      <c r="D28" s="31">
        <f t="shared" ref="D28:Z28" si="29">+D21/$AA$21</f>
        <v>0</v>
      </c>
      <c r="E28" s="31">
        <f>+E21/$AA$21</f>
        <v>0.21428571428571427</v>
      </c>
      <c r="F28" s="31">
        <f t="shared" si="29"/>
        <v>0</v>
      </c>
      <c r="G28" s="31">
        <f t="shared" si="29"/>
        <v>0.2857142857142857</v>
      </c>
      <c r="H28" s="31">
        <f t="shared" si="29"/>
        <v>0</v>
      </c>
      <c r="I28" s="31">
        <f t="shared" si="29"/>
        <v>0.14285714285714285</v>
      </c>
      <c r="J28" s="31">
        <f t="shared" si="29"/>
        <v>0</v>
      </c>
      <c r="K28" s="31">
        <f t="shared" si="29"/>
        <v>0.14285714285714285</v>
      </c>
      <c r="L28" s="31">
        <f t="shared" si="29"/>
        <v>0</v>
      </c>
      <c r="M28" s="31">
        <f t="shared" si="29"/>
        <v>0</v>
      </c>
      <c r="N28" s="31">
        <f t="shared" si="29"/>
        <v>0</v>
      </c>
      <c r="O28" s="31">
        <f t="shared" si="29"/>
        <v>0</v>
      </c>
      <c r="P28" s="31">
        <f t="shared" si="29"/>
        <v>0</v>
      </c>
      <c r="Q28" s="31">
        <f t="shared" si="29"/>
        <v>0</v>
      </c>
      <c r="R28" s="31">
        <f t="shared" si="29"/>
        <v>0</v>
      </c>
      <c r="S28" s="31">
        <f t="shared" si="29"/>
        <v>0</v>
      </c>
      <c r="T28" s="31">
        <f t="shared" si="29"/>
        <v>0</v>
      </c>
      <c r="U28" s="31">
        <f t="shared" si="29"/>
        <v>0</v>
      </c>
      <c r="V28" s="31">
        <f t="shared" si="29"/>
        <v>0</v>
      </c>
      <c r="W28" s="31">
        <f t="shared" si="29"/>
        <v>0</v>
      </c>
      <c r="X28" s="31">
        <f t="shared" si="29"/>
        <v>0</v>
      </c>
      <c r="Y28" s="31">
        <f t="shared" si="29"/>
        <v>0</v>
      </c>
      <c r="Z28" s="30">
        <f t="shared" si="29"/>
        <v>0</v>
      </c>
      <c r="AA28" s="31">
        <f t="shared" ref="AA28" si="30">+C28+E28+G28+I28+K28+M28+O28+Q28+S28+U28+W28+Y28</f>
        <v>0.99999999999999978</v>
      </c>
      <c r="AB28" s="31">
        <f t="shared" ref="AB28:AC28" si="31">+C28</f>
        <v>0.21428571428571427</v>
      </c>
      <c r="AC28" s="31">
        <f t="shared" si="31"/>
        <v>0</v>
      </c>
      <c r="AE28" s="208">
        <f t="shared" ref="AE28" si="32">+ROUND(C28,4)</f>
        <v>0.21429999999999999</v>
      </c>
      <c r="AF28" s="208">
        <f t="shared" ref="AF28" si="33">+ROUND(D28,4)</f>
        <v>0</v>
      </c>
      <c r="AG28" s="208">
        <f t="shared" si="23"/>
        <v>0.21429999999999999</v>
      </c>
      <c r="AH28" s="208">
        <f t="shared" si="24"/>
        <v>0</v>
      </c>
      <c r="AI28" s="208">
        <f t="shared" si="25"/>
        <v>0.28570000000000001</v>
      </c>
      <c r="AJ28" s="208">
        <f t="shared" si="26"/>
        <v>0</v>
      </c>
      <c r="AK28" s="208">
        <f t="shared" si="27"/>
        <v>0.1429</v>
      </c>
      <c r="AL28" s="208">
        <f t="shared" si="28"/>
        <v>0</v>
      </c>
      <c r="AM28" s="208">
        <f>+ROUND(K28,4)-0.01%</f>
        <v>0.14280000000000001</v>
      </c>
      <c r="AN28" s="209">
        <f t="shared" ref="AN28" si="34">SUM(AE28:AM28)</f>
        <v>1</v>
      </c>
    </row>
    <row r="32" spans="1:40" x14ac:dyDescent="0.25">
      <c r="J32">
        <v>24000</v>
      </c>
      <c r="K32" s="49"/>
    </row>
    <row r="33" spans="5:40" x14ac:dyDescent="0.25">
      <c r="E33" s="241">
        <f>+INVERSIÓN!DN11</f>
        <v>6232912000</v>
      </c>
      <c r="G33" s="64">
        <f>+E33/$E$37</f>
        <v>0.82341126148703325</v>
      </c>
      <c r="J33" s="19">
        <v>7925</v>
      </c>
      <c r="K33" s="46"/>
    </row>
    <row r="34" spans="5:40" x14ac:dyDescent="0.25">
      <c r="E34" s="241">
        <f>+INVERSIÓN!DN18</f>
        <v>106920000</v>
      </c>
      <c r="G34" s="64">
        <f t="shared" ref="G34:G36" si="35">+E34/$E$37</f>
        <v>1.4124879683556194E-2</v>
      </c>
    </row>
    <row r="35" spans="5:40" x14ac:dyDescent="0.25">
      <c r="E35" s="241">
        <f>+INVERSIÓN!DN25</f>
        <v>970542000</v>
      </c>
      <c r="G35" s="64">
        <f t="shared" si="35"/>
        <v>0.12821538512755326</v>
      </c>
      <c r="AE35">
        <v>0.1</v>
      </c>
      <c r="AF35">
        <v>0</v>
      </c>
      <c r="AG35">
        <v>0.1</v>
      </c>
      <c r="AH35">
        <v>0</v>
      </c>
      <c r="AI35">
        <v>0.2</v>
      </c>
      <c r="AJ35">
        <v>0</v>
      </c>
      <c r="AK35">
        <v>0.2</v>
      </c>
      <c r="AL35">
        <v>0</v>
      </c>
      <c r="AM35">
        <v>1.4</v>
      </c>
      <c r="AN35">
        <f>SUM(AE35:AM35)</f>
        <v>2</v>
      </c>
    </row>
    <row r="36" spans="5:40" x14ac:dyDescent="0.25">
      <c r="E36" s="241">
        <f>+INVERSIÓN!DN32</f>
        <v>259248000</v>
      </c>
      <c r="G36" s="64">
        <f t="shared" si="35"/>
        <v>3.424847370185724E-2</v>
      </c>
    </row>
    <row r="37" spans="5:40" x14ac:dyDescent="0.25">
      <c r="E37" s="241">
        <f>+SUM(E33:E36)</f>
        <v>7569622000</v>
      </c>
    </row>
    <row r="38" spans="5:40" x14ac:dyDescent="0.25">
      <c r="AE38" s="206">
        <f>+AE35/$AN$35</f>
        <v>0.05</v>
      </c>
      <c r="AF38" s="206">
        <f t="shared" ref="AF38:AM38" si="36">+AF35/$AN$35</f>
        <v>0</v>
      </c>
      <c r="AG38" s="206">
        <f t="shared" si="36"/>
        <v>0.05</v>
      </c>
      <c r="AH38" s="206">
        <f t="shared" si="36"/>
        <v>0</v>
      </c>
      <c r="AI38" s="206">
        <f t="shared" si="36"/>
        <v>0.1</v>
      </c>
      <c r="AJ38" s="206">
        <f t="shared" si="36"/>
        <v>0</v>
      </c>
      <c r="AK38" s="206">
        <f t="shared" si="36"/>
        <v>0.1</v>
      </c>
      <c r="AL38" s="206">
        <f t="shared" si="36"/>
        <v>0</v>
      </c>
      <c r="AM38" s="206">
        <f t="shared" si="36"/>
        <v>0.7</v>
      </c>
    </row>
  </sheetData>
  <mergeCells count="68">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 ref="C10:AC10"/>
    <mergeCell ref="B11:B12"/>
    <mergeCell ref="C11:D11"/>
    <mergeCell ref="E11:F11"/>
    <mergeCell ref="G11:H11"/>
    <mergeCell ref="I11:J11"/>
    <mergeCell ref="K11:L11"/>
    <mergeCell ref="M11:N11"/>
    <mergeCell ref="O11:P11"/>
    <mergeCell ref="AA11:AA12"/>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AA18:AA19"/>
    <mergeCell ref="AB18:AB19"/>
    <mergeCell ref="AC18:AC19"/>
    <mergeCell ref="C24:AC24"/>
    <mergeCell ref="B25:B26"/>
    <mergeCell ref="C25:D25"/>
    <mergeCell ref="E25:F25"/>
    <mergeCell ref="G25:H25"/>
    <mergeCell ref="I25:J25"/>
    <mergeCell ref="K25:L25"/>
    <mergeCell ref="O18:P18"/>
    <mergeCell ref="Q18:R18"/>
    <mergeCell ref="S18:T18"/>
    <mergeCell ref="U18:V18"/>
    <mergeCell ref="W18:X18"/>
    <mergeCell ref="Y18:Z18"/>
    <mergeCell ref="Y25:Z25"/>
    <mergeCell ref="AA25:AA26"/>
    <mergeCell ref="AB25:AB26"/>
    <mergeCell ref="AC25:AC26"/>
    <mergeCell ref="M25:N25"/>
    <mergeCell ref="O25:P25"/>
    <mergeCell ref="Q25:R25"/>
    <mergeCell ref="S25:T25"/>
    <mergeCell ref="U25:V25"/>
    <mergeCell ref="W25:X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
  <sheetViews>
    <sheetView showGridLines="0" zoomScale="64" zoomScaleNormal="64" workbookViewId="0">
      <selection activeCell="T9" sqref="T9:T14"/>
    </sheetView>
  </sheetViews>
  <sheetFormatPr baseColWidth="10" defaultColWidth="11.42578125" defaultRowHeight="15" customHeight="1" x14ac:dyDescent="0.25"/>
  <cols>
    <col min="1" max="1" width="7.5703125" style="126" customWidth="1"/>
    <col min="2" max="2" width="15.85546875" style="126" customWidth="1"/>
    <col min="3" max="3" width="22.85546875" style="143" customWidth="1"/>
    <col min="4" max="4" width="9" style="126" customWidth="1"/>
    <col min="5" max="5" width="9.42578125" style="126" customWidth="1"/>
    <col min="6" max="6" width="9.28515625" style="126" customWidth="1"/>
    <col min="7" max="7" width="8.7109375" style="144" customWidth="1"/>
    <col min="8" max="13" width="8.7109375" style="126" customWidth="1"/>
    <col min="14" max="18" width="8.7109375" style="145" customWidth="1"/>
    <col min="19" max="19" width="9.42578125" style="145" customWidth="1"/>
    <col min="20" max="20" width="11.140625" style="145" customWidth="1"/>
    <col min="21" max="21" width="14.7109375" style="145" customWidth="1"/>
    <col min="22" max="22" width="50.85546875" style="127" customWidth="1"/>
    <col min="23" max="40" width="7.140625" style="126" customWidth="1"/>
    <col min="41" max="106" width="11.42578125" style="126"/>
    <col min="107" max="112" width="0" style="126" hidden="1" customWidth="1"/>
    <col min="113" max="16384" width="11.42578125" style="126"/>
  </cols>
  <sheetData>
    <row r="1" spans="1:34" ht="24" customHeight="1" x14ac:dyDescent="0.25">
      <c r="A1" s="979"/>
      <c r="B1" s="980"/>
      <c r="C1" s="980"/>
      <c r="D1" s="985" t="s">
        <v>0</v>
      </c>
      <c r="E1" s="986"/>
      <c r="F1" s="986"/>
      <c r="G1" s="986"/>
      <c r="H1" s="986"/>
      <c r="I1" s="986"/>
      <c r="J1" s="986"/>
      <c r="K1" s="986"/>
      <c r="L1" s="986"/>
      <c r="M1" s="986"/>
      <c r="N1" s="986"/>
      <c r="O1" s="986"/>
      <c r="P1" s="986"/>
      <c r="Q1" s="986"/>
      <c r="R1" s="986"/>
      <c r="S1" s="986"/>
      <c r="T1" s="986"/>
      <c r="U1" s="986"/>
      <c r="V1" s="987"/>
    </row>
    <row r="2" spans="1:34" ht="24" customHeight="1" x14ac:dyDescent="0.25">
      <c r="A2" s="981"/>
      <c r="B2" s="982"/>
      <c r="C2" s="982"/>
      <c r="D2" s="988" t="s">
        <v>121</v>
      </c>
      <c r="E2" s="989"/>
      <c r="F2" s="989"/>
      <c r="G2" s="989"/>
      <c r="H2" s="989"/>
      <c r="I2" s="989"/>
      <c r="J2" s="989"/>
      <c r="K2" s="989"/>
      <c r="L2" s="989"/>
      <c r="M2" s="989"/>
      <c r="N2" s="989"/>
      <c r="O2" s="989"/>
      <c r="P2" s="989"/>
      <c r="Q2" s="989"/>
      <c r="R2" s="989"/>
      <c r="S2" s="989"/>
      <c r="T2" s="989"/>
      <c r="U2" s="989"/>
      <c r="V2" s="990"/>
    </row>
    <row r="3" spans="1:34" ht="24" customHeight="1" thickBot="1" x14ac:dyDescent="0.3">
      <c r="A3" s="983"/>
      <c r="B3" s="984"/>
      <c r="C3" s="984"/>
      <c r="D3" s="991" t="s">
        <v>122</v>
      </c>
      <c r="E3" s="992"/>
      <c r="F3" s="992"/>
      <c r="G3" s="992"/>
      <c r="H3" s="992"/>
      <c r="I3" s="992"/>
      <c r="J3" s="992"/>
      <c r="K3" s="992"/>
      <c r="L3" s="992"/>
      <c r="M3" s="992"/>
      <c r="N3" s="992"/>
      <c r="O3" s="992"/>
      <c r="P3" s="992"/>
      <c r="Q3" s="992"/>
      <c r="R3" s="992"/>
      <c r="S3" s="992"/>
      <c r="T3" s="992"/>
      <c r="U3" s="993"/>
      <c r="V3" s="285" t="s">
        <v>359</v>
      </c>
    </row>
    <row r="4" spans="1:34" ht="28.5" customHeight="1" thickBot="1" x14ac:dyDescent="0.3">
      <c r="A4" s="736" t="s">
        <v>4</v>
      </c>
      <c r="B4" s="737"/>
      <c r="C4" s="994"/>
      <c r="D4" s="965" t="s">
        <v>5</v>
      </c>
      <c r="E4" s="966"/>
      <c r="F4" s="966"/>
      <c r="G4" s="966"/>
      <c r="H4" s="966"/>
      <c r="I4" s="966"/>
      <c r="J4" s="966"/>
      <c r="K4" s="966"/>
      <c r="L4" s="966"/>
      <c r="M4" s="966"/>
      <c r="N4" s="966"/>
      <c r="O4" s="966"/>
      <c r="P4" s="966"/>
      <c r="Q4" s="966"/>
      <c r="R4" s="966"/>
      <c r="S4" s="966"/>
      <c r="T4" s="966"/>
      <c r="U4" s="966"/>
      <c r="V4" s="967"/>
    </row>
    <row r="5" spans="1:34" ht="22.5" customHeight="1" thickBot="1" x14ac:dyDescent="0.3">
      <c r="A5" s="962" t="s">
        <v>6</v>
      </c>
      <c r="B5" s="963"/>
      <c r="C5" s="964"/>
      <c r="D5" s="965" t="s">
        <v>7</v>
      </c>
      <c r="E5" s="966"/>
      <c r="F5" s="966"/>
      <c r="G5" s="966"/>
      <c r="H5" s="966"/>
      <c r="I5" s="966"/>
      <c r="J5" s="966"/>
      <c r="K5" s="966"/>
      <c r="L5" s="966"/>
      <c r="M5" s="966"/>
      <c r="N5" s="966"/>
      <c r="O5" s="966"/>
      <c r="P5" s="966"/>
      <c r="Q5" s="966"/>
      <c r="R5" s="966"/>
      <c r="S5" s="966"/>
      <c r="T5" s="966"/>
      <c r="U5" s="966"/>
      <c r="V5" s="967"/>
    </row>
    <row r="6" spans="1:34" ht="15" customHeight="1" thickBot="1" x14ac:dyDescent="0.3">
      <c r="A6" s="968"/>
      <c r="B6" s="969"/>
      <c r="C6" s="969"/>
      <c r="D6" s="969"/>
      <c r="E6" s="969"/>
      <c r="F6" s="969"/>
      <c r="G6" s="969"/>
      <c r="H6" s="969"/>
      <c r="I6" s="969"/>
      <c r="J6" s="969"/>
      <c r="K6" s="969"/>
      <c r="L6" s="969"/>
      <c r="M6" s="969"/>
      <c r="N6" s="969"/>
      <c r="O6" s="969"/>
      <c r="P6" s="969"/>
      <c r="Q6" s="969"/>
      <c r="R6" s="969"/>
      <c r="S6" s="969"/>
      <c r="T6" s="969"/>
      <c r="U6" s="969"/>
      <c r="V6" s="970"/>
    </row>
    <row r="7" spans="1:34" s="127" customFormat="1" ht="42.75" customHeight="1" x14ac:dyDescent="0.25">
      <c r="A7" s="971" t="s">
        <v>123</v>
      </c>
      <c r="B7" s="973" t="s">
        <v>124</v>
      </c>
      <c r="C7" s="975" t="s">
        <v>125</v>
      </c>
      <c r="D7" s="976" t="s">
        <v>126</v>
      </c>
      <c r="E7" s="977"/>
      <c r="F7" s="978" t="s">
        <v>354</v>
      </c>
      <c r="G7" s="978"/>
      <c r="H7" s="978"/>
      <c r="I7" s="978"/>
      <c r="J7" s="978"/>
      <c r="K7" s="978"/>
      <c r="L7" s="978"/>
      <c r="M7" s="978"/>
      <c r="N7" s="978"/>
      <c r="O7" s="978"/>
      <c r="P7" s="978"/>
      <c r="Q7" s="978"/>
      <c r="R7" s="978"/>
      <c r="S7" s="978"/>
      <c r="T7" s="973" t="s">
        <v>127</v>
      </c>
      <c r="U7" s="973"/>
      <c r="V7" s="975" t="s">
        <v>449</v>
      </c>
    </row>
    <row r="8" spans="1:34" s="127" customFormat="1" ht="59.25" customHeight="1" thickBot="1" x14ac:dyDescent="0.3">
      <c r="A8" s="972"/>
      <c r="B8" s="974"/>
      <c r="C8" s="916"/>
      <c r="D8" s="128" t="s">
        <v>128</v>
      </c>
      <c r="E8" s="128" t="s">
        <v>129</v>
      </c>
      <c r="F8" s="128" t="s">
        <v>130</v>
      </c>
      <c r="G8" s="598" t="s">
        <v>131</v>
      </c>
      <c r="H8" s="598" t="s">
        <v>132</v>
      </c>
      <c r="I8" s="598" t="s">
        <v>133</v>
      </c>
      <c r="J8" s="598" t="s">
        <v>134</v>
      </c>
      <c r="K8" s="598" t="s">
        <v>135</v>
      </c>
      <c r="L8" s="598" t="s">
        <v>136</v>
      </c>
      <c r="M8" s="598" t="s">
        <v>137</v>
      </c>
      <c r="N8" s="598" t="s">
        <v>138</v>
      </c>
      <c r="O8" s="598" t="s">
        <v>139</v>
      </c>
      <c r="P8" s="598" t="s">
        <v>140</v>
      </c>
      <c r="Q8" s="598" t="s">
        <v>141</v>
      </c>
      <c r="R8" s="598" t="s">
        <v>142</v>
      </c>
      <c r="S8" s="194" t="s">
        <v>143</v>
      </c>
      <c r="T8" s="194" t="s">
        <v>144</v>
      </c>
      <c r="U8" s="194" t="s">
        <v>145</v>
      </c>
      <c r="V8" s="916"/>
    </row>
    <row r="9" spans="1:34" ht="84.75" customHeight="1" x14ac:dyDescent="0.25">
      <c r="A9" s="925" t="s">
        <v>104</v>
      </c>
      <c r="B9" s="941" t="s">
        <v>146</v>
      </c>
      <c r="C9" s="956" t="s">
        <v>320</v>
      </c>
      <c r="D9" s="952" t="s">
        <v>147</v>
      </c>
      <c r="E9" s="952"/>
      <c r="F9" s="129" t="s">
        <v>148</v>
      </c>
      <c r="G9" s="594">
        <v>0.15440000000000001</v>
      </c>
      <c r="H9" s="594">
        <v>0.17630000000000001</v>
      </c>
      <c r="I9" s="594">
        <v>0.22309999999999999</v>
      </c>
      <c r="J9" s="594">
        <v>0.22309999999999999</v>
      </c>
      <c r="K9" s="594">
        <v>0.22309999999999999</v>
      </c>
      <c r="L9" s="594"/>
      <c r="M9" s="594"/>
      <c r="N9" s="594"/>
      <c r="O9" s="594"/>
      <c r="P9" s="594"/>
      <c r="Q9" s="594"/>
      <c r="R9" s="594"/>
      <c r="S9" s="130">
        <f>SUM(G9:R9)</f>
        <v>0.99999999999999989</v>
      </c>
      <c r="T9" s="930">
        <v>0.82340000000000002</v>
      </c>
      <c r="U9" s="930">
        <v>0.78990000000000005</v>
      </c>
      <c r="V9" s="949" t="s">
        <v>432</v>
      </c>
      <c r="W9" s="995">
        <f>+LEN(V9)</f>
        <v>1539</v>
      </c>
      <c r="AC9" s="145"/>
      <c r="AD9" s="145"/>
      <c r="AE9" s="145"/>
      <c r="AF9" s="145"/>
      <c r="AG9" s="145"/>
      <c r="AH9" s="145"/>
    </row>
    <row r="10" spans="1:34" ht="84.75" customHeight="1" thickBot="1" x14ac:dyDescent="0.3">
      <c r="A10" s="925"/>
      <c r="B10" s="942"/>
      <c r="C10" s="957"/>
      <c r="D10" s="958"/>
      <c r="E10" s="958"/>
      <c r="F10" s="131" t="s">
        <v>149</v>
      </c>
      <c r="G10" s="594">
        <v>0.15440000000000001</v>
      </c>
      <c r="H10" s="597">
        <v>0.17630000000000001</v>
      </c>
      <c r="I10" s="594">
        <v>0.22309999999999999</v>
      </c>
      <c r="J10" s="597">
        <v>0.22309999999999999</v>
      </c>
      <c r="K10" s="594">
        <v>0.22309999999999999</v>
      </c>
      <c r="L10" s="594"/>
      <c r="M10" s="594"/>
      <c r="N10" s="594"/>
      <c r="O10" s="594"/>
      <c r="P10" s="594"/>
      <c r="Q10" s="594"/>
      <c r="R10" s="595"/>
      <c r="S10" s="132">
        <f t="shared" ref="S10:S16" si="0">SUM(G10:R10)</f>
        <v>0.99999999999999989</v>
      </c>
      <c r="T10" s="950"/>
      <c r="U10" s="919"/>
      <c r="V10" s="924"/>
      <c r="W10" s="995"/>
    </row>
    <row r="11" spans="1:34" ht="84.75" customHeight="1" x14ac:dyDescent="0.25">
      <c r="A11" s="925"/>
      <c r="B11" s="942"/>
      <c r="C11" s="947" t="s">
        <v>321</v>
      </c>
      <c r="D11" s="960" t="s">
        <v>147</v>
      </c>
      <c r="E11" s="960"/>
      <c r="F11" s="450" t="s">
        <v>148</v>
      </c>
      <c r="G11" s="596">
        <v>0</v>
      </c>
      <c r="H11" s="597">
        <v>0.33329999999999999</v>
      </c>
      <c r="I11" s="597">
        <v>0</v>
      </c>
      <c r="J11" s="597">
        <v>0.33329999999999999</v>
      </c>
      <c r="K11" s="597">
        <v>0.33339999999999997</v>
      </c>
      <c r="L11" s="594"/>
      <c r="M11" s="594"/>
      <c r="N11" s="594"/>
      <c r="O11" s="594"/>
      <c r="P11" s="594"/>
      <c r="Q11" s="594"/>
      <c r="R11" s="594"/>
      <c r="S11" s="130">
        <f t="shared" si="0"/>
        <v>1</v>
      </c>
      <c r="T11" s="950"/>
      <c r="U11" s="918">
        <v>2.0000000000000001E-4</v>
      </c>
      <c r="V11" s="923" t="s">
        <v>426</v>
      </c>
      <c r="W11" s="995">
        <f>+LEN(V11)</f>
        <v>96</v>
      </c>
      <c r="AC11" s="145"/>
      <c r="AD11" s="145"/>
      <c r="AE11" s="145"/>
      <c r="AF11" s="145"/>
      <c r="AG11" s="145"/>
      <c r="AH11" s="145"/>
    </row>
    <row r="12" spans="1:34" ht="84.75" customHeight="1" thickBot="1" x14ac:dyDescent="0.3">
      <c r="A12" s="925"/>
      <c r="B12" s="942"/>
      <c r="C12" s="957"/>
      <c r="D12" s="958"/>
      <c r="E12" s="958"/>
      <c r="F12" s="451" t="s">
        <v>149</v>
      </c>
      <c r="G12" s="596">
        <v>0</v>
      </c>
      <c r="H12" s="597">
        <v>0.33329999999999999</v>
      </c>
      <c r="I12" s="597">
        <v>0</v>
      </c>
      <c r="J12" s="597">
        <v>0</v>
      </c>
      <c r="K12" s="597">
        <v>0.33339999999999997</v>
      </c>
      <c r="L12" s="594"/>
      <c r="M12" s="594"/>
      <c r="N12" s="594"/>
      <c r="O12" s="594"/>
      <c r="P12" s="594"/>
      <c r="Q12" s="594"/>
      <c r="R12" s="595"/>
      <c r="S12" s="132">
        <f t="shared" si="0"/>
        <v>0.66669999999999996</v>
      </c>
      <c r="T12" s="950"/>
      <c r="U12" s="919"/>
      <c r="V12" s="924"/>
      <c r="W12" s="995"/>
    </row>
    <row r="13" spans="1:34" ht="84.75" customHeight="1" x14ac:dyDescent="0.25">
      <c r="A13" s="925"/>
      <c r="B13" s="942"/>
      <c r="C13" s="947" t="s">
        <v>322</v>
      </c>
      <c r="D13" s="960" t="s">
        <v>147</v>
      </c>
      <c r="E13" s="960"/>
      <c r="F13" s="129" t="s">
        <v>148</v>
      </c>
      <c r="G13" s="594">
        <v>0.1978</v>
      </c>
      <c r="H13" s="594">
        <v>0.1978</v>
      </c>
      <c r="I13" s="594">
        <v>0.1956</v>
      </c>
      <c r="J13" s="594">
        <v>0.1956</v>
      </c>
      <c r="K13" s="594">
        <v>0.2132</v>
      </c>
      <c r="L13" s="594"/>
      <c r="M13" s="594"/>
      <c r="N13" s="594"/>
      <c r="O13" s="594"/>
      <c r="P13" s="594"/>
      <c r="Q13" s="594"/>
      <c r="R13" s="594"/>
      <c r="S13" s="130">
        <f t="shared" si="0"/>
        <v>1</v>
      </c>
      <c r="T13" s="950"/>
      <c r="U13" s="918">
        <v>3.3300000000000003E-2</v>
      </c>
      <c r="V13" s="923" t="s">
        <v>427</v>
      </c>
      <c r="W13" s="995">
        <f>+LEN(V13)</f>
        <v>259</v>
      </c>
      <c r="AC13" s="145"/>
      <c r="AD13" s="145"/>
      <c r="AE13" s="145"/>
      <c r="AF13" s="145"/>
      <c r="AG13" s="145"/>
      <c r="AH13" s="145"/>
    </row>
    <row r="14" spans="1:34" ht="84.75" customHeight="1" thickBot="1" x14ac:dyDescent="0.3">
      <c r="A14" s="925"/>
      <c r="B14" s="943"/>
      <c r="C14" s="959"/>
      <c r="D14" s="961"/>
      <c r="E14" s="961"/>
      <c r="F14" s="131" t="s">
        <v>149</v>
      </c>
      <c r="G14" s="594">
        <v>0.1978</v>
      </c>
      <c r="H14" s="597">
        <v>0.1978</v>
      </c>
      <c r="I14" s="594">
        <v>0.1978</v>
      </c>
      <c r="J14" s="597">
        <v>0.1956</v>
      </c>
      <c r="K14" s="594">
        <v>0.21099999999999999</v>
      </c>
      <c r="L14" s="594"/>
      <c r="M14" s="594"/>
      <c r="N14" s="594"/>
      <c r="O14" s="594"/>
      <c r="P14" s="594"/>
      <c r="Q14" s="594"/>
      <c r="R14" s="594"/>
      <c r="S14" s="132">
        <f t="shared" si="0"/>
        <v>1</v>
      </c>
      <c r="T14" s="928"/>
      <c r="U14" s="928"/>
      <c r="V14" s="929"/>
      <c r="W14" s="995"/>
    </row>
    <row r="15" spans="1:34" ht="84.75" customHeight="1" x14ac:dyDescent="0.25">
      <c r="A15" s="925"/>
      <c r="B15" s="933" t="s">
        <v>329</v>
      </c>
      <c r="C15" s="947" t="s">
        <v>330</v>
      </c>
      <c r="D15" s="952" t="s">
        <v>147</v>
      </c>
      <c r="E15" s="952"/>
      <c r="F15" s="129" t="s">
        <v>148</v>
      </c>
      <c r="G15" s="599">
        <v>0.05</v>
      </c>
      <c r="H15" s="594">
        <v>0.05</v>
      </c>
      <c r="I15" s="594">
        <v>0.2</v>
      </c>
      <c r="J15" s="594">
        <v>0.2</v>
      </c>
      <c r="K15" s="600">
        <v>0.5</v>
      </c>
      <c r="L15" s="600"/>
      <c r="M15" s="600"/>
      <c r="N15" s="600"/>
      <c r="O15" s="600"/>
      <c r="P15" s="600"/>
      <c r="Q15" s="600"/>
      <c r="R15" s="594"/>
      <c r="S15" s="130">
        <f t="shared" si="0"/>
        <v>1</v>
      </c>
      <c r="T15" s="954">
        <v>1.41E-2</v>
      </c>
      <c r="U15" s="930">
        <v>1.41E-2</v>
      </c>
      <c r="V15" s="951" t="s">
        <v>428</v>
      </c>
      <c r="W15" s="995">
        <f>+LEN(V15)</f>
        <v>1918</v>
      </c>
      <c r="AC15" s="145"/>
      <c r="AD15" s="145"/>
      <c r="AE15" s="145"/>
      <c r="AF15" s="145"/>
      <c r="AG15" s="145"/>
      <c r="AH15" s="145"/>
    </row>
    <row r="16" spans="1:34" ht="84.75" customHeight="1" thickBot="1" x14ac:dyDescent="0.3">
      <c r="A16" s="925"/>
      <c r="B16" s="946"/>
      <c r="C16" s="948"/>
      <c r="D16" s="953"/>
      <c r="E16" s="953"/>
      <c r="F16" s="133" t="s">
        <v>149</v>
      </c>
      <c r="G16" s="599">
        <v>0.05</v>
      </c>
      <c r="H16" s="597">
        <v>0.05</v>
      </c>
      <c r="I16" s="594">
        <v>0.2</v>
      </c>
      <c r="J16" s="597">
        <v>0.05</v>
      </c>
      <c r="K16" s="600">
        <v>0.5</v>
      </c>
      <c r="L16" s="594"/>
      <c r="M16" s="594"/>
      <c r="N16" s="594"/>
      <c r="O16" s="594"/>
      <c r="P16" s="594"/>
      <c r="Q16" s="594"/>
      <c r="R16" s="594"/>
      <c r="S16" s="132">
        <f t="shared" si="0"/>
        <v>0.85000000000000009</v>
      </c>
      <c r="T16" s="955"/>
      <c r="U16" s="950"/>
      <c r="V16" s="945"/>
      <c r="W16" s="995"/>
    </row>
    <row r="17" spans="1:34" ht="84.75" customHeight="1" x14ac:dyDescent="0.25">
      <c r="A17" s="925"/>
      <c r="B17" s="933" t="s">
        <v>150</v>
      </c>
      <c r="C17" s="936" t="s">
        <v>331</v>
      </c>
      <c r="D17" s="937" t="s">
        <v>147</v>
      </c>
      <c r="E17" s="937"/>
      <c r="F17" s="129" t="s">
        <v>148</v>
      </c>
      <c r="G17" s="594">
        <v>0.1424</v>
      </c>
      <c r="H17" s="594">
        <v>0.1454</v>
      </c>
      <c r="I17" s="594">
        <v>0.2419</v>
      </c>
      <c r="J17" s="594">
        <v>0.26490000000000002</v>
      </c>
      <c r="K17" s="594">
        <v>0.2054</v>
      </c>
      <c r="L17" s="594"/>
      <c r="M17" s="594"/>
      <c r="N17" s="594"/>
      <c r="O17" s="594"/>
      <c r="P17" s="594"/>
      <c r="Q17" s="594"/>
      <c r="R17" s="594"/>
      <c r="S17" s="130">
        <f>SUM(G17:R17)</f>
        <v>1</v>
      </c>
      <c r="T17" s="938">
        <v>0.12820000000000001</v>
      </c>
      <c r="U17" s="938">
        <v>0.12559999999999999</v>
      </c>
      <c r="V17" s="944" t="s">
        <v>429</v>
      </c>
      <c r="W17" s="995">
        <f>+LEN(V17)</f>
        <v>1361</v>
      </c>
      <c r="AC17" s="145"/>
      <c r="AD17" s="145"/>
      <c r="AE17" s="145"/>
      <c r="AF17" s="145"/>
      <c r="AG17" s="145"/>
      <c r="AH17" s="145"/>
    </row>
    <row r="18" spans="1:34" ht="84.75" customHeight="1" thickBot="1" x14ac:dyDescent="0.3">
      <c r="A18" s="925"/>
      <c r="B18" s="934"/>
      <c r="C18" s="922"/>
      <c r="D18" s="917"/>
      <c r="E18" s="917"/>
      <c r="F18" s="131" t="s">
        <v>149</v>
      </c>
      <c r="G18" s="594">
        <v>0.1424</v>
      </c>
      <c r="H18" s="597">
        <v>0.1454</v>
      </c>
      <c r="I18" s="594">
        <v>0.2419</v>
      </c>
      <c r="J18" s="597">
        <v>0.26490000000000002</v>
      </c>
      <c r="K18" s="594">
        <v>0.2054</v>
      </c>
      <c r="L18" s="594"/>
      <c r="M18" s="594"/>
      <c r="N18" s="594"/>
      <c r="O18" s="594"/>
      <c r="P18" s="594"/>
      <c r="Q18" s="594"/>
      <c r="R18" s="594"/>
      <c r="S18" s="132">
        <f t="shared" ref="S18:S28" si="1">SUM(G18:R18)</f>
        <v>1</v>
      </c>
      <c r="T18" s="939"/>
      <c r="U18" s="939"/>
      <c r="V18" s="945"/>
      <c r="W18" s="995"/>
    </row>
    <row r="19" spans="1:34" ht="84.75" customHeight="1" x14ac:dyDescent="0.25">
      <c r="A19" s="925"/>
      <c r="B19" s="934"/>
      <c r="C19" s="922" t="s">
        <v>332</v>
      </c>
      <c r="D19" s="917" t="s">
        <v>147</v>
      </c>
      <c r="E19" s="917"/>
      <c r="F19" s="129" t="s">
        <v>148</v>
      </c>
      <c r="G19" s="594">
        <v>0</v>
      </c>
      <c r="H19" s="594">
        <v>0.21490000000000001</v>
      </c>
      <c r="I19" s="594">
        <v>0.28720000000000001</v>
      </c>
      <c r="J19" s="594">
        <v>0.25490000000000002</v>
      </c>
      <c r="K19" s="594">
        <v>0.24299999999999999</v>
      </c>
      <c r="L19" s="594"/>
      <c r="M19" s="594"/>
      <c r="N19" s="594"/>
      <c r="O19" s="594"/>
      <c r="P19" s="594"/>
      <c r="Q19" s="594"/>
      <c r="R19" s="594"/>
      <c r="S19" s="130">
        <f>SUM(G19:R19)</f>
        <v>1</v>
      </c>
      <c r="T19" s="939"/>
      <c r="U19" s="939">
        <v>2.5999999999999999E-3</v>
      </c>
      <c r="V19" s="923" t="s">
        <v>430</v>
      </c>
      <c r="W19" s="995">
        <f>+LEN(V19)</f>
        <v>77</v>
      </c>
      <c r="AC19" s="145"/>
      <c r="AD19" s="145"/>
      <c r="AE19" s="145"/>
      <c r="AF19" s="145"/>
      <c r="AG19" s="145"/>
      <c r="AH19" s="145"/>
    </row>
    <row r="20" spans="1:34" ht="84.75" customHeight="1" thickBot="1" x14ac:dyDescent="0.3">
      <c r="A20" s="925"/>
      <c r="B20" s="935"/>
      <c r="C20" s="926"/>
      <c r="D20" s="927"/>
      <c r="E20" s="927"/>
      <c r="F20" s="131" t="s">
        <v>149</v>
      </c>
      <c r="G20" s="594">
        <v>0</v>
      </c>
      <c r="H20" s="597">
        <v>0.21490000000000001</v>
      </c>
      <c r="I20" s="594">
        <v>0</v>
      </c>
      <c r="J20" s="597">
        <v>0</v>
      </c>
      <c r="K20" s="597">
        <v>0</v>
      </c>
      <c r="L20" s="594"/>
      <c r="M20" s="594"/>
      <c r="N20" s="594"/>
      <c r="O20" s="594"/>
      <c r="P20" s="594"/>
      <c r="Q20" s="594"/>
      <c r="R20" s="595"/>
      <c r="S20" s="132">
        <f t="shared" si="1"/>
        <v>0.21490000000000001</v>
      </c>
      <c r="T20" s="940"/>
      <c r="U20" s="940"/>
      <c r="V20" s="929"/>
      <c r="W20" s="995"/>
    </row>
    <row r="21" spans="1:34" ht="84.75" customHeight="1" x14ac:dyDescent="0.25">
      <c r="A21" s="925"/>
      <c r="B21" s="933" t="s">
        <v>151</v>
      </c>
      <c r="C21" s="936" t="s">
        <v>333</v>
      </c>
      <c r="D21" s="937" t="s">
        <v>147</v>
      </c>
      <c r="E21" s="937"/>
      <c r="F21" s="129" t="s">
        <v>148</v>
      </c>
      <c r="G21" s="594">
        <v>0</v>
      </c>
      <c r="H21" s="594">
        <v>0.15</v>
      </c>
      <c r="I21" s="594">
        <v>0.3</v>
      </c>
      <c r="J21" s="594">
        <v>0.3</v>
      </c>
      <c r="K21" s="594">
        <v>0.25</v>
      </c>
      <c r="L21" s="594"/>
      <c r="M21" s="594"/>
      <c r="N21" s="594"/>
      <c r="O21" s="594"/>
      <c r="P21" s="594"/>
      <c r="Q21" s="594"/>
      <c r="R21" s="594"/>
      <c r="S21" s="130">
        <f t="shared" si="1"/>
        <v>1</v>
      </c>
      <c r="T21" s="938">
        <v>3.4299999999999997E-2</v>
      </c>
      <c r="U21" s="930">
        <v>1.2699999999999999E-2</v>
      </c>
      <c r="V21" s="931" t="s">
        <v>435</v>
      </c>
      <c r="W21" s="995">
        <f>+LEN(V21)</f>
        <v>545</v>
      </c>
      <c r="AC21" s="145"/>
      <c r="AD21" s="145"/>
      <c r="AE21" s="145"/>
      <c r="AF21" s="145"/>
      <c r="AG21" s="145"/>
      <c r="AH21" s="145"/>
    </row>
    <row r="22" spans="1:34" ht="84.75" customHeight="1" thickBot="1" x14ac:dyDescent="0.3">
      <c r="A22" s="925"/>
      <c r="B22" s="934"/>
      <c r="C22" s="922"/>
      <c r="D22" s="917"/>
      <c r="E22" s="917"/>
      <c r="F22" s="131" t="s">
        <v>149</v>
      </c>
      <c r="G22" s="594">
        <v>0</v>
      </c>
      <c r="H22" s="597">
        <v>0.15</v>
      </c>
      <c r="I22" s="594">
        <v>0.3</v>
      </c>
      <c r="J22" s="597">
        <v>0.16</v>
      </c>
      <c r="K22" s="597">
        <v>0.39</v>
      </c>
      <c r="L22" s="594"/>
      <c r="M22" s="594"/>
      <c r="N22" s="594"/>
      <c r="O22" s="594"/>
      <c r="P22" s="594"/>
      <c r="Q22" s="594"/>
      <c r="R22" s="594"/>
      <c r="S22" s="132">
        <f t="shared" si="1"/>
        <v>1</v>
      </c>
      <c r="T22" s="939"/>
      <c r="U22" s="919"/>
      <c r="V22" s="932"/>
      <c r="W22" s="995"/>
      <c r="Y22" s="145"/>
    </row>
    <row r="23" spans="1:34" ht="84.75" customHeight="1" x14ac:dyDescent="0.25">
      <c r="A23" s="925"/>
      <c r="B23" s="934"/>
      <c r="C23" s="922" t="s">
        <v>334</v>
      </c>
      <c r="D23" s="917" t="s">
        <v>147</v>
      </c>
      <c r="E23" s="917"/>
      <c r="F23" s="129" t="s">
        <v>148</v>
      </c>
      <c r="G23" s="594">
        <v>0.1</v>
      </c>
      <c r="H23" s="594">
        <v>0.22</v>
      </c>
      <c r="I23" s="594">
        <v>0.22</v>
      </c>
      <c r="J23" s="594">
        <v>0.22</v>
      </c>
      <c r="K23" s="594">
        <v>0.24</v>
      </c>
      <c r="L23" s="594"/>
      <c r="M23" s="594"/>
      <c r="N23" s="594"/>
      <c r="O23" s="594"/>
      <c r="P23" s="594"/>
      <c r="Q23" s="594"/>
      <c r="R23" s="594"/>
      <c r="S23" s="130">
        <f t="shared" si="1"/>
        <v>1</v>
      </c>
      <c r="T23" s="939"/>
      <c r="U23" s="918">
        <v>4.4999999999999997E-3</v>
      </c>
      <c r="V23" s="920" t="s">
        <v>437</v>
      </c>
      <c r="W23" s="995">
        <f>+LEN(V23)</f>
        <v>755</v>
      </c>
      <c r="AC23" s="145"/>
      <c r="AD23" s="145"/>
      <c r="AE23" s="145"/>
      <c r="AF23" s="145"/>
      <c r="AG23" s="145"/>
      <c r="AH23" s="145"/>
    </row>
    <row r="24" spans="1:34" ht="84.75" customHeight="1" thickBot="1" x14ac:dyDescent="0.3">
      <c r="A24" s="925"/>
      <c r="B24" s="934"/>
      <c r="C24" s="922"/>
      <c r="D24" s="917"/>
      <c r="E24" s="917"/>
      <c r="F24" s="131" t="s">
        <v>149</v>
      </c>
      <c r="G24" s="594">
        <v>0.1</v>
      </c>
      <c r="H24" s="597">
        <v>0.22</v>
      </c>
      <c r="I24" s="594">
        <v>0.22</v>
      </c>
      <c r="J24" s="597">
        <v>0.22</v>
      </c>
      <c r="K24" s="597">
        <v>0.24</v>
      </c>
      <c r="L24" s="594"/>
      <c r="M24" s="594"/>
      <c r="N24" s="594"/>
      <c r="O24" s="594"/>
      <c r="P24" s="594"/>
      <c r="Q24" s="594"/>
      <c r="R24" s="594"/>
      <c r="S24" s="132">
        <f t="shared" si="1"/>
        <v>1</v>
      </c>
      <c r="T24" s="939"/>
      <c r="U24" s="919"/>
      <c r="V24" s="921"/>
      <c r="W24" s="995"/>
    </row>
    <row r="25" spans="1:34" ht="84.75" customHeight="1" x14ac:dyDescent="0.25">
      <c r="A25" s="925"/>
      <c r="B25" s="934"/>
      <c r="C25" s="922" t="s">
        <v>335</v>
      </c>
      <c r="D25" s="917" t="s">
        <v>147</v>
      </c>
      <c r="E25" s="917"/>
      <c r="F25" s="129" t="s">
        <v>148</v>
      </c>
      <c r="G25" s="594">
        <v>0.1</v>
      </c>
      <c r="H25" s="594">
        <v>0.22</v>
      </c>
      <c r="I25" s="594">
        <v>0.22</v>
      </c>
      <c r="J25" s="594">
        <v>0.22</v>
      </c>
      <c r="K25" s="594">
        <v>0.24</v>
      </c>
      <c r="L25" s="594"/>
      <c r="M25" s="594"/>
      <c r="N25" s="594"/>
      <c r="O25" s="594"/>
      <c r="P25" s="594"/>
      <c r="Q25" s="594"/>
      <c r="R25" s="594"/>
      <c r="S25" s="130">
        <f t="shared" si="1"/>
        <v>1</v>
      </c>
      <c r="T25" s="939"/>
      <c r="U25" s="918">
        <v>1.2699999999999999E-2</v>
      </c>
      <c r="V25" s="923" t="s">
        <v>438</v>
      </c>
      <c r="W25" s="995">
        <f>+LEN(V25)</f>
        <v>175</v>
      </c>
      <c r="AC25" s="145"/>
      <c r="AD25" s="145"/>
      <c r="AE25" s="145"/>
      <c r="AF25" s="145"/>
      <c r="AG25" s="145"/>
      <c r="AH25" s="145"/>
    </row>
    <row r="26" spans="1:34" ht="84.75" customHeight="1" thickBot="1" x14ac:dyDescent="0.3">
      <c r="A26" s="925"/>
      <c r="B26" s="934"/>
      <c r="C26" s="922"/>
      <c r="D26" s="917"/>
      <c r="E26" s="917"/>
      <c r="F26" s="131" t="s">
        <v>149</v>
      </c>
      <c r="G26" s="601">
        <v>0.1</v>
      </c>
      <c r="H26" s="597">
        <v>0.22</v>
      </c>
      <c r="I26" s="594">
        <v>0.22</v>
      </c>
      <c r="J26" s="597">
        <v>0.22</v>
      </c>
      <c r="K26" s="597">
        <v>0.24</v>
      </c>
      <c r="L26" s="594"/>
      <c r="M26" s="594"/>
      <c r="N26" s="594"/>
      <c r="O26" s="594"/>
      <c r="P26" s="594"/>
      <c r="Q26" s="594"/>
      <c r="R26" s="594"/>
      <c r="S26" s="132">
        <f t="shared" si="1"/>
        <v>1</v>
      </c>
      <c r="T26" s="939"/>
      <c r="U26" s="919"/>
      <c r="V26" s="924"/>
      <c r="W26" s="995"/>
    </row>
    <row r="27" spans="1:34" ht="84.75" customHeight="1" x14ac:dyDescent="0.25">
      <c r="A27" s="925"/>
      <c r="B27" s="934"/>
      <c r="C27" s="922" t="s">
        <v>336</v>
      </c>
      <c r="D27" s="917" t="s">
        <v>147</v>
      </c>
      <c r="E27" s="917"/>
      <c r="F27" s="129" t="s">
        <v>148</v>
      </c>
      <c r="G27" s="597">
        <v>0</v>
      </c>
      <c r="H27" s="597">
        <v>0</v>
      </c>
      <c r="I27" s="597">
        <v>0</v>
      </c>
      <c r="J27" s="597">
        <v>0.5</v>
      </c>
      <c r="K27" s="597">
        <v>0.5</v>
      </c>
      <c r="L27" s="594"/>
      <c r="M27" s="594"/>
      <c r="N27" s="594"/>
      <c r="O27" s="594"/>
      <c r="P27" s="594"/>
      <c r="Q27" s="594"/>
      <c r="R27" s="594"/>
      <c r="S27" s="130">
        <f t="shared" si="1"/>
        <v>1</v>
      </c>
      <c r="T27" s="939"/>
      <c r="U27" s="918">
        <v>4.3999999999999994E-3</v>
      </c>
      <c r="V27" s="923" t="s">
        <v>439</v>
      </c>
      <c r="W27" s="995">
        <f>+LEN(V27)</f>
        <v>389</v>
      </c>
      <c r="AC27" s="145"/>
      <c r="AD27" s="145"/>
      <c r="AE27" s="145"/>
      <c r="AF27" s="145"/>
      <c r="AG27" s="145"/>
      <c r="AH27" s="145"/>
    </row>
    <row r="28" spans="1:34" ht="84.75" customHeight="1" thickBot="1" x14ac:dyDescent="0.3">
      <c r="A28" s="925"/>
      <c r="B28" s="935"/>
      <c r="C28" s="926"/>
      <c r="D28" s="927"/>
      <c r="E28" s="927"/>
      <c r="F28" s="131" t="s">
        <v>149</v>
      </c>
      <c r="G28" s="602">
        <v>0</v>
      </c>
      <c r="H28" s="597">
        <v>0</v>
      </c>
      <c r="I28" s="597">
        <v>0</v>
      </c>
      <c r="J28" s="597">
        <v>0</v>
      </c>
      <c r="K28" s="597">
        <v>0</v>
      </c>
      <c r="L28" s="594"/>
      <c r="M28" s="594"/>
      <c r="N28" s="594"/>
      <c r="O28" s="594"/>
      <c r="P28" s="594"/>
      <c r="Q28" s="594"/>
      <c r="R28" s="594"/>
      <c r="S28" s="132">
        <f t="shared" si="1"/>
        <v>0</v>
      </c>
      <c r="T28" s="940"/>
      <c r="U28" s="928"/>
      <c r="V28" s="929"/>
      <c r="W28" s="995"/>
    </row>
    <row r="29" spans="1:34" s="137" customFormat="1" ht="20.25" customHeight="1" thickBot="1" x14ac:dyDescent="0.3">
      <c r="A29" s="914" t="s">
        <v>342</v>
      </c>
      <c r="B29" s="915"/>
      <c r="C29" s="915"/>
      <c r="D29" s="915"/>
      <c r="E29" s="915"/>
      <c r="F29" s="915"/>
      <c r="G29" s="916"/>
      <c r="H29" s="916"/>
      <c r="I29" s="916"/>
      <c r="J29" s="916"/>
      <c r="K29" s="916"/>
      <c r="L29" s="916"/>
      <c r="M29" s="916"/>
      <c r="N29" s="916"/>
      <c r="O29" s="916"/>
      <c r="P29" s="916"/>
      <c r="Q29" s="916"/>
      <c r="R29" s="916"/>
      <c r="S29" s="915"/>
      <c r="T29" s="134">
        <f>SUM(T9:T28)</f>
        <v>1</v>
      </c>
      <c r="U29" s="135">
        <f>SUM(U9:U28)</f>
        <v>1.0000000000000002</v>
      </c>
      <c r="V29" s="136"/>
    </row>
    <row r="30" spans="1:34" s="137" customFormat="1" ht="20.25" customHeight="1" x14ac:dyDescent="0.25">
      <c r="A30" s="138"/>
      <c r="B30" s="138"/>
      <c r="C30" s="138"/>
      <c r="D30" s="138"/>
      <c r="E30" s="138"/>
      <c r="F30" s="138"/>
      <c r="G30" s="138"/>
      <c r="H30" s="138"/>
      <c r="I30" s="138"/>
      <c r="J30" s="138"/>
      <c r="K30" s="138"/>
      <c r="L30" s="138"/>
      <c r="M30" s="138"/>
      <c r="N30" s="138"/>
      <c r="O30" s="138"/>
      <c r="P30" s="138"/>
      <c r="Q30" s="138"/>
      <c r="R30" s="138"/>
      <c r="S30" s="138"/>
      <c r="T30" s="139"/>
      <c r="U30" s="140"/>
      <c r="V30" s="138"/>
    </row>
    <row r="31" spans="1:34" s="137" customFormat="1" ht="20.25" customHeight="1" x14ac:dyDescent="0.25">
      <c r="A31" s="138"/>
      <c r="B31" s="138"/>
      <c r="C31" s="138"/>
      <c r="D31" s="138"/>
      <c r="E31" s="138"/>
      <c r="F31" s="138"/>
      <c r="G31" s="138"/>
      <c r="H31" s="138"/>
      <c r="I31" s="138"/>
      <c r="J31" s="138"/>
      <c r="K31" s="138"/>
      <c r="L31" s="138"/>
      <c r="M31" s="138"/>
      <c r="N31" s="138"/>
      <c r="O31" s="138"/>
      <c r="P31" s="138"/>
      <c r="Q31" s="138"/>
      <c r="R31" s="138"/>
      <c r="S31" s="138"/>
      <c r="T31" s="139"/>
      <c r="U31" s="140"/>
      <c r="V31" s="138"/>
    </row>
    <row r="32" spans="1:34" ht="15" customHeight="1" x14ac:dyDescent="0.25">
      <c r="B32" s="141" t="s">
        <v>83</v>
      </c>
      <c r="C32" s="906" t="s">
        <v>84</v>
      </c>
      <c r="D32" s="907"/>
      <c r="E32" s="907"/>
      <c r="F32" s="907"/>
      <c r="G32" s="907"/>
      <c r="H32" s="907"/>
      <c r="I32" s="908"/>
      <c r="J32" s="909" t="s">
        <v>85</v>
      </c>
      <c r="K32" s="910"/>
      <c r="L32" s="910"/>
      <c r="M32" s="910"/>
      <c r="N32" s="910"/>
      <c r="O32" s="910"/>
      <c r="P32" s="911"/>
      <c r="Q32" s="142"/>
      <c r="R32" s="142"/>
      <c r="S32" s="142"/>
      <c r="T32" s="142"/>
      <c r="U32" s="142"/>
    </row>
    <row r="33" spans="1:21" ht="15" customHeight="1" x14ac:dyDescent="0.25">
      <c r="A33" s="127"/>
      <c r="B33" s="20">
        <v>13</v>
      </c>
      <c r="C33" s="912" t="s">
        <v>120</v>
      </c>
      <c r="D33" s="912"/>
      <c r="E33" s="912"/>
      <c r="F33" s="912"/>
      <c r="G33" s="912"/>
      <c r="H33" s="912"/>
      <c r="I33" s="912"/>
      <c r="J33" s="912" t="s">
        <v>87</v>
      </c>
      <c r="K33" s="912"/>
      <c r="L33" s="912"/>
      <c r="M33" s="912"/>
      <c r="N33" s="912"/>
      <c r="O33" s="912"/>
      <c r="P33" s="912"/>
      <c r="Q33" s="142"/>
      <c r="R33" s="142"/>
      <c r="S33" s="142"/>
      <c r="T33" s="142"/>
      <c r="U33" s="142"/>
    </row>
    <row r="34" spans="1:21" ht="15" customHeight="1" x14ac:dyDescent="0.25">
      <c r="A34" s="127"/>
      <c r="B34" s="20">
        <v>14</v>
      </c>
      <c r="C34" s="912" t="s">
        <v>152</v>
      </c>
      <c r="D34" s="912"/>
      <c r="E34" s="912"/>
      <c r="F34" s="912"/>
      <c r="G34" s="912"/>
      <c r="H34" s="912"/>
      <c r="I34" s="912"/>
      <c r="J34" s="913" t="s">
        <v>89</v>
      </c>
      <c r="K34" s="913"/>
      <c r="L34" s="913"/>
      <c r="M34" s="913"/>
      <c r="N34" s="913"/>
      <c r="O34" s="913"/>
      <c r="P34" s="913"/>
      <c r="Q34" s="142"/>
      <c r="R34" s="142"/>
      <c r="S34" s="142"/>
      <c r="T34" s="142"/>
      <c r="U34" s="142"/>
    </row>
    <row r="35" spans="1:21" ht="15" customHeight="1" x14ac:dyDescent="0.25">
      <c r="A35" s="127"/>
      <c r="Q35" s="142"/>
      <c r="R35" s="142"/>
      <c r="S35" s="142"/>
      <c r="T35" s="142"/>
      <c r="U35" s="142"/>
    </row>
    <row r="36" spans="1:21" ht="15" customHeight="1" x14ac:dyDescent="0.25">
      <c r="A36" s="127"/>
      <c r="Q36" s="142"/>
      <c r="R36" s="142"/>
      <c r="S36" s="142"/>
      <c r="T36" s="142"/>
      <c r="U36" s="142"/>
    </row>
    <row r="37" spans="1:21" ht="15" customHeight="1" x14ac:dyDescent="0.25">
      <c r="A37" s="127"/>
      <c r="B37" s="127"/>
      <c r="C37" s="146"/>
      <c r="D37" s="127"/>
      <c r="E37" s="127"/>
      <c r="F37" s="127"/>
      <c r="G37" s="147"/>
      <c r="H37" s="127"/>
      <c r="I37" s="127"/>
      <c r="J37" s="127"/>
      <c r="K37" s="127"/>
      <c r="L37" s="127"/>
      <c r="M37" s="127"/>
      <c r="N37" s="142"/>
      <c r="O37" s="142"/>
      <c r="P37" s="142"/>
      <c r="Q37" s="142"/>
      <c r="R37" s="142"/>
      <c r="S37" s="142"/>
      <c r="T37" s="142"/>
      <c r="U37" s="142"/>
    </row>
    <row r="38" spans="1:21" ht="15" customHeight="1" x14ac:dyDescent="0.25">
      <c r="A38" s="127"/>
      <c r="B38" s="127"/>
      <c r="C38" s="146"/>
      <c r="D38" s="127"/>
      <c r="E38" s="127"/>
      <c r="F38" s="127"/>
      <c r="G38" s="147"/>
      <c r="H38" s="127"/>
      <c r="I38" s="127"/>
      <c r="J38" s="127"/>
      <c r="K38" s="127"/>
      <c r="L38" s="127"/>
      <c r="M38" s="127"/>
      <c r="N38" s="142"/>
      <c r="O38" s="142"/>
      <c r="P38" s="142"/>
      <c r="Q38" s="142"/>
      <c r="R38" s="142"/>
      <c r="S38" s="142"/>
      <c r="T38" s="142"/>
      <c r="U38" s="142"/>
    </row>
    <row r="39" spans="1:21" ht="15" customHeight="1" x14ac:dyDescent="0.25">
      <c r="A39" s="127"/>
      <c r="B39" s="127"/>
      <c r="C39" s="146"/>
      <c r="D39" s="127"/>
      <c r="E39" s="127"/>
      <c r="F39" s="127"/>
      <c r="G39" s="147"/>
      <c r="H39" s="127"/>
      <c r="I39" s="127"/>
      <c r="J39" s="127"/>
      <c r="K39" s="127"/>
      <c r="L39" s="127"/>
      <c r="M39" s="127"/>
      <c r="N39" s="142"/>
      <c r="O39" s="142"/>
      <c r="P39" s="142"/>
      <c r="Q39" s="142"/>
      <c r="R39" s="142"/>
      <c r="S39" s="142"/>
      <c r="T39" s="142"/>
      <c r="U39" s="142"/>
    </row>
    <row r="40" spans="1:21" ht="15" customHeight="1" x14ac:dyDescent="0.25">
      <c r="A40" s="127"/>
      <c r="B40" s="127"/>
      <c r="C40" s="146"/>
      <c r="D40" s="127"/>
      <c r="E40" s="127"/>
      <c r="F40" s="127"/>
      <c r="G40" s="147"/>
      <c r="H40" s="127"/>
      <c r="I40" s="127"/>
      <c r="J40" s="127"/>
      <c r="K40" s="127"/>
      <c r="L40" s="127"/>
      <c r="M40" s="127"/>
      <c r="N40" s="142"/>
      <c r="O40" s="142"/>
      <c r="P40" s="142"/>
      <c r="Q40" s="142"/>
      <c r="R40" s="142"/>
      <c r="S40" s="142"/>
      <c r="T40" s="142"/>
      <c r="U40" s="142"/>
    </row>
    <row r="41" spans="1:21" ht="15" customHeight="1" x14ac:dyDescent="0.25">
      <c r="A41" s="127"/>
      <c r="B41" s="127"/>
      <c r="C41" s="146"/>
      <c r="D41" s="127"/>
      <c r="E41" s="127"/>
      <c r="F41" s="127"/>
      <c r="G41" s="147"/>
      <c r="H41" s="127"/>
      <c r="I41" s="127"/>
      <c r="J41" s="127"/>
      <c r="K41" s="127"/>
      <c r="L41" s="127"/>
      <c r="M41" s="127"/>
      <c r="N41" s="142"/>
      <c r="O41" s="142"/>
      <c r="P41" s="142"/>
      <c r="Q41" s="142"/>
      <c r="R41" s="142"/>
      <c r="S41" s="142"/>
      <c r="T41" s="142"/>
      <c r="U41" s="142"/>
    </row>
    <row r="42" spans="1:21" ht="15" customHeight="1" x14ac:dyDescent="0.25">
      <c r="A42" s="127"/>
      <c r="B42" s="127"/>
      <c r="C42" s="146"/>
      <c r="D42" s="127"/>
      <c r="E42" s="127"/>
      <c r="F42" s="127"/>
      <c r="G42" s="147"/>
      <c r="H42" s="127"/>
      <c r="I42" s="127"/>
      <c r="J42" s="127"/>
      <c r="K42" s="127"/>
      <c r="L42" s="127"/>
      <c r="M42" s="127"/>
      <c r="N42" s="142"/>
      <c r="O42" s="142"/>
      <c r="P42" s="142"/>
      <c r="Q42" s="142"/>
      <c r="R42" s="142"/>
      <c r="S42" s="142"/>
      <c r="T42" s="142"/>
      <c r="U42" s="142"/>
    </row>
    <row r="43" spans="1:21" ht="15" customHeight="1" x14ac:dyDescent="0.25">
      <c r="A43" s="127"/>
      <c r="B43" s="127"/>
      <c r="C43" s="146"/>
      <c r="D43" s="127"/>
      <c r="E43" s="127"/>
      <c r="F43" s="127"/>
      <c r="G43" s="147"/>
      <c r="H43" s="127"/>
      <c r="I43" s="127"/>
      <c r="J43" s="127"/>
      <c r="K43" s="127"/>
      <c r="L43" s="127"/>
      <c r="M43" s="127"/>
      <c r="N43" s="142"/>
      <c r="O43" s="142"/>
      <c r="P43" s="142"/>
      <c r="Q43" s="142"/>
      <c r="R43" s="142"/>
      <c r="S43" s="142"/>
      <c r="T43" s="142"/>
      <c r="U43" s="142"/>
    </row>
    <row r="44" spans="1:21" ht="15" customHeight="1" x14ac:dyDescent="0.25">
      <c r="A44" s="127"/>
      <c r="B44" s="127"/>
      <c r="C44" s="146"/>
      <c r="D44" s="127"/>
      <c r="E44" s="127"/>
      <c r="F44" s="127"/>
      <c r="G44" s="147"/>
      <c r="H44" s="127"/>
      <c r="I44" s="127"/>
      <c r="J44" s="127"/>
      <c r="K44" s="127"/>
      <c r="L44" s="127"/>
      <c r="M44" s="127"/>
      <c r="N44" s="142"/>
      <c r="O44" s="142"/>
      <c r="P44" s="142"/>
      <c r="Q44" s="142"/>
      <c r="R44" s="142"/>
      <c r="S44" s="142"/>
      <c r="T44" s="142"/>
      <c r="U44" s="142"/>
    </row>
    <row r="45" spans="1:21" ht="15" customHeight="1" x14ac:dyDescent="0.25">
      <c r="A45" s="127"/>
      <c r="B45" s="127"/>
      <c r="C45" s="146"/>
      <c r="D45" s="127"/>
      <c r="E45" s="127"/>
      <c r="F45" s="127"/>
      <c r="G45" s="147"/>
      <c r="H45" s="127"/>
      <c r="I45" s="127"/>
      <c r="J45" s="127"/>
      <c r="K45" s="127"/>
      <c r="L45" s="127"/>
      <c r="M45" s="127"/>
      <c r="N45" s="142"/>
      <c r="O45" s="142"/>
      <c r="P45" s="142"/>
      <c r="Q45" s="142"/>
      <c r="R45" s="142"/>
      <c r="S45" s="142"/>
      <c r="T45" s="142"/>
      <c r="U45" s="142"/>
    </row>
    <row r="46" spans="1:21" ht="15" customHeight="1" x14ac:dyDescent="0.25">
      <c r="A46" s="127"/>
      <c r="B46" s="127"/>
      <c r="C46" s="146"/>
      <c r="D46" s="127"/>
      <c r="E46" s="127"/>
      <c r="F46" s="127"/>
      <c r="G46" s="147"/>
      <c r="H46" s="127"/>
      <c r="I46" s="127"/>
      <c r="J46" s="127"/>
      <c r="K46" s="127"/>
      <c r="L46" s="127"/>
      <c r="M46" s="127"/>
      <c r="N46" s="142"/>
      <c r="O46" s="142"/>
      <c r="P46" s="142"/>
      <c r="Q46" s="142"/>
      <c r="R46" s="142"/>
      <c r="S46" s="142"/>
      <c r="T46" s="142"/>
      <c r="U46" s="142"/>
    </row>
    <row r="47" spans="1:21" ht="15" customHeight="1" x14ac:dyDescent="0.25">
      <c r="A47" s="127"/>
      <c r="B47" s="127"/>
      <c r="C47" s="146"/>
      <c r="D47" s="127"/>
      <c r="E47" s="127"/>
      <c r="F47" s="127"/>
      <c r="G47" s="147"/>
      <c r="H47" s="127"/>
      <c r="I47" s="127"/>
      <c r="J47" s="127"/>
      <c r="K47" s="127"/>
      <c r="L47" s="127"/>
      <c r="M47" s="127"/>
      <c r="N47" s="142"/>
      <c r="O47" s="142"/>
      <c r="P47" s="142"/>
      <c r="Q47" s="142"/>
      <c r="R47" s="142"/>
      <c r="S47" s="142"/>
      <c r="T47" s="142"/>
      <c r="U47" s="142"/>
    </row>
    <row r="48" spans="1:21" ht="15" customHeight="1" x14ac:dyDescent="0.25">
      <c r="A48" s="127"/>
      <c r="B48" s="127"/>
      <c r="C48" s="146"/>
      <c r="D48" s="127"/>
      <c r="E48" s="127"/>
      <c r="F48" s="127"/>
      <c r="G48" s="147"/>
      <c r="H48" s="127"/>
      <c r="I48" s="127"/>
      <c r="J48" s="127"/>
      <c r="K48" s="127"/>
      <c r="L48" s="127"/>
      <c r="M48" s="127"/>
      <c r="N48" s="142"/>
      <c r="O48" s="142"/>
      <c r="P48" s="142"/>
      <c r="Q48" s="142"/>
      <c r="R48" s="142"/>
      <c r="S48" s="142"/>
      <c r="T48" s="142"/>
      <c r="U48" s="142"/>
    </row>
    <row r="49" spans="1:21" ht="15" customHeight="1" x14ac:dyDescent="0.25">
      <c r="A49" s="127"/>
      <c r="B49" s="127"/>
      <c r="C49" s="146"/>
      <c r="D49" s="127"/>
      <c r="E49" s="127"/>
      <c r="F49" s="127"/>
      <c r="G49" s="147"/>
      <c r="H49" s="127"/>
      <c r="I49" s="127"/>
      <c r="J49" s="127"/>
      <c r="K49" s="127"/>
      <c r="L49" s="127"/>
      <c r="M49" s="127"/>
      <c r="N49" s="142"/>
      <c r="O49" s="142"/>
      <c r="P49" s="142"/>
      <c r="Q49" s="142"/>
      <c r="R49" s="142"/>
      <c r="S49" s="142"/>
      <c r="T49" s="142"/>
      <c r="U49" s="142"/>
    </row>
    <row r="50" spans="1:21" ht="15" customHeight="1" x14ac:dyDescent="0.25">
      <c r="A50" s="127"/>
      <c r="B50" s="127"/>
      <c r="C50" s="146"/>
      <c r="D50" s="127"/>
      <c r="E50" s="127"/>
      <c r="F50" s="127"/>
      <c r="G50" s="147"/>
      <c r="H50" s="127"/>
      <c r="I50" s="127"/>
      <c r="J50" s="127"/>
      <c r="K50" s="127"/>
      <c r="L50" s="127"/>
      <c r="M50" s="127"/>
      <c r="N50" s="142"/>
      <c r="O50" s="142"/>
      <c r="P50" s="142"/>
      <c r="Q50" s="142"/>
      <c r="R50" s="142"/>
      <c r="S50" s="142"/>
      <c r="T50" s="142"/>
      <c r="U50" s="142"/>
    </row>
    <row r="51" spans="1:21" ht="15" customHeight="1" x14ac:dyDescent="0.25">
      <c r="A51" s="127"/>
      <c r="B51" s="127"/>
      <c r="C51" s="146"/>
      <c r="D51" s="127"/>
      <c r="E51" s="127"/>
      <c r="F51" s="127"/>
      <c r="G51" s="147"/>
      <c r="H51" s="127"/>
      <c r="I51" s="127"/>
      <c r="J51" s="127"/>
      <c r="K51" s="127"/>
      <c r="L51" s="127"/>
      <c r="M51" s="127"/>
      <c r="N51" s="142"/>
      <c r="O51" s="142"/>
      <c r="P51" s="142"/>
      <c r="Q51" s="142"/>
      <c r="R51" s="142"/>
      <c r="S51" s="142"/>
      <c r="T51" s="142"/>
      <c r="U51" s="142"/>
    </row>
    <row r="52" spans="1:21" ht="15" customHeight="1" x14ac:dyDescent="0.25">
      <c r="A52" s="127"/>
      <c r="B52" s="127"/>
      <c r="C52" s="146"/>
      <c r="D52" s="127"/>
      <c r="E52" s="127"/>
      <c r="F52" s="127"/>
      <c r="G52" s="147"/>
      <c r="H52" s="127"/>
      <c r="I52" s="127"/>
      <c r="J52" s="127"/>
      <c r="K52" s="127"/>
      <c r="L52" s="127"/>
      <c r="M52" s="127"/>
      <c r="N52" s="142"/>
      <c r="O52" s="142"/>
      <c r="P52" s="142"/>
      <c r="Q52" s="142"/>
      <c r="R52" s="142"/>
      <c r="S52" s="142"/>
      <c r="T52" s="142"/>
      <c r="U52" s="142"/>
    </row>
    <row r="53" spans="1:21" ht="15" customHeight="1" x14ac:dyDescent="0.25">
      <c r="A53" s="127"/>
      <c r="B53" s="127"/>
      <c r="C53" s="146"/>
      <c r="D53" s="127"/>
      <c r="E53" s="127"/>
      <c r="F53" s="127"/>
      <c r="G53" s="147"/>
      <c r="H53" s="127"/>
      <c r="I53" s="127"/>
      <c r="J53" s="127"/>
      <c r="K53" s="127"/>
      <c r="L53" s="127"/>
      <c r="M53" s="127"/>
      <c r="N53" s="142"/>
      <c r="O53" s="142"/>
      <c r="P53" s="142"/>
      <c r="Q53" s="142"/>
      <c r="R53" s="142"/>
      <c r="S53" s="142"/>
      <c r="T53" s="142"/>
      <c r="U53" s="142"/>
    </row>
    <row r="54" spans="1:21" ht="15" customHeight="1" x14ac:dyDescent="0.25">
      <c r="A54" s="127"/>
      <c r="B54" s="127"/>
      <c r="C54" s="146"/>
      <c r="D54" s="127"/>
      <c r="E54" s="127"/>
      <c r="F54" s="127"/>
      <c r="G54" s="147"/>
      <c r="H54" s="127"/>
      <c r="I54" s="127"/>
      <c r="J54" s="127"/>
      <c r="K54" s="127"/>
      <c r="L54" s="127"/>
      <c r="M54" s="127"/>
      <c r="N54" s="142"/>
      <c r="O54" s="142"/>
      <c r="P54" s="142"/>
      <c r="Q54" s="142"/>
      <c r="R54" s="142"/>
      <c r="S54" s="142"/>
      <c r="T54" s="142"/>
      <c r="U54" s="142"/>
    </row>
    <row r="55" spans="1:21" ht="15" customHeight="1" x14ac:dyDescent="0.25">
      <c r="A55" s="127"/>
      <c r="B55" s="127"/>
      <c r="C55" s="146"/>
      <c r="D55" s="127"/>
      <c r="E55" s="127"/>
      <c r="F55" s="127"/>
      <c r="G55" s="147"/>
      <c r="H55" s="127"/>
      <c r="I55" s="127"/>
      <c r="J55" s="127"/>
      <c r="K55" s="127"/>
      <c r="L55" s="127"/>
      <c r="M55" s="127"/>
      <c r="N55" s="142"/>
      <c r="O55" s="142"/>
      <c r="P55" s="142"/>
      <c r="Q55" s="142"/>
      <c r="R55" s="142"/>
      <c r="S55" s="142"/>
      <c r="T55" s="142"/>
      <c r="U55" s="142"/>
    </row>
    <row r="56" spans="1:21" ht="15" customHeight="1" x14ac:dyDescent="0.25">
      <c r="A56" s="127"/>
      <c r="B56" s="127"/>
      <c r="C56" s="146"/>
      <c r="D56" s="127"/>
      <c r="E56" s="127"/>
      <c r="F56" s="127"/>
      <c r="G56" s="147"/>
      <c r="H56" s="127"/>
      <c r="I56" s="127"/>
      <c r="J56" s="127"/>
      <c r="K56" s="127"/>
      <c r="L56" s="127"/>
      <c r="M56" s="127"/>
      <c r="N56" s="142"/>
      <c r="O56" s="142"/>
      <c r="P56" s="142"/>
      <c r="Q56" s="142"/>
      <c r="R56" s="142"/>
      <c r="S56" s="142"/>
      <c r="T56" s="142"/>
      <c r="U56" s="142"/>
    </row>
    <row r="57" spans="1:21" ht="15" customHeight="1" x14ac:dyDescent="0.25">
      <c r="A57" s="127"/>
      <c r="B57" s="127"/>
      <c r="C57" s="146"/>
      <c r="D57" s="127"/>
      <c r="E57" s="127"/>
      <c r="F57" s="127"/>
      <c r="G57" s="147"/>
      <c r="H57" s="127"/>
      <c r="I57" s="127"/>
      <c r="J57" s="127"/>
      <c r="K57" s="127"/>
      <c r="L57" s="127"/>
      <c r="M57" s="127"/>
      <c r="N57" s="142"/>
      <c r="O57" s="142"/>
      <c r="P57" s="142"/>
      <c r="Q57" s="142"/>
      <c r="R57" s="142"/>
      <c r="S57" s="142"/>
      <c r="T57" s="142"/>
      <c r="U57" s="142"/>
    </row>
    <row r="58" spans="1:21" ht="15" customHeight="1" x14ac:dyDescent="0.25">
      <c r="A58" s="127"/>
      <c r="B58" s="127"/>
      <c r="C58" s="146"/>
      <c r="D58" s="127"/>
      <c r="E58" s="127"/>
      <c r="F58" s="127"/>
      <c r="G58" s="147"/>
      <c r="H58" s="127"/>
      <c r="I58" s="127"/>
      <c r="J58" s="127"/>
      <c r="K58" s="127"/>
      <c r="L58" s="127"/>
      <c r="M58" s="127"/>
      <c r="N58" s="142"/>
      <c r="O58" s="142"/>
      <c r="P58" s="142"/>
      <c r="Q58" s="142"/>
      <c r="R58" s="142"/>
      <c r="S58" s="142"/>
      <c r="T58" s="142"/>
      <c r="U58" s="142"/>
    </row>
    <row r="59" spans="1:21" ht="15" customHeight="1" x14ac:dyDescent="0.25">
      <c r="A59" s="127"/>
      <c r="B59" s="127"/>
      <c r="C59" s="146"/>
      <c r="D59" s="127"/>
      <c r="E59" s="127"/>
      <c r="F59" s="127"/>
      <c r="G59" s="147"/>
      <c r="H59" s="127"/>
      <c r="I59" s="127"/>
      <c r="J59" s="127"/>
      <c r="K59" s="127"/>
      <c r="L59" s="127"/>
      <c r="M59" s="127"/>
      <c r="N59" s="142"/>
      <c r="O59" s="142"/>
      <c r="P59" s="142"/>
      <c r="Q59" s="142"/>
      <c r="R59" s="142"/>
      <c r="S59" s="142"/>
      <c r="T59" s="142"/>
      <c r="U59" s="142"/>
    </row>
    <row r="60" spans="1:21" ht="15" customHeight="1" x14ac:dyDescent="0.25">
      <c r="A60" s="127"/>
      <c r="B60" s="127"/>
      <c r="C60" s="146"/>
      <c r="D60" s="127"/>
      <c r="E60" s="127"/>
      <c r="F60" s="127"/>
      <c r="G60" s="147"/>
      <c r="H60" s="127"/>
      <c r="I60" s="127"/>
      <c r="J60" s="127"/>
      <c r="K60" s="127"/>
      <c r="L60" s="127"/>
      <c r="M60" s="127"/>
      <c r="N60" s="142"/>
      <c r="O60" s="142"/>
      <c r="P60" s="142"/>
      <c r="Q60" s="142"/>
      <c r="R60" s="142"/>
      <c r="S60" s="142"/>
      <c r="T60" s="142"/>
      <c r="U60" s="142"/>
    </row>
    <row r="61" spans="1:21" ht="15" customHeight="1" x14ac:dyDescent="0.25">
      <c r="A61" s="127"/>
      <c r="B61" s="127"/>
      <c r="C61" s="146"/>
      <c r="D61" s="127"/>
      <c r="E61" s="127"/>
      <c r="F61" s="127"/>
      <c r="G61" s="147"/>
      <c r="H61" s="127"/>
      <c r="I61" s="127"/>
      <c r="J61" s="127"/>
      <c r="K61" s="127"/>
      <c r="L61" s="127"/>
      <c r="M61" s="127"/>
      <c r="N61" s="142"/>
      <c r="O61" s="142"/>
      <c r="P61" s="142"/>
      <c r="Q61" s="142"/>
      <c r="R61" s="142"/>
      <c r="S61" s="142"/>
      <c r="T61" s="142"/>
      <c r="U61" s="142"/>
    </row>
    <row r="62" spans="1:21" ht="15" customHeight="1" x14ac:dyDescent="0.25">
      <c r="A62" s="127"/>
      <c r="B62" s="127"/>
      <c r="C62" s="146"/>
      <c r="D62" s="127"/>
      <c r="E62" s="127"/>
      <c r="F62" s="127"/>
      <c r="G62" s="147"/>
      <c r="H62" s="127"/>
      <c r="I62" s="127"/>
      <c r="J62" s="127"/>
      <c r="K62" s="127"/>
      <c r="L62" s="127"/>
      <c r="M62" s="127"/>
      <c r="N62" s="142"/>
      <c r="O62" s="142"/>
      <c r="P62" s="142"/>
      <c r="Q62" s="142"/>
      <c r="R62" s="142"/>
      <c r="S62" s="142"/>
      <c r="T62" s="142"/>
      <c r="U62" s="142"/>
    </row>
    <row r="63" spans="1:21" ht="15" customHeight="1" x14ac:dyDescent="0.25">
      <c r="A63" s="127"/>
      <c r="B63" s="127"/>
      <c r="C63" s="146"/>
      <c r="D63" s="127"/>
      <c r="E63" s="127"/>
      <c r="F63" s="127"/>
      <c r="G63" s="147"/>
      <c r="H63" s="127"/>
      <c r="I63" s="127"/>
      <c r="J63" s="127"/>
      <c r="K63" s="127"/>
      <c r="L63" s="127"/>
      <c r="M63" s="127"/>
      <c r="N63" s="142"/>
      <c r="O63" s="142"/>
      <c r="P63" s="142"/>
      <c r="Q63" s="142"/>
      <c r="R63" s="142"/>
      <c r="S63" s="142"/>
      <c r="T63" s="142"/>
      <c r="U63" s="142"/>
    </row>
    <row r="64" spans="1:21" ht="15" customHeight="1" x14ac:dyDescent="0.25">
      <c r="A64" s="127"/>
      <c r="B64" s="127"/>
      <c r="C64" s="146"/>
      <c r="D64" s="127"/>
      <c r="E64" s="127"/>
      <c r="F64" s="127"/>
      <c r="G64" s="147"/>
      <c r="H64" s="127"/>
      <c r="I64" s="127"/>
      <c r="J64" s="127"/>
      <c r="K64" s="127"/>
      <c r="L64" s="127"/>
      <c r="M64" s="127"/>
      <c r="N64" s="142"/>
      <c r="O64" s="142"/>
      <c r="P64" s="142"/>
      <c r="Q64" s="142"/>
      <c r="R64" s="142"/>
      <c r="S64" s="142"/>
      <c r="T64" s="142"/>
      <c r="U64" s="142"/>
    </row>
    <row r="65" spans="1:21" ht="15" customHeight="1" x14ac:dyDescent="0.25">
      <c r="A65" s="127"/>
      <c r="B65" s="127"/>
      <c r="C65" s="146"/>
      <c r="D65" s="127"/>
      <c r="E65" s="127"/>
      <c r="F65" s="127"/>
      <c r="G65" s="147"/>
      <c r="H65" s="127"/>
      <c r="I65" s="127"/>
      <c r="J65" s="127"/>
      <c r="K65" s="127"/>
      <c r="L65" s="127"/>
      <c r="M65" s="127"/>
      <c r="N65" s="142"/>
      <c r="O65" s="142"/>
      <c r="P65" s="142"/>
      <c r="Q65" s="142"/>
      <c r="R65" s="142"/>
      <c r="S65" s="142"/>
      <c r="T65" s="142"/>
      <c r="U65" s="142"/>
    </row>
    <row r="66" spans="1:21" ht="15" customHeight="1" x14ac:dyDescent="0.25">
      <c r="A66" s="127"/>
      <c r="B66" s="127"/>
      <c r="C66" s="146"/>
      <c r="D66" s="127"/>
      <c r="E66" s="127"/>
      <c r="F66" s="127"/>
      <c r="G66" s="147"/>
      <c r="H66" s="127"/>
      <c r="I66" s="127"/>
      <c r="J66" s="127"/>
      <c r="K66" s="127"/>
      <c r="L66" s="127"/>
      <c r="M66" s="127"/>
      <c r="N66" s="142"/>
      <c r="O66" s="142"/>
      <c r="P66" s="142"/>
      <c r="Q66" s="142"/>
      <c r="R66" s="142"/>
      <c r="S66" s="142"/>
      <c r="T66" s="142"/>
      <c r="U66" s="142"/>
    </row>
    <row r="67" spans="1:21" ht="15" customHeight="1" x14ac:dyDescent="0.25">
      <c r="A67" s="127"/>
      <c r="B67" s="127"/>
      <c r="C67" s="146"/>
      <c r="D67" s="127"/>
      <c r="E67" s="127"/>
      <c r="F67" s="127"/>
      <c r="G67" s="147"/>
      <c r="H67" s="127"/>
      <c r="I67" s="127"/>
      <c r="J67" s="127"/>
      <c r="K67" s="127"/>
      <c r="L67" s="127"/>
      <c r="M67" s="127"/>
      <c r="N67" s="142"/>
      <c r="O67" s="142"/>
      <c r="P67" s="142"/>
      <c r="Q67" s="142"/>
      <c r="R67" s="142"/>
      <c r="S67" s="142"/>
      <c r="T67" s="142"/>
      <c r="U67" s="142"/>
    </row>
    <row r="68" spans="1:21" ht="15" customHeight="1" x14ac:dyDescent="0.25">
      <c r="A68" s="127"/>
      <c r="B68" s="127"/>
      <c r="C68" s="146"/>
      <c r="D68" s="127"/>
      <c r="E68" s="127"/>
      <c r="F68" s="127"/>
      <c r="G68" s="147"/>
      <c r="H68" s="127"/>
      <c r="I68" s="127"/>
      <c r="J68" s="127"/>
      <c r="K68" s="127"/>
      <c r="L68" s="127"/>
      <c r="M68" s="127"/>
      <c r="N68" s="142"/>
      <c r="O68" s="142"/>
      <c r="P68" s="142"/>
      <c r="Q68" s="142"/>
      <c r="R68" s="142"/>
      <c r="S68" s="142"/>
      <c r="T68" s="142"/>
      <c r="U68" s="142"/>
    </row>
    <row r="69" spans="1:21" ht="15" customHeight="1" x14ac:dyDescent="0.25">
      <c r="A69" s="127"/>
      <c r="B69" s="127"/>
      <c r="C69" s="146"/>
      <c r="D69" s="127"/>
      <c r="E69" s="127"/>
      <c r="F69" s="127"/>
      <c r="G69" s="147"/>
      <c r="H69" s="127"/>
      <c r="I69" s="127"/>
      <c r="J69" s="127"/>
      <c r="K69" s="127"/>
      <c r="L69" s="127"/>
      <c r="M69" s="127"/>
      <c r="N69" s="142"/>
      <c r="O69" s="142"/>
      <c r="P69" s="142"/>
      <c r="Q69" s="142"/>
      <c r="R69" s="142"/>
      <c r="S69" s="142"/>
      <c r="T69" s="142"/>
      <c r="U69" s="142"/>
    </row>
    <row r="70" spans="1:21" ht="15" customHeight="1" x14ac:dyDescent="0.25">
      <c r="A70" s="127"/>
      <c r="B70" s="127"/>
      <c r="C70" s="146"/>
      <c r="D70" s="127"/>
      <c r="E70" s="127"/>
      <c r="F70" s="127"/>
      <c r="G70" s="147"/>
      <c r="H70" s="127"/>
      <c r="I70" s="127"/>
      <c r="J70" s="127"/>
      <c r="K70" s="127"/>
      <c r="L70" s="127"/>
      <c r="M70" s="127"/>
      <c r="N70" s="142"/>
      <c r="O70" s="142"/>
      <c r="P70" s="142"/>
      <c r="Q70" s="142"/>
      <c r="R70" s="142"/>
      <c r="S70" s="142"/>
      <c r="T70" s="142"/>
      <c r="U70" s="142"/>
    </row>
    <row r="71" spans="1:21" ht="15" customHeight="1" x14ac:dyDescent="0.25">
      <c r="A71" s="127"/>
      <c r="B71" s="127"/>
      <c r="C71" s="146"/>
      <c r="D71" s="127"/>
      <c r="E71" s="127"/>
      <c r="F71" s="127"/>
      <c r="G71" s="147"/>
      <c r="H71" s="127"/>
      <c r="I71" s="127"/>
      <c r="J71" s="127"/>
      <c r="K71" s="127"/>
      <c r="L71" s="127"/>
      <c r="M71" s="127"/>
      <c r="N71" s="142"/>
      <c r="O71" s="142"/>
      <c r="P71" s="142"/>
      <c r="Q71" s="142"/>
      <c r="R71" s="142"/>
      <c r="S71" s="142"/>
      <c r="T71" s="142"/>
      <c r="U71" s="142"/>
    </row>
    <row r="72" spans="1:21" ht="15" customHeight="1" x14ac:dyDescent="0.25">
      <c r="A72" s="127"/>
      <c r="B72" s="127"/>
      <c r="C72" s="146"/>
      <c r="D72" s="127"/>
      <c r="E72" s="127"/>
      <c r="F72" s="127"/>
      <c r="G72" s="147"/>
      <c r="H72" s="127"/>
      <c r="I72" s="127"/>
      <c r="J72" s="127"/>
      <c r="K72" s="127"/>
      <c r="L72" s="127"/>
      <c r="M72" s="127"/>
      <c r="N72" s="142"/>
      <c r="O72" s="142"/>
      <c r="P72" s="142"/>
      <c r="Q72" s="142"/>
      <c r="R72" s="142"/>
      <c r="S72" s="142"/>
      <c r="T72" s="142"/>
      <c r="U72" s="142"/>
    </row>
    <row r="73" spans="1:21" ht="15" customHeight="1" x14ac:dyDescent="0.25">
      <c r="A73" s="127"/>
      <c r="B73" s="127"/>
      <c r="C73" s="146"/>
      <c r="D73" s="127"/>
      <c r="E73" s="127"/>
      <c r="F73" s="127"/>
      <c r="G73" s="147"/>
      <c r="H73" s="127"/>
      <c r="I73" s="127"/>
      <c r="J73" s="127"/>
      <c r="K73" s="127"/>
      <c r="L73" s="127"/>
      <c r="M73" s="127"/>
      <c r="N73" s="142"/>
      <c r="O73" s="142"/>
      <c r="P73" s="142"/>
      <c r="Q73" s="142"/>
      <c r="R73" s="142"/>
      <c r="S73" s="142"/>
      <c r="T73" s="142"/>
      <c r="U73" s="142"/>
    </row>
    <row r="74" spans="1:21" ht="15" customHeight="1" x14ac:dyDescent="0.25">
      <c r="A74" s="127"/>
      <c r="B74" s="127"/>
      <c r="C74" s="146"/>
      <c r="D74" s="127"/>
      <c r="E74" s="127"/>
      <c r="F74" s="127"/>
      <c r="G74" s="147"/>
      <c r="H74" s="127"/>
      <c r="I74" s="127"/>
      <c r="J74" s="127"/>
      <c r="K74" s="127"/>
      <c r="L74" s="127"/>
      <c r="M74" s="127"/>
      <c r="N74" s="142"/>
      <c r="O74" s="142"/>
      <c r="P74" s="142"/>
      <c r="Q74" s="142"/>
      <c r="R74" s="142"/>
      <c r="S74" s="142"/>
      <c r="T74" s="142"/>
      <c r="U74" s="142"/>
    </row>
    <row r="75" spans="1:21" ht="15" customHeight="1" x14ac:dyDescent="0.25">
      <c r="A75" s="127"/>
      <c r="B75" s="127"/>
      <c r="C75" s="146"/>
      <c r="D75" s="127"/>
      <c r="E75" s="127"/>
      <c r="F75" s="127"/>
      <c r="G75" s="147"/>
      <c r="H75" s="127"/>
      <c r="I75" s="127"/>
      <c r="J75" s="127"/>
      <c r="K75" s="127"/>
      <c r="L75" s="127"/>
      <c r="M75" s="127"/>
      <c r="N75" s="142"/>
      <c r="O75" s="142"/>
      <c r="P75" s="142"/>
      <c r="Q75" s="142"/>
      <c r="R75" s="142"/>
      <c r="S75" s="142"/>
      <c r="T75" s="142"/>
      <c r="U75" s="142"/>
    </row>
    <row r="76" spans="1:21" ht="15" customHeight="1" x14ac:dyDescent="0.25">
      <c r="A76" s="127"/>
      <c r="B76" s="127"/>
      <c r="C76" s="146"/>
      <c r="D76" s="127"/>
      <c r="E76" s="127"/>
      <c r="F76" s="127"/>
      <c r="G76" s="147"/>
      <c r="H76" s="127"/>
      <c r="I76" s="127"/>
      <c r="J76" s="127"/>
      <c r="K76" s="127"/>
      <c r="L76" s="127"/>
      <c r="M76" s="127"/>
      <c r="N76" s="142"/>
      <c r="O76" s="142"/>
      <c r="P76" s="142"/>
      <c r="Q76" s="142"/>
      <c r="R76" s="142"/>
      <c r="S76" s="142"/>
      <c r="T76" s="142"/>
      <c r="U76" s="142"/>
    </row>
    <row r="77" spans="1:21" ht="15" customHeight="1" x14ac:dyDescent="0.25">
      <c r="A77" s="127"/>
      <c r="B77" s="127"/>
      <c r="C77" s="146"/>
      <c r="D77" s="127"/>
      <c r="E77" s="127"/>
      <c r="F77" s="127"/>
      <c r="G77" s="147"/>
      <c r="H77" s="127"/>
      <c r="I77" s="127"/>
      <c r="J77" s="127"/>
      <c r="K77" s="127"/>
      <c r="L77" s="127"/>
      <c r="M77" s="127"/>
      <c r="N77" s="142"/>
      <c r="O77" s="142"/>
      <c r="P77" s="142"/>
      <c r="Q77" s="142"/>
      <c r="R77" s="142"/>
      <c r="S77" s="142"/>
      <c r="T77" s="142"/>
      <c r="U77" s="142"/>
    </row>
    <row r="78" spans="1:21" ht="15" customHeight="1" x14ac:dyDescent="0.25">
      <c r="A78" s="127"/>
      <c r="B78" s="127"/>
      <c r="C78" s="146"/>
      <c r="D78" s="127"/>
      <c r="E78" s="127"/>
      <c r="F78" s="127"/>
      <c r="G78" s="147"/>
      <c r="H78" s="127"/>
      <c r="I78" s="127"/>
      <c r="J78" s="127"/>
      <c r="K78" s="127"/>
      <c r="L78" s="127"/>
      <c r="M78" s="127"/>
      <c r="N78" s="142"/>
      <c r="O78" s="142"/>
      <c r="P78" s="142"/>
      <c r="Q78" s="142"/>
      <c r="R78" s="142"/>
      <c r="S78" s="142"/>
      <c r="T78" s="142"/>
      <c r="U78" s="142"/>
    </row>
    <row r="79" spans="1:21" ht="15" customHeight="1" x14ac:dyDescent="0.25">
      <c r="A79" s="127"/>
      <c r="B79" s="127"/>
      <c r="C79" s="146"/>
      <c r="D79" s="127"/>
      <c r="E79" s="127"/>
      <c r="F79" s="127"/>
      <c r="G79" s="147"/>
      <c r="H79" s="127"/>
      <c r="I79" s="127"/>
      <c r="J79" s="127"/>
      <c r="K79" s="127"/>
      <c r="L79" s="127"/>
      <c r="M79" s="127"/>
      <c r="N79" s="142"/>
      <c r="O79" s="142"/>
      <c r="P79" s="142"/>
      <c r="Q79" s="142"/>
      <c r="R79" s="142"/>
      <c r="S79" s="142"/>
      <c r="T79" s="142"/>
      <c r="U79" s="142"/>
    </row>
    <row r="80" spans="1:21" ht="15" customHeight="1" x14ac:dyDescent="0.25">
      <c r="A80" s="127"/>
      <c r="B80" s="127"/>
      <c r="C80" s="146"/>
      <c r="D80" s="127"/>
      <c r="E80" s="127"/>
      <c r="F80" s="127"/>
      <c r="G80" s="147"/>
      <c r="H80" s="127"/>
      <c r="I80" s="127"/>
      <c r="J80" s="127"/>
      <c r="K80" s="127"/>
      <c r="L80" s="127"/>
      <c r="M80" s="127"/>
      <c r="N80" s="142"/>
      <c r="O80" s="142"/>
      <c r="P80" s="142"/>
      <c r="Q80" s="142"/>
      <c r="R80" s="142"/>
      <c r="S80" s="142"/>
      <c r="T80" s="142"/>
      <c r="U80" s="142"/>
    </row>
    <row r="81" spans="1:21" ht="15" customHeight="1" x14ac:dyDescent="0.25">
      <c r="A81" s="127"/>
      <c r="B81" s="127"/>
      <c r="C81" s="146"/>
      <c r="D81" s="127"/>
      <c r="E81" s="127"/>
      <c r="F81" s="127"/>
      <c r="G81" s="147"/>
      <c r="H81" s="127"/>
      <c r="I81" s="127"/>
      <c r="J81" s="127"/>
      <c r="K81" s="127"/>
      <c r="L81" s="127"/>
      <c r="M81" s="127"/>
      <c r="N81" s="142"/>
      <c r="O81" s="142"/>
      <c r="P81" s="142"/>
      <c r="Q81" s="142"/>
      <c r="R81" s="142"/>
      <c r="S81" s="142"/>
      <c r="T81" s="142"/>
      <c r="U81" s="142"/>
    </row>
    <row r="82" spans="1:21" ht="15" customHeight="1" x14ac:dyDescent="0.25">
      <c r="A82" s="127"/>
      <c r="B82" s="127"/>
      <c r="C82" s="146"/>
      <c r="D82" s="127"/>
      <c r="E82" s="127"/>
      <c r="F82" s="127"/>
      <c r="G82" s="147"/>
      <c r="H82" s="127"/>
      <c r="I82" s="127"/>
      <c r="J82" s="127"/>
      <c r="K82" s="127"/>
      <c r="L82" s="127"/>
      <c r="M82" s="127"/>
      <c r="N82" s="142"/>
      <c r="O82" s="142"/>
      <c r="P82" s="142"/>
      <c r="Q82" s="142"/>
      <c r="R82" s="142"/>
      <c r="S82" s="142"/>
      <c r="T82" s="142"/>
      <c r="U82" s="142"/>
    </row>
    <row r="83" spans="1:21" ht="15" customHeight="1" x14ac:dyDescent="0.25">
      <c r="A83" s="127"/>
      <c r="B83" s="127"/>
      <c r="C83" s="146"/>
      <c r="D83" s="127"/>
      <c r="E83" s="127"/>
      <c r="F83" s="127"/>
      <c r="G83" s="147"/>
      <c r="H83" s="127"/>
      <c r="I83" s="127"/>
      <c r="J83" s="127"/>
      <c r="K83" s="127"/>
      <c r="L83" s="127"/>
      <c r="M83" s="127"/>
      <c r="N83" s="142"/>
      <c r="O83" s="142"/>
      <c r="P83" s="142"/>
      <c r="Q83" s="142"/>
      <c r="R83" s="142"/>
      <c r="S83" s="142"/>
      <c r="T83" s="142"/>
      <c r="U83" s="142"/>
    </row>
    <row r="84" spans="1:21" ht="15" customHeight="1" x14ac:dyDescent="0.25">
      <c r="A84" s="127"/>
      <c r="B84" s="127"/>
      <c r="C84" s="146"/>
      <c r="D84" s="127"/>
      <c r="E84" s="127"/>
      <c r="F84" s="127"/>
      <c r="G84" s="147"/>
      <c r="H84" s="127"/>
      <c r="I84" s="127"/>
      <c r="J84" s="127"/>
      <c r="K84" s="127"/>
      <c r="L84" s="127"/>
      <c r="M84" s="127"/>
      <c r="N84" s="142"/>
      <c r="O84" s="142"/>
      <c r="P84" s="142"/>
      <c r="Q84" s="142"/>
      <c r="R84" s="142"/>
      <c r="S84" s="142"/>
      <c r="T84" s="142"/>
      <c r="U84" s="142"/>
    </row>
    <row r="85" spans="1:21" ht="15" customHeight="1" x14ac:dyDescent="0.25">
      <c r="A85" s="127"/>
      <c r="B85" s="127"/>
      <c r="C85" s="146"/>
      <c r="D85" s="127"/>
      <c r="E85" s="127"/>
      <c r="F85" s="127"/>
      <c r="G85" s="147"/>
      <c r="H85" s="127"/>
      <c r="I85" s="127"/>
      <c r="J85" s="127"/>
      <c r="K85" s="127"/>
      <c r="L85" s="127"/>
      <c r="M85" s="127"/>
      <c r="N85" s="142"/>
      <c r="O85" s="142"/>
      <c r="P85" s="142"/>
      <c r="Q85" s="142"/>
      <c r="R85" s="142"/>
      <c r="S85" s="142"/>
      <c r="T85" s="142"/>
      <c r="U85" s="142"/>
    </row>
    <row r="86" spans="1:21" ht="15" customHeight="1" x14ac:dyDescent="0.25">
      <c r="A86" s="127"/>
      <c r="B86" s="127"/>
      <c r="C86" s="146"/>
      <c r="D86" s="127"/>
      <c r="E86" s="127"/>
      <c r="F86" s="127"/>
      <c r="G86" s="147"/>
      <c r="H86" s="127"/>
      <c r="I86" s="127"/>
      <c r="J86" s="127"/>
      <c r="K86" s="127"/>
      <c r="L86" s="127"/>
      <c r="M86" s="127"/>
      <c r="N86" s="142"/>
      <c r="O86" s="142"/>
      <c r="P86" s="142"/>
      <c r="Q86" s="142"/>
      <c r="R86" s="142"/>
      <c r="S86" s="142"/>
      <c r="T86" s="142"/>
      <c r="U86" s="142"/>
    </row>
    <row r="87" spans="1:21" ht="15" customHeight="1" x14ac:dyDescent="0.25">
      <c r="A87" s="127"/>
      <c r="B87" s="127"/>
      <c r="C87" s="146"/>
      <c r="D87" s="127"/>
      <c r="E87" s="127"/>
      <c r="F87" s="127"/>
      <c r="G87" s="147"/>
      <c r="H87" s="127"/>
      <c r="I87" s="127"/>
      <c r="J87" s="127"/>
      <c r="K87" s="127"/>
      <c r="L87" s="127"/>
      <c r="M87" s="127"/>
      <c r="N87" s="142"/>
      <c r="O87" s="142"/>
      <c r="P87" s="142"/>
      <c r="Q87" s="142"/>
      <c r="R87" s="142"/>
      <c r="S87" s="142"/>
      <c r="T87" s="142"/>
      <c r="U87" s="142"/>
    </row>
    <row r="88" spans="1:21" ht="15" customHeight="1" x14ac:dyDescent="0.25">
      <c r="A88" s="127"/>
      <c r="B88" s="127"/>
      <c r="C88" s="146"/>
      <c r="D88" s="127"/>
      <c r="E88" s="127"/>
      <c r="F88" s="127"/>
      <c r="G88" s="147"/>
      <c r="H88" s="127"/>
      <c r="I88" s="127"/>
      <c r="J88" s="127"/>
      <c r="K88" s="127"/>
      <c r="L88" s="127"/>
      <c r="M88" s="127"/>
      <c r="N88" s="142"/>
      <c r="O88" s="142"/>
      <c r="P88" s="142"/>
      <c r="Q88" s="142"/>
      <c r="R88" s="142"/>
      <c r="S88" s="142"/>
      <c r="T88" s="142"/>
      <c r="U88" s="142"/>
    </row>
    <row r="89" spans="1:21" ht="15" customHeight="1" x14ac:dyDescent="0.25">
      <c r="A89" s="127"/>
      <c r="B89" s="127"/>
      <c r="C89" s="146"/>
      <c r="D89" s="127"/>
      <c r="E89" s="127"/>
      <c r="F89" s="127"/>
      <c r="G89" s="147"/>
      <c r="H89" s="127"/>
      <c r="I89" s="127"/>
      <c r="J89" s="127"/>
      <c r="K89" s="127"/>
      <c r="L89" s="127"/>
      <c r="M89" s="127"/>
      <c r="N89" s="142"/>
      <c r="O89" s="142"/>
      <c r="P89" s="142"/>
      <c r="Q89" s="142"/>
      <c r="R89" s="142"/>
      <c r="S89" s="142"/>
      <c r="T89" s="142"/>
      <c r="U89" s="142"/>
    </row>
    <row r="90" spans="1:21" ht="15" customHeight="1" x14ac:dyDescent="0.25">
      <c r="A90" s="127"/>
      <c r="B90" s="127"/>
      <c r="C90" s="146"/>
      <c r="D90" s="127"/>
      <c r="E90" s="127"/>
      <c r="F90" s="127"/>
      <c r="G90" s="147"/>
      <c r="H90" s="127"/>
      <c r="I90" s="127"/>
      <c r="J90" s="127"/>
      <c r="K90" s="127"/>
      <c r="L90" s="127"/>
      <c r="M90" s="127"/>
      <c r="N90" s="142"/>
      <c r="O90" s="142"/>
      <c r="P90" s="142"/>
      <c r="Q90" s="142"/>
      <c r="R90" s="142"/>
      <c r="S90" s="142"/>
      <c r="T90" s="142"/>
      <c r="U90" s="142"/>
    </row>
    <row r="91" spans="1:21" ht="15" customHeight="1" x14ac:dyDescent="0.25">
      <c r="A91" s="127"/>
      <c r="B91" s="127"/>
      <c r="C91" s="146"/>
      <c r="D91" s="127"/>
      <c r="E91" s="127"/>
      <c r="F91" s="127"/>
      <c r="G91" s="147"/>
      <c r="H91" s="127"/>
      <c r="I91" s="127"/>
      <c r="J91" s="127"/>
      <c r="K91" s="127"/>
      <c r="L91" s="127"/>
      <c r="M91" s="127"/>
      <c r="N91" s="142"/>
      <c r="O91" s="142"/>
      <c r="P91" s="142"/>
      <c r="Q91" s="142"/>
      <c r="R91" s="142"/>
      <c r="S91" s="142"/>
      <c r="T91" s="142"/>
      <c r="U91" s="142"/>
    </row>
    <row r="92" spans="1:21" ht="15" customHeight="1" x14ac:dyDescent="0.25">
      <c r="A92" s="127"/>
      <c r="B92" s="127"/>
      <c r="C92" s="146"/>
      <c r="D92" s="127"/>
      <c r="E92" s="127"/>
      <c r="F92" s="127"/>
      <c r="G92" s="147"/>
      <c r="H92" s="127"/>
      <c r="I92" s="127"/>
      <c r="J92" s="127"/>
      <c r="K92" s="127"/>
      <c r="L92" s="127"/>
      <c r="M92" s="127"/>
      <c r="N92" s="142"/>
      <c r="O92" s="142"/>
      <c r="P92" s="142"/>
      <c r="Q92" s="142"/>
      <c r="R92" s="142"/>
      <c r="S92" s="142"/>
      <c r="T92" s="142"/>
      <c r="U92" s="142"/>
    </row>
    <row r="93" spans="1:21" ht="15" customHeight="1" x14ac:dyDescent="0.25">
      <c r="A93" s="127"/>
      <c r="B93" s="127"/>
      <c r="C93" s="146"/>
      <c r="D93" s="127"/>
      <c r="E93" s="127"/>
      <c r="F93" s="127"/>
      <c r="G93" s="147"/>
      <c r="H93" s="127"/>
      <c r="I93" s="127"/>
      <c r="J93" s="127"/>
      <c r="K93" s="127"/>
      <c r="L93" s="127"/>
      <c r="M93" s="127"/>
      <c r="N93" s="142"/>
      <c r="O93" s="142"/>
      <c r="P93" s="142"/>
      <c r="Q93" s="142"/>
      <c r="R93" s="142"/>
      <c r="S93" s="142"/>
      <c r="T93" s="142"/>
      <c r="U93" s="142"/>
    </row>
    <row r="94" spans="1:21" ht="15" customHeight="1" x14ac:dyDescent="0.25">
      <c r="A94" s="127"/>
      <c r="B94" s="127"/>
      <c r="C94" s="146"/>
      <c r="D94" s="127"/>
      <c r="E94" s="127"/>
      <c r="F94" s="127"/>
      <c r="G94" s="147"/>
      <c r="H94" s="127"/>
      <c r="I94" s="127"/>
      <c r="J94" s="127"/>
      <c r="K94" s="127"/>
      <c r="L94" s="127"/>
      <c r="M94" s="127"/>
      <c r="N94" s="142"/>
      <c r="O94" s="142"/>
      <c r="P94" s="142"/>
      <c r="Q94" s="142"/>
      <c r="R94" s="142"/>
      <c r="S94" s="142"/>
      <c r="T94" s="142"/>
      <c r="U94" s="142"/>
    </row>
    <row r="95" spans="1:21" ht="15" customHeight="1" x14ac:dyDescent="0.25">
      <c r="C95" s="146"/>
      <c r="D95" s="127"/>
      <c r="E95" s="127"/>
      <c r="F95" s="127"/>
      <c r="G95" s="147"/>
      <c r="H95" s="127"/>
      <c r="I95" s="127"/>
      <c r="J95" s="127"/>
      <c r="K95" s="127"/>
      <c r="L95" s="127"/>
      <c r="M95" s="127"/>
      <c r="N95" s="142"/>
    </row>
    <row r="96" spans="1:21" ht="15" customHeight="1" x14ac:dyDescent="0.25">
      <c r="C96" s="146"/>
      <c r="D96" s="127"/>
      <c r="E96" s="127"/>
      <c r="F96" s="127"/>
      <c r="G96" s="147"/>
      <c r="H96" s="127"/>
      <c r="I96" s="127"/>
      <c r="J96" s="127"/>
      <c r="K96" s="127"/>
      <c r="L96" s="127"/>
      <c r="M96" s="127"/>
      <c r="N96" s="142"/>
    </row>
    <row r="97" spans="3:14" ht="15" customHeight="1" x14ac:dyDescent="0.25">
      <c r="C97" s="146"/>
      <c r="D97" s="127"/>
      <c r="E97" s="127"/>
      <c r="F97" s="127"/>
      <c r="G97" s="147"/>
      <c r="H97" s="127"/>
      <c r="I97" s="127"/>
      <c r="J97" s="127"/>
      <c r="K97" s="127"/>
      <c r="L97" s="127"/>
      <c r="M97" s="127"/>
      <c r="N97" s="142"/>
    </row>
    <row r="98" spans="3:14" ht="15" customHeight="1" x14ac:dyDescent="0.25">
      <c r="C98" s="146"/>
      <c r="D98" s="127"/>
      <c r="E98" s="127"/>
      <c r="F98" s="127"/>
      <c r="G98" s="147"/>
      <c r="H98" s="127"/>
      <c r="I98" s="127"/>
      <c r="J98" s="127"/>
      <c r="K98" s="127"/>
      <c r="L98" s="127"/>
      <c r="M98" s="127"/>
      <c r="N98" s="142"/>
    </row>
  </sheetData>
  <mergeCells count="92">
    <mergeCell ref="W19:W20"/>
    <mergeCell ref="W21:W22"/>
    <mergeCell ref="W23:W24"/>
    <mergeCell ref="W25:W26"/>
    <mergeCell ref="W27:W28"/>
    <mergeCell ref="W9:W10"/>
    <mergeCell ref="W11:W12"/>
    <mergeCell ref="W13:W14"/>
    <mergeCell ref="W15:W16"/>
    <mergeCell ref="W17:W18"/>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D15:D16"/>
    <mergeCell ref="E15:E16"/>
    <mergeCell ref="T15:T16"/>
    <mergeCell ref="C9:C10"/>
    <mergeCell ref="D9:D10"/>
    <mergeCell ref="E9:E10"/>
    <mergeCell ref="T9:T14"/>
    <mergeCell ref="C13:C14"/>
    <mergeCell ref="D13:D14"/>
    <mergeCell ref="E13:E14"/>
    <mergeCell ref="C11:C12"/>
    <mergeCell ref="D11:D12"/>
    <mergeCell ref="E11:E12"/>
    <mergeCell ref="U13:U14"/>
    <mergeCell ref="V13:V14"/>
    <mergeCell ref="U15:U16"/>
    <mergeCell ref="V15:V16"/>
    <mergeCell ref="U11:U12"/>
    <mergeCell ref="V11:V12"/>
    <mergeCell ref="B9:B14"/>
    <mergeCell ref="V17:V18"/>
    <mergeCell ref="C19:C20"/>
    <mergeCell ref="D19:D20"/>
    <mergeCell ref="E19:E20"/>
    <mergeCell ref="U19:U20"/>
    <mergeCell ref="C17:C18"/>
    <mergeCell ref="D17:D18"/>
    <mergeCell ref="E17:E18"/>
    <mergeCell ref="T17:T20"/>
    <mergeCell ref="U17:U18"/>
    <mergeCell ref="V19:V20"/>
    <mergeCell ref="B15:B16"/>
    <mergeCell ref="C15:C16"/>
    <mergeCell ref="U9:U10"/>
    <mergeCell ref="V9:V10"/>
    <mergeCell ref="V21:V22"/>
    <mergeCell ref="C23:C24"/>
    <mergeCell ref="D23:D24"/>
    <mergeCell ref="B17:B20"/>
    <mergeCell ref="B21:B28"/>
    <mergeCell ref="C21:C22"/>
    <mergeCell ref="D21:D22"/>
    <mergeCell ref="E21:E22"/>
    <mergeCell ref="T21:T28"/>
    <mergeCell ref="A29:S29"/>
    <mergeCell ref="E23:E24"/>
    <mergeCell ref="U23:U24"/>
    <mergeCell ref="V23:V24"/>
    <mergeCell ref="C25:C26"/>
    <mergeCell ref="D25:D26"/>
    <mergeCell ref="E25:E26"/>
    <mergeCell ref="U25:U26"/>
    <mergeCell ref="V25:V26"/>
    <mergeCell ref="A9:A28"/>
    <mergeCell ref="C27:C28"/>
    <mergeCell ref="D27:D28"/>
    <mergeCell ref="E27:E28"/>
    <mergeCell ref="U27:U28"/>
    <mergeCell ref="V27:V28"/>
    <mergeCell ref="U21:U22"/>
    <mergeCell ref="C32:I32"/>
    <mergeCell ref="J32:P32"/>
    <mergeCell ref="C33:I33"/>
    <mergeCell ref="J33:P33"/>
    <mergeCell ref="C34:I34"/>
    <mergeCell ref="J34:P34"/>
  </mergeCells>
  <dataValidations count="1">
    <dataValidation operator="lessThan" allowBlank="1" showInputMessage="1" showErrorMessage="1" sqref="V9:V21 V23 V25:V1048576" xr:uid="{00000000-0002-0000-0400-000000000000}"/>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44E2-81BE-44DE-B856-4EF965283C70}">
  <dimension ref="A1:AZ1847"/>
  <sheetViews>
    <sheetView zoomScale="62" zoomScaleNormal="62" workbookViewId="0">
      <selection activeCell="H13" sqref="H13"/>
    </sheetView>
  </sheetViews>
  <sheetFormatPr baseColWidth="10" defaultRowHeight="15" x14ac:dyDescent="0.25"/>
  <cols>
    <col min="1" max="1" width="11.5703125" bestFit="1" customWidth="1"/>
    <col min="3" max="3" width="18.85546875" customWidth="1"/>
    <col min="5" max="5" width="26.28515625" customWidth="1"/>
    <col min="6" max="6" width="15.7109375" customWidth="1"/>
    <col min="7" max="7" width="20.5703125" customWidth="1"/>
    <col min="8" max="8" width="21.5703125" customWidth="1"/>
    <col min="9" max="9" width="24.28515625" customWidth="1"/>
    <col min="10" max="10" width="21.7109375" customWidth="1"/>
    <col min="11" max="11" width="20.28515625" customWidth="1"/>
    <col min="12" max="18" width="9.140625" hidden="1" customWidth="1"/>
    <col min="19" max="19" width="14" hidden="1" customWidth="1"/>
    <col min="20" max="20" width="20.85546875" customWidth="1"/>
    <col min="21" max="21" width="24.7109375" customWidth="1"/>
    <col min="22" max="22" width="27" customWidth="1"/>
    <col min="23" max="23" width="29.140625" customWidth="1"/>
    <col min="24" max="24" width="27.42578125" customWidth="1"/>
    <col min="25" max="31" width="9.140625" hidden="1" customWidth="1"/>
    <col min="32" max="32" width="0" hidden="1" customWidth="1"/>
    <col min="33" max="33" width="22.140625" style="90" customWidth="1"/>
    <col min="34" max="34" width="13.42578125" customWidth="1"/>
    <col min="37" max="37" width="21.140625" customWidth="1"/>
    <col min="39" max="39" width="25.140625" customWidth="1"/>
    <col min="40" max="43" width="14.85546875" style="18" customWidth="1"/>
    <col min="44" max="44" width="11.42578125" style="18"/>
    <col min="45" max="45" width="15.5703125" style="18" customWidth="1"/>
    <col min="46" max="46" width="11.42578125" style="18"/>
    <col min="47" max="47" width="16.5703125" style="18" customWidth="1"/>
    <col min="48" max="48" width="11.42578125" style="18"/>
    <col min="49" max="50" width="17.42578125" style="18" customWidth="1"/>
    <col min="51" max="51" width="33.28515625" customWidth="1"/>
    <col min="52" max="52" width="19.85546875" customWidth="1"/>
    <col min="53" max="53" width="8.140625" customWidth="1"/>
    <col min="97" max="102" width="11.5703125" customWidth="1"/>
  </cols>
  <sheetData>
    <row r="1" spans="1:52" x14ac:dyDescent="0.25">
      <c r="A1" s="1118"/>
      <c r="B1" s="1119"/>
      <c r="C1" s="1119"/>
      <c r="D1" s="1119"/>
      <c r="E1" s="1122" t="s">
        <v>366</v>
      </c>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122"/>
      <c r="AP1" s="1122"/>
      <c r="AQ1" s="1122"/>
      <c r="AR1" s="1122"/>
      <c r="AS1" s="1122"/>
      <c r="AT1" s="1122"/>
      <c r="AU1" s="1122"/>
      <c r="AV1" s="1122"/>
      <c r="AW1" s="1122"/>
      <c r="AX1" s="1122"/>
      <c r="AY1" s="1123"/>
    </row>
    <row r="2" spans="1:52" ht="30" customHeight="1" x14ac:dyDescent="0.25">
      <c r="A2" s="1120"/>
      <c r="B2" s="1121"/>
      <c r="C2" s="1121"/>
      <c r="D2" s="1121"/>
      <c r="E2" s="1124" t="s">
        <v>367</v>
      </c>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61"/>
    </row>
    <row r="3" spans="1:52" ht="15.75" x14ac:dyDescent="0.25">
      <c r="A3" s="1120"/>
      <c r="B3" s="1121"/>
      <c r="C3" s="1121"/>
      <c r="D3" s="1121"/>
      <c r="E3" s="1125" t="s">
        <v>368</v>
      </c>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6" t="s">
        <v>369</v>
      </c>
      <c r="AF3" s="1126"/>
      <c r="AG3" s="1126"/>
      <c r="AH3" s="1126"/>
      <c r="AI3" s="1126"/>
      <c r="AJ3" s="1126"/>
      <c r="AK3" s="1126"/>
      <c r="AL3" s="1126"/>
      <c r="AM3" s="1126"/>
      <c r="AN3" s="1126"/>
      <c r="AO3" s="1126"/>
      <c r="AP3" s="1126"/>
      <c r="AQ3" s="1126"/>
      <c r="AR3" s="1126"/>
      <c r="AS3" s="1126"/>
      <c r="AT3" s="1126"/>
      <c r="AU3" s="1126"/>
      <c r="AV3" s="1126"/>
      <c r="AW3" s="1126"/>
      <c r="AX3" s="1126"/>
      <c r="AY3" s="1127"/>
    </row>
    <row r="4" spans="1:52" ht="15.75" x14ac:dyDescent="0.25">
      <c r="A4" s="1128" t="s">
        <v>370</v>
      </c>
      <c r="B4" s="1129"/>
      <c r="C4" s="1129"/>
      <c r="D4" s="1129"/>
      <c r="E4" s="1130" t="s">
        <v>371</v>
      </c>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1"/>
    </row>
    <row r="5" spans="1:52" ht="15.75" x14ac:dyDescent="0.25">
      <c r="A5" s="1099" t="s">
        <v>372</v>
      </c>
      <c r="B5" s="1100"/>
      <c r="C5" s="1100"/>
      <c r="D5" s="1100"/>
      <c r="E5" s="1101" t="s">
        <v>373</v>
      </c>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N5" s="1101"/>
      <c r="AO5" s="1101"/>
      <c r="AP5" s="1101"/>
      <c r="AQ5" s="1101"/>
      <c r="AR5" s="1101"/>
      <c r="AS5" s="1101"/>
      <c r="AT5" s="1101"/>
      <c r="AU5" s="1101"/>
      <c r="AV5" s="1101"/>
      <c r="AW5" s="1101"/>
      <c r="AX5" s="1101"/>
      <c r="AY5" s="1102"/>
    </row>
    <row r="6" spans="1:52" ht="16.5" thickBot="1" x14ac:dyDescent="0.3">
      <c r="A6" s="1103" t="s">
        <v>374</v>
      </c>
      <c r="B6" s="1104"/>
      <c r="C6" s="1104"/>
      <c r="D6" s="1104"/>
      <c r="E6" s="1105" t="s">
        <v>450</v>
      </c>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6"/>
    </row>
    <row r="7" spans="1:52" ht="18.75" thickBot="1" x14ac:dyDescent="0.3">
      <c r="A7" s="1107"/>
      <c r="B7" s="1108"/>
      <c r="C7" s="1108"/>
      <c r="D7" s="1108"/>
      <c r="E7" s="1108"/>
      <c r="F7" s="1108"/>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09"/>
      <c r="AL7" s="1109"/>
      <c r="AM7" s="1109"/>
      <c r="AN7" s="1109"/>
      <c r="AO7" s="1109"/>
      <c r="AP7" s="1109"/>
      <c r="AQ7" s="1109"/>
      <c r="AR7" s="1109"/>
      <c r="AS7" s="1109"/>
      <c r="AT7" s="1109"/>
      <c r="AU7" s="1109"/>
      <c r="AV7" s="1109"/>
      <c r="AW7" s="1109"/>
      <c r="AX7" s="1109"/>
      <c r="AY7" s="1110"/>
    </row>
    <row r="8" spans="1:52" ht="28.5" customHeight="1" thickBot="1" x14ac:dyDescent="0.3">
      <c r="A8" s="1111" t="s">
        <v>375</v>
      </c>
      <c r="B8" s="1096"/>
      <c r="C8" s="1096"/>
      <c r="D8" s="1096"/>
      <c r="E8" s="1096"/>
      <c r="F8" s="1112"/>
      <c r="G8" s="1113" t="s">
        <v>452</v>
      </c>
      <c r="H8" s="1114"/>
      <c r="I8" s="1114"/>
      <c r="J8" s="1114"/>
      <c r="K8" s="1114"/>
      <c r="L8" s="1114"/>
      <c r="M8" s="1114"/>
      <c r="N8" s="1114"/>
      <c r="O8" s="1114"/>
      <c r="P8" s="1114"/>
      <c r="Q8" s="1114"/>
      <c r="R8" s="1114"/>
      <c r="S8" s="1115"/>
      <c r="T8" s="1113" t="s">
        <v>154</v>
      </c>
      <c r="U8" s="1114"/>
      <c r="V8" s="1114"/>
      <c r="W8" s="1114"/>
      <c r="X8" s="1114"/>
      <c r="Y8" s="1114"/>
      <c r="Z8" s="1114"/>
      <c r="AA8" s="1114"/>
      <c r="AB8" s="1114"/>
      <c r="AC8" s="1114"/>
      <c r="AD8" s="1114"/>
      <c r="AE8" s="1114"/>
      <c r="AF8" s="1115"/>
      <c r="AG8" s="1116" t="s">
        <v>376</v>
      </c>
      <c r="AH8" s="1117"/>
      <c r="AI8" s="1117"/>
      <c r="AJ8" s="1117"/>
      <c r="AK8" s="1117"/>
      <c r="AL8" s="1096" t="s">
        <v>377</v>
      </c>
      <c r="AM8" s="1097"/>
      <c r="AN8" s="1095" t="s">
        <v>378</v>
      </c>
      <c r="AO8" s="1096"/>
      <c r="AP8" s="1096"/>
      <c r="AQ8" s="1096"/>
      <c r="AR8" s="1096"/>
      <c r="AS8" s="1096"/>
      <c r="AT8" s="1096"/>
      <c r="AU8" s="1096"/>
      <c r="AV8" s="1096"/>
      <c r="AW8" s="1096"/>
      <c r="AX8" s="1097"/>
      <c r="AY8" s="1098" t="s">
        <v>379</v>
      </c>
    </row>
    <row r="9" spans="1:52" ht="63.75" customHeight="1" thickBot="1" x14ac:dyDescent="0.3">
      <c r="A9" s="166" t="s">
        <v>155</v>
      </c>
      <c r="B9" s="265" t="s">
        <v>156</v>
      </c>
      <c r="C9" s="266" t="s">
        <v>380</v>
      </c>
      <c r="D9" s="210" t="s">
        <v>381</v>
      </c>
      <c r="E9" s="267" t="s">
        <v>451</v>
      </c>
      <c r="F9" s="258" t="s">
        <v>382</v>
      </c>
      <c r="G9" s="256" t="s">
        <v>131</v>
      </c>
      <c r="H9" s="256" t="s">
        <v>132</v>
      </c>
      <c r="I9" s="210" t="s">
        <v>133</v>
      </c>
      <c r="J9" s="210" t="s">
        <v>134</v>
      </c>
      <c r="K9" s="210" t="s">
        <v>135</v>
      </c>
      <c r="L9" s="210" t="s">
        <v>136</v>
      </c>
      <c r="M9" s="210" t="s">
        <v>137</v>
      </c>
      <c r="N9" s="210" t="s">
        <v>138</v>
      </c>
      <c r="O9" s="210" t="s">
        <v>139</v>
      </c>
      <c r="P9" s="210" t="s">
        <v>140</v>
      </c>
      <c r="Q9" s="210" t="s">
        <v>141</v>
      </c>
      <c r="R9" s="257" t="s">
        <v>383</v>
      </c>
      <c r="S9" s="258" t="s">
        <v>384</v>
      </c>
      <c r="T9" s="259" t="s">
        <v>131</v>
      </c>
      <c r="U9" s="256" t="s">
        <v>132</v>
      </c>
      <c r="V9" s="210" t="s">
        <v>133</v>
      </c>
      <c r="W9" s="257" t="s">
        <v>134</v>
      </c>
      <c r="X9" s="210" t="s">
        <v>135</v>
      </c>
      <c r="Y9" s="257" t="s">
        <v>136</v>
      </c>
      <c r="Z9" s="257" t="s">
        <v>137</v>
      </c>
      <c r="AA9" s="257" t="s">
        <v>138</v>
      </c>
      <c r="AB9" s="257" t="s">
        <v>139</v>
      </c>
      <c r="AC9" s="210" t="s">
        <v>140</v>
      </c>
      <c r="AD9" s="258" t="s">
        <v>141</v>
      </c>
      <c r="AE9" s="238" t="s">
        <v>383</v>
      </c>
      <c r="AF9" s="536" t="s">
        <v>385</v>
      </c>
      <c r="AG9" s="537" t="s">
        <v>386</v>
      </c>
      <c r="AH9" s="538" t="s">
        <v>157</v>
      </c>
      <c r="AI9" s="538" t="s">
        <v>387</v>
      </c>
      <c r="AJ9" s="538" t="s">
        <v>388</v>
      </c>
      <c r="AK9" s="538" t="s">
        <v>389</v>
      </c>
      <c r="AL9" s="538" t="s">
        <v>390</v>
      </c>
      <c r="AM9" s="538" t="s">
        <v>391</v>
      </c>
      <c r="AN9" s="538" t="s">
        <v>392</v>
      </c>
      <c r="AO9" s="538" t="s">
        <v>158</v>
      </c>
      <c r="AP9" s="538" t="s">
        <v>159</v>
      </c>
      <c r="AQ9" s="538" t="s">
        <v>393</v>
      </c>
      <c r="AR9" s="538" t="s">
        <v>394</v>
      </c>
      <c r="AS9" s="538" t="s">
        <v>395</v>
      </c>
      <c r="AT9" s="538" t="s">
        <v>396</v>
      </c>
      <c r="AU9" s="538" t="s">
        <v>397</v>
      </c>
      <c r="AV9" s="538" t="s">
        <v>398</v>
      </c>
      <c r="AW9" s="538" t="s">
        <v>399</v>
      </c>
      <c r="AX9" s="538" t="s">
        <v>400</v>
      </c>
      <c r="AY9" s="1098"/>
    </row>
    <row r="10" spans="1:52" ht="24.75" customHeight="1" x14ac:dyDescent="0.25">
      <c r="A10" s="1046">
        <v>1</v>
      </c>
      <c r="B10" s="1048" t="s">
        <v>401</v>
      </c>
      <c r="C10" s="1051" t="s">
        <v>160</v>
      </c>
      <c r="D10" s="214" t="s">
        <v>402</v>
      </c>
      <c r="E10" s="603">
        <v>952</v>
      </c>
      <c r="F10" s="604"/>
      <c r="G10" s="605">
        <v>952</v>
      </c>
      <c r="H10" s="606">
        <v>952</v>
      </c>
      <c r="I10" s="607">
        <v>952</v>
      </c>
      <c r="J10" s="606">
        <v>829</v>
      </c>
      <c r="K10" s="606">
        <v>952</v>
      </c>
      <c r="L10" s="607"/>
      <c r="M10" s="607"/>
      <c r="N10" s="607"/>
      <c r="O10" s="607"/>
      <c r="P10" s="607"/>
      <c r="Q10" s="607"/>
      <c r="R10" s="608"/>
      <c r="S10" s="1054"/>
      <c r="T10" s="605">
        <v>218</v>
      </c>
      <c r="U10" s="608">
        <v>388</v>
      </c>
      <c r="V10" s="609">
        <v>536</v>
      </c>
      <c r="W10" s="608">
        <v>731</v>
      </c>
      <c r="X10" s="606">
        <v>881</v>
      </c>
      <c r="Y10" s="608"/>
      <c r="Z10" s="608"/>
      <c r="AA10" s="608"/>
      <c r="AB10" s="608"/>
      <c r="AC10" s="607"/>
      <c r="AD10" s="610"/>
      <c r="AE10" s="611"/>
      <c r="AF10" s="1082"/>
      <c r="AG10" s="1091" t="s">
        <v>160</v>
      </c>
      <c r="AH10" s="1031" t="s">
        <v>81</v>
      </c>
      <c r="AI10" s="1031" t="s">
        <v>81</v>
      </c>
      <c r="AJ10" s="1034" t="s">
        <v>403</v>
      </c>
      <c r="AK10" s="1088" t="s">
        <v>160</v>
      </c>
      <c r="AL10" s="1031" t="s">
        <v>81</v>
      </c>
      <c r="AM10" s="1031" t="s">
        <v>404</v>
      </c>
      <c r="AN10" s="1069">
        <v>593978</v>
      </c>
      <c r="AO10" s="1069">
        <v>272693</v>
      </c>
      <c r="AP10" s="1069">
        <v>321285</v>
      </c>
      <c r="AQ10" s="1031" t="s">
        <v>81</v>
      </c>
      <c r="AR10" s="1066" t="s">
        <v>162</v>
      </c>
      <c r="AS10" s="1069">
        <v>593978</v>
      </c>
      <c r="AT10" s="1066" t="s">
        <v>162</v>
      </c>
      <c r="AU10" s="1069">
        <v>593978</v>
      </c>
      <c r="AV10" s="1066" t="s">
        <v>405</v>
      </c>
      <c r="AW10" s="1069">
        <v>593978</v>
      </c>
      <c r="AX10" s="1069">
        <v>593978</v>
      </c>
      <c r="AY10" s="1072"/>
      <c r="AZ10" s="19">
        <f>+SUBTOTAL(9,X10:X124)</f>
        <v>3934088549.2174683</v>
      </c>
    </row>
    <row r="11" spans="1:52" ht="24.75" customHeight="1" x14ac:dyDescent="0.25">
      <c r="A11" s="1047"/>
      <c r="B11" s="1049"/>
      <c r="C11" s="1052"/>
      <c r="D11" s="168" t="s">
        <v>406</v>
      </c>
      <c r="E11" s="286">
        <v>583268109</v>
      </c>
      <c r="F11" s="263"/>
      <c r="G11" s="531">
        <v>583268109</v>
      </c>
      <c r="H11" s="216">
        <v>583268109</v>
      </c>
      <c r="I11" s="612">
        <v>583268109</v>
      </c>
      <c r="J11" s="216">
        <v>583268109</v>
      </c>
      <c r="K11" s="216">
        <v>583268109</v>
      </c>
      <c r="L11" s="217"/>
      <c r="M11" s="217"/>
      <c r="N11" s="217"/>
      <c r="O11" s="217"/>
      <c r="P11" s="217"/>
      <c r="Q11" s="217"/>
      <c r="R11" s="217"/>
      <c r="S11" s="1055"/>
      <c r="T11" s="531">
        <v>42703242.902208202</v>
      </c>
      <c r="U11" s="613">
        <v>136299054.531524</v>
      </c>
      <c r="V11" s="614">
        <v>171297862.37466127</v>
      </c>
      <c r="W11" s="217">
        <v>238122326.10922918</v>
      </c>
      <c r="X11" s="216">
        <v>293375029.82478476</v>
      </c>
      <c r="Y11" s="217"/>
      <c r="Z11" s="217"/>
      <c r="AA11" s="217"/>
      <c r="AB11" s="217"/>
      <c r="AC11" s="217"/>
      <c r="AD11" s="218"/>
      <c r="AE11" s="254"/>
      <c r="AF11" s="1083"/>
      <c r="AG11" s="1092"/>
      <c r="AH11" s="1032"/>
      <c r="AI11" s="1032"/>
      <c r="AJ11" s="1035"/>
      <c r="AK11" s="1089"/>
      <c r="AL11" s="1032"/>
      <c r="AM11" s="1032"/>
      <c r="AN11" s="1070"/>
      <c r="AO11" s="1070"/>
      <c r="AP11" s="1070"/>
      <c r="AQ11" s="1032"/>
      <c r="AR11" s="1067"/>
      <c r="AS11" s="1070"/>
      <c r="AT11" s="1067"/>
      <c r="AU11" s="1070"/>
      <c r="AV11" s="1067"/>
      <c r="AW11" s="1070"/>
      <c r="AX11" s="1070"/>
      <c r="AY11" s="1073"/>
      <c r="AZ11" s="19"/>
    </row>
    <row r="12" spans="1:52" ht="24.75" customHeight="1" x14ac:dyDescent="0.25">
      <c r="A12" s="1047"/>
      <c r="B12" s="1049"/>
      <c r="C12" s="1052"/>
      <c r="D12" s="167" t="s">
        <v>407</v>
      </c>
      <c r="E12" s="615"/>
      <c r="F12" s="616"/>
      <c r="G12" s="617"/>
      <c r="H12" s="613"/>
      <c r="I12" s="614"/>
      <c r="J12" s="613"/>
      <c r="K12" s="613"/>
      <c r="L12" s="613"/>
      <c r="M12" s="613"/>
      <c r="N12" s="613"/>
      <c r="O12" s="613"/>
      <c r="P12" s="613"/>
      <c r="Q12" s="613"/>
      <c r="R12" s="613"/>
      <c r="S12" s="1055"/>
      <c r="T12" s="617"/>
      <c r="U12" s="613"/>
      <c r="V12" s="614">
        <v>0</v>
      </c>
      <c r="W12" s="613">
        <v>0</v>
      </c>
      <c r="X12" s="613">
        <v>0</v>
      </c>
      <c r="Y12" s="613"/>
      <c r="Z12" s="613"/>
      <c r="AA12" s="613"/>
      <c r="AB12" s="613"/>
      <c r="AC12" s="613"/>
      <c r="AD12" s="618"/>
      <c r="AE12" s="619"/>
      <c r="AF12" s="1083"/>
      <c r="AG12" s="1092"/>
      <c r="AH12" s="1032"/>
      <c r="AI12" s="1032"/>
      <c r="AJ12" s="1035"/>
      <c r="AK12" s="1089"/>
      <c r="AL12" s="1032"/>
      <c r="AM12" s="1032"/>
      <c r="AN12" s="1070"/>
      <c r="AO12" s="1070"/>
      <c r="AP12" s="1070"/>
      <c r="AQ12" s="1032"/>
      <c r="AR12" s="1067"/>
      <c r="AS12" s="1070"/>
      <c r="AT12" s="1067"/>
      <c r="AU12" s="1070"/>
      <c r="AV12" s="1067"/>
      <c r="AW12" s="1070"/>
      <c r="AX12" s="1070"/>
      <c r="AY12" s="1073"/>
    </row>
    <row r="13" spans="1:52" ht="24.75" customHeight="1" x14ac:dyDescent="0.25">
      <c r="A13" s="1047"/>
      <c r="B13" s="1049"/>
      <c r="C13" s="1052"/>
      <c r="D13" s="168" t="s">
        <v>110</v>
      </c>
      <c r="E13" s="615"/>
      <c r="F13" s="616"/>
      <c r="G13" s="617"/>
      <c r="H13" s="613"/>
      <c r="I13" s="614"/>
      <c r="J13" s="613"/>
      <c r="K13" s="613"/>
      <c r="L13" s="613"/>
      <c r="M13" s="613"/>
      <c r="N13" s="613"/>
      <c r="O13" s="613"/>
      <c r="P13" s="613"/>
      <c r="Q13" s="613"/>
      <c r="R13" s="613"/>
      <c r="S13" s="1055"/>
      <c r="T13" s="617"/>
      <c r="U13" s="613">
        <v>0</v>
      </c>
      <c r="V13" s="614">
        <v>0</v>
      </c>
      <c r="W13" s="613">
        <v>0</v>
      </c>
      <c r="X13" s="613">
        <v>0</v>
      </c>
      <c r="Y13" s="613"/>
      <c r="Z13" s="613"/>
      <c r="AA13" s="613"/>
      <c r="AB13" s="613"/>
      <c r="AC13" s="613"/>
      <c r="AD13" s="618"/>
      <c r="AE13" s="619"/>
      <c r="AF13" s="1083"/>
      <c r="AG13" s="1092"/>
      <c r="AH13" s="1032"/>
      <c r="AI13" s="1032"/>
      <c r="AJ13" s="1035"/>
      <c r="AK13" s="1089"/>
      <c r="AL13" s="1032"/>
      <c r="AM13" s="1032"/>
      <c r="AN13" s="1070"/>
      <c r="AO13" s="1070"/>
      <c r="AP13" s="1070"/>
      <c r="AQ13" s="1032"/>
      <c r="AR13" s="1067"/>
      <c r="AS13" s="1070"/>
      <c r="AT13" s="1067"/>
      <c r="AU13" s="1070"/>
      <c r="AV13" s="1067"/>
      <c r="AW13" s="1070"/>
      <c r="AX13" s="1070"/>
      <c r="AY13" s="1073"/>
    </row>
    <row r="14" spans="1:52" ht="24.75" customHeight="1" x14ac:dyDescent="0.25">
      <c r="A14" s="1047"/>
      <c r="B14" s="1049"/>
      <c r="C14" s="1052"/>
      <c r="D14" s="167" t="s">
        <v>408</v>
      </c>
      <c r="E14" s="615">
        <v>952</v>
      </c>
      <c r="F14" s="616"/>
      <c r="G14" s="617">
        <v>952</v>
      </c>
      <c r="H14" s="613">
        <v>952</v>
      </c>
      <c r="I14" s="614">
        <v>952</v>
      </c>
      <c r="J14" s="613">
        <v>829</v>
      </c>
      <c r="K14" s="613">
        <v>952</v>
      </c>
      <c r="L14" s="613"/>
      <c r="M14" s="613"/>
      <c r="N14" s="613"/>
      <c r="O14" s="613"/>
      <c r="P14" s="613"/>
      <c r="Q14" s="613"/>
      <c r="R14" s="613"/>
      <c r="S14" s="1055"/>
      <c r="T14" s="617">
        <v>218</v>
      </c>
      <c r="U14" s="613">
        <v>388</v>
      </c>
      <c r="V14" s="614">
        <v>536</v>
      </c>
      <c r="W14" s="613">
        <v>731</v>
      </c>
      <c r="X14" s="613">
        <v>881</v>
      </c>
      <c r="Y14" s="613"/>
      <c r="Z14" s="613"/>
      <c r="AA14" s="613"/>
      <c r="AB14" s="613"/>
      <c r="AC14" s="613"/>
      <c r="AD14" s="618"/>
      <c r="AE14" s="619"/>
      <c r="AF14" s="1083"/>
      <c r="AG14" s="1092"/>
      <c r="AH14" s="1032"/>
      <c r="AI14" s="1032"/>
      <c r="AJ14" s="1035"/>
      <c r="AK14" s="1089"/>
      <c r="AL14" s="1032"/>
      <c r="AM14" s="1032"/>
      <c r="AN14" s="1070"/>
      <c r="AO14" s="1070"/>
      <c r="AP14" s="1070"/>
      <c r="AQ14" s="1032"/>
      <c r="AR14" s="1067"/>
      <c r="AS14" s="1070"/>
      <c r="AT14" s="1067"/>
      <c r="AU14" s="1070"/>
      <c r="AV14" s="1067"/>
      <c r="AW14" s="1070"/>
      <c r="AX14" s="1070"/>
      <c r="AY14" s="1073"/>
    </row>
    <row r="15" spans="1:52" ht="24.75" customHeight="1" thickBot="1" x14ac:dyDescent="0.3">
      <c r="A15" s="1047"/>
      <c r="B15" s="1049"/>
      <c r="C15" s="1053"/>
      <c r="D15" s="215" t="s">
        <v>112</v>
      </c>
      <c r="E15" s="287">
        <v>583268109</v>
      </c>
      <c r="F15" s="264"/>
      <c r="G15" s="532">
        <v>583268109</v>
      </c>
      <c r="H15" s="260">
        <v>583268109</v>
      </c>
      <c r="I15" s="620">
        <v>583268109</v>
      </c>
      <c r="J15" s="260">
        <v>583268109</v>
      </c>
      <c r="K15" s="260">
        <v>583268109</v>
      </c>
      <c r="L15" s="261"/>
      <c r="M15" s="261"/>
      <c r="N15" s="261"/>
      <c r="O15" s="261"/>
      <c r="P15" s="261"/>
      <c r="Q15" s="261"/>
      <c r="R15" s="261"/>
      <c r="S15" s="1056"/>
      <c r="T15" s="532">
        <v>42703242.902208202</v>
      </c>
      <c r="U15" s="261">
        <v>136299054.531524</v>
      </c>
      <c r="V15" s="621">
        <v>171297862.37466127</v>
      </c>
      <c r="W15" s="261">
        <v>171297862.37466127</v>
      </c>
      <c r="X15" s="260">
        <v>226550566.09021682</v>
      </c>
      <c r="Y15" s="261"/>
      <c r="Z15" s="261"/>
      <c r="AA15" s="261"/>
      <c r="AB15" s="261"/>
      <c r="AC15" s="261"/>
      <c r="AD15" s="262"/>
      <c r="AE15" s="255"/>
      <c r="AF15" s="1084"/>
      <c r="AG15" s="1093"/>
      <c r="AH15" s="1033"/>
      <c r="AI15" s="1033"/>
      <c r="AJ15" s="1036"/>
      <c r="AK15" s="1090"/>
      <c r="AL15" s="1033"/>
      <c r="AM15" s="1033"/>
      <c r="AN15" s="1071"/>
      <c r="AO15" s="1071"/>
      <c r="AP15" s="1071"/>
      <c r="AQ15" s="1033"/>
      <c r="AR15" s="1068"/>
      <c r="AS15" s="1071"/>
      <c r="AT15" s="1068"/>
      <c r="AU15" s="1071"/>
      <c r="AV15" s="1068"/>
      <c r="AW15" s="1071"/>
      <c r="AX15" s="1071"/>
      <c r="AY15" s="1074"/>
      <c r="AZ15" s="19"/>
    </row>
    <row r="16" spans="1:52" ht="24.75" customHeight="1" x14ac:dyDescent="0.25">
      <c r="A16" s="1047"/>
      <c r="B16" s="1049"/>
      <c r="C16" s="1051" t="s">
        <v>409</v>
      </c>
      <c r="D16" s="214" t="s">
        <v>402</v>
      </c>
      <c r="E16" s="603">
        <v>775</v>
      </c>
      <c r="F16" s="604"/>
      <c r="G16" s="605">
        <v>775</v>
      </c>
      <c r="H16" s="606">
        <v>775</v>
      </c>
      <c r="I16" s="607">
        <v>775</v>
      </c>
      <c r="J16" s="606">
        <v>490</v>
      </c>
      <c r="K16" s="606">
        <v>775</v>
      </c>
      <c r="L16" s="607"/>
      <c r="M16" s="607"/>
      <c r="N16" s="607"/>
      <c r="O16" s="607"/>
      <c r="P16" s="607"/>
      <c r="Q16" s="607"/>
      <c r="R16" s="608"/>
      <c r="S16" s="1054"/>
      <c r="T16" s="622">
        <v>123</v>
      </c>
      <c r="U16" s="623">
        <v>298</v>
      </c>
      <c r="V16" s="624">
        <v>401</v>
      </c>
      <c r="W16" s="623">
        <v>490</v>
      </c>
      <c r="X16" s="606">
        <v>573</v>
      </c>
      <c r="Y16" s="623"/>
      <c r="Z16" s="623"/>
      <c r="AA16" s="623"/>
      <c r="AB16" s="623"/>
      <c r="AC16" s="623"/>
      <c r="AD16" s="625"/>
      <c r="AE16" s="626"/>
      <c r="AF16" s="1082"/>
      <c r="AG16" s="1091" t="s">
        <v>409</v>
      </c>
      <c r="AH16" s="1031" t="s">
        <v>81</v>
      </c>
      <c r="AI16" s="1031" t="s">
        <v>81</v>
      </c>
      <c r="AJ16" s="1034" t="s">
        <v>403</v>
      </c>
      <c r="AK16" s="1088" t="s">
        <v>409</v>
      </c>
      <c r="AL16" s="1031" t="s">
        <v>81</v>
      </c>
      <c r="AM16" s="1031" t="s">
        <v>404</v>
      </c>
      <c r="AN16" s="1069">
        <v>180974</v>
      </c>
      <c r="AO16" s="1069">
        <v>86932</v>
      </c>
      <c r="AP16" s="1069">
        <v>94042</v>
      </c>
      <c r="AQ16" s="1031" t="s">
        <v>81</v>
      </c>
      <c r="AR16" s="1066" t="s">
        <v>162</v>
      </c>
      <c r="AS16" s="1069">
        <v>180974</v>
      </c>
      <c r="AT16" s="1066" t="s">
        <v>162</v>
      </c>
      <c r="AU16" s="1069">
        <v>180974</v>
      </c>
      <c r="AV16" s="1066" t="s">
        <v>405</v>
      </c>
      <c r="AW16" s="1069">
        <v>180974</v>
      </c>
      <c r="AX16" s="1069">
        <v>180974</v>
      </c>
      <c r="AY16" s="1072"/>
    </row>
    <row r="17" spans="1:51" ht="24.75" customHeight="1" x14ac:dyDescent="0.25">
      <c r="A17" s="1047"/>
      <c r="B17" s="1049"/>
      <c r="C17" s="1052"/>
      <c r="D17" s="168" t="s">
        <v>406</v>
      </c>
      <c r="E17" s="286">
        <v>429172690</v>
      </c>
      <c r="F17" s="263"/>
      <c r="G17" s="531">
        <v>429172690</v>
      </c>
      <c r="H17" s="216">
        <v>429172690</v>
      </c>
      <c r="I17" s="612">
        <v>429172690</v>
      </c>
      <c r="J17" s="216">
        <v>429172690</v>
      </c>
      <c r="K17" s="216">
        <v>429172690</v>
      </c>
      <c r="L17" s="217"/>
      <c r="M17" s="217"/>
      <c r="N17" s="217"/>
      <c r="O17" s="217"/>
      <c r="P17" s="217"/>
      <c r="Q17" s="217"/>
      <c r="R17" s="217"/>
      <c r="S17" s="1055"/>
      <c r="T17" s="531">
        <v>24094031.545741323</v>
      </c>
      <c r="U17" s="613">
        <v>120442661.16415399</v>
      </c>
      <c r="V17" s="614">
        <v>144799939.59552655</v>
      </c>
      <c r="W17" s="217">
        <v>175299310.22309858</v>
      </c>
      <c r="X17" s="216">
        <v>211312233.18055889</v>
      </c>
      <c r="Y17" s="217"/>
      <c r="Z17" s="217"/>
      <c r="AA17" s="217"/>
      <c r="AB17" s="217"/>
      <c r="AC17" s="217"/>
      <c r="AD17" s="218"/>
      <c r="AE17" s="188"/>
      <c r="AF17" s="1083"/>
      <c r="AG17" s="1092"/>
      <c r="AH17" s="1032"/>
      <c r="AI17" s="1032"/>
      <c r="AJ17" s="1035"/>
      <c r="AK17" s="1089"/>
      <c r="AL17" s="1032"/>
      <c r="AM17" s="1032"/>
      <c r="AN17" s="1070"/>
      <c r="AO17" s="1070"/>
      <c r="AP17" s="1070"/>
      <c r="AQ17" s="1032"/>
      <c r="AR17" s="1067"/>
      <c r="AS17" s="1070"/>
      <c r="AT17" s="1067"/>
      <c r="AU17" s="1070"/>
      <c r="AV17" s="1067"/>
      <c r="AW17" s="1070"/>
      <c r="AX17" s="1070"/>
      <c r="AY17" s="1073"/>
    </row>
    <row r="18" spans="1:51" ht="24.75" customHeight="1" x14ac:dyDescent="0.25">
      <c r="A18" s="1047"/>
      <c r="B18" s="1049"/>
      <c r="C18" s="1052"/>
      <c r="D18" s="167" t="s">
        <v>407</v>
      </c>
      <c r="E18" s="615"/>
      <c r="F18" s="616"/>
      <c r="G18" s="617"/>
      <c r="H18" s="613"/>
      <c r="I18" s="614"/>
      <c r="J18" s="613"/>
      <c r="K18" s="613"/>
      <c r="L18" s="613"/>
      <c r="M18" s="613"/>
      <c r="N18" s="613"/>
      <c r="O18" s="613"/>
      <c r="P18" s="613"/>
      <c r="Q18" s="613"/>
      <c r="R18" s="613"/>
      <c r="S18" s="1055"/>
      <c r="T18" s="617"/>
      <c r="U18" s="613"/>
      <c r="V18" s="614">
        <v>0</v>
      </c>
      <c r="W18" s="613">
        <v>0</v>
      </c>
      <c r="X18" s="613">
        <v>0</v>
      </c>
      <c r="Y18" s="613"/>
      <c r="Z18" s="613"/>
      <c r="AA18" s="613"/>
      <c r="AB18" s="613"/>
      <c r="AC18" s="613"/>
      <c r="AD18" s="618"/>
      <c r="AE18" s="627"/>
      <c r="AF18" s="1083"/>
      <c r="AG18" s="1092"/>
      <c r="AH18" s="1032"/>
      <c r="AI18" s="1032"/>
      <c r="AJ18" s="1035"/>
      <c r="AK18" s="1089"/>
      <c r="AL18" s="1032"/>
      <c r="AM18" s="1032"/>
      <c r="AN18" s="1070"/>
      <c r="AO18" s="1070"/>
      <c r="AP18" s="1070"/>
      <c r="AQ18" s="1032"/>
      <c r="AR18" s="1067"/>
      <c r="AS18" s="1070"/>
      <c r="AT18" s="1067"/>
      <c r="AU18" s="1070"/>
      <c r="AV18" s="1067"/>
      <c r="AW18" s="1070"/>
      <c r="AX18" s="1070"/>
      <c r="AY18" s="1073"/>
    </row>
    <row r="19" spans="1:51" ht="24.75" customHeight="1" x14ac:dyDescent="0.25">
      <c r="A19" s="1047"/>
      <c r="B19" s="1049"/>
      <c r="C19" s="1052"/>
      <c r="D19" s="168" t="s">
        <v>110</v>
      </c>
      <c r="E19" s="615"/>
      <c r="F19" s="616"/>
      <c r="G19" s="617"/>
      <c r="H19" s="613"/>
      <c r="I19" s="614"/>
      <c r="J19" s="613"/>
      <c r="K19" s="613"/>
      <c r="L19" s="613"/>
      <c r="M19" s="613"/>
      <c r="N19" s="613"/>
      <c r="O19" s="613"/>
      <c r="P19" s="613"/>
      <c r="Q19" s="613"/>
      <c r="R19" s="613"/>
      <c r="S19" s="1055"/>
      <c r="T19" s="617"/>
      <c r="U19" s="613">
        <v>0</v>
      </c>
      <c r="V19" s="614">
        <v>0</v>
      </c>
      <c r="W19" s="613">
        <v>0</v>
      </c>
      <c r="X19" s="613">
        <v>0</v>
      </c>
      <c r="Y19" s="613"/>
      <c r="Z19" s="613"/>
      <c r="AA19" s="613"/>
      <c r="AB19" s="613"/>
      <c r="AC19" s="613"/>
      <c r="AD19" s="618"/>
      <c r="AE19" s="627"/>
      <c r="AF19" s="1083"/>
      <c r="AG19" s="1092"/>
      <c r="AH19" s="1032"/>
      <c r="AI19" s="1032"/>
      <c r="AJ19" s="1035"/>
      <c r="AK19" s="1089"/>
      <c r="AL19" s="1032"/>
      <c r="AM19" s="1032"/>
      <c r="AN19" s="1070"/>
      <c r="AO19" s="1070"/>
      <c r="AP19" s="1070"/>
      <c r="AQ19" s="1032"/>
      <c r="AR19" s="1067"/>
      <c r="AS19" s="1070"/>
      <c r="AT19" s="1067"/>
      <c r="AU19" s="1070"/>
      <c r="AV19" s="1067"/>
      <c r="AW19" s="1070"/>
      <c r="AX19" s="1070"/>
      <c r="AY19" s="1073"/>
    </row>
    <row r="20" spans="1:51" ht="24.75" customHeight="1" x14ac:dyDescent="0.25">
      <c r="A20" s="1047"/>
      <c r="B20" s="1049"/>
      <c r="C20" s="1052"/>
      <c r="D20" s="167" t="s">
        <v>408</v>
      </c>
      <c r="E20" s="615">
        <v>775</v>
      </c>
      <c r="F20" s="616"/>
      <c r="G20" s="617">
        <v>775</v>
      </c>
      <c r="H20" s="613">
        <v>775</v>
      </c>
      <c r="I20" s="614">
        <v>775</v>
      </c>
      <c r="J20" s="613">
        <v>775</v>
      </c>
      <c r="K20" s="613">
        <v>775</v>
      </c>
      <c r="L20" s="613"/>
      <c r="M20" s="613"/>
      <c r="N20" s="613"/>
      <c r="O20" s="613"/>
      <c r="P20" s="613"/>
      <c r="Q20" s="613"/>
      <c r="R20" s="613"/>
      <c r="S20" s="1055"/>
      <c r="T20" s="617">
        <v>123</v>
      </c>
      <c r="U20" s="613">
        <v>298</v>
      </c>
      <c r="V20" s="614">
        <v>401</v>
      </c>
      <c r="W20" s="613">
        <v>490</v>
      </c>
      <c r="X20" s="613">
        <v>573</v>
      </c>
      <c r="Y20" s="613"/>
      <c r="Z20" s="613"/>
      <c r="AA20" s="613"/>
      <c r="AB20" s="613"/>
      <c r="AC20" s="613"/>
      <c r="AD20" s="618"/>
      <c r="AE20" s="627"/>
      <c r="AF20" s="1083"/>
      <c r="AG20" s="1092"/>
      <c r="AH20" s="1032"/>
      <c r="AI20" s="1032"/>
      <c r="AJ20" s="1035"/>
      <c r="AK20" s="1089"/>
      <c r="AL20" s="1032"/>
      <c r="AM20" s="1032"/>
      <c r="AN20" s="1070"/>
      <c r="AO20" s="1070"/>
      <c r="AP20" s="1070"/>
      <c r="AQ20" s="1032"/>
      <c r="AR20" s="1067"/>
      <c r="AS20" s="1070"/>
      <c r="AT20" s="1067"/>
      <c r="AU20" s="1070"/>
      <c r="AV20" s="1067"/>
      <c r="AW20" s="1070"/>
      <c r="AX20" s="1070"/>
      <c r="AY20" s="1073"/>
    </row>
    <row r="21" spans="1:51" ht="24.75" customHeight="1" thickBot="1" x14ac:dyDescent="0.3">
      <c r="A21" s="1047"/>
      <c r="B21" s="1049"/>
      <c r="C21" s="1053"/>
      <c r="D21" s="215" t="s">
        <v>112</v>
      </c>
      <c r="E21" s="287">
        <v>429172690</v>
      </c>
      <c r="F21" s="264"/>
      <c r="G21" s="532">
        <v>429172690</v>
      </c>
      <c r="H21" s="260">
        <v>429172690</v>
      </c>
      <c r="I21" s="620">
        <v>429172690</v>
      </c>
      <c r="J21" s="260">
        <v>429172690</v>
      </c>
      <c r="K21" s="260">
        <v>429172690</v>
      </c>
      <c r="L21" s="261"/>
      <c r="M21" s="261"/>
      <c r="N21" s="261"/>
      <c r="O21" s="261"/>
      <c r="P21" s="261"/>
      <c r="Q21" s="261"/>
      <c r="R21" s="261"/>
      <c r="S21" s="1056"/>
      <c r="T21" s="628">
        <v>24094031.545741323</v>
      </c>
      <c r="U21" s="220">
        <v>120442661.16415399</v>
      </c>
      <c r="V21" s="629">
        <v>144799939.59552655</v>
      </c>
      <c r="W21" s="220">
        <v>144799939.59552655</v>
      </c>
      <c r="X21" s="260">
        <v>180812862.55298686</v>
      </c>
      <c r="Y21" s="220"/>
      <c r="Z21" s="220"/>
      <c r="AA21" s="220"/>
      <c r="AB21" s="220"/>
      <c r="AC21" s="220"/>
      <c r="AD21" s="221"/>
      <c r="AE21" s="189"/>
      <c r="AF21" s="1084"/>
      <c r="AG21" s="1093"/>
      <c r="AH21" s="1033"/>
      <c r="AI21" s="1033"/>
      <c r="AJ21" s="1036"/>
      <c r="AK21" s="1090"/>
      <c r="AL21" s="1033"/>
      <c r="AM21" s="1033"/>
      <c r="AN21" s="1071"/>
      <c r="AO21" s="1071"/>
      <c r="AP21" s="1071"/>
      <c r="AQ21" s="1033"/>
      <c r="AR21" s="1068"/>
      <c r="AS21" s="1071"/>
      <c r="AT21" s="1068"/>
      <c r="AU21" s="1071"/>
      <c r="AV21" s="1068"/>
      <c r="AW21" s="1071"/>
      <c r="AX21" s="1071"/>
      <c r="AY21" s="1074"/>
    </row>
    <row r="22" spans="1:51" ht="24.75" customHeight="1" x14ac:dyDescent="0.25">
      <c r="A22" s="1047"/>
      <c r="B22" s="1049"/>
      <c r="C22" s="1051" t="s">
        <v>165</v>
      </c>
      <c r="D22" s="214" t="s">
        <v>402</v>
      </c>
      <c r="E22" s="603">
        <v>221</v>
      </c>
      <c r="F22" s="604"/>
      <c r="G22" s="605">
        <v>221</v>
      </c>
      <c r="H22" s="606">
        <v>221</v>
      </c>
      <c r="I22" s="607">
        <v>221</v>
      </c>
      <c r="J22" s="606">
        <v>221</v>
      </c>
      <c r="K22" s="606">
        <v>221</v>
      </c>
      <c r="L22" s="607"/>
      <c r="M22" s="607"/>
      <c r="N22" s="607"/>
      <c r="O22" s="607"/>
      <c r="P22" s="607"/>
      <c r="Q22" s="607"/>
      <c r="R22" s="608"/>
      <c r="S22" s="1054"/>
      <c r="T22" s="605">
        <v>21</v>
      </c>
      <c r="U22" s="608">
        <v>41</v>
      </c>
      <c r="V22" s="609">
        <v>63</v>
      </c>
      <c r="W22" s="608">
        <v>98</v>
      </c>
      <c r="X22" s="606">
        <v>106</v>
      </c>
      <c r="Y22" s="608"/>
      <c r="Z22" s="608"/>
      <c r="AA22" s="608"/>
      <c r="AB22" s="608"/>
      <c r="AC22" s="608"/>
      <c r="AD22" s="630"/>
      <c r="AE22" s="626"/>
      <c r="AF22" s="1082"/>
      <c r="AG22" s="1091" t="s">
        <v>165</v>
      </c>
      <c r="AH22" s="1031" t="s">
        <v>81</v>
      </c>
      <c r="AI22" s="1031" t="s">
        <v>81</v>
      </c>
      <c r="AJ22" s="1034" t="s">
        <v>403</v>
      </c>
      <c r="AK22" s="1088" t="s">
        <v>165</v>
      </c>
      <c r="AL22" s="1031" t="s">
        <v>81</v>
      </c>
      <c r="AM22" s="1031" t="s">
        <v>404</v>
      </c>
      <c r="AN22" s="1069">
        <v>106783</v>
      </c>
      <c r="AO22" s="1069">
        <v>52269</v>
      </c>
      <c r="AP22" s="1069">
        <v>54514</v>
      </c>
      <c r="AQ22" s="1031" t="s">
        <v>81</v>
      </c>
      <c r="AR22" s="1066" t="s">
        <v>162</v>
      </c>
      <c r="AS22" s="1069">
        <v>106783</v>
      </c>
      <c r="AT22" s="1066" t="s">
        <v>162</v>
      </c>
      <c r="AU22" s="1069">
        <v>106783</v>
      </c>
      <c r="AV22" s="1066" t="s">
        <v>405</v>
      </c>
      <c r="AW22" s="1069">
        <v>106783</v>
      </c>
      <c r="AX22" s="1069">
        <v>106783</v>
      </c>
      <c r="AY22" s="1072"/>
    </row>
    <row r="23" spans="1:51" ht="24.75" customHeight="1" x14ac:dyDescent="0.25">
      <c r="A23" s="1047"/>
      <c r="B23" s="1049"/>
      <c r="C23" s="1052"/>
      <c r="D23" s="168" t="s">
        <v>406</v>
      </c>
      <c r="E23" s="286">
        <v>122546272</v>
      </c>
      <c r="F23" s="263"/>
      <c r="G23" s="531">
        <v>122546272</v>
      </c>
      <c r="H23" s="216">
        <v>122546272</v>
      </c>
      <c r="I23" s="612">
        <v>122546272</v>
      </c>
      <c r="J23" s="216">
        <v>122546272</v>
      </c>
      <c r="K23" s="216">
        <v>122546272</v>
      </c>
      <c r="L23" s="217"/>
      <c r="M23" s="217"/>
      <c r="N23" s="217"/>
      <c r="O23" s="217"/>
      <c r="P23" s="217"/>
      <c r="Q23" s="217"/>
      <c r="R23" s="217"/>
      <c r="S23" s="1055"/>
      <c r="T23" s="531">
        <v>4113615.1419558357</v>
      </c>
      <c r="U23" s="613">
        <v>15124887.0983459</v>
      </c>
      <c r="V23" s="614">
        <v>20327412.588541977</v>
      </c>
      <c r="W23" s="217">
        <v>32321547.10500288</v>
      </c>
      <c r="X23" s="216">
        <v>35528177.231352083</v>
      </c>
      <c r="Y23" s="217"/>
      <c r="Z23" s="217"/>
      <c r="AA23" s="217"/>
      <c r="AB23" s="217"/>
      <c r="AC23" s="217"/>
      <c r="AD23" s="218"/>
      <c r="AE23" s="188"/>
      <c r="AF23" s="1083"/>
      <c r="AG23" s="1092"/>
      <c r="AH23" s="1032"/>
      <c r="AI23" s="1032"/>
      <c r="AJ23" s="1035"/>
      <c r="AK23" s="1089"/>
      <c r="AL23" s="1032"/>
      <c r="AM23" s="1032"/>
      <c r="AN23" s="1070"/>
      <c r="AO23" s="1070"/>
      <c r="AP23" s="1070"/>
      <c r="AQ23" s="1032"/>
      <c r="AR23" s="1067"/>
      <c r="AS23" s="1070"/>
      <c r="AT23" s="1067"/>
      <c r="AU23" s="1070"/>
      <c r="AV23" s="1067"/>
      <c r="AW23" s="1070"/>
      <c r="AX23" s="1070"/>
      <c r="AY23" s="1073"/>
    </row>
    <row r="24" spans="1:51" ht="24.75" customHeight="1" x14ac:dyDescent="0.25">
      <c r="A24" s="1047"/>
      <c r="B24" s="1049"/>
      <c r="C24" s="1052"/>
      <c r="D24" s="167" t="s">
        <v>407</v>
      </c>
      <c r="E24" s="615"/>
      <c r="F24" s="616"/>
      <c r="G24" s="617"/>
      <c r="H24" s="613"/>
      <c r="I24" s="614"/>
      <c r="J24" s="613"/>
      <c r="K24" s="613"/>
      <c r="L24" s="613"/>
      <c r="M24" s="613"/>
      <c r="N24" s="613"/>
      <c r="O24" s="613"/>
      <c r="P24" s="613"/>
      <c r="Q24" s="613"/>
      <c r="R24" s="613"/>
      <c r="S24" s="1055"/>
      <c r="T24" s="617"/>
      <c r="U24" s="613">
        <v>0</v>
      </c>
      <c r="V24" s="614">
        <v>0</v>
      </c>
      <c r="W24" s="613">
        <v>0</v>
      </c>
      <c r="X24" s="613">
        <v>0</v>
      </c>
      <c r="Y24" s="613"/>
      <c r="Z24" s="613"/>
      <c r="AA24" s="613"/>
      <c r="AB24" s="613"/>
      <c r="AC24" s="613"/>
      <c r="AD24" s="618"/>
      <c r="AE24" s="627"/>
      <c r="AF24" s="1083"/>
      <c r="AG24" s="1092"/>
      <c r="AH24" s="1032"/>
      <c r="AI24" s="1032"/>
      <c r="AJ24" s="1035"/>
      <c r="AK24" s="1089"/>
      <c r="AL24" s="1032"/>
      <c r="AM24" s="1032"/>
      <c r="AN24" s="1070"/>
      <c r="AO24" s="1070"/>
      <c r="AP24" s="1070"/>
      <c r="AQ24" s="1032"/>
      <c r="AR24" s="1067"/>
      <c r="AS24" s="1070"/>
      <c r="AT24" s="1067"/>
      <c r="AU24" s="1070"/>
      <c r="AV24" s="1067"/>
      <c r="AW24" s="1070"/>
      <c r="AX24" s="1070"/>
      <c r="AY24" s="1073"/>
    </row>
    <row r="25" spans="1:51" ht="24.75" customHeight="1" x14ac:dyDescent="0.25">
      <c r="A25" s="1047"/>
      <c r="B25" s="1049"/>
      <c r="C25" s="1052"/>
      <c r="D25" s="168" t="s">
        <v>110</v>
      </c>
      <c r="E25" s="615"/>
      <c r="F25" s="616"/>
      <c r="G25" s="617"/>
      <c r="H25" s="613"/>
      <c r="I25" s="614"/>
      <c r="J25" s="613"/>
      <c r="K25" s="613"/>
      <c r="L25" s="613"/>
      <c r="M25" s="613"/>
      <c r="N25" s="613"/>
      <c r="O25" s="613"/>
      <c r="P25" s="613"/>
      <c r="Q25" s="613"/>
      <c r="R25" s="613"/>
      <c r="S25" s="1055"/>
      <c r="T25" s="617"/>
      <c r="U25" s="613">
        <v>0</v>
      </c>
      <c r="V25" s="614">
        <v>0</v>
      </c>
      <c r="W25" s="613">
        <v>0</v>
      </c>
      <c r="X25" s="613">
        <v>0</v>
      </c>
      <c r="Y25" s="613"/>
      <c r="Z25" s="613"/>
      <c r="AA25" s="613"/>
      <c r="AB25" s="613"/>
      <c r="AC25" s="613"/>
      <c r="AD25" s="618"/>
      <c r="AE25" s="627"/>
      <c r="AF25" s="1083"/>
      <c r="AG25" s="1092"/>
      <c r="AH25" s="1032"/>
      <c r="AI25" s="1032"/>
      <c r="AJ25" s="1035"/>
      <c r="AK25" s="1089"/>
      <c r="AL25" s="1032"/>
      <c r="AM25" s="1032"/>
      <c r="AN25" s="1070"/>
      <c r="AO25" s="1070"/>
      <c r="AP25" s="1070"/>
      <c r="AQ25" s="1032"/>
      <c r="AR25" s="1067"/>
      <c r="AS25" s="1070"/>
      <c r="AT25" s="1067"/>
      <c r="AU25" s="1070"/>
      <c r="AV25" s="1067"/>
      <c r="AW25" s="1070"/>
      <c r="AX25" s="1070"/>
      <c r="AY25" s="1073"/>
    </row>
    <row r="26" spans="1:51" ht="24.75" customHeight="1" x14ac:dyDescent="0.25">
      <c r="A26" s="1047"/>
      <c r="B26" s="1049"/>
      <c r="C26" s="1052"/>
      <c r="D26" s="167" t="s">
        <v>408</v>
      </c>
      <c r="E26" s="615">
        <v>221</v>
      </c>
      <c r="F26" s="616"/>
      <c r="G26" s="617">
        <v>221</v>
      </c>
      <c r="H26" s="613">
        <v>221</v>
      </c>
      <c r="I26" s="614">
        <v>221</v>
      </c>
      <c r="J26" s="613">
        <v>221</v>
      </c>
      <c r="K26" s="613">
        <v>221</v>
      </c>
      <c r="L26" s="613"/>
      <c r="M26" s="613"/>
      <c r="N26" s="613"/>
      <c r="O26" s="613"/>
      <c r="P26" s="613"/>
      <c r="Q26" s="613"/>
      <c r="R26" s="613"/>
      <c r="S26" s="1055"/>
      <c r="T26" s="617">
        <v>21</v>
      </c>
      <c r="U26" s="613">
        <v>41</v>
      </c>
      <c r="V26" s="614">
        <v>63</v>
      </c>
      <c r="W26" s="613">
        <v>98</v>
      </c>
      <c r="X26" s="613">
        <v>106</v>
      </c>
      <c r="Y26" s="613"/>
      <c r="Z26" s="613"/>
      <c r="AA26" s="613"/>
      <c r="AB26" s="613"/>
      <c r="AC26" s="613"/>
      <c r="AD26" s="618"/>
      <c r="AE26" s="627"/>
      <c r="AF26" s="1083"/>
      <c r="AG26" s="1092"/>
      <c r="AH26" s="1032"/>
      <c r="AI26" s="1032"/>
      <c r="AJ26" s="1035"/>
      <c r="AK26" s="1089"/>
      <c r="AL26" s="1032"/>
      <c r="AM26" s="1032"/>
      <c r="AN26" s="1070"/>
      <c r="AO26" s="1070"/>
      <c r="AP26" s="1070"/>
      <c r="AQ26" s="1032"/>
      <c r="AR26" s="1067"/>
      <c r="AS26" s="1070"/>
      <c r="AT26" s="1067"/>
      <c r="AU26" s="1070"/>
      <c r="AV26" s="1067"/>
      <c r="AW26" s="1070"/>
      <c r="AX26" s="1070"/>
      <c r="AY26" s="1073"/>
    </row>
    <row r="27" spans="1:51" ht="24.75" customHeight="1" thickBot="1" x14ac:dyDescent="0.3">
      <c r="A27" s="1047"/>
      <c r="B27" s="1049"/>
      <c r="C27" s="1053"/>
      <c r="D27" s="215" t="s">
        <v>112</v>
      </c>
      <c r="E27" s="287">
        <v>122546272</v>
      </c>
      <c r="F27" s="264"/>
      <c r="G27" s="532">
        <v>122546272</v>
      </c>
      <c r="H27" s="260">
        <v>122546272</v>
      </c>
      <c r="I27" s="620">
        <v>122546272</v>
      </c>
      <c r="J27" s="260">
        <v>122546272</v>
      </c>
      <c r="K27" s="260">
        <v>122546272</v>
      </c>
      <c r="L27" s="261"/>
      <c r="M27" s="261"/>
      <c r="N27" s="261"/>
      <c r="O27" s="261"/>
      <c r="P27" s="261"/>
      <c r="Q27" s="261"/>
      <c r="R27" s="261"/>
      <c r="S27" s="1056"/>
      <c r="T27" s="628">
        <v>4113615.1419558357</v>
      </c>
      <c r="U27" s="220">
        <v>15124887.0983459</v>
      </c>
      <c r="V27" s="629">
        <v>20327412.588541977</v>
      </c>
      <c r="W27" s="220">
        <v>20327412.588541977</v>
      </c>
      <c r="X27" s="260">
        <v>23534042.714891184</v>
      </c>
      <c r="Y27" s="220"/>
      <c r="Z27" s="220"/>
      <c r="AA27" s="220"/>
      <c r="AB27" s="220"/>
      <c r="AC27" s="220"/>
      <c r="AD27" s="221"/>
      <c r="AE27" s="189"/>
      <c r="AF27" s="1084"/>
      <c r="AG27" s="1093"/>
      <c r="AH27" s="1033"/>
      <c r="AI27" s="1033"/>
      <c r="AJ27" s="1036"/>
      <c r="AK27" s="1090"/>
      <c r="AL27" s="1033"/>
      <c r="AM27" s="1033"/>
      <c r="AN27" s="1071"/>
      <c r="AO27" s="1071"/>
      <c r="AP27" s="1071"/>
      <c r="AQ27" s="1033"/>
      <c r="AR27" s="1068"/>
      <c r="AS27" s="1071"/>
      <c r="AT27" s="1068"/>
      <c r="AU27" s="1071"/>
      <c r="AV27" s="1068"/>
      <c r="AW27" s="1071"/>
      <c r="AX27" s="1071"/>
      <c r="AY27" s="1074"/>
    </row>
    <row r="28" spans="1:51" ht="24.75" customHeight="1" x14ac:dyDescent="0.25">
      <c r="A28" s="1047"/>
      <c r="B28" s="1049"/>
      <c r="C28" s="1051" t="s">
        <v>410</v>
      </c>
      <c r="D28" s="214" t="s">
        <v>402</v>
      </c>
      <c r="E28" s="603">
        <v>268</v>
      </c>
      <c r="F28" s="604"/>
      <c r="G28" s="605">
        <v>268</v>
      </c>
      <c r="H28" s="606">
        <v>268</v>
      </c>
      <c r="I28" s="607">
        <v>268</v>
      </c>
      <c r="J28" s="606">
        <v>268</v>
      </c>
      <c r="K28" s="606">
        <v>268</v>
      </c>
      <c r="L28" s="607"/>
      <c r="M28" s="607"/>
      <c r="N28" s="607"/>
      <c r="O28" s="607"/>
      <c r="P28" s="607"/>
      <c r="Q28" s="607"/>
      <c r="R28" s="608"/>
      <c r="S28" s="1054"/>
      <c r="T28" s="605">
        <v>96</v>
      </c>
      <c r="U28" s="608">
        <v>132</v>
      </c>
      <c r="V28" s="609">
        <v>158</v>
      </c>
      <c r="W28" s="608">
        <v>190</v>
      </c>
      <c r="X28" s="606">
        <v>219</v>
      </c>
      <c r="Y28" s="608"/>
      <c r="Z28" s="608"/>
      <c r="AA28" s="608"/>
      <c r="AB28" s="608"/>
      <c r="AC28" s="608"/>
      <c r="AD28" s="630"/>
      <c r="AE28" s="626"/>
      <c r="AF28" s="1082"/>
      <c r="AG28" s="1091" t="s">
        <v>410</v>
      </c>
      <c r="AH28" s="1031" t="s">
        <v>81</v>
      </c>
      <c r="AI28" s="1031" t="s">
        <v>81</v>
      </c>
      <c r="AJ28" s="1034" t="s">
        <v>403</v>
      </c>
      <c r="AK28" s="1088" t="s">
        <v>410</v>
      </c>
      <c r="AL28" s="1031" t="s">
        <v>81</v>
      </c>
      <c r="AM28" s="1031" t="s">
        <v>404</v>
      </c>
      <c r="AN28" s="1069">
        <v>409033</v>
      </c>
      <c r="AO28" s="1069">
        <v>196875</v>
      </c>
      <c r="AP28" s="1069">
        <v>212158</v>
      </c>
      <c r="AQ28" s="1031" t="s">
        <v>81</v>
      </c>
      <c r="AR28" s="1066" t="s">
        <v>162</v>
      </c>
      <c r="AS28" s="1069">
        <v>409033</v>
      </c>
      <c r="AT28" s="1066" t="s">
        <v>162</v>
      </c>
      <c r="AU28" s="1069">
        <v>409033</v>
      </c>
      <c r="AV28" s="1066" t="s">
        <v>405</v>
      </c>
      <c r="AW28" s="1069">
        <v>409033</v>
      </c>
      <c r="AX28" s="1069">
        <v>409033</v>
      </c>
      <c r="AY28" s="1072"/>
    </row>
    <row r="29" spans="1:51" ht="24.75" customHeight="1" x14ac:dyDescent="0.25">
      <c r="A29" s="1047"/>
      <c r="B29" s="1049"/>
      <c r="C29" s="1052"/>
      <c r="D29" s="168" t="s">
        <v>406</v>
      </c>
      <c r="E29" s="286">
        <v>148619947</v>
      </c>
      <c r="F29" s="263"/>
      <c r="G29" s="531">
        <v>148619947</v>
      </c>
      <c r="H29" s="216">
        <v>148619947</v>
      </c>
      <c r="I29" s="612">
        <v>148619947</v>
      </c>
      <c r="J29" s="216">
        <v>148619947</v>
      </c>
      <c r="K29" s="216">
        <v>148619947</v>
      </c>
      <c r="L29" s="217"/>
      <c r="M29" s="217"/>
      <c r="N29" s="217"/>
      <c r="O29" s="217"/>
      <c r="P29" s="217"/>
      <c r="Q29" s="217"/>
      <c r="R29" s="217"/>
      <c r="S29" s="1055"/>
      <c r="T29" s="531">
        <v>18805097.791798107</v>
      </c>
      <c r="U29" s="613">
        <v>38625387.3133002</v>
      </c>
      <c r="V29" s="614">
        <v>44773826.528986476</v>
      </c>
      <c r="W29" s="217">
        <v>55739892.372607872</v>
      </c>
      <c r="X29" s="216">
        <v>63633135.760544382</v>
      </c>
      <c r="Y29" s="217"/>
      <c r="Z29" s="217"/>
      <c r="AA29" s="217"/>
      <c r="AB29" s="217"/>
      <c r="AC29" s="217"/>
      <c r="AD29" s="218"/>
      <c r="AE29" s="188"/>
      <c r="AF29" s="1083"/>
      <c r="AG29" s="1092"/>
      <c r="AH29" s="1032"/>
      <c r="AI29" s="1032"/>
      <c r="AJ29" s="1035"/>
      <c r="AK29" s="1089"/>
      <c r="AL29" s="1032"/>
      <c r="AM29" s="1032"/>
      <c r="AN29" s="1070"/>
      <c r="AO29" s="1070"/>
      <c r="AP29" s="1070"/>
      <c r="AQ29" s="1032"/>
      <c r="AR29" s="1067"/>
      <c r="AS29" s="1070"/>
      <c r="AT29" s="1067"/>
      <c r="AU29" s="1070"/>
      <c r="AV29" s="1067"/>
      <c r="AW29" s="1070"/>
      <c r="AX29" s="1070"/>
      <c r="AY29" s="1073"/>
    </row>
    <row r="30" spans="1:51" ht="24.75" customHeight="1" x14ac:dyDescent="0.25">
      <c r="A30" s="1047"/>
      <c r="B30" s="1049"/>
      <c r="C30" s="1052"/>
      <c r="D30" s="167" t="s">
        <v>407</v>
      </c>
      <c r="E30" s="615"/>
      <c r="F30" s="616"/>
      <c r="G30" s="617"/>
      <c r="H30" s="613"/>
      <c r="I30" s="614"/>
      <c r="J30" s="613"/>
      <c r="K30" s="613"/>
      <c r="L30" s="613"/>
      <c r="M30" s="613"/>
      <c r="N30" s="613"/>
      <c r="O30" s="613"/>
      <c r="P30" s="613"/>
      <c r="Q30" s="613"/>
      <c r="R30" s="613"/>
      <c r="S30" s="1055"/>
      <c r="T30" s="617"/>
      <c r="U30" s="613">
        <v>0</v>
      </c>
      <c r="V30" s="614">
        <v>0</v>
      </c>
      <c r="W30" s="613">
        <v>0</v>
      </c>
      <c r="X30" s="613">
        <v>0</v>
      </c>
      <c r="Y30" s="613"/>
      <c r="Z30" s="613"/>
      <c r="AA30" s="613"/>
      <c r="AB30" s="613"/>
      <c r="AC30" s="613"/>
      <c r="AD30" s="618"/>
      <c r="AE30" s="627"/>
      <c r="AF30" s="1083"/>
      <c r="AG30" s="1092"/>
      <c r="AH30" s="1032"/>
      <c r="AI30" s="1032"/>
      <c r="AJ30" s="1035"/>
      <c r="AK30" s="1089"/>
      <c r="AL30" s="1032"/>
      <c r="AM30" s="1032"/>
      <c r="AN30" s="1070"/>
      <c r="AO30" s="1070"/>
      <c r="AP30" s="1070"/>
      <c r="AQ30" s="1032"/>
      <c r="AR30" s="1067"/>
      <c r="AS30" s="1070"/>
      <c r="AT30" s="1067"/>
      <c r="AU30" s="1070"/>
      <c r="AV30" s="1067"/>
      <c r="AW30" s="1070"/>
      <c r="AX30" s="1070"/>
      <c r="AY30" s="1073"/>
    </row>
    <row r="31" spans="1:51" ht="24.75" customHeight="1" x14ac:dyDescent="0.25">
      <c r="A31" s="1047"/>
      <c r="B31" s="1049"/>
      <c r="C31" s="1052"/>
      <c r="D31" s="168" t="s">
        <v>110</v>
      </c>
      <c r="E31" s="615"/>
      <c r="F31" s="616"/>
      <c r="G31" s="617"/>
      <c r="H31" s="613"/>
      <c r="I31" s="614"/>
      <c r="J31" s="613"/>
      <c r="K31" s="613"/>
      <c r="L31" s="613"/>
      <c r="M31" s="613"/>
      <c r="N31" s="613"/>
      <c r="O31" s="613"/>
      <c r="P31" s="613"/>
      <c r="Q31" s="613"/>
      <c r="R31" s="613"/>
      <c r="S31" s="1055"/>
      <c r="T31" s="617"/>
      <c r="U31" s="613">
        <v>0</v>
      </c>
      <c r="V31" s="614">
        <v>0</v>
      </c>
      <c r="W31" s="613">
        <v>0</v>
      </c>
      <c r="X31" s="613">
        <v>0</v>
      </c>
      <c r="Y31" s="613"/>
      <c r="Z31" s="613"/>
      <c r="AA31" s="613"/>
      <c r="AB31" s="613"/>
      <c r="AC31" s="613"/>
      <c r="AD31" s="618"/>
      <c r="AE31" s="627"/>
      <c r="AF31" s="1083"/>
      <c r="AG31" s="1092"/>
      <c r="AH31" s="1032"/>
      <c r="AI31" s="1032"/>
      <c r="AJ31" s="1035"/>
      <c r="AK31" s="1089"/>
      <c r="AL31" s="1032"/>
      <c r="AM31" s="1032"/>
      <c r="AN31" s="1070"/>
      <c r="AO31" s="1070"/>
      <c r="AP31" s="1070"/>
      <c r="AQ31" s="1032"/>
      <c r="AR31" s="1067"/>
      <c r="AS31" s="1070"/>
      <c r="AT31" s="1067"/>
      <c r="AU31" s="1070"/>
      <c r="AV31" s="1067"/>
      <c r="AW31" s="1070"/>
      <c r="AX31" s="1070"/>
      <c r="AY31" s="1073"/>
    </row>
    <row r="32" spans="1:51" ht="24.75" customHeight="1" x14ac:dyDescent="0.25">
      <c r="A32" s="1047"/>
      <c r="B32" s="1049"/>
      <c r="C32" s="1052"/>
      <c r="D32" s="167" t="s">
        <v>408</v>
      </c>
      <c r="E32" s="615">
        <v>268</v>
      </c>
      <c r="F32" s="616"/>
      <c r="G32" s="617">
        <v>268</v>
      </c>
      <c r="H32" s="613">
        <v>268</v>
      </c>
      <c r="I32" s="614">
        <v>268</v>
      </c>
      <c r="J32" s="613">
        <v>268</v>
      </c>
      <c r="K32" s="613">
        <v>268</v>
      </c>
      <c r="L32" s="613"/>
      <c r="M32" s="613"/>
      <c r="N32" s="613"/>
      <c r="O32" s="613"/>
      <c r="P32" s="613"/>
      <c r="Q32" s="613"/>
      <c r="R32" s="613"/>
      <c r="S32" s="1055"/>
      <c r="T32" s="617">
        <v>96</v>
      </c>
      <c r="U32" s="613">
        <v>132</v>
      </c>
      <c r="V32" s="614">
        <v>158</v>
      </c>
      <c r="W32" s="613">
        <v>190</v>
      </c>
      <c r="X32" s="613">
        <v>219</v>
      </c>
      <c r="Y32" s="613"/>
      <c r="Z32" s="613"/>
      <c r="AA32" s="613"/>
      <c r="AB32" s="613"/>
      <c r="AC32" s="613"/>
      <c r="AD32" s="618"/>
      <c r="AE32" s="627"/>
      <c r="AF32" s="1083"/>
      <c r="AG32" s="1092"/>
      <c r="AH32" s="1032"/>
      <c r="AI32" s="1032"/>
      <c r="AJ32" s="1035"/>
      <c r="AK32" s="1089"/>
      <c r="AL32" s="1032"/>
      <c r="AM32" s="1032"/>
      <c r="AN32" s="1070"/>
      <c r="AO32" s="1070"/>
      <c r="AP32" s="1070"/>
      <c r="AQ32" s="1032"/>
      <c r="AR32" s="1067"/>
      <c r="AS32" s="1070"/>
      <c r="AT32" s="1067"/>
      <c r="AU32" s="1070"/>
      <c r="AV32" s="1067"/>
      <c r="AW32" s="1070"/>
      <c r="AX32" s="1070"/>
      <c r="AY32" s="1073"/>
    </row>
    <row r="33" spans="1:51" ht="24.75" customHeight="1" thickBot="1" x14ac:dyDescent="0.3">
      <c r="A33" s="1047"/>
      <c r="B33" s="1049"/>
      <c r="C33" s="1053"/>
      <c r="D33" s="215" t="s">
        <v>112</v>
      </c>
      <c r="E33" s="287">
        <v>148619947</v>
      </c>
      <c r="F33" s="264"/>
      <c r="G33" s="532">
        <v>148619947</v>
      </c>
      <c r="H33" s="260">
        <v>148619947</v>
      </c>
      <c r="I33" s="620">
        <v>148619947</v>
      </c>
      <c r="J33" s="260">
        <v>148619947</v>
      </c>
      <c r="K33" s="260">
        <v>148619947</v>
      </c>
      <c r="L33" s="261"/>
      <c r="M33" s="261"/>
      <c r="N33" s="261"/>
      <c r="O33" s="261"/>
      <c r="P33" s="261"/>
      <c r="Q33" s="261"/>
      <c r="R33" s="261"/>
      <c r="S33" s="1056"/>
      <c r="T33" s="628">
        <v>18805097.791798107</v>
      </c>
      <c r="U33" s="220">
        <v>38625387.3133002</v>
      </c>
      <c r="V33" s="629">
        <v>44773826.528986476</v>
      </c>
      <c r="W33" s="220">
        <v>44773826.528986476</v>
      </c>
      <c r="X33" s="260">
        <v>52667069.916922987</v>
      </c>
      <c r="Y33" s="220"/>
      <c r="Z33" s="220"/>
      <c r="AA33" s="220"/>
      <c r="AB33" s="220"/>
      <c r="AC33" s="220"/>
      <c r="AD33" s="221"/>
      <c r="AE33" s="189"/>
      <c r="AF33" s="1084"/>
      <c r="AG33" s="1093"/>
      <c r="AH33" s="1033"/>
      <c r="AI33" s="1033"/>
      <c r="AJ33" s="1036"/>
      <c r="AK33" s="1090"/>
      <c r="AL33" s="1033"/>
      <c r="AM33" s="1033"/>
      <c r="AN33" s="1071"/>
      <c r="AO33" s="1071"/>
      <c r="AP33" s="1071"/>
      <c r="AQ33" s="1033"/>
      <c r="AR33" s="1068"/>
      <c r="AS33" s="1071"/>
      <c r="AT33" s="1068"/>
      <c r="AU33" s="1071"/>
      <c r="AV33" s="1068"/>
      <c r="AW33" s="1071"/>
      <c r="AX33" s="1071"/>
      <c r="AY33" s="1074"/>
    </row>
    <row r="34" spans="1:51" ht="24.75" customHeight="1" x14ac:dyDescent="0.25">
      <c r="A34" s="1047"/>
      <c r="B34" s="1049"/>
      <c r="C34" s="1051" t="s">
        <v>167</v>
      </c>
      <c r="D34" s="214" t="s">
        <v>402</v>
      </c>
      <c r="E34" s="603">
        <v>129</v>
      </c>
      <c r="F34" s="604"/>
      <c r="G34" s="605">
        <v>129</v>
      </c>
      <c r="H34" s="606">
        <v>129</v>
      </c>
      <c r="I34" s="607">
        <v>129</v>
      </c>
      <c r="J34" s="606">
        <v>129</v>
      </c>
      <c r="K34" s="606">
        <v>129</v>
      </c>
      <c r="L34" s="607"/>
      <c r="M34" s="607"/>
      <c r="N34" s="607"/>
      <c r="O34" s="607"/>
      <c r="P34" s="607"/>
      <c r="Q34" s="607"/>
      <c r="R34" s="608"/>
      <c r="S34" s="1054"/>
      <c r="T34" s="605">
        <v>44</v>
      </c>
      <c r="U34" s="608">
        <v>65</v>
      </c>
      <c r="V34" s="609">
        <v>82</v>
      </c>
      <c r="W34" s="608">
        <v>98</v>
      </c>
      <c r="X34" s="606">
        <v>107</v>
      </c>
      <c r="Y34" s="608"/>
      <c r="Z34" s="608"/>
      <c r="AA34" s="608"/>
      <c r="AB34" s="608"/>
      <c r="AC34" s="608"/>
      <c r="AD34" s="630"/>
      <c r="AE34" s="626"/>
      <c r="AF34" s="1082"/>
      <c r="AG34" s="1091" t="s">
        <v>167</v>
      </c>
      <c r="AH34" s="1031" t="s">
        <v>81</v>
      </c>
      <c r="AI34" s="1031" t="s">
        <v>81</v>
      </c>
      <c r="AJ34" s="1034" t="s">
        <v>403</v>
      </c>
      <c r="AK34" s="1088" t="s">
        <v>167</v>
      </c>
      <c r="AL34" s="1031" t="s">
        <v>81</v>
      </c>
      <c r="AM34" s="1031" t="s">
        <v>404</v>
      </c>
      <c r="AN34" s="1069">
        <v>404676</v>
      </c>
      <c r="AO34" s="1069">
        <v>200538</v>
      </c>
      <c r="AP34" s="1069">
        <v>204138</v>
      </c>
      <c r="AQ34" s="1031" t="s">
        <v>81</v>
      </c>
      <c r="AR34" s="1066" t="s">
        <v>162</v>
      </c>
      <c r="AS34" s="1069">
        <v>404676</v>
      </c>
      <c r="AT34" s="1066" t="s">
        <v>162</v>
      </c>
      <c r="AU34" s="1069">
        <v>404676</v>
      </c>
      <c r="AV34" s="1066" t="s">
        <v>405</v>
      </c>
      <c r="AW34" s="1069">
        <v>404676</v>
      </c>
      <c r="AX34" s="1069">
        <v>404676</v>
      </c>
      <c r="AY34" s="1072"/>
    </row>
    <row r="35" spans="1:51" ht="24.75" customHeight="1" x14ac:dyDescent="0.25">
      <c r="A35" s="1047"/>
      <c r="B35" s="1049"/>
      <c r="C35" s="1052"/>
      <c r="D35" s="168" t="s">
        <v>406</v>
      </c>
      <c r="E35" s="286">
        <v>71181133</v>
      </c>
      <c r="F35" s="263"/>
      <c r="G35" s="531">
        <v>71181133</v>
      </c>
      <c r="H35" s="216">
        <v>71181133</v>
      </c>
      <c r="I35" s="612">
        <v>71181133</v>
      </c>
      <c r="J35" s="216">
        <v>71181133</v>
      </c>
      <c r="K35" s="216">
        <v>71181133</v>
      </c>
      <c r="L35" s="217"/>
      <c r="M35" s="217"/>
      <c r="N35" s="217"/>
      <c r="O35" s="217"/>
      <c r="P35" s="217"/>
      <c r="Q35" s="217"/>
      <c r="R35" s="217"/>
      <c r="S35" s="1055"/>
      <c r="T35" s="531">
        <v>8619003.1545741316</v>
      </c>
      <c r="U35" s="613">
        <v>20180838.708783701</v>
      </c>
      <c r="V35" s="614">
        <v>24200972.042117033</v>
      </c>
      <c r="W35" s="217">
        <v>29684004.963927731</v>
      </c>
      <c r="X35" s="216">
        <v>33630626.657895982</v>
      </c>
      <c r="Y35" s="217"/>
      <c r="Z35" s="217"/>
      <c r="AA35" s="217"/>
      <c r="AB35" s="217"/>
      <c r="AC35" s="217"/>
      <c r="AD35" s="218"/>
      <c r="AE35" s="188"/>
      <c r="AF35" s="1083"/>
      <c r="AG35" s="1092"/>
      <c r="AH35" s="1032"/>
      <c r="AI35" s="1032"/>
      <c r="AJ35" s="1035"/>
      <c r="AK35" s="1089"/>
      <c r="AL35" s="1032"/>
      <c r="AM35" s="1032"/>
      <c r="AN35" s="1070"/>
      <c r="AO35" s="1070"/>
      <c r="AP35" s="1070"/>
      <c r="AQ35" s="1032"/>
      <c r="AR35" s="1067"/>
      <c r="AS35" s="1070"/>
      <c r="AT35" s="1067"/>
      <c r="AU35" s="1070"/>
      <c r="AV35" s="1067"/>
      <c r="AW35" s="1070"/>
      <c r="AX35" s="1070"/>
      <c r="AY35" s="1073"/>
    </row>
    <row r="36" spans="1:51" ht="24.75" customHeight="1" x14ac:dyDescent="0.25">
      <c r="A36" s="1047"/>
      <c r="B36" s="1049"/>
      <c r="C36" s="1052"/>
      <c r="D36" s="167" t="s">
        <v>407</v>
      </c>
      <c r="E36" s="615"/>
      <c r="F36" s="616"/>
      <c r="G36" s="617"/>
      <c r="H36" s="613"/>
      <c r="I36" s="614"/>
      <c r="J36" s="613"/>
      <c r="K36" s="613"/>
      <c r="L36" s="613"/>
      <c r="M36" s="613"/>
      <c r="N36" s="613"/>
      <c r="O36" s="613"/>
      <c r="P36" s="613"/>
      <c r="Q36" s="613"/>
      <c r="R36" s="613"/>
      <c r="S36" s="1055"/>
      <c r="T36" s="617"/>
      <c r="U36" s="613">
        <v>0</v>
      </c>
      <c r="V36" s="614">
        <v>0</v>
      </c>
      <c r="W36" s="613">
        <v>0</v>
      </c>
      <c r="X36" s="613">
        <v>0</v>
      </c>
      <c r="Y36" s="613"/>
      <c r="Z36" s="613"/>
      <c r="AA36" s="613"/>
      <c r="AB36" s="613"/>
      <c r="AC36" s="613"/>
      <c r="AD36" s="618"/>
      <c r="AE36" s="627"/>
      <c r="AF36" s="1083"/>
      <c r="AG36" s="1092"/>
      <c r="AH36" s="1032"/>
      <c r="AI36" s="1032"/>
      <c r="AJ36" s="1035"/>
      <c r="AK36" s="1089"/>
      <c r="AL36" s="1032"/>
      <c r="AM36" s="1032"/>
      <c r="AN36" s="1070"/>
      <c r="AO36" s="1070"/>
      <c r="AP36" s="1070"/>
      <c r="AQ36" s="1032"/>
      <c r="AR36" s="1067"/>
      <c r="AS36" s="1070"/>
      <c r="AT36" s="1067"/>
      <c r="AU36" s="1070"/>
      <c r="AV36" s="1067"/>
      <c r="AW36" s="1070"/>
      <c r="AX36" s="1070"/>
      <c r="AY36" s="1073"/>
    </row>
    <row r="37" spans="1:51" ht="24.75" customHeight="1" x14ac:dyDescent="0.25">
      <c r="A37" s="1047"/>
      <c r="B37" s="1049"/>
      <c r="C37" s="1052"/>
      <c r="D37" s="168" t="s">
        <v>110</v>
      </c>
      <c r="E37" s="615"/>
      <c r="F37" s="616"/>
      <c r="G37" s="617"/>
      <c r="H37" s="613"/>
      <c r="I37" s="614"/>
      <c r="J37" s="613"/>
      <c r="K37" s="613"/>
      <c r="L37" s="613"/>
      <c r="M37" s="613"/>
      <c r="N37" s="613"/>
      <c r="O37" s="613"/>
      <c r="P37" s="613"/>
      <c r="Q37" s="613"/>
      <c r="R37" s="613"/>
      <c r="S37" s="1055"/>
      <c r="T37" s="617"/>
      <c r="U37" s="613">
        <v>0</v>
      </c>
      <c r="V37" s="614">
        <v>0</v>
      </c>
      <c r="W37" s="613">
        <v>0</v>
      </c>
      <c r="X37" s="613">
        <v>0</v>
      </c>
      <c r="Y37" s="613"/>
      <c r="Z37" s="613"/>
      <c r="AA37" s="613"/>
      <c r="AB37" s="613"/>
      <c r="AC37" s="613"/>
      <c r="AD37" s="618"/>
      <c r="AE37" s="627"/>
      <c r="AF37" s="1083"/>
      <c r="AG37" s="1092"/>
      <c r="AH37" s="1032"/>
      <c r="AI37" s="1032"/>
      <c r="AJ37" s="1035"/>
      <c r="AK37" s="1089"/>
      <c r="AL37" s="1032"/>
      <c r="AM37" s="1032"/>
      <c r="AN37" s="1070"/>
      <c r="AO37" s="1070"/>
      <c r="AP37" s="1070"/>
      <c r="AQ37" s="1032"/>
      <c r="AR37" s="1067"/>
      <c r="AS37" s="1070"/>
      <c r="AT37" s="1067"/>
      <c r="AU37" s="1070"/>
      <c r="AV37" s="1067"/>
      <c r="AW37" s="1070"/>
      <c r="AX37" s="1070"/>
      <c r="AY37" s="1073"/>
    </row>
    <row r="38" spans="1:51" ht="24.75" customHeight="1" x14ac:dyDescent="0.25">
      <c r="A38" s="1047"/>
      <c r="B38" s="1049"/>
      <c r="C38" s="1052"/>
      <c r="D38" s="167" t="s">
        <v>408</v>
      </c>
      <c r="E38" s="615">
        <v>129</v>
      </c>
      <c r="F38" s="616"/>
      <c r="G38" s="617">
        <v>129</v>
      </c>
      <c r="H38" s="613">
        <v>129</v>
      </c>
      <c r="I38" s="614">
        <v>129</v>
      </c>
      <c r="J38" s="613">
        <v>129</v>
      </c>
      <c r="K38" s="613">
        <v>129</v>
      </c>
      <c r="L38" s="613"/>
      <c r="M38" s="613"/>
      <c r="N38" s="613"/>
      <c r="O38" s="613"/>
      <c r="P38" s="613"/>
      <c r="Q38" s="613"/>
      <c r="R38" s="613"/>
      <c r="S38" s="1055"/>
      <c r="T38" s="617">
        <v>44</v>
      </c>
      <c r="U38" s="613">
        <v>65</v>
      </c>
      <c r="V38" s="614">
        <v>82</v>
      </c>
      <c r="W38" s="613">
        <v>98</v>
      </c>
      <c r="X38" s="613">
        <v>107</v>
      </c>
      <c r="Y38" s="613"/>
      <c r="Z38" s="613"/>
      <c r="AA38" s="613"/>
      <c r="AB38" s="613"/>
      <c r="AC38" s="613"/>
      <c r="AD38" s="618"/>
      <c r="AE38" s="627"/>
      <c r="AF38" s="1083"/>
      <c r="AG38" s="1092"/>
      <c r="AH38" s="1032"/>
      <c r="AI38" s="1032"/>
      <c r="AJ38" s="1035"/>
      <c r="AK38" s="1089"/>
      <c r="AL38" s="1032"/>
      <c r="AM38" s="1032"/>
      <c r="AN38" s="1070"/>
      <c r="AO38" s="1070"/>
      <c r="AP38" s="1070"/>
      <c r="AQ38" s="1032"/>
      <c r="AR38" s="1067"/>
      <c r="AS38" s="1070"/>
      <c r="AT38" s="1067"/>
      <c r="AU38" s="1070"/>
      <c r="AV38" s="1067"/>
      <c r="AW38" s="1070"/>
      <c r="AX38" s="1070"/>
      <c r="AY38" s="1073"/>
    </row>
    <row r="39" spans="1:51" ht="24.75" customHeight="1" thickBot="1" x14ac:dyDescent="0.3">
      <c r="A39" s="1047"/>
      <c r="B39" s="1049"/>
      <c r="C39" s="1053"/>
      <c r="D39" s="215" t="s">
        <v>112</v>
      </c>
      <c r="E39" s="287">
        <v>71181133</v>
      </c>
      <c r="F39" s="264"/>
      <c r="G39" s="532">
        <v>71181133</v>
      </c>
      <c r="H39" s="260">
        <v>71181133</v>
      </c>
      <c r="I39" s="620">
        <v>71181133</v>
      </c>
      <c r="J39" s="260">
        <v>71181133</v>
      </c>
      <c r="K39" s="260">
        <v>71181133</v>
      </c>
      <c r="L39" s="261"/>
      <c r="M39" s="261"/>
      <c r="N39" s="261"/>
      <c r="O39" s="261"/>
      <c r="P39" s="261"/>
      <c r="Q39" s="261"/>
      <c r="R39" s="261"/>
      <c r="S39" s="1056"/>
      <c r="T39" s="628">
        <v>8619003.1545741316</v>
      </c>
      <c r="U39" s="220">
        <v>20180838.708783701</v>
      </c>
      <c r="V39" s="629">
        <v>24200972.042117033</v>
      </c>
      <c r="W39" s="220">
        <v>24200972.042117033</v>
      </c>
      <c r="X39" s="260">
        <v>28147593.736085288</v>
      </c>
      <c r="Y39" s="220"/>
      <c r="Z39" s="220"/>
      <c r="AA39" s="220"/>
      <c r="AB39" s="220"/>
      <c r="AC39" s="220"/>
      <c r="AD39" s="221"/>
      <c r="AE39" s="189"/>
      <c r="AF39" s="1084"/>
      <c r="AG39" s="1093"/>
      <c r="AH39" s="1033"/>
      <c r="AI39" s="1033"/>
      <c r="AJ39" s="1036"/>
      <c r="AK39" s="1090"/>
      <c r="AL39" s="1033"/>
      <c r="AM39" s="1033"/>
      <c r="AN39" s="1071"/>
      <c r="AO39" s="1071"/>
      <c r="AP39" s="1071"/>
      <c r="AQ39" s="1033"/>
      <c r="AR39" s="1068"/>
      <c r="AS39" s="1071"/>
      <c r="AT39" s="1068"/>
      <c r="AU39" s="1071"/>
      <c r="AV39" s="1068"/>
      <c r="AW39" s="1071"/>
      <c r="AX39" s="1071"/>
      <c r="AY39" s="1074"/>
    </row>
    <row r="40" spans="1:51" ht="24.75" customHeight="1" x14ac:dyDescent="0.25">
      <c r="A40" s="1047"/>
      <c r="B40" s="1049"/>
      <c r="C40" s="1051" t="s">
        <v>411</v>
      </c>
      <c r="D40" s="214" t="s">
        <v>402</v>
      </c>
      <c r="E40" s="603">
        <v>81</v>
      </c>
      <c r="F40" s="604"/>
      <c r="G40" s="605">
        <v>81</v>
      </c>
      <c r="H40" s="606">
        <v>81</v>
      </c>
      <c r="I40" s="607">
        <v>81</v>
      </c>
      <c r="J40" s="606">
        <v>81</v>
      </c>
      <c r="K40" s="606">
        <v>81</v>
      </c>
      <c r="L40" s="607"/>
      <c r="M40" s="607"/>
      <c r="N40" s="607"/>
      <c r="O40" s="607"/>
      <c r="P40" s="607"/>
      <c r="Q40" s="607"/>
      <c r="R40" s="608"/>
      <c r="S40" s="1054"/>
      <c r="T40" s="605">
        <v>17</v>
      </c>
      <c r="U40" s="608">
        <v>26</v>
      </c>
      <c r="V40" s="609">
        <v>41</v>
      </c>
      <c r="W40" s="608">
        <v>55</v>
      </c>
      <c r="X40" s="606">
        <v>62</v>
      </c>
      <c r="Y40" s="608"/>
      <c r="Z40" s="608"/>
      <c r="AA40" s="608"/>
      <c r="AB40" s="608"/>
      <c r="AC40" s="608"/>
      <c r="AD40" s="630"/>
      <c r="AE40" s="626"/>
      <c r="AF40" s="1082"/>
      <c r="AG40" s="1091" t="s">
        <v>411</v>
      </c>
      <c r="AH40" s="1031" t="s">
        <v>81</v>
      </c>
      <c r="AI40" s="1031" t="s">
        <v>81</v>
      </c>
      <c r="AJ40" s="1034" t="s">
        <v>403</v>
      </c>
      <c r="AK40" s="1088" t="s">
        <v>411</v>
      </c>
      <c r="AL40" s="1031" t="s">
        <v>81</v>
      </c>
      <c r="AM40" s="1031" t="s">
        <v>404</v>
      </c>
      <c r="AN40" s="1069">
        <v>184492</v>
      </c>
      <c r="AO40" s="1069">
        <v>91914</v>
      </c>
      <c r="AP40" s="1069">
        <v>92578</v>
      </c>
      <c r="AQ40" s="1031" t="s">
        <v>81</v>
      </c>
      <c r="AR40" s="1066" t="s">
        <v>162</v>
      </c>
      <c r="AS40" s="1069">
        <v>184492</v>
      </c>
      <c r="AT40" s="1066" t="s">
        <v>162</v>
      </c>
      <c r="AU40" s="1069">
        <v>184492</v>
      </c>
      <c r="AV40" s="1066" t="s">
        <v>405</v>
      </c>
      <c r="AW40" s="1069">
        <v>184492</v>
      </c>
      <c r="AX40" s="1069">
        <v>184492</v>
      </c>
      <c r="AY40" s="1072"/>
    </row>
    <row r="41" spans="1:51" ht="24.75" customHeight="1" x14ac:dyDescent="0.25">
      <c r="A41" s="1047"/>
      <c r="B41" s="1049"/>
      <c r="C41" s="1052"/>
      <c r="D41" s="168" t="s">
        <v>406</v>
      </c>
      <c r="E41" s="286">
        <v>45107458</v>
      </c>
      <c r="F41" s="263"/>
      <c r="G41" s="531">
        <v>45107458</v>
      </c>
      <c r="H41" s="216">
        <v>45107458</v>
      </c>
      <c r="I41" s="612">
        <v>45107458</v>
      </c>
      <c r="J41" s="216">
        <v>45107458</v>
      </c>
      <c r="K41" s="216">
        <v>45107458</v>
      </c>
      <c r="L41" s="217"/>
      <c r="M41" s="217"/>
      <c r="N41" s="217"/>
      <c r="O41" s="217"/>
      <c r="P41" s="217"/>
      <c r="Q41" s="217"/>
      <c r="R41" s="217"/>
      <c r="S41" s="1055"/>
      <c r="T41" s="531">
        <v>3330069.4006309146</v>
      </c>
      <c r="U41" s="613">
        <v>8285141.7810064396</v>
      </c>
      <c r="V41" s="614">
        <v>11832318.251594674</v>
      </c>
      <c r="W41" s="217">
        <v>16629972.058179036</v>
      </c>
      <c r="X41" s="216">
        <v>18603282.905163161</v>
      </c>
      <c r="Y41" s="217"/>
      <c r="Z41" s="217"/>
      <c r="AA41" s="217"/>
      <c r="AB41" s="217"/>
      <c r="AC41" s="217"/>
      <c r="AD41" s="218"/>
      <c r="AE41" s="188"/>
      <c r="AF41" s="1083"/>
      <c r="AG41" s="1092"/>
      <c r="AH41" s="1032"/>
      <c r="AI41" s="1032"/>
      <c r="AJ41" s="1035"/>
      <c r="AK41" s="1089"/>
      <c r="AL41" s="1032"/>
      <c r="AM41" s="1032"/>
      <c r="AN41" s="1070"/>
      <c r="AO41" s="1070"/>
      <c r="AP41" s="1070"/>
      <c r="AQ41" s="1032"/>
      <c r="AR41" s="1067"/>
      <c r="AS41" s="1070"/>
      <c r="AT41" s="1067"/>
      <c r="AU41" s="1070"/>
      <c r="AV41" s="1067"/>
      <c r="AW41" s="1070"/>
      <c r="AX41" s="1070"/>
      <c r="AY41" s="1073"/>
    </row>
    <row r="42" spans="1:51" ht="24.75" customHeight="1" x14ac:dyDescent="0.25">
      <c r="A42" s="1047"/>
      <c r="B42" s="1049"/>
      <c r="C42" s="1052"/>
      <c r="D42" s="167" t="s">
        <v>407</v>
      </c>
      <c r="E42" s="615"/>
      <c r="F42" s="616"/>
      <c r="G42" s="617"/>
      <c r="H42" s="613"/>
      <c r="I42" s="614"/>
      <c r="J42" s="613"/>
      <c r="K42" s="613"/>
      <c r="L42" s="613"/>
      <c r="M42" s="613"/>
      <c r="N42" s="613"/>
      <c r="O42" s="613"/>
      <c r="P42" s="613"/>
      <c r="Q42" s="613"/>
      <c r="R42" s="613"/>
      <c r="S42" s="1055"/>
      <c r="T42" s="617"/>
      <c r="U42" s="613">
        <v>0</v>
      </c>
      <c r="V42" s="614">
        <v>0</v>
      </c>
      <c r="W42" s="613">
        <v>0</v>
      </c>
      <c r="X42" s="613">
        <v>0</v>
      </c>
      <c r="Y42" s="613"/>
      <c r="Z42" s="613"/>
      <c r="AA42" s="613"/>
      <c r="AB42" s="613"/>
      <c r="AC42" s="613"/>
      <c r="AD42" s="618"/>
      <c r="AE42" s="627"/>
      <c r="AF42" s="1083"/>
      <c r="AG42" s="1092"/>
      <c r="AH42" s="1032"/>
      <c r="AI42" s="1032"/>
      <c r="AJ42" s="1035"/>
      <c r="AK42" s="1089"/>
      <c r="AL42" s="1032"/>
      <c r="AM42" s="1032"/>
      <c r="AN42" s="1070"/>
      <c r="AO42" s="1070"/>
      <c r="AP42" s="1070"/>
      <c r="AQ42" s="1032"/>
      <c r="AR42" s="1067"/>
      <c r="AS42" s="1070"/>
      <c r="AT42" s="1067"/>
      <c r="AU42" s="1070"/>
      <c r="AV42" s="1067"/>
      <c r="AW42" s="1070"/>
      <c r="AX42" s="1070"/>
      <c r="AY42" s="1073"/>
    </row>
    <row r="43" spans="1:51" ht="24.75" customHeight="1" x14ac:dyDescent="0.25">
      <c r="A43" s="1047"/>
      <c r="B43" s="1049"/>
      <c r="C43" s="1052"/>
      <c r="D43" s="168" t="s">
        <v>110</v>
      </c>
      <c r="E43" s="615"/>
      <c r="F43" s="616"/>
      <c r="G43" s="617"/>
      <c r="H43" s="613"/>
      <c r="I43" s="614"/>
      <c r="J43" s="613"/>
      <c r="K43" s="613"/>
      <c r="L43" s="613"/>
      <c r="M43" s="613"/>
      <c r="N43" s="613"/>
      <c r="O43" s="613"/>
      <c r="P43" s="613"/>
      <c r="Q43" s="613"/>
      <c r="R43" s="613"/>
      <c r="S43" s="1055"/>
      <c r="T43" s="617"/>
      <c r="U43" s="613">
        <v>0</v>
      </c>
      <c r="V43" s="614">
        <v>0</v>
      </c>
      <c r="W43" s="613">
        <v>0</v>
      </c>
      <c r="X43" s="613">
        <v>0</v>
      </c>
      <c r="Y43" s="613"/>
      <c r="Z43" s="613"/>
      <c r="AA43" s="613"/>
      <c r="AB43" s="613"/>
      <c r="AC43" s="613"/>
      <c r="AD43" s="618"/>
      <c r="AE43" s="627"/>
      <c r="AF43" s="1083"/>
      <c r="AG43" s="1092"/>
      <c r="AH43" s="1032"/>
      <c r="AI43" s="1032"/>
      <c r="AJ43" s="1035"/>
      <c r="AK43" s="1089"/>
      <c r="AL43" s="1032"/>
      <c r="AM43" s="1032"/>
      <c r="AN43" s="1070"/>
      <c r="AO43" s="1070"/>
      <c r="AP43" s="1070"/>
      <c r="AQ43" s="1032"/>
      <c r="AR43" s="1067"/>
      <c r="AS43" s="1070"/>
      <c r="AT43" s="1067"/>
      <c r="AU43" s="1070"/>
      <c r="AV43" s="1067"/>
      <c r="AW43" s="1070"/>
      <c r="AX43" s="1070"/>
      <c r="AY43" s="1073"/>
    </row>
    <row r="44" spans="1:51" ht="24.75" customHeight="1" x14ac:dyDescent="0.25">
      <c r="A44" s="1047"/>
      <c r="B44" s="1049"/>
      <c r="C44" s="1052"/>
      <c r="D44" s="167" t="s">
        <v>408</v>
      </c>
      <c r="E44" s="615">
        <v>81</v>
      </c>
      <c r="F44" s="616"/>
      <c r="G44" s="617">
        <v>81</v>
      </c>
      <c r="H44" s="613">
        <v>81</v>
      </c>
      <c r="I44" s="614">
        <v>81</v>
      </c>
      <c r="J44" s="613">
        <v>81</v>
      </c>
      <c r="K44" s="613">
        <v>81</v>
      </c>
      <c r="L44" s="613"/>
      <c r="M44" s="613"/>
      <c r="N44" s="613"/>
      <c r="O44" s="613"/>
      <c r="P44" s="613"/>
      <c r="Q44" s="613"/>
      <c r="R44" s="613"/>
      <c r="S44" s="1055"/>
      <c r="T44" s="617">
        <v>17</v>
      </c>
      <c r="U44" s="613">
        <v>26</v>
      </c>
      <c r="V44" s="614">
        <v>41</v>
      </c>
      <c r="W44" s="613">
        <v>55</v>
      </c>
      <c r="X44" s="613">
        <v>62</v>
      </c>
      <c r="Y44" s="613"/>
      <c r="Z44" s="613"/>
      <c r="AA44" s="613"/>
      <c r="AB44" s="613"/>
      <c r="AC44" s="613"/>
      <c r="AD44" s="618"/>
      <c r="AE44" s="627"/>
      <c r="AF44" s="1083"/>
      <c r="AG44" s="1092"/>
      <c r="AH44" s="1032"/>
      <c r="AI44" s="1032"/>
      <c r="AJ44" s="1035"/>
      <c r="AK44" s="1089"/>
      <c r="AL44" s="1032"/>
      <c r="AM44" s="1032"/>
      <c r="AN44" s="1070"/>
      <c r="AO44" s="1070"/>
      <c r="AP44" s="1070"/>
      <c r="AQ44" s="1032"/>
      <c r="AR44" s="1067"/>
      <c r="AS44" s="1070"/>
      <c r="AT44" s="1067"/>
      <c r="AU44" s="1070"/>
      <c r="AV44" s="1067"/>
      <c r="AW44" s="1070"/>
      <c r="AX44" s="1070"/>
      <c r="AY44" s="1073"/>
    </row>
    <row r="45" spans="1:51" ht="24.75" customHeight="1" thickBot="1" x14ac:dyDescent="0.3">
      <c r="A45" s="1047"/>
      <c r="B45" s="1049"/>
      <c r="C45" s="1053"/>
      <c r="D45" s="215" t="s">
        <v>112</v>
      </c>
      <c r="E45" s="287">
        <v>45107458</v>
      </c>
      <c r="F45" s="264"/>
      <c r="G45" s="532">
        <v>45107458</v>
      </c>
      <c r="H45" s="260">
        <v>45107458</v>
      </c>
      <c r="I45" s="620">
        <v>45107458</v>
      </c>
      <c r="J45" s="260">
        <v>45107458</v>
      </c>
      <c r="K45" s="260">
        <v>45107458</v>
      </c>
      <c r="L45" s="261"/>
      <c r="M45" s="261"/>
      <c r="N45" s="261"/>
      <c r="O45" s="261"/>
      <c r="P45" s="261"/>
      <c r="Q45" s="261"/>
      <c r="R45" s="261"/>
      <c r="S45" s="1056"/>
      <c r="T45" s="628">
        <v>3330069.4006309146</v>
      </c>
      <c r="U45" s="220">
        <v>8285141.7810064396</v>
      </c>
      <c r="V45" s="629">
        <v>11832318.251594674</v>
      </c>
      <c r="W45" s="220">
        <v>11832318.251594674</v>
      </c>
      <c r="X45" s="260">
        <v>13805629.098578801</v>
      </c>
      <c r="Y45" s="220"/>
      <c r="Z45" s="220"/>
      <c r="AA45" s="220"/>
      <c r="AB45" s="220"/>
      <c r="AC45" s="220"/>
      <c r="AD45" s="221"/>
      <c r="AE45" s="189"/>
      <c r="AF45" s="1084"/>
      <c r="AG45" s="1093"/>
      <c r="AH45" s="1033"/>
      <c r="AI45" s="1033"/>
      <c r="AJ45" s="1036"/>
      <c r="AK45" s="1090"/>
      <c r="AL45" s="1033"/>
      <c r="AM45" s="1033"/>
      <c r="AN45" s="1071"/>
      <c r="AO45" s="1071"/>
      <c r="AP45" s="1071"/>
      <c r="AQ45" s="1033"/>
      <c r="AR45" s="1068"/>
      <c r="AS45" s="1071"/>
      <c r="AT45" s="1068"/>
      <c r="AU45" s="1071"/>
      <c r="AV45" s="1068"/>
      <c r="AW45" s="1071"/>
      <c r="AX45" s="1071"/>
      <c r="AY45" s="1074"/>
    </row>
    <row r="46" spans="1:51" ht="24.75" customHeight="1" x14ac:dyDescent="0.25">
      <c r="A46" s="1047"/>
      <c r="B46" s="1049"/>
      <c r="C46" s="1051" t="s">
        <v>169</v>
      </c>
      <c r="D46" s="214" t="s">
        <v>402</v>
      </c>
      <c r="E46" s="603">
        <v>159</v>
      </c>
      <c r="F46" s="604"/>
      <c r="G46" s="605">
        <v>159</v>
      </c>
      <c r="H46" s="606">
        <v>159</v>
      </c>
      <c r="I46" s="607">
        <v>159</v>
      </c>
      <c r="J46" s="606">
        <v>159</v>
      </c>
      <c r="K46" s="606">
        <v>159</v>
      </c>
      <c r="L46" s="607"/>
      <c r="M46" s="607"/>
      <c r="N46" s="607"/>
      <c r="O46" s="607"/>
      <c r="P46" s="607"/>
      <c r="Q46" s="607"/>
      <c r="R46" s="608"/>
      <c r="S46" s="1054"/>
      <c r="T46" s="605">
        <v>14</v>
      </c>
      <c r="U46" s="608">
        <v>32</v>
      </c>
      <c r="V46" s="609">
        <v>61</v>
      </c>
      <c r="W46" s="608">
        <v>87</v>
      </c>
      <c r="X46" s="606">
        <v>102</v>
      </c>
      <c r="Y46" s="608"/>
      <c r="Z46" s="608"/>
      <c r="AA46" s="608"/>
      <c r="AB46" s="608"/>
      <c r="AC46" s="608"/>
      <c r="AD46" s="630"/>
      <c r="AE46" s="626"/>
      <c r="AF46" s="1082"/>
      <c r="AG46" s="1091" t="s">
        <v>169</v>
      </c>
      <c r="AH46" s="1031" t="s">
        <v>81</v>
      </c>
      <c r="AI46" s="1031" t="s">
        <v>81</v>
      </c>
      <c r="AJ46" s="1034" t="s">
        <v>403</v>
      </c>
      <c r="AK46" s="1088" t="s">
        <v>169</v>
      </c>
      <c r="AL46" s="1031" t="s">
        <v>81</v>
      </c>
      <c r="AM46" s="1031" t="s">
        <v>404</v>
      </c>
      <c r="AN46" s="1069">
        <v>733740</v>
      </c>
      <c r="AO46" s="1069">
        <v>353078</v>
      </c>
      <c r="AP46" s="1069">
        <v>380662</v>
      </c>
      <c r="AQ46" s="1031" t="s">
        <v>81</v>
      </c>
      <c r="AR46" s="1066" t="s">
        <v>162</v>
      </c>
      <c r="AS46" s="1069">
        <v>733740</v>
      </c>
      <c r="AT46" s="1066" t="s">
        <v>162</v>
      </c>
      <c r="AU46" s="1069">
        <v>733740</v>
      </c>
      <c r="AV46" s="1066" t="s">
        <v>405</v>
      </c>
      <c r="AW46" s="1069">
        <v>733740</v>
      </c>
      <c r="AX46" s="1069">
        <v>733740</v>
      </c>
      <c r="AY46" s="1072"/>
    </row>
    <row r="47" spans="1:51" ht="24.75" customHeight="1" x14ac:dyDescent="0.25">
      <c r="A47" s="1047"/>
      <c r="B47" s="1049"/>
      <c r="C47" s="1052"/>
      <c r="D47" s="168" t="s">
        <v>406</v>
      </c>
      <c r="E47" s="286">
        <v>88129021</v>
      </c>
      <c r="F47" s="263"/>
      <c r="G47" s="531">
        <v>88129021</v>
      </c>
      <c r="H47" s="216">
        <v>88129021</v>
      </c>
      <c r="I47" s="612">
        <v>88129021</v>
      </c>
      <c r="J47" s="216">
        <v>88129021</v>
      </c>
      <c r="K47" s="216">
        <v>88129021</v>
      </c>
      <c r="L47" s="217"/>
      <c r="M47" s="217"/>
      <c r="N47" s="217"/>
      <c r="O47" s="217"/>
      <c r="P47" s="217"/>
      <c r="Q47" s="217"/>
      <c r="R47" s="217"/>
      <c r="S47" s="1055"/>
      <c r="T47" s="531">
        <v>2742410.094637224</v>
      </c>
      <c r="U47" s="613">
        <v>12652554.8553883</v>
      </c>
      <c r="V47" s="614">
        <v>19510429.365192223</v>
      </c>
      <c r="W47" s="217">
        <v>28420357.863134608</v>
      </c>
      <c r="X47" s="216">
        <v>33600298.836467944</v>
      </c>
      <c r="Y47" s="217"/>
      <c r="Z47" s="217"/>
      <c r="AA47" s="217"/>
      <c r="AB47" s="217"/>
      <c r="AC47" s="217"/>
      <c r="AD47" s="218"/>
      <c r="AE47" s="188"/>
      <c r="AF47" s="1083"/>
      <c r="AG47" s="1092"/>
      <c r="AH47" s="1032"/>
      <c r="AI47" s="1032"/>
      <c r="AJ47" s="1035"/>
      <c r="AK47" s="1089"/>
      <c r="AL47" s="1032"/>
      <c r="AM47" s="1032"/>
      <c r="AN47" s="1070"/>
      <c r="AO47" s="1070"/>
      <c r="AP47" s="1070"/>
      <c r="AQ47" s="1032"/>
      <c r="AR47" s="1067"/>
      <c r="AS47" s="1070"/>
      <c r="AT47" s="1067"/>
      <c r="AU47" s="1070"/>
      <c r="AV47" s="1067"/>
      <c r="AW47" s="1070"/>
      <c r="AX47" s="1070"/>
      <c r="AY47" s="1073"/>
    </row>
    <row r="48" spans="1:51" ht="24.75" customHeight="1" x14ac:dyDescent="0.25">
      <c r="A48" s="1047"/>
      <c r="B48" s="1049"/>
      <c r="C48" s="1052"/>
      <c r="D48" s="167" t="s">
        <v>407</v>
      </c>
      <c r="E48" s="615"/>
      <c r="F48" s="616"/>
      <c r="G48" s="617"/>
      <c r="H48" s="613"/>
      <c r="I48" s="614"/>
      <c r="J48" s="613"/>
      <c r="K48" s="613"/>
      <c r="L48" s="613"/>
      <c r="M48" s="613"/>
      <c r="N48" s="613"/>
      <c r="O48" s="613"/>
      <c r="P48" s="613"/>
      <c r="Q48" s="613"/>
      <c r="R48" s="613"/>
      <c r="S48" s="1055"/>
      <c r="T48" s="617"/>
      <c r="U48" s="613">
        <v>0</v>
      </c>
      <c r="V48" s="614">
        <v>0</v>
      </c>
      <c r="W48" s="613">
        <v>0</v>
      </c>
      <c r="X48" s="613">
        <v>0</v>
      </c>
      <c r="Y48" s="613"/>
      <c r="Z48" s="613"/>
      <c r="AA48" s="613"/>
      <c r="AB48" s="613"/>
      <c r="AC48" s="613"/>
      <c r="AD48" s="618"/>
      <c r="AE48" s="627"/>
      <c r="AF48" s="1083"/>
      <c r="AG48" s="1092"/>
      <c r="AH48" s="1032"/>
      <c r="AI48" s="1032"/>
      <c r="AJ48" s="1035"/>
      <c r="AK48" s="1089"/>
      <c r="AL48" s="1032"/>
      <c r="AM48" s="1032"/>
      <c r="AN48" s="1070"/>
      <c r="AO48" s="1070"/>
      <c r="AP48" s="1070"/>
      <c r="AQ48" s="1032"/>
      <c r="AR48" s="1067"/>
      <c r="AS48" s="1070"/>
      <c r="AT48" s="1067"/>
      <c r="AU48" s="1070"/>
      <c r="AV48" s="1067"/>
      <c r="AW48" s="1070"/>
      <c r="AX48" s="1070"/>
      <c r="AY48" s="1073"/>
    </row>
    <row r="49" spans="1:51" ht="24.75" customHeight="1" x14ac:dyDescent="0.25">
      <c r="A49" s="1047"/>
      <c r="B49" s="1049"/>
      <c r="C49" s="1052"/>
      <c r="D49" s="168" t="s">
        <v>110</v>
      </c>
      <c r="E49" s="615"/>
      <c r="F49" s="616"/>
      <c r="G49" s="617"/>
      <c r="H49" s="613"/>
      <c r="I49" s="614"/>
      <c r="J49" s="613"/>
      <c r="K49" s="613"/>
      <c r="L49" s="613"/>
      <c r="M49" s="613"/>
      <c r="N49" s="613"/>
      <c r="O49" s="613"/>
      <c r="P49" s="613"/>
      <c r="Q49" s="613"/>
      <c r="R49" s="613"/>
      <c r="S49" s="1055"/>
      <c r="T49" s="617"/>
      <c r="U49" s="613">
        <v>0</v>
      </c>
      <c r="V49" s="614">
        <v>0</v>
      </c>
      <c r="W49" s="613">
        <v>0</v>
      </c>
      <c r="X49" s="613">
        <v>0</v>
      </c>
      <c r="Y49" s="613"/>
      <c r="Z49" s="613"/>
      <c r="AA49" s="613"/>
      <c r="AB49" s="613"/>
      <c r="AC49" s="613"/>
      <c r="AD49" s="618"/>
      <c r="AE49" s="627"/>
      <c r="AF49" s="1083"/>
      <c r="AG49" s="1092"/>
      <c r="AH49" s="1032"/>
      <c r="AI49" s="1032"/>
      <c r="AJ49" s="1035"/>
      <c r="AK49" s="1089"/>
      <c r="AL49" s="1032"/>
      <c r="AM49" s="1032"/>
      <c r="AN49" s="1070"/>
      <c r="AO49" s="1070"/>
      <c r="AP49" s="1070"/>
      <c r="AQ49" s="1032"/>
      <c r="AR49" s="1067"/>
      <c r="AS49" s="1070"/>
      <c r="AT49" s="1067"/>
      <c r="AU49" s="1070"/>
      <c r="AV49" s="1067"/>
      <c r="AW49" s="1070"/>
      <c r="AX49" s="1070"/>
      <c r="AY49" s="1073"/>
    </row>
    <row r="50" spans="1:51" ht="24.75" customHeight="1" x14ac:dyDescent="0.25">
      <c r="A50" s="1047"/>
      <c r="B50" s="1049"/>
      <c r="C50" s="1052"/>
      <c r="D50" s="167" t="s">
        <v>408</v>
      </c>
      <c r="E50" s="615">
        <v>159</v>
      </c>
      <c r="F50" s="616"/>
      <c r="G50" s="617">
        <v>159</v>
      </c>
      <c r="H50" s="613">
        <v>159</v>
      </c>
      <c r="I50" s="614">
        <v>159</v>
      </c>
      <c r="J50" s="613">
        <v>159</v>
      </c>
      <c r="K50" s="613">
        <v>159</v>
      </c>
      <c r="L50" s="613"/>
      <c r="M50" s="613"/>
      <c r="N50" s="613"/>
      <c r="O50" s="613"/>
      <c r="P50" s="613"/>
      <c r="Q50" s="613"/>
      <c r="R50" s="613"/>
      <c r="S50" s="1055"/>
      <c r="T50" s="617">
        <v>14</v>
      </c>
      <c r="U50" s="613">
        <v>32</v>
      </c>
      <c r="V50" s="614">
        <v>61</v>
      </c>
      <c r="W50" s="613">
        <v>87</v>
      </c>
      <c r="X50" s="613">
        <v>102</v>
      </c>
      <c r="Y50" s="613"/>
      <c r="Z50" s="613"/>
      <c r="AA50" s="613"/>
      <c r="AB50" s="613"/>
      <c r="AC50" s="613"/>
      <c r="AD50" s="618"/>
      <c r="AE50" s="627"/>
      <c r="AF50" s="1083"/>
      <c r="AG50" s="1092"/>
      <c r="AH50" s="1032"/>
      <c r="AI50" s="1032"/>
      <c r="AJ50" s="1035"/>
      <c r="AK50" s="1089"/>
      <c r="AL50" s="1032"/>
      <c r="AM50" s="1032"/>
      <c r="AN50" s="1070"/>
      <c r="AO50" s="1070"/>
      <c r="AP50" s="1070"/>
      <c r="AQ50" s="1032"/>
      <c r="AR50" s="1067"/>
      <c r="AS50" s="1070"/>
      <c r="AT50" s="1067"/>
      <c r="AU50" s="1070"/>
      <c r="AV50" s="1067"/>
      <c r="AW50" s="1070"/>
      <c r="AX50" s="1070"/>
      <c r="AY50" s="1073"/>
    </row>
    <row r="51" spans="1:51" ht="24.75" customHeight="1" thickBot="1" x14ac:dyDescent="0.3">
      <c r="A51" s="1047"/>
      <c r="B51" s="1049"/>
      <c r="C51" s="1053"/>
      <c r="D51" s="215" t="s">
        <v>112</v>
      </c>
      <c r="E51" s="287">
        <v>88129021</v>
      </c>
      <c r="F51" s="264"/>
      <c r="G51" s="532">
        <v>88129021</v>
      </c>
      <c r="H51" s="260">
        <v>88129021</v>
      </c>
      <c r="I51" s="620">
        <v>88129021</v>
      </c>
      <c r="J51" s="260">
        <v>88129021</v>
      </c>
      <c r="K51" s="260">
        <v>88129021</v>
      </c>
      <c r="L51" s="261"/>
      <c r="M51" s="261"/>
      <c r="N51" s="261"/>
      <c r="O51" s="261"/>
      <c r="P51" s="261"/>
      <c r="Q51" s="261"/>
      <c r="R51" s="261"/>
      <c r="S51" s="1056"/>
      <c r="T51" s="628">
        <v>2742410.094637224</v>
      </c>
      <c r="U51" s="220">
        <v>12652554.8553883</v>
      </c>
      <c r="V51" s="629">
        <v>19510429.365192223</v>
      </c>
      <c r="W51" s="220">
        <v>19510429.365192223</v>
      </c>
      <c r="X51" s="260">
        <v>24690370.338525556</v>
      </c>
      <c r="Y51" s="220"/>
      <c r="Z51" s="220"/>
      <c r="AA51" s="220"/>
      <c r="AB51" s="220"/>
      <c r="AC51" s="220"/>
      <c r="AD51" s="221"/>
      <c r="AE51" s="189"/>
      <c r="AF51" s="1084"/>
      <c r="AG51" s="1093"/>
      <c r="AH51" s="1033"/>
      <c r="AI51" s="1033"/>
      <c r="AJ51" s="1036"/>
      <c r="AK51" s="1090"/>
      <c r="AL51" s="1033"/>
      <c r="AM51" s="1033"/>
      <c r="AN51" s="1071"/>
      <c r="AO51" s="1071"/>
      <c r="AP51" s="1071"/>
      <c r="AQ51" s="1033"/>
      <c r="AR51" s="1068"/>
      <c r="AS51" s="1071"/>
      <c r="AT51" s="1068"/>
      <c r="AU51" s="1071"/>
      <c r="AV51" s="1068"/>
      <c r="AW51" s="1071"/>
      <c r="AX51" s="1071"/>
      <c r="AY51" s="1074"/>
    </row>
    <row r="52" spans="1:51" ht="24.75" customHeight="1" x14ac:dyDescent="0.25">
      <c r="A52" s="1047"/>
      <c r="B52" s="1049"/>
      <c r="C52" s="1051" t="s">
        <v>170</v>
      </c>
      <c r="D52" s="214" t="s">
        <v>402</v>
      </c>
      <c r="E52" s="603">
        <v>545</v>
      </c>
      <c r="F52" s="604"/>
      <c r="G52" s="605">
        <v>545</v>
      </c>
      <c r="H52" s="606">
        <v>545</v>
      </c>
      <c r="I52" s="607">
        <v>545</v>
      </c>
      <c r="J52" s="606">
        <v>545</v>
      </c>
      <c r="K52" s="606">
        <v>545</v>
      </c>
      <c r="L52" s="607"/>
      <c r="M52" s="607"/>
      <c r="N52" s="607"/>
      <c r="O52" s="607"/>
      <c r="P52" s="607"/>
      <c r="Q52" s="607"/>
      <c r="R52" s="608"/>
      <c r="S52" s="1054"/>
      <c r="T52" s="605">
        <v>97</v>
      </c>
      <c r="U52" s="608">
        <v>251</v>
      </c>
      <c r="V52" s="609">
        <v>332</v>
      </c>
      <c r="W52" s="608">
        <v>431</v>
      </c>
      <c r="X52" s="606">
        <v>528</v>
      </c>
      <c r="Y52" s="608"/>
      <c r="Z52" s="608"/>
      <c r="AA52" s="608"/>
      <c r="AB52" s="608"/>
      <c r="AC52" s="608"/>
      <c r="AD52" s="630"/>
      <c r="AE52" s="626"/>
      <c r="AF52" s="1082"/>
      <c r="AG52" s="1091" t="s">
        <v>170</v>
      </c>
      <c r="AH52" s="1031" t="s">
        <v>81</v>
      </c>
      <c r="AI52" s="1031" t="s">
        <v>81</v>
      </c>
      <c r="AJ52" s="1034" t="s">
        <v>403</v>
      </c>
      <c r="AK52" s="1088" t="s">
        <v>170</v>
      </c>
      <c r="AL52" s="1031" t="s">
        <v>81</v>
      </c>
      <c r="AM52" s="1031" t="s">
        <v>404</v>
      </c>
      <c r="AN52" s="1069">
        <v>1037929</v>
      </c>
      <c r="AO52" s="1069">
        <v>503962</v>
      </c>
      <c r="AP52" s="1069">
        <v>533967</v>
      </c>
      <c r="AQ52" s="1031" t="s">
        <v>81</v>
      </c>
      <c r="AR52" s="1066" t="s">
        <v>162</v>
      </c>
      <c r="AS52" s="1069">
        <v>1037929</v>
      </c>
      <c r="AT52" s="1066" t="s">
        <v>162</v>
      </c>
      <c r="AU52" s="1069">
        <v>1037929</v>
      </c>
      <c r="AV52" s="1066" t="s">
        <v>405</v>
      </c>
      <c r="AW52" s="1069">
        <v>1037929</v>
      </c>
      <c r="AX52" s="1069">
        <v>1037929</v>
      </c>
      <c r="AY52" s="1072"/>
    </row>
    <row r="53" spans="1:51" ht="24.75" customHeight="1" x14ac:dyDescent="0.25">
      <c r="A53" s="1047"/>
      <c r="B53" s="1049"/>
      <c r="C53" s="1052"/>
      <c r="D53" s="168" t="s">
        <v>406</v>
      </c>
      <c r="E53" s="286">
        <v>301672419</v>
      </c>
      <c r="F53" s="263"/>
      <c r="G53" s="531">
        <v>301672419</v>
      </c>
      <c r="H53" s="216">
        <v>301672419</v>
      </c>
      <c r="I53" s="612">
        <v>301672419</v>
      </c>
      <c r="J53" s="216">
        <v>301672419</v>
      </c>
      <c r="K53" s="216">
        <v>301672419</v>
      </c>
      <c r="L53" s="217"/>
      <c r="M53" s="217"/>
      <c r="N53" s="217"/>
      <c r="O53" s="217"/>
      <c r="P53" s="217"/>
      <c r="Q53" s="217"/>
      <c r="R53" s="217"/>
      <c r="S53" s="1055"/>
      <c r="T53" s="531">
        <v>19000984.227129336</v>
      </c>
      <c r="U53" s="613">
        <v>103787778.291333</v>
      </c>
      <c r="V53" s="614">
        <v>122942531.23250948</v>
      </c>
      <c r="W53" s="217">
        <v>156868797.4362132</v>
      </c>
      <c r="X53" s="216">
        <v>185728468.57335606</v>
      </c>
      <c r="Y53" s="217"/>
      <c r="Z53" s="217"/>
      <c r="AA53" s="217"/>
      <c r="AB53" s="217"/>
      <c r="AC53" s="217"/>
      <c r="AD53" s="218"/>
      <c r="AE53" s="188"/>
      <c r="AF53" s="1083"/>
      <c r="AG53" s="1092"/>
      <c r="AH53" s="1032"/>
      <c r="AI53" s="1032"/>
      <c r="AJ53" s="1035"/>
      <c r="AK53" s="1089"/>
      <c r="AL53" s="1032"/>
      <c r="AM53" s="1032"/>
      <c r="AN53" s="1070"/>
      <c r="AO53" s="1070"/>
      <c r="AP53" s="1070"/>
      <c r="AQ53" s="1032"/>
      <c r="AR53" s="1067"/>
      <c r="AS53" s="1070"/>
      <c r="AT53" s="1067"/>
      <c r="AU53" s="1070"/>
      <c r="AV53" s="1067"/>
      <c r="AW53" s="1070"/>
      <c r="AX53" s="1070"/>
      <c r="AY53" s="1073"/>
    </row>
    <row r="54" spans="1:51" ht="24.75" customHeight="1" x14ac:dyDescent="0.25">
      <c r="A54" s="1047"/>
      <c r="B54" s="1049"/>
      <c r="C54" s="1052"/>
      <c r="D54" s="167" t="s">
        <v>407</v>
      </c>
      <c r="E54" s="615"/>
      <c r="F54" s="616"/>
      <c r="G54" s="617"/>
      <c r="H54" s="613"/>
      <c r="I54" s="614"/>
      <c r="J54" s="613"/>
      <c r="K54" s="613"/>
      <c r="L54" s="613"/>
      <c r="M54" s="613"/>
      <c r="N54" s="613"/>
      <c r="O54" s="613"/>
      <c r="P54" s="613"/>
      <c r="Q54" s="613"/>
      <c r="R54" s="613"/>
      <c r="S54" s="1055"/>
      <c r="T54" s="617"/>
      <c r="U54" s="613">
        <v>0</v>
      </c>
      <c r="V54" s="614">
        <v>0</v>
      </c>
      <c r="W54" s="613">
        <v>0</v>
      </c>
      <c r="X54" s="613">
        <v>0</v>
      </c>
      <c r="Y54" s="613"/>
      <c r="Z54" s="613"/>
      <c r="AA54" s="613"/>
      <c r="AB54" s="613"/>
      <c r="AC54" s="613"/>
      <c r="AD54" s="618"/>
      <c r="AE54" s="627"/>
      <c r="AF54" s="1083"/>
      <c r="AG54" s="1092"/>
      <c r="AH54" s="1032"/>
      <c r="AI54" s="1032"/>
      <c r="AJ54" s="1035"/>
      <c r="AK54" s="1089"/>
      <c r="AL54" s="1032"/>
      <c r="AM54" s="1032"/>
      <c r="AN54" s="1070"/>
      <c r="AO54" s="1070"/>
      <c r="AP54" s="1070"/>
      <c r="AQ54" s="1032"/>
      <c r="AR54" s="1067"/>
      <c r="AS54" s="1070"/>
      <c r="AT54" s="1067"/>
      <c r="AU54" s="1070"/>
      <c r="AV54" s="1067"/>
      <c r="AW54" s="1070"/>
      <c r="AX54" s="1070"/>
      <c r="AY54" s="1073"/>
    </row>
    <row r="55" spans="1:51" ht="24.75" customHeight="1" x14ac:dyDescent="0.25">
      <c r="A55" s="1047"/>
      <c r="B55" s="1049"/>
      <c r="C55" s="1052"/>
      <c r="D55" s="168" t="s">
        <v>110</v>
      </c>
      <c r="E55" s="615"/>
      <c r="F55" s="616"/>
      <c r="G55" s="617"/>
      <c r="H55" s="613"/>
      <c r="I55" s="614"/>
      <c r="J55" s="613"/>
      <c r="K55" s="613"/>
      <c r="L55" s="613"/>
      <c r="M55" s="613"/>
      <c r="N55" s="613"/>
      <c r="O55" s="613"/>
      <c r="P55" s="613"/>
      <c r="Q55" s="613"/>
      <c r="R55" s="613"/>
      <c r="S55" s="1055"/>
      <c r="T55" s="617"/>
      <c r="U55" s="613">
        <v>0</v>
      </c>
      <c r="V55" s="614">
        <v>0</v>
      </c>
      <c r="W55" s="613">
        <v>0</v>
      </c>
      <c r="X55" s="613">
        <v>0</v>
      </c>
      <c r="Y55" s="613"/>
      <c r="Z55" s="613"/>
      <c r="AA55" s="613"/>
      <c r="AB55" s="613"/>
      <c r="AC55" s="613"/>
      <c r="AD55" s="618"/>
      <c r="AE55" s="627"/>
      <c r="AF55" s="1083"/>
      <c r="AG55" s="1092"/>
      <c r="AH55" s="1032"/>
      <c r="AI55" s="1032"/>
      <c r="AJ55" s="1035"/>
      <c r="AK55" s="1089"/>
      <c r="AL55" s="1032"/>
      <c r="AM55" s="1032"/>
      <c r="AN55" s="1070"/>
      <c r="AO55" s="1070"/>
      <c r="AP55" s="1070"/>
      <c r="AQ55" s="1032"/>
      <c r="AR55" s="1067"/>
      <c r="AS55" s="1070"/>
      <c r="AT55" s="1067"/>
      <c r="AU55" s="1070"/>
      <c r="AV55" s="1067"/>
      <c r="AW55" s="1070"/>
      <c r="AX55" s="1070"/>
      <c r="AY55" s="1073"/>
    </row>
    <row r="56" spans="1:51" ht="24.75" customHeight="1" x14ac:dyDescent="0.25">
      <c r="A56" s="1047"/>
      <c r="B56" s="1049"/>
      <c r="C56" s="1052"/>
      <c r="D56" s="167" t="s">
        <v>408</v>
      </c>
      <c r="E56" s="615">
        <v>545</v>
      </c>
      <c r="F56" s="616"/>
      <c r="G56" s="617">
        <v>545</v>
      </c>
      <c r="H56" s="613">
        <v>545</v>
      </c>
      <c r="I56" s="614">
        <v>545</v>
      </c>
      <c r="J56" s="613">
        <v>545</v>
      </c>
      <c r="K56" s="613">
        <v>545</v>
      </c>
      <c r="L56" s="613"/>
      <c r="M56" s="613"/>
      <c r="N56" s="613"/>
      <c r="O56" s="613"/>
      <c r="P56" s="613"/>
      <c r="Q56" s="613"/>
      <c r="R56" s="613"/>
      <c r="S56" s="1055"/>
      <c r="T56" s="617">
        <v>97</v>
      </c>
      <c r="U56" s="613">
        <v>251</v>
      </c>
      <c r="V56" s="614">
        <v>332</v>
      </c>
      <c r="W56" s="613">
        <v>431</v>
      </c>
      <c r="X56" s="613">
        <v>528</v>
      </c>
      <c r="Y56" s="613"/>
      <c r="Z56" s="613"/>
      <c r="AA56" s="613"/>
      <c r="AB56" s="613"/>
      <c r="AC56" s="613"/>
      <c r="AD56" s="618"/>
      <c r="AE56" s="627"/>
      <c r="AF56" s="1083"/>
      <c r="AG56" s="1092"/>
      <c r="AH56" s="1032"/>
      <c r="AI56" s="1032"/>
      <c r="AJ56" s="1035"/>
      <c r="AK56" s="1089"/>
      <c r="AL56" s="1032"/>
      <c r="AM56" s="1032"/>
      <c r="AN56" s="1070"/>
      <c r="AO56" s="1070"/>
      <c r="AP56" s="1070"/>
      <c r="AQ56" s="1032"/>
      <c r="AR56" s="1067"/>
      <c r="AS56" s="1070"/>
      <c r="AT56" s="1067"/>
      <c r="AU56" s="1070"/>
      <c r="AV56" s="1067"/>
      <c r="AW56" s="1070"/>
      <c r="AX56" s="1070"/>
      <c r="AY56" s="1073"/>
    </row>
    <row r="57" spans="1:51" ht="24.75" customHeight="1" thickBot="1" x14ac:dyDescent="0.3">
      <c r="A57" s="1047"/>
      <c r="B57" s="1049"/>
      <c r="C57" s="1053"/>
      <c r="D57" s="215" t="s">
        <v>112</v>
      </c>
      <c r="E57" s="287">
        <v>301672419</v>
      </c>
      <c r="F57" s="264"/>
      <c r="G57" s="532">
        <v>301672419</v>
      </c>
      <c r="H57" s="260">
        <v>301672419</v>
      </c>
      <c r="I57" s="620">
        <v>301672419</v>
      </c>
      <c r="J57" s="260">
        <v>301672419</v>
      </c>
      <c r="K57" s="260">
        <v>301672419</v>
      </c>
      <c r="L57" s="261"/>
      <c r="M57" s="261"/>
      <c r="N57" s="261"/>
      <c r="O57" s="261"/>
      <c r="P57" s="261"/>
      <c r="Q57" s="261"/>
      <c r="R57" s="261"/>
      <c r="S57" s="1056"/>
      <c r="T57" s="628">
        <v>19000984.227129336</v>
      </c>
      <c r="U57" s="220">
        <v>103787778.291333</v>
      </c>
      <c r="V57" s="629">
        <v>122942531.23250948</v>
      </c>
      <c r="W57" s="220">
        <v>122942531.23250948</v>
      </c>
      <c r="X57" s="260">
        <v>151802202.36965233</v>
      </c>
      <c r="Y57" s="220"/>
      <c r="Z57" s="220"/>
      <c r="AA57" s="220"/>
      <c r="AB57" s="220"/>
      <c r="AC57" s="220"/>
      <c r="AD57" s="221"/>
      <c r="AE57" s="189"/>
      <c r="AF57" s="1084"/>
      <c r="AG57" s="1093"/>
      <c r="AH57" s="1033"/>
      <c r="AI57" s="1033"/>
      <c r="AJ57" s="1036"/>
      <c r="AK57" s="1090"/>
      <c r="AL57" s="1033"/>
      <c r="AM57" s="1033"/>
      <c r="AN57" s="1071"/>
      <c r="AO57" s="1071"/>
      <c r="AP57" s="1071"/>
      <c r="AQ57" s="1033"/>
      <c r="AR57" s="1068"/>
      <c r="AS57" s="1071"/>
      <c r="AT57" s="1068"/>
      <c r="AU57" s="1071"/>
      <c r="AV57" s="1068"/>
      <c r="AW57" s="1071"/>
      <c r="AX57" s="1071"/>
      <c r="AY57" s="1074"/>
    </row>
    <row r="58" spans="1:51" ht="24.75" customHeight="1" x14ac:dyDescent="0.25">
      <c r="A58" s="1047"/>
      <c r="B58" s="1049"/>
      <c r="C58" s="1051" t="s">
        <v>412</v>
      </c>
      <c r="D58" s="214" t="s">
        <v>402</v>
      </c>
      <c r="E58" s="603">
        <v>477</v>
      </c>
      <c r="F58" s="604"/>
      <c r="G58" s="605">
        <v>477</v>
      </c>
      <c r="H58" s="606">
        <v>477</v>
      </c>
      <c r="I58" s="607">
        <v>477</v>
      </c>
      <c r="J58" s="606">
        <v>477</v>
      </c>
      <c r="K58" s="606">
        <v>477</v>
      </c>
      <c r="L58" s="607"/>
      <c r="M58" s="607"/>
      <c r="N58" s="607"/>
      <c r="O58" s="607"/>
      <c r="P58" s="607"/>
      <c r="Q58" s="607"/>
      <c r="R58" s="608"/>
      <c r="S58" s="1054"/>
      <c r="T58" s="605">
        <v>49</v>
      </c>
      <c r="U58" s="608">
        <v>129</v>
      </c>
      <c r="V58" s="609">
        <v>216</v>
      </c>
      <c r="W58" s="608">
        <v>310</v>
      </c>
      <c r="X58" s="606">
        <v>391</v>
      </c>
      <c r="Y58" s="608"/>
      <c r="Z58" s="608"/>
      <c r="AA58" s="608"/>
      <c r="AB58" s="608"/>
      <c r="AC58" s="608"/>
      <c r="AD58" s="630"/>
      <c r="AE58" s="626"/>
      <c r="AF58" s="1082"/>
      <c r="AG58" s="1091" t="s">
        <v>412</v>
      </c>
      <c r="AH58" s="1031" t="s">
        <v>81</v>
      </c>
      <c r="AI58" s="1031" t="s">
        <v>81</v>
      </c>
      <c r="AJ58" s="1034" t="s">
        <v>403</v>
      </c>
      <c r="AK58" s="1088" t="s">
        <v>412</v>
      </c>
      <c r="AL58" s="1031" t="s">
        <v>81</v>
      </c>
      <c r="AM58" s="1031" t="s">
        <v>404</v>
      </c>
      <c r="AN58" s="1069">
        <v>408155</v>
      </c>
      <c r="AO58" s="1069">
        <v>189984</v>
      </c>
      <c r="AP58" s="1069">
        <v>218171</v>
      </c>
      <c r="AQ58" s="1031" t="s">
        <v>81</v>
      </c>
      <c r="AR58" s="1066" t="s">
        <v>162</v>
      </c>
      <c r="AS58" s="1069">
        <v>408155</v>
      </c>
      <c r="AT58" s="1066" t="s">
        <v>162</v>
      </c>
      <c r="AU58" s="1069">
        <v>408155</v>
      </c>
      <c r="AV58" s="1066" t="s">
        <v>405</v>
      </c>
      <c r="AW58" s="1069">
        <v>408155</v>
      </c>
      <c r="AX58" s="1069">
        <v>408155</v>
      </c>
      <c r="AY58" s="1072"/>
    </row>
    <row r="59" spans="1:51" ht="24.75" customHeight="1" x14ac:dyDescent="0.25">
      <c r="A59" s="1047"/>
      <c r="B59" s="1049"/>
      <c r="C59" s="1052"/>
      <c r="D59" s="168" t="s">
        <v>406</v>
      </c>
      <c r="E59" s="286">
        <v>263865591</v>
      </c>
      <c r="F59" s="263"/>
      <c r="G59" s="531">
        <v>263865591</v>
      </c>
      <c r="H59" s="216">
        <v>263865591</v>
      </c>
      <c r="I59" s="612">
        <v>263865591</v>
      </c>
      <c r="J59" s="216">
        <v>263865591</v>
      </c>
      <c r="K59" s="216">
        <v>263865591</v>
      </c>
      <c r="L59" s="217"/>
      <c r="M59" s="217"/>
      <c r="N59" s="217"/>
      <c r="O59" s="217"/>
      <c r="P59" s="217"/>
      <c r="Q59" s="217"/>
      <c r="R59" s="217"/>
      <c r="S59" s="1055"/>
      <c r="T59" s="531">
        <v>9598435.3312302846</v>
      </c>
      <c r="U59" s="613">
        <v>53643523.156790502</v>
      </c>
      <c r="V59" s="614">
        <v>74217146.686202258</v>
      </c>
      <c r="W59" s="217">
        <v>106429965.10184012</v>
      </c>
      <c r="X59" s="216">
        <v>129863031.40977663</v>
      </c>
      <c r="Y59" s="217"/>
      <c r="Z59" s="217"/>
      <c r="AA59" s="217"/>
      <c r="AB59" s="217"/>
      <c r="AC59" s="217"/>
      <c r="AD59" s="218"/>
      <c r="AE59" s="188"/>
      <c r="AF59" s="1083"/>
      <c r="AG59" s="1092"/>
      <c r="AH59" s="1032"/>
      <c r="AI59" s="1032"/>
      <c r="AJ59" s="1035"/>
      <c r="AK59" s="1089"/>
      <c r="AL59" s="1032"/>
      <c r="AM59" s="1032"/>
      <c r="AN59" s="1070"/>
      <c r="AO59" s="1070"/>
      <c r="AP59" s="1070"/>
      <c r="AQ59" s="1032"/>
      <c r="AR59" s="1067"/>
      <c r="AS59" s="1070"/>
      <c r="AT59" s="1067"/>
      <c r="AU59" s="1070"/>
      <c r="AV59" s="1067"/>
      <c r="AW59" s="1070"/>
      <c r="AX59" s="1070"/>
      <c r="AY59" s="1073"/>
    </row>
    <row r="60" spans="1:51" ht="24.75" customHeight="1" x14ac:dyDescent="0.25">
      <c r="A60" s="1047"/>
      <c r="B60" s="1049"/>
      <c r="C60" s="1052"/>
      <c r="D60" s="167" t="s">
        <v>407</v>
      </c>
      <c r="E60" s="615"/>
      <c r="F60" s="616"/>
      <c r="G60" s="617"/>
      <c r="H60" s="613"/>
      <c r="I60" s="614"/>
      <c r="J60" s="613"/>
      <c r="K60" s="613"/>
      <c r="L60" s="613"/>
      <c r="M60" s="613"/>
      <c r="N60" s="613"/>
      <c r="O60" s="613"/>
      <c r="P60" s="613"/>
      <c r="Q60" s="613"/>
      <c r="R60" s="613"/>
      <c r="S60" s="1055"/>
      <c r="T60" s="617"/>
      <c r="U60" s="613">
        <v>0</v>
      </c>
      <c r="V60" s="614">
        <v>0</v>
      </c>
      <c r="W60" s="613">
        <v>0</v>
      </c>
      <c r="X60" s="613">
        <v>0</v>
      </c>
      <c r="Y60" s="613"/>
      <c r="Z60" s="613"/>
      <c r="AA60" s="613"/>
      <c r="AB60" s="613"/>
      <c r="AC60" s="613"/>
      <c r="AD60" s="618"/>
      <c r="AE60" s="627"/>
      <c r="AF60" s="1083"/>
      <c r="AG60" s="1092"/>
      <c r="AH60" s="1032"/>
      <c r="AI60" s="1032"/>
      <c r="AJ60" s="1035"/>
      <c r="AK60" s="1089"/>
      <c r="AL60" s="1032"/>
      <c r="AM60" s="1032"/>
      <c r="AN60" s="1070"/>
      <c r="AO60" s="1070"/>
      <c r="AP60" s="1070"/>
      <c r="AQ60" s="1032"/>
      <c r="AR60" s="1067"/>
      <c r="AS60" s="1070"/>
      <c r="AT60" s="1067"/>
      <c r="AU60" s="1070"/>
      <c r="AV60" s="1067"/>
      <c r="AW60" s="1070"/>
      <c r="AX60" s="1070"/>
      <c r="AY60" s="1073"/>
    </row>
    <row r="61" spans="1:51" ht="24.75" customHeight="1" x14ac:dyDescent="0.25">
      <c r="A61" s="1047"/>
      <c r="B61" s="1049"/>
      <c r="C61" s="1052"/>
      <c r="D61" s="168" t="s">
        <v>110</v>
      </c>
      <c r="E61" s="615"/>
      <c r="F61" s="616"/>
      <c r="G61" s="617"/>
      <c r="H61" s="613"/>
      <c r="I61" s="614"/>
      <c r="J61" s="613"/>
      <c r="K61" s="613"/>
      <c r="L61" s="613"/>
      <c r="M61" s="613"/>
      <c r="N61" s="613"/>
      <c r="O61" s="613"/>
      <c r="P61" s="613"/>
      <c r="Q61" s="613"/>
      <c r="R61" s="613"/>
      <c r="S61" s="1055"/>
      <c r="T61" s="617"/>
      <c r="U61" s="613">
        <v>0</v>
      </c>
      <c r="V61" s="614">
        <v>0</v>
      </c>
      <c r="W61" s="613">
        <v>0</v>
      </c>
      <c r="X61" s="613">
        <v>0</v>
      </c>
      <c r="Y61" s="613"/>
      <c r="Z61" s="613"/>
      <c r="AA61" s="613"/>
      <c r="AB61" s="613"/>
      <c r="AC61" s="613"/>
      <c r="AD61" s="618"/>
      <c r="AE61" s="627"/>
      <c r="AF61" s="1083"/>
      <c r="AG61" s="1092"/>
      <c r="AH61" s="1032"/>
      <c r="AI61" s="1032"/>
      <c r="AJ61" s="1035"/>
      <c r="AK61" s="1089"/>
      <c r="AL61" s="1032"/>
      <c r="AM61" s="1032"/>
      <c r="AN61" s="1070"/>
      <c r="AO61" s="1070"/>
      <c r="AP61" s="1070"/>
      <c r="AQ61" s="1032"/>
      <c r="AR61" s="1067"/>
      <c r="AS61" s="1070"/>
      <c r="AT61" s="1067"/>
      <c r="AU61" s="1070"/>
      <c r="AV61" s="1067"/>
      <c r="AW61" s="1070"/>
      <c r="AX61" s="1070"/>
      <c r="AY61" s="1073"/>
    </row>
    <row r="62" spans="1:51" ht="24.75" customHeight="1" x14ac:dyDescent="0.25">
      <c r="A62" s="1047"/>
      <c r="B62" s="1049"/>
      <c r="C62" s="1052"/>
      <c r="D62" s="167" t="s">
        <v>408</v>
      </c>
      <c r="E62" s="615">
        <v>477</v>
      </c>
      <c r="F62" s="616"/>
      <c r="G62" s="617">
        <v>477</v>
      </c>
      <c r="H62" s="613">
        <v>477</v>
      </c>
      <c r="I62" s="614">
        <v>477</v>
      </c>
      <c r="J62" s="613">
        <v>477</v>
      </c>
      <c r="K62" s="613">
        <v>477</v>
      </c>
      <c r="L62" s="613"/>
      <c r="M62" s="613"/>
      <c r="N62" s="613"/>
      <c r="O62" s="613"/>
      <c r="P62" s="613"/>
      <c r="Q62" s="613"/>
      <c r="R62" s="613"/>
      <c r="S62" s="1055"/>
      <c r="T62" s="617">
        <v>49</v>
      </c>
      <c r="U62" s="613">
        <v>129</v>
      </c>
      <c r="V62" s="614">
        <v>216</v>
      </c>
      <c r="W62" s="613">
        <v>310</v>
      </c>
      <c r="X62" s="613">
        <v>391</v>
      </c>
      <c r="Y62" s="613"/>
      <c r="Z62" s="613"/>
      <c r="AA62" s="613"/>
      <c r="AB62" s="613"/>
      <c r="AC62" s="613"/>
      <c r="AD62" s="618"/>
      <c r="AE62" s="627"/>
      <c r="AF62" s="1083"/>
      <c r="AG62" s="1092"/>
      <c r="AH62" s="1032"/>
      <c r="AI62" s="1032"/>
      <c r="AJ62" s="1035"/>
      <c r="AK62" s="1089"/>
      <c r="AL62" s="1032"/>
      <c r="AM62" s="1032"/>
      <c r="AN62" s="1070"/>
      <c r="AO62" s="1070"/>
      <c r="AP62" s="1070"/>
      <c r="AQ62" s="1032"/>
      <c r="AR62" s="1067"/>
      <c r="AS62" s="1070"/>
      <c r="AT62" s="1067"/>
      <c r="AU62" s="1070"/>
      <c r="AV62" s="1067"/>
      <c r="AW62" s="1070"/>
      <c r="AX62" s="1070"/>
      <c r="AY62" s="1073"/>
    </row>
    <row r="63" spans="1:51" ht="24.75" customHeight="1" thickBot="1" x14ac:dyDescent="0.3">
      <c r="A63" s="1047"/>
      <c r="B63" s="1049"/>
      <c r="C63" s="1053"/>
      <c r="D63" s="215" t="s">
        <v>112</v>
      </c>
      <c r="E63" s="287">
        <v>263865591</v>
      </c>
      <c r="F63" s="264"/>
      <c r="G63" s="532">
        <v>263865591</v>
      </c>
      <c r="H63" s="260">
        <v>263865591</v>
      </c>
      <c r="I63" s="620">
        <v>263865591</v>
      </c>
      <c r="J63" s="260">
        <v>263865591</v>
      </c>
      <c r="K63" s="260">
        <v>263865591</v>
      </c>
      <c r="L63" s="261"/>
      <c r="M63" s="261"/>
      <c r="N63" s="261"/>
      <c r="O63" s="261"/>
      <c r="P63" s="261"/>
      <c r="Q63" s="261"/>
      <c r="R63" s="261"/>
      <c r="S63" s="1056"/>
      <c r="T63" s="628">
        <v>9598435.3312302846</v>
      </c>
      <c r="U63" s="220">
        <v>53643523.156790502</v>
      </c>
      <c r="V63" s="629">
        <v>74217146.686202258</v>
      </c>
      <c r="W63" s="220">
        <v>74217146.686202258</v>
      </c>
      <c r="X63" s="260">
        <v>97650212.994138762</v>
      </c>
      <c r="Y63" s="220"/>
      <c r="Z63" s="220"/>
      <c r="AA63" s="220"/>
      <c r="AB63" s="220"/>
      <c r="AC63" s="220"/>
      <c r="AD63" s="221"/>
      <c r="AE63" s="189"/>
      <c r="AF63" s="1084"/>
      <c r="AG63" s="1093"/>
      <c r="AH63" s="1033"/>
      <c r="AI63" s="1033"/>
      <c r="AJ63" s="1036"/>
      <c r="AK63" s="1090"/>
      <c r="AL63" s="1033"/>
      <c r="AM63" s="1033"/>
      <c r="AN63" s="1071"/>
      <c r="AO63" s="1071"/>
      <c r="AP63" s="1071"/>
      <c r="AQ63" s="1033"/>
      <c r="AR63" s="1068"/>
      <c r="AS63" s="1071"/>
      <c r="AT63" s="1068"/>
      <c r="AU63" s="1071"/>
      <c r="AV63" s="1068"/>
      <c r="AW63" s="1071"/>
      <c r="AX63" s="1071"/>
      <c r="AY63" s="1074"/>
    </row>
    <row r="64" spans="1:51" ht="24.75" customHeight="1" x14ac:dyDescent="0.25">
      <c r="A64" s="1047"/>
      <c r="B64" s="1049"/>
      <c r="C64" s="1051" t="s">
        <v>413</v>
      </c>
      <c r="D64" s="214" t="s">
        <v>402</v>
      </c>
      <c r="E64" s="603">
        <v>747</v>
      </c>
      <c r="F64" s="604"/>
      <c r="G64" s="605">
        <v>747</v>
      </c>
      <c r="H64" s="606">
        <v>747</v>
      </c>
      <c r="I64" s="607">
        <v>747</v>
      </c>
      <c r="J64" s="606">
        <v>747</v>
      </c>
      <c r="K64" s="606">
        <v>747</v>
      </c>
      <c r="L64" s="607"/>
      <c r="M64" s="607"/>
      <c r="N64" s="607"/>
      <c r="O64" s="607"/>
      <c r="P64" s="607"/>
      <c r="Q64" s="607"/>
      <c r="R64" s="608"/>
      <c r="S64" s="1054"/>
      <c r="T64" s="605">
        <v>126</v>
      </c>
      <c r="U64" s="608">
        <v>221</v>
      </c>
      <c r="V64" s="609">
        <v>341</v>
      </c>
      <c r="W64" s="608">
        <v>544</v>
      </c>
      <c r="X64" s="606">
        <v>719</v>
      </c>
      <c r="Y64" s="608"/>
      <c r="Z64" s="608"/>
      <c r="AA64" s="608"/>
      <c r="AB64" s="608"/>
      <c r="AC64" s="608"/>
      <c r="AD64" s="630"/>
      <c r="AE64" s="626"/>
      <c r="AF64" s="1082"/>
      <c r="AG64" s="1091" t="s">
        <v>413</v>
      </c>
      <c r="AH64" s="1031" t="s">
        <v>81</v>
      </c>
      <c r="AI64" s="1031" t="s">
        <v>81</v>
      </c>
      <c r="AJ64" s="1034" t="s">
        <v>403</v>
      </c>
      <c r="AK64" s="1088" t="s">
        <v>413</v>
      </c>
      <c r="AL64" s="1031" t="s">
        <v>81</v>
      </c>
      <c r="AM64" s="1031" t="s">
        <v>404</v>
      </c>
      <c r="AN64" s="1069">
        <v>819441</v>
      </c>
      <c r="AO64" s="1069">
        <v>388871</v>
      </c>
      <c r="AP64" s="1069">
        <v>430570</v>
      </c>
      <c r="AQ64" s="1031" t="s">
        <v>81</v>
      </c>
      <c r="AR64" s="1066" t="s">
        <v>162</v>
      </c>
      <c r="AS64" s="1069">
        <v>819441</v>
      </c>
      <c r="AT64" s="1066" t="s">
        <v>162</v>
      </c>
      <c r="AU64" s="1069">
        <v>819441</v>
      </c>
      <c r="AV64" s="1066" t="s">
        <v>405</v>
      </c>
      <c r="AW64" s="1069">
        <v>819441</v>
      </c>
      <c r="AX64" s="1069">
        <v>819441</v>
      </c>
      <c r="AY64" s="1072"/>
    </row>
    <row r="65" spans="1:51" ht="24.75" customHeight="1" x14ac:dyDescent="0.25">
      <c r="A65" s="1047"/>
      <c r="B65" s="1049"/>
      <c r="C65" s="1052"/>
      <c r="D65" s="168" t="s">
        <v>406</v>
      </c>
      <c r="E65" s="286">
        <v>413528485</v>
      </c>
      <c r="F65" s="263"/>
      <c r="G65" s="531">
        <v>413528485</v>
      </c>
      <c r="H65" s="216">
        <v>413528485</v>
      </c>
      <c r="I65" s="612">
        <v>413528485</v>
      </c>
      <c r="J65" s="216">
        <v>413528485</v>
      </c>
      <c r="K65" s="216">
        <v>413528485</v>
      </c>
      <c r="L65" s="217"/>
      <c r="M65" s="217"/>
      <c r="N65" s="217"/>
      <c r="O65" s="217"/>
      <c r="P65" s="217"/>
      <c r="Q65" s="217"/>
      <c r="R65" s="217"/>
      <c r="S65" s="1055"/>
      <c r="T65" s="531">
        <v>24681690.851735014</v>
      </c>
      <c r="U65" s="613">
        <v>76985232.6445878</v>
      </c>
      <c r="V65" s="614">
        <v>105362644.40929368</v>
      </c>
      <c r="W65" s="217">
        <v>174928624.60476694</v>
      </c>
      <c r="X65" s="216">
        <v>275074150.08921134</v>
      </c>
      <c r="Y65" s="217"/>
      <c r="Z65" s="217"/>
      <c r="AA65" s="217"/>
      <c r="AB65" s="217"/>
      <c r="AC65" s="217"/>
      <c r="AD65" s="218"/>
      <c r="AE65" s="188"/>
      <c r="AF65" s="1083"/>
      <c r="AG65" s="1092"/>
      <c r="AH65" s="1032"/>
      <c r="AI65" s="1032"/>
      <c r="AJ65" s="1035"/>
      <c r="AK65" s="1089"/>
      <c r="AL65" s="1032"/>
      <c r="AM65" s="1032"/>
      <c r="AN65" s="1070"/>
      <c r="AO65" s="1070"/>
      <c r="AP65" s="1070"/>
      <c r="AQ65" s="1032"/>
      <c r="AR65" s="1067"/>
      <c r="AS65" s="1070"/>
      <c r="AT65" s="1067"/>
      <c r="AU65" s="1070"/>
      <c r="AV65" s="1067"/>
      <c r="AW65" s="1070"/>
      <c r="AX65" s="1070"/>
      <c r="AY65" s="1073"/>
    </row>
    <row r="66" spans="1:51" ht="24.75" customHeight="1" x14ac:dyDescent="0.25">
      <c r="A66" s="1047"/>
      <c r="B66" s="1049"/>
      <c r="C66" s="1052"/>
      <c r="D66" s="167" t="s">
        <v>407</v>
      </c>
      <c r="E66" s="615"/>
      <c r="F66" s="616"/>
      <c r="G66" s="617"/>
      <c r="H66" s="613"/>
      <c r="I66" s="614"/>
      <c r="J66" s="613"/>
      <c r="K66" s="613"/>
      <c r="L66" s="613"/>
      <c r="M66" s="613"/>
      <c r="N66" s="613"/>
      <c r="O66" s="613"/>
      <c r="P66" s="613"/>
      <c r="Q66" s="613"/>
      <c r="R66" s="613"/>
      <c r="S66" s="1055"/>
      <c r="T66" s="617"/>
      <c r="U66" s="613">
        <v>0</v>
      </c>
      <c r="V66" s="614">
        <v>0</v>
      </c>
      <c r="W66" s="613">
        <v>0</v>
      </c>
      <c r="X66" s="613">
        <v>0</v>
      </c>
      <c r="Y66" s="613"/>
      <c r="Z66" s="613"/>
      <c r="AA66" s="613"/>
      <c r="AB66" s="613"/>
      <c r="AC66" s="613"/>
      <c r="AD66" s="618"/>
      <c r="AE66" s="627"/>
      <c r="AF66" s="1083"/>
      <c r="AG66" s="1092"/>
      <c r="AH66" s="1032"/>
      <c r="AI66" s="1032"/>
      <c r="AJ66" s="1035"/>
      <c r="AK66" s="1089"/>
      <c r="AL66" s="1032"/>
      <c r="AM66" s="1032"/>
      <c r="AN66" s="1070"/>
      <c r="AO66" s="1070"/>
      <c r="AP66" s="1070"/>
      <c r="AQ66" s="1032"/>
      <c r="AR66" s="1067"/>
      <c r="AS66" s="1070"/>
      <c r="AT66" s="1067"/>
      <c r="AU66" s="1070"/>
      <c r="AV66" s="1067"/>
      <c r="AW66" s="1070"/>
      <c r="AX66" s="1070"/>
      <c r="AY66" s="1073"/>
    </row>
    <row r="67" spans="1:51" ht="24.75" customHeight="1" x14ac:dyDescent="0.25">
      <c r="A67" s="1047"/>
      <c r="B67" s="1049"/>
      <c r="C67" s="1052"/>
      <c r="D67" s="168" t="s">
        <v>110</v>
      </c>
      <c r="E67" s="615"/>
      <c r="F67" s="616"/>
      <c r="G67" s="617"/>
      <c r="H67" s="613"/>
      <c r="I67" s="614"/>
      <c r="J67" s="613"/>
      <c r="K67" s="613"/>
      <c r="L67" s="613"/>
      <c r="M67" s="613"/>
      <c r="N67" s="613"/>
      <c r="O67" s="613"/>
      <c r="P67" s="613"/>
      <c r="Q67" s="613"/>
      <c r="R67" s="613"/>
      <c r="S67" s="1055"/>
      <c r="T67" s="617"/>
      <c r="U67" s="613">
        <v>0</v>
      </c>
      <c r="V67" s="614">
        <v>0</v>
      </c>
      <c r="W67" s="613">
        <v>0</v>
      </c>
      <c r="X67" s="613">
        <v>0</v>
      </c>
      <c r="Y67" s="613"/>
      <c r="Z67" s="613"/>
      <c r="AA67" s="613"/>
      <c r="AB67" s="613"/>
      <c r="AC67" s="613"/>
      <c r="AD67" s="618"/>
      <c r="AE67" s="627"/>
      <c r="AF67" s="1083"/>
      <c r="AG67" s="1092"/>
      <c r="AH67" s="1032"/>
      <c r="AI67" s="1032"/>
      <c r="AJ67" s="1035"/>
      <c r="AK67" s="1089"/>
      <c r="AL67" s="1032"/>
      <c r="AM67" s="1032"/>
      <c r="AN67" s="1070"/>
      <c r="AO67" s="1070"/>
      <c r="AP67" s="1070"/>
      <c r="AQ67" s="1032"/>
      <c r="AR67" s="1067"/>
      <c r="AS67" s="1070"/>
      <c r="AT67" s="1067"/>
      <c r="AU67" s="1070"/>
      <c r="AV67" s="1067"/>
      <c r="AW67" s="1070"/>
      <c r="AX67" s="1070"/>
      <c r="AY67" s="1073"/>
    </row>
    <row r="68" spans="1:51" ht="24.75" customHeight="1" x14ac:dyDescent="0.25">
      <c r="A68" s="1047"/>
      <c r="B68" s="1049"/>
      <c r="C68" s="1052"/>
      <c r="D68" s="167" t="s">
        <v>408</v>
      </c>
      <c r="E68" s="615">
        <v>747</v>
      </c>
      <c r="F68" s="616"/>
      <c r="G68" s="617">
        <v>747</v>
      </c>
      <c r="H68" s="613">
        <v>747</v>
      </c>
      <c r="I68" s="614">
        <v>747</v>
      </c>
      <c r="J68" s="613">
        <v>747</v>
      </c>
      <c r="K68" s="613">
        <v>747</v>
      </c>
      <c r="L68" s="613"/>
      <c r="M68" s="613"/>
      <c r="N68" s="613"/>
      <c r="O68" s="613"/>
      <c r="P68" s="613"/>
      <c r="Q68" s="613"/>
      <c r="R68" s="613"/>
      <c r="S68" s="1055"/>
      <c r="T68" s="617"/>
      <c r="U68" s="613">
        <v>221</v>
      </c>
      <c r="V68" s="614">
        <v>341</v>
      </c>
      <c r="W68" s="613">
        <v>544</v>
      </c>
      <c r="X68" s="613">
        <v>719</v>
      </c>
      <c r="Y68" s="613"/>
      <c r="Z68" s="613"/>
      <c r="AA68" s="613"/>
      <c r="AB68" s="613"/>
      <c r="AC68" s="613"/>
      <c r="AD68" s="618"/>
      <c r="AE68" s="627"/>
      <c r="AF68" s="1083"/>
      <c r="AG68" s="1092"/>
      <c r="AH68" s="1032"/>
      <c r="AI68" s="1032"/>
      <c r="AJ68" s="1035"/>
      <c r="AK68" s="1089"/>
      <c r="AL68" s="1032"/>
      <c r="AM68" s="1032"/>
      <c r="AN68" s="1070"/>
      <c r="AO68" s="1070"/>
      <c r="AP68" s="1070"/>
      <c r="AQ68" s="1032"/>
      <c r="AR68" s="1067"/>
      <c r="AS68" s="1070"/>
      <c r="AT68" s="1067"/>
      <c r="AU68" s="1070"/>
      <c r="AV68" s="1067"/>
      <c r="AW68" s="1070"/>
      <c r="AX68" s="1070"/>
      <c r="AY68" s="1073"/>
    </row>
    <row r="69" spans="1:51" ht="24.75" customHeight="1" thickBot="1" x14ac:dyDescent="0.3">
      <c r="A69" s="1047"/>
      <c r="B69" s="1049"/>
      <c r="C69" s="1053"/>
      <c r="D69" s="215" t="s">
        <v>112</v>
      </c>
      <c r="E69" s="287">
        <v>413528485</v>
      </c>
      <c r="F69" s="264"/>
      <c r="G69" s="532">
        <v>413528485</v>
      </c>
      <c r="H69" s="260">
        <v>413528485</v>
      </c>
      <c r="I69" s="620">
        <v>413528485</v>
      </c>
      <c r="J69" s="260">
        <v>413528485</v>
      </c>
      <c r="K69" s="260">
        <v>413528485</v>
      </c>
      <c r="L69" s="261"/>
      <c r="M69" s="261"/>
      <c r="N69" s="261"/>
      <c r="O69" s="261"/>
      <c r="P69" s="261"/>
      <c r="Q69" s="261"/>
      <c r="R69" s="261"/>
      <c r="S69" s="1056"/>
      <c r="T69" s="628"/>
      <c r="U69" s="220">
        <v>76985232.6445878</v>
      </c>
      <c r="V69" s="629">
        <v>105362644.40929368</v>
      </c>
      <c r="W69" s="220">
        <v>105362644.40929368</v>
      </c>
      <c r="X69" s="260">
        <v>205508169.89373812</v>
      </c>
      <c r="Y69" s="220"/>
      <c r="Z69" s="220"/>
      <c r="AA69" s="220"/>
      <c r="AB69" s="220"/>
      <c r="AC69" s="220"/>
      <c r="AD69" s="221"/>
      <c r="AE69" s="189"/>
      <c r="AF69" s="1084"/>
      <c r="AG69" s="1093"/>
      <c r="AH69" s="1033"/>
      <c r="AI69" s="1033"/>
      <c r="AJ69" s="1036"/>
      <c r="AK69" s="1090"/>
      <c r="AL69" s="1033"/>
      <c r="AM69" s="1033"/>
      <c r="AN69" s="1071"/>
      <c r="AO69" s="1071"/>
      <c r="AP69" s="1071"/>
      <c r="AQ69" s="1033"/>
      <c r="AR69" s="1068"/>
      <c r="AS69" s="1071"/>
      <c r="AT69" s="1068"/>
      <c r="AU69" s="1071"/>
      <c r="AV69" s="1068"/>
      <c r="AW69" s="1071"/>
      <c r="AX69" s="1071"/>
      <c r="AY69" s="1074"/>
    </row>
    <row r="70" spans="1:51" ht="24.75" customHeight="1" x14ac:dyDescent="0.25">
      <c r="A70" s="1047"/>
      <c r="B70" s="1049"/>
      <c r="C70" s="1051" t="s">
        <v>173</v>
      </c>
      <c r="D70" s="214" t="s">
        <v>402</v>
      </c>
      <c r="E70" s="603">
        <v>1209</v>
      </c>
      <c r="F70" s="604"/>
      <c r="G70" s="605">
        <v>1209</v>
      </c>
      <c r="H70" s="606">
        <v>1209</v>
      </c>
      <c r="I70" s="607">
        <v>1209</v>
      </c>
      <c r="J70" s="606">
        <v>1209</v>
      </c>
      <c r="K70" s="606">
        <v>1408</v>
      </c>
      <c r="L70" s="607"/>
      <c r="M70" s="607"/>
      <c r="N70" s="607"/>
      <c r="O70" s="607"/>
      <c r="P70" s="607"/>
      <c r="Q70" s="607"/>
      <c r="R70" s="608"/>
      <c r="S70" s="1054"/>
      <c r="T70" s="605">
        <v>290</v>
      </c>
      <c r="U70" s="608">
        <v>561</v>
      </c>
      <c r="V70" s="609">
        <v>864</v>
      </c>
      <c r="W70" s="608">
        <v>1185</v>
      </c>
      <c r="X70" s="606">
        <v>1408</v>
      </c>
      <c r="Y70" s="608"/>
      <c r="Z70" s="608"/>
      <c r="AA70" s="608"/>
      <c r="AB70" s="608"/>
      <c r="AC70" s="608"/>
      <c r="AD70" s="630"/>
      <c r="AE70" s="626"/>
      <c r="AF70" s="1082"/>
      <c r="AG70" s="1091" t="s">
        <v>173</v>
      </c>
      <c r="AH70" s="1031" t="s">
        <v>81</v>
      </c>
      <c r="AI70" s="1031" t="s">
        <v>81</v>
      </c>
      <c r="AJ70" s="1034" t="s">
        <v>403</v>
      </c>
      <c r="AK70" s="1088" t="s">
        <v>173</v>
      </c>
      <c r="AL70" s="1031" t="s">
        <v>81</v>
      </c>
      <c r="AM70" s="1031" t="s">
        <v>404</v>
      </c>
      <c r="AN70" s="1069">
        <v>1309115</v>
      </c>
      <c r="AO70" s="1069">
        <v>617598</v>
      </c>
      <c r="AP70" s="1069">
        <v>691517</v>
      </c>
      <c r="AQ70" s="1031" t="s">
        <v>81</v>
      </c>
      <c r="AR70" s="1066" t="s">
        <v>162</v>
      </c>
      <c r="AS70" s="1069">
        <v>1309115</v>
      </c>
      <c r="AT70" s="1066" t="s">
        <v>162</v>
      </c>
      <c r="AU70" s="1069">
        <v>1309115</v>
      </c>
      <c r="AV70" s="1066" t="s">
        <v>405</v>
      </c>
      <c r="AW70" s="1069">
        <v>1309115</v>
      </c>
      <c r="AX70" s="1069">
        <v>1309115</v>
      </c>
      <c r="AY70" s="1072"/>
    </row>
    <row r="71" spans="1:51" ht="24.75" customHeight="1" x14ac:dyDescent="0.25">
      <c r="A71" s="1047"/>
      <c r="B71" s="1049"/>
      <c r="C71" s="1052"/>
      <c r="D71" s="168" t="s">
        <v>406</v>
      </c>
      <c r="E71" s="286">
        <v>859649064</v>
      </c>
      <c r="F71" s="263"/>
      <c r="G71" s="531">
        <v>859649064</v>
      </c>
      <c r="H71" s="216">
        <v>859649064</v>
      </c>
      <c r="I71" s="612">
        <v>859649064</v>
      </c>
      <c r="J71" s="216">
        <v>859649064</v>
      </c>
      <c r="K71" s="216">
        <v>859649064</v>
      </c>
      <c r="L71" s="217"/>
      <c r="M71" s="217"/>
      <c r="N71" s="217"/>
      <c r="O71" s="217"/>
      <c r="P71" s="217"/>
      <c r="Q71" s="217"/>
      <c r="R71" s="217"/>
      <c r="S71" s="1055"/>
      <c r="T71" s="531">
        <v>56807066.24605678</v>
      </c>
      <c r="U71" s="613">
        <v>206009801.25514203</v>
      </c>
      <c r="V71" s="614">
        <v>277662765.9610244</v>
      </c>
      <c r="W71" s="217">
        <v>387666113.95485157</v>
      </c>
      <c r="X71" s="216">
        <v>453772027.32881981</v>
      </c>
      <c r="Y71" s="217"/>
      <c r="Z71" s="217"/>
      <c r="AA71" s="217"/>
      <c r="AB71" s="217"/>
      <c r="AC71" s="217"/>
      <c r="AD71" s="218"/>
      <c r="AE71" s="188"/>
      <c r="AF71" s="1083"/>
      <c r="AG71" s="1092"/>
      <c r="AH71" s="1032"/>
      <c r="AI71" s="1032"/>
      <c r="AJ71" s="1035"/>
      <c r="AK71" s="1089"/>
      <c r="AL71" s="1032"/>
      <c r="AM71" s="1032"/>
      <c r="AN71" s="1070"/>
      <c r="AO71" s="1070"/>
      <c r="AP71" s="1070"/>
      <c r="AQ71" s="1032"/>
      <c r="AR71" s="1067"/>
      <c r="AS71" s="1070"/>
      <c r="AT71" s="1067"/>
      <c r="AU71" s="1070"/>
      <c r="AV71" s="1067"/>
      <c r="AW71" s="1070"/>
      <c r="AX71" s="1070"/>
      <c r="AY71" s="1073"/>
    </row>
    <row r="72" spans="1:51" ht="24.75" customHeight="1" x14ac:dyDescent="0.25">
      <c r="A72" s="1047"/>
      <c r="B72" s="1049"/>
      <c r="C72" s="1052"/>
      <c r="D72" s="167" t="s">
        <v>407</v>
      </c>
      <c r="E72" s="615"/>
      <c r="F72" s="616"/>
      <c r="G72" s="617"/>
      <c r="H72" s="613"/>
      <c r="I72" s="614"/>
      <c r="J72" s="613"/>
      <c r="K72" s="613"/>
      <c r="L72" s="613"/>
      <c r="M72" s="613"/>
      <c r="N72" s="613"/>
      <c r="O72" s="613"/>
      <c r="P72" s="613"/>
      <c r="Q72" s="613"/>
      <c r="R72" s="613"/>
      <c r="S72" s="1055"/>
      <c r="T72" s="617"/>
      <c r="U72" s="613">
        <v>0</v>
      </c>
      <c r="V72" s="614">
        <v>0</v>
      </c>
      <c r="W72" s="613">
        <v>0</v>
      </c>
      <c r="X72" s="613">
        <v>0</v>
      </c>
      <c r="Y72" s="613"/>
      <c r="Z72" s="613"/>
      <c r="AA72" s="613"/>
      <c r="AB72" s="613"/>
      <c r="AC72" s="613"/>
      <c r="AD72" s="618"/>
      <c r="AE72" s="627"/>
      <c r="AF72" s="1083"/>
      <c r="AG72" s="1092"/>
      <c r="AH72" s="1032"/>
      <c r="AI72" s="1032"/>
      <c r="AJ72" s="1035"/>
      <c r="AK72" s="1089"/>
      <c r="AL72" s="1032"/>
      <c r="AM72" s="1032"/>
      <c r="AN72" s="1070"/>
      <c r="AO72" s="1070"/>
      <c r="AP72" s="1070"/>
      <c r="AQ72" s="1032"/>
      <c r="AR72" s="1067"/>
      <c r="AS72" s="1070"/>
      <c r="AT72" s="1067"/>
      <c r="AU72" s="1070"/>
      <c r="AV72" s="1067"/>
      <c r="AW72" s="1070"/>
      <c r="AX72" s="1070"/>
      <c r="AY72" s="1073"/>
    </row>
    <row r="73" spans="1:51" ht="24.75" customHeight="1" x14ac:dyDescent="0.25">
      <c r="A73" s="1047"/>
      <c r="B73" s="1049"/>
      <c r="C73" s="1052"/>
      <c r="D73" s="168" t="s">
        <v>110</v>
      </c>
      <c r="E73" s="615"/>
      <c r="F73" s="616"/>
      <c r="G73" s="617"/>
      <c r="H73" s="613"/>
      <c r="I73" s="614"/>
      <c r="J73" s="613"/>
      <c r="K73" s="613"/>
      <c r="L73" s="613"/>
      <c r="M73" s="613"/>
      <c r="N73" s="613"/>
      <c r="O73" s="613"/>
      <c r="P73" s="613"/>
      <c r="Q73" s="613"/>
      <c r="R73" s="613"/>
      <c r="S73" s="1055"/>
      <c r="T73" s="617"/>
      <c r="U73" s="613">
        <v>0</v>
      </c>
      <c r="V73" s="614">
        <v>0</v>
      </c>
      <c r="W73" s="613">
        <v>0</v>
      </c>
      <c r="X73" s="613">
        <v>0</v>
      </c>
      <c r="Y73" s="613"/>
      <c r="Z73" s="613"/>
      <c r="AA73" s="613"/>
      <c r="AB73" s="613"/>
      <c r="AC73" s="613"/>
      <c r="AD73" s="618"/>
      <c r="AE73" s="627"/>
      <c r="AF73" s="1083"/>
      <c r="AG73" s="1092"/>
      <c r="AH73" s="1032"/>
      <c r="AI73" s="1032"/>
      <c r="AJ73" s="1035"/>
      <c r="AK73" s="1089"/>
      <c r="AL73" s="1032"/>
      <c r="AM73" s="1032"/>
      <c r="AN73" s="1070"/>
      <c r="AO73" s="1070"/>
      <c r="AP73" s="1070"/>
      <c r="AQ73" s="1032"/>
      <c r="AR73" s="1067"/>
      <c r="AS73" s="1070"/>
      <c r="AT73" s="1067"/>
      <c r="AU73" s="1070"/>
      <c r="AV73" s="1067"/>
      <c r="AW73" s="1070"/>
      <c r="AX73" s="1070"/>
      <c r="AY73" s="1073"/>
    </row>
    <row r="74" spans="1:51" ht="24.75" customHeight="1" x14ac:dyDescent="0.25">
      <c r="A74" s="1047"/>
      <c r="B74" s="1049"/>
      <c r="C74" s="1052"/>
      <c r="D74" s="167" t="s">
        <v>408</v>
      </c>
      <c r="E74" s="615">
        <v>1209</v>
      </c>
      <c r="F74" s="616"/>
      <c r="G74" s="617">
        <v>1209</v>
      </c>
      <c r="H74" s="613">
        <v>1209</v>
      </c>
      <c r="I74" s="614">
        <v>1209</v>
      </c>
      <c r="J74" s="613">
        <v>1209</v>
      </c>
      <c r="K74" s="613">
        <v>1408</v>
      </c>
      <c r="L74" s="613"/>
      <c r="M74" s="613"/>
      <c r="N74" s="613"/>
      <c r="O74" s="613"/>
      <c r="P74" s="613"/>
      <c r="Q74" s="613"/>
      <c r="R74" s="613"/>
      <c r="S74" s="1055"/>
      <c r="T74" s="617">
        <v>290</v>
      </c>
      <c r="U74" s="613">
        <v>561</v>
      </c>
      <c r="V74" s="614">
        <v>864</v>
      </c>
      <c r="W74" s="613">
        <v>1185</v>
      </c>
      <c r="X74" s="613">
        <v>1408</v>
      </c>
      <c r="Y74" s="613"/>
      <c r="Z74" s="613"/>
      <c r="AA74" s="613"/>
      <c r="AB74" s="613"/>
      <c r="AC74" s="613"/>
      <c r="AD74" s="618"/>
      <c r="AE74" s="627"/>
      <c r="AF74" s="1083"/>
      <c r="AG74" s="1092"/>
      <c r="AH74" s="1032"/>
      <c r="AI74" s="1032"/>
      <c r="AJ74" s="1035"/>
      <c r="AK74" s="1089"/>
      <c r="AL74" s="1032"/>
      <c r="AM74" s="1032"/>
      <c r="AN74" s="1070"/>
      <c r="AO74" s="1070"/>
      <c r="AP74" s="1070"/>
      <c r="AQ74" s="1032"/>
      <c r="AR74" s="1067"/>
      <c r="AS74" s="1070"/>
      <c r="AT74" s="1067"/>
      <c r="AU74" s="1070"/>
      <c r="AV74" s="1067"/>
      <c r="AW74" s="1070"/>
      <c r="AX74" s="1070"/>
      <c r="AY74" s="1073"/>
    </row>
    <row r="75" spans="1:51" ht="24.75" customHeight="1" thickBot="1" x14ac:dyDescent="0.3">
      <c r="A75" s="1047"/>
      <c r="B75" s="1049"/>
      <c r="C75" s="1053"/>
      <c r="D75" s="215" t="s">
        <v>112</v>
      </c>
      <c r="E75" s="287">
        <v>859649064</v>
      </c>
      <c r="F75" s="264"/>
      <c r="G75" s="532">
        <v>859649064</v>
      </c>
      <c r="H75" s="260">
        <v>859649064</v>
      </c>
      <c r="I75" s="620">
        <v>859649064</v>
      </c>
      <c r="J75" s="260">
        <v>859649064</v>
      </c>
      <c r="K75" s="260">
        <v>859649064</v>
      </c>
      <c r="L75" s="261"/>
      <c r="M75" s="261"/>
      <c r="N75" s="261"/>
      <c r="O75" s="261"/>
      <c r="P75" s="261"/>
      <c r="Q75" s="261"/>
      <c r="R75" s="261"/>
      <c r="S75" s="1056"/>
      <c r="T75" s="628">
        <v>56807066.24605678</v>
      </c>
      <c r="U75" s="220">
        <v>206009801.25514203</v>
      </c>
      <c r="V75" s="629">
        <v>277662765.9610244</v>
      </c>
      <c r="W75" s="220">
        <v>277662765.9610244</v>
      </c>
      <c r="X75" s="260">
        <v>343768679.33499265</v>
      </c>
      <c r="Y75" s="220"/>
      <c r="Z75" s="220"/>
      <c r="AA75" s="220"/>
      <c r="AB75" s="220"/>
      <c r="AC75" s="220"/>
      <c r="AD75" s="221"/>
      <c r="AE75" s="189"/>
      <c r="AF75" s="1084"/>
      <c r="AG75" s="1093"/>
      <c r="AH75" s="1033"/>
      <c r="AI75" s="1033"/>
      <c r="AJ75" s="1036"/>
      <c r="AK75" s="1090"/>
      <c r="AL75" s="1033"/>
      <c r="AM75" s="1033"/>
      <c r="AN75" s="1071"/>
      <c r="AO75" s="1071"/>
      <c r="AP75" s="1071"/>
      <c r="AQ75" s="1033"/>
      <c r="AR75" s="1068"/>
      <c r="AS75" s="1071"/>
      <c r="AT75" s="1068"/>
      <c r="AU75" s="1071"/>
      <c r="AV75" s="1068"/>
      <c r="AW75" s="1071"/>
      <c r="AX75" s="1071"/>
      <c r="AY75" s="1074"/>
    </row>
    <row r="76" spans="1:51" ht="24.75" customHeight="1" x14ac:dyDescent="0.25">
      <c r="A76" s="1047"/>
      <c r="B76" s="1049"/>
      <c r="C76" s="1051" t="s">
        <v>414</v>
      </c>
      <c r="D76" s="214" t="s">
        <v>402</v>
      </c>
      <c r="E76" s="603">
        <v>282</v>
      </c>
      <c r="F76" s="604"/>
      <c r="G76" s="605">
        <v>282</v>
      </c>
      <c r="H76" s="606">
        <v>282</v>
      </c>
      <c r="I76" s="607">
        <v>282</v>
      </c>
      <c r="J76" s="606">
        <v>282</v>
      </c>
      <c r="K76" s="606">
        <v>282</v>
      </c>
      <c r="L76" s="607"/>
      <c r="M76" s="607"/>
      <c r="N76" s="607"/>
      <c r="O76" s="607"/>
      <c r="P76" s="607"/>
      <c r="Q76" s="607"/>
      <c r="R76" s="608"/>
      <c r="S76" s="1054"/>
      <c r="T76" s="605">
        <v>38</v>
      </c>
      <c r="U76" s="608">
        <v>78</v>
      </c>
      <c r="V76" s="609">
        <v>139</v>
      </c>
      <c r="W76" s="608">
        <v>232</v>
      </c>
      <c r="X76" s="606">
        <v>269</v>
      </c>
      <c r="Y76" s="608"/>
      <c r="Z76" s="608"/>
      <c r="AA76" s="608"/>
      <c r="AB76" s="608"/>
      <c r="AC76" s="608"/>
      <c r="AD76" s="630"/>
      <c r="AE76" s="626"/>
      <c r="AF76" s="1082"/>
      <c r="AG76" s="1091" t="s">
        <v>414</v>
      </c>
      <c r="AH76" s="1031" t="s">
        <v>81</v>
      </c>
      <c r="AI76" s="1031" t="s">
        <v>81</v>
      </c>
      <c r="AJ76" s="1034" t="s">
        <v>403</v>
      </c>
      <c r="AK76" s="1088" t="s">
        <v>414</v>
      </c>
      <c r="AL76" s="1031" t="s">
        <v>81</v>
      </c>
      <c r="AM76" s="1031" t="s">
        <v>404</v>
      </c>
      <c r="AN76" s="1069">
        <v>156268</v>
      </c>
      <c r="AO76" s="1069">
        <v>77967</v>
      </c>
      <c r="AP76" s="1069">
        <v>78301</v>
      </c>
      <c r="AQ76" s="1031" t="s">
        <v>81</v>
      </c>
      <c r="AR76" s="1066" t="s">
        <v>162</v>
      </c>
      <c r="AS76" s="1069">
        <v>156268</v>
      </c>
      <c r="AT76" s="1066" t="s">
        <v>162</v>
      </c>
      <c r="AU76" s="1069">
        <v>156268</v>
      </c>
      <c r="AV76" s="1066" t="s">
        <v>405</v>
      </c>
      <c r="AW76" s="1069">
        <v>156268</v>
      </c>
      <c r="AX76" s="1069">
        <v>156268</v>
      </c>
      <c r="AY76" s="1072"/>
    </row>
    <row r="77" spans="1:51" ht="24.75" customHeight="1" x14ac:dyDescent="0.25">
      <c r="A77" s="1047"/>
      <c r="B77" s="1049"/>
      <c r="C77" s="1052"/>
      <c r="D77" s="168" t="s">
        <v>406</v>
      </c>
      <c r="E77" s="286">
        <v>155920576</v>
      </c>
      <c r="F77" s="263"/>
      <c r="G77" s="531">
        <v>155920576</v>
      </c>
      <c r="H77" s="216">
        <v>155920576</v>
      </c>
      <c r="I77" s="612">
        <v>155920576</v>
      </c>
      <c r="J77" s="216">
        <v>155920576</v>
      </c>
      <c r="K77" s="216">
        <v>155920576</v>
      </c>
      <c r="L77" s="217"/>
      <c r="M77" s="217"/>
      <c r="N77" s="217"/>
      <c r="O77" s="217"/>
      <c r="P77" s="217"/>
      <c r="Q77" s="217"/>
      <c r="R77" s="217"/>
      <c r="S77" s="1055"/>
      <c r="T77" s="531">
        <v>7443684.5425867504</v>
      </c>
      <c r="U77" s="613">
        <v>29466228.455366898</v>
      </c>
      <c r="V77" s="614">
        <v>43891412.769092388</v>
      </c>
      <c r="W77" s="217">
        <v>75761541.627117082</v>
      </c>
      <c r="X77" s="216">
        <v>88094734.420767874</v>
      </c>
      <c r="Y77" s="217"/>
      <c r="Z77" s="217"/>
      <c r="AA77" s="217"/>
      <c r="AB77" s="217"/>
      <c r="AC77" s="217"/>
      <c r="AD77" s="218"/>
      <c r="AE77" s="188"/>
      <c r="AF77" s="1083"/>
      <c r="AG77" s="1092"/>
      <c r="AH77" s="1032"/>
      <c r="AI77" s="1032"/>
      <c r="AJ77" s="1035"/>
      <c r="AK77" s="1089"/>
      <c r="AL77" s="1032"/>
      <c r="AM77" s="1032"/>
      <c r="AN77" s="1070"/>
      <c r="AO77" s="1070"/>
      <c r="AP77" s="1070"/>
      <c r="AQ77" s="1032"/>
      <c r="AR77" s="1067"/>
      <c r="AS77" s="1070"/>
      <c r="AT77" s="1067"/>
      <c r="AU77" s="1070"/>
      <c r="AV77" s="1067"/>
      <c r="AW77" s="1070"/>
      <c r="AX77" s="1070"/>
      <c r="AY77" s="1073"/>
    </row>
    <row r="78" spans="1:51" ht="24.75" customHeight="1" x14ac:dyDescent="0.25">
      <c r="A78" s="1047"/>
      <c r="B78" s="1049"/>
      <c r="C78" s="1052"/>
      <c r="D78" s="167" t="s">
        <v>407</v>
      </c>
      <c r="E78" s="615"/>
      <c r="F78" s="616"/>
      <c r="G78" s="617"/>
      <c r="H78" s="613"/>
      <c r="I78" s="614"/>
      <c r="J78" s="613"/>
      <c r="K78" s="613"/>
      <c r="L78" s="613"/>
      <c r="M78" s="613"/>
      <c r="N78" s="613"/>
      <c r="O78" s="613"/>
      <c r="P78" s="613"/>
      <c r="Q78" s="613"/>
      <c r="R78" s="613"/>
      <c r="S78" s="1055"/>
      <c r="T78" s="617"/>
      <c r="U78" s="613">
        <v>0</v>
      </c>
      <c r="V78" s="614">
        <v>0</v>
      </c>
      <c r="W78" s="613">
        <v>0</v>
      </c>
      <c r="X78" s="613">
        <v>0</v>
      </c>
      <c r="Y78" s="613"/>
      <c r="Z78" s="613"/>
      <c r="AA78" s="613"/>
      <c r="AB78" s="613"/>
      <c r="AC78" s="613"/>
      <c r="AD78" s="618"/>
      <c r="AE78" s="627"/>
      <c r="AF78" s="1083"/>
      <c r="AG78" s="1092"/>
      <c r="AH78" s="1032"/>
      <c r="AI78" s="1032"/>
      <c r="AJ78" s="1035"/>
      <c r="AK78" s="1089"/>
      <c r="AL78" s="1032"/>
      <c r="AM78" s="1032"/>
      <c r="AN78" s="1070"/>
      <c r="AO78" s="1070"/>
      <c r="AP78" s="1070"/>
      <c r="AQ78" s="1032"/>
      <c r="AR78" s="1067"/>
      <c r="AS78" s="1070"/>
      <c r="AT78" s="1067"/>
      <c r="AU78" s="1070"/>
      <c r="AV78" s="1067"/>
      <c r="AW78" s="1070"/>
      <c r="AX78" s="1070"/>
      <c r="AY78" s="1073"/>
    </row>
    <row r="79" spans="1:51" ht="24.75" customHeight="1" x14ac:dyDescent="0.25">
      <c r="A79" s="1047"/>
      <c r="B79" s="1049"/>
      <c r="C79" s="1052"/>
      <c r="D79" s="168" t="s">
        <v>110</v>
      </c>
      <c r="E79" s="615"/>
      <c r="F79" s="616"/>
      <c r="G79" s="617"/>
      <c r="H79" s="613"/>
      <c r="I79" s="614"/>
      <c r="J79" s="613"/>
      <c r="K79" s="613"/>
      <c r="L79" s="613"/>
      <c r="M79" s="613"/>
      <c r="N79" s="613"/>
      <c r="O79" s="613"/>
      <c r="P79" s="613"/>
      <c r="Q79" s="613"/>
      <c r="R79" s="613"/>
      <c r="S79" s="1055"/>
      <c r="T79" s="617"/>
      <c r="U79" s="613">
        <v>0</v>
      </c>
      <c r="V79" s="614">
        <v>0</v>
      </c>
      <c r="W79" s="613">
        <v>0</v>
      </c>
      <c r="X79" s="613">
        <v>0</v>
      </c>
      <c r="Y79" s="613"/>
      <c r="Z79" s="613"/>
      <c r="AA79" s="613"/>
      <c r="AB79" s="613"/>
      <c r="AC79" s="613"/>
      <c r="AD79" s="618"/>
      <c r="AE79" s="627"/>
      <c r="AF79" s="1083"/>
      <c r="AG79" s="1092"/>
      <c r="AH79" s="1032"/>
      <c r="AI79" s="1032"/>
      <c r="AJ79" s="1035"/>
      <c r="AK79" s="1089"/>
      <c r="AL79" s="1032"/>
      <c r="AM79" s="1032"/>
      <c r="AN79" s="1070"/>
      <c r="AO79" s="1070"/>
      <c r="AP79" s="1070"/>
      <c r="AQ79" s="1032"/>
      <c r="AR79" s="1067"/>
      <c r="AS79" s="1070"/>
      <c r="AT79" s="1067"/>
      <c r="AU79" s="1070"/>
      <c r="AV79" s="1067"/>
      <c r="AW79" s="1070"/>
      <c r="AX79" s="1070"/>
      <c r="AY79" s="1073"/>
    </row>
    <row r="80" spans="1:51" ht="24.75" customHeight="1" x14ac:dyDescent="0.25">
      <c r="A80" s="1047"/>
      <c r="B80" s="1049"/>
      <c r="C80" s="1052"/>
      <c r="D80" s="167" t="s">
        <v>408</v>
      </c>
      <c r="E80" s="615">
        <v>282</v>
      </c>
      <c r="F80" s="616"/>
      <c r="G80" s="617">
        <v>282</v>
      </c>
      <c r="H80" s="613">
        <v>282</v>
      </c>
      <c r="I80" s="614">
        <v>282</v>
      </c>
      <c r="J80" s="613">
        <v>282</v>
      </c>
      <c r="K80" s="613">
        <v>282</v>
      </c>
      <c r="L80" s="613"/>
      <c r="M80" s="613"/>
      <c r="N80" s="613"/>
      <c r="O80" s="613"/>
      <c r="P80" s="613"/>
      <c r="Q80" s="613"/>
      <c r="R80" s="613"/>
      <c r="S80" s="1055"/>
      <c r="T80" s="617">
        <v>38</v>
      </c>
      <c r="U80" s="613">
        <v>78</v>
      </c>
      <c r="V80" s="614">
        <v>139</v>
      </c>
      <c r="W80" s="613">
        <v>232</v>
      </c>
      <c r="X80" s="613">
        <v>269</v>
      </c>
      <c r="Y80" s="613"/>
      <c r="Z80" s="613"/>
      <c r="AA80" s="613"/>
      <c r="AB80" s="613"/>
      <c r="AC80" s="613"/>
      <c r="AD80" s="618"/>
      <c r="AE80" s="627"/>
      <c r="AF80" s="1083"/>
      <c r="AG80" s="1092"/>
      <c r="AH80" s="1032"/>
      <c r="AI80" s="1032"/>
      <c r="AJ80" s="1035"/>
      <c r="AK80" s="1089"/>
      <c r="AL80" s="1032"/>
      <c r="AM80" s="1032"/>
      <c r="AN80" s="1070"/>
      <c r="AO80" s="1070"/>
      <c r="AP80" s="1070"/>
      <c r="AQ80" s="1032"/>
      <c r="AR80" s="1067"/>
      <c r="AS80" s="1070"/>
      <c r="AT80" s="1067"/>
      <c r="AU80" s="1070"/>
      <c r="AV80" s="1067"/>
      <c r="AW80" s="1070"/>
      <c r="AX80" s="1070"/>
      <c r="AY80" s="1073"/>
    </row>
    <row r="81" spans="1:51" ht="24.75" customHeight="1" thickBot="1" x14ac:dyDescent="0.3">
      <c r="A81" s="1047"/>
      <c r="B81" s="1049"/>
      <c r="C81" s="1053"/>
      <c r="D81" s="215" t="s">
        <v>112</v>
      </c>
      <c r="E81" s="287">
        <v>155920576</v>
      </c>
      <c r="F81" s="264"/>
      <c r="G81" s="532">
        <v>155920576</v>
      </c>
      <c r="H81" s="260">
        <v>155920576</v>
      </c>
      <c r="I81" s="620">
        <v>155920576</v>
      </c>
      <c r="J81" s="260">
        <v>155920576</v>
      </c>
      <c r="K81" s="260">
        <v>155920576</v>
      </c>
      <c r="L81" s="261"/>
      <c r="M81" s="261"/>
      <c r="N81" s="261"/>
      <c r="O81" s="261"/>
      <c r="P81" s="261"/>
      <c r="Q81" s="261"/>
      <c r="R81" s="261"/>
      <c r="S81" s="1056"/>
      <c r="T81" s="628">
        <v>7443684.5425867504</v>
      </c>
      <c r="U81" s="220">
        <v>29466228.455366898</v>
      </c>
      <c r="V81" s="629">
        <v>43891412.769092388</v>
      </c>
      <c r="W81" s="220">
        <v>43891412.769092388</v>
      </c>
      <c r="X81" s="260">
        <v>56224605.56274318</v>
      </c>
      <c r="Y81" s="220"/>
      <c r="Z81" s="220"/>
      <c r="AA81" s="220"/>
      <c r="AB81" s="220"/>
      <c r="AC81" s="220"/>
      <c r="AD81" s="221"/>
      <c r="AE81" s="189"/>
      <c r="AF81" s="1084"/>
      <c r="AG81" s="1093"/>
      <c r="AH81" s="1033"/>
      <c r="AI81" s="1033"/>
      <c r="AJ81" s="1036"/>
      <c r="AK81" s="1090"/>
      <c r="AL81" s="1033"/>
      <c r="AM81" s="1033"/>
      <c r="AN81" s="1071"/>
      <c r="AO81" s="1071"/>
      <c r="AP81" s="1071"/>
      <c r="AQ81" s="1033"/>
      <c r="AR81" s="1068"/>
      <c r="AS81" s="1071"/>
      <c r="AT81" s="1068"/>
      <c r="AU81" s="1071"/>
      <c r="AV81" s="1068"/>
      <c r="AW81" s="1071"/>
      <c r="AX81" s="1071"/>
      <c r="AY81" s="1074"/>
    </row>
    <row r="82" spans="1:51" ht="24.75" customHeight="1" x14ac:dyDescent="0.25">
      <c r="A82" s="1047"/>
      <c r="B82" s="1049"/>
      <c r="C82" s="1051" t="s">
        <v>415</v>
      </c>
      <c r="D82" s="214" t="s">
        <v>402</v>
      </c>
      <c r="E82" s="603">
        <v>539</v>
      </c>
      <c r="F82" s="604"/>
      <c r="G82" s="605">
        <v>539</v>
      </c>
      <c r="H82" s="606">
        <v>539</v>
      </c>
      <c r="I82" s="607">
        <v>539</v>
      </c>
      <c r="J82" s="606">
        <v>539</v>
      </c>
      <c r="K82" s="606">
        <v>539</v>
      </c>
      <c r="L82" s="607"/>
      <c r="M82" s="607"/>
      <c r="N82" s="607"/>
      <c r="O82" s="607"/>
      <c r="P82" s="607"/>
      <c r="Q82" s="607"/>
      <c r="R82" s="608"/>
      <c r="S82" s="1054"/>
      <c r="T82" s="605">
        <v>89</v>
      </c>
      <c r="U82" s="608">
        <v>164</v>
      </c>
      <c r="V82" s="609">
        <v>270</v>
      </c>
      <c r="W82" s="608">
        <v>360</v>
      </c>
      <c r="X82" s="606">
        <v>414</v>
      </c>
      <c r="Y82" s="608"/>
      <c r="Z82" s="608"/>
      <c r="AA82" s="608"/>
      <c r="AB82" s="608"/>
      <c r="AC82" s="608"/>
      <c r="AD82" s="630"/>
      <c r="AE82" s="626"/>
      <c r="AF82" s="1082"/>
      <c r="AG82" s="1091" t="s">
        <v>415</v>
      </c>
      <c r="AH82" s="1031" t="s">
        <v>81</v>
      </c>
      <c r="AI82" s="1031" t="s">
        <v>81</v>
      </c>
      <c r="AJ82" s="1034" t="s">
        <v>403</v>
      </c>
      <c r="AK82" s="1088" t="s">
        <v>415</v>
      </c>
      <c r="AL82" s="1031" t="s">
        <v>81</v>
      </c>
      <c r="AM82" s="1031" t="s">
        <v>404</v>
      </c>
      <c r="AN82" s="1069">
        <v>165438</v>
      </c>
      <c r="AO82" s="1069">
        <v>68105</v>
      </c>
      <c r="AP82" s="1069">
        <v>97333</v>
      </c>
      <c r="AQ82" s="1031" t="s">
        <v>81</v>
      </c>
      <c r="AR82" s="1066" t="s">
        <v>162</v>
      </c>
      <c r="AS82" s="1069">
        <v>165438</v>
      </c>
      <c r="AT82" s="1066" t="s">
        <v>162</v>
      </c>
      <c r="AU82" s="1069">
        <v>165438</v>
      </c>
      <c r="AV82" s="1066" t="s">
        <v>405</v>
      </c>
      <c r="AW82" s="1069">
        <v>165438</v>
      </c>
      <c r="AX82" s="1069">
        <v>165438</v>
      </c>
      <c r="AY82" s="1072"/>
    </row>
    <row r="83" spans="1:51" ht="24.75" customHeight="1" x14ac:dyDescent="0.25">
      <c r="A83" s="1047"/>
      <c r="B83" s="1049"/>
      <c r="C83" s="1052"/>
      <c r="D83" s="168" t="s">
        <v>406</v>
      </c>
      <c r="E83" s="286">
        <v>298282842</v>
      </c>
      <c r="F83" s="263"/>
      <c r="G83" s="531">
        <v>298282842</v>
      </c>
      <c r="H83" s="216">
        <v>298282842</v>
      </c>
      <c r="I83" s="612">
        <v>298282842</v>
      </c>
      <c r="J83" s="216">
        <v>298282842</v>
      </c>
      <c r="K83" s="216">
        <v>298282842</v>
      </c>
      <c r="L83" s="217"/>
      <c r="M83" s="217"/>
      <c r="N83" s="217"/>
      <c r="O83" s="217"/>
      <c r="P83" s="217"/>
      <c r="Q83" s="217"/>
      <c r="R83" s="217"/>
      <c r="S83" s="1055"/>
      <c r="T83" s="531">
        <v>17433892.744479496</v>
      </c>
      <c r="U83" s="613">
        <v>58726162.580942199</v>
      </c>
      <c r="V83" s="614">
        <v>83792876.306432396</v>
      </c>
      <c r="W83" s="217">
        <v>114634936.49161759</v>
      </c>
      <c r="X83" s="216">
        <v>129188103.98812553</v>
      </c>
      <c r="Y83" s="217"/>
      <c r="Z83" s="217"/>
      <c r="AA83" s="217"/>
      <c r="AB83" s="217"/>
      <c r="AC83" s="217"/>
      <c r="AD83" s="218"/>
      <c r="AE83" s="188"/>
      <c r="AF83" s="1083"/>
      <c r="AG83" s="1092"/>
      <c r="AH83" s="1032"/>
      <c r="AI83" s="1032"/>
      <c r="AJ83" s="1035"/>
      <c r="AK83" s="1089"/>
      <c r="AL83" s="1032"/>
      <c r="AM83" s="1032"/>
      <c r="AN83" s="1070"/>
      <c r="AO83" s="1070"/>
      <c r="AP83" s="1070"/>
      <c r="AQ83" s="1032"/>
      <c r="AR83" s="1067"/>
      <c r="AS83" s="1070"/>
      <c r="AT83" s="1067"/>
      <c r="AU83" s="1070"/>
      <c r="AV83" s="1067"/>
      <c r="AW83" s="1070"/>
      <c r="AX83" s="1070"/>
      <c r="AY83" s="1073"/>
    </row>
    <row r="84" spans="1:51" ht="24.75" customHeight="1" x14ac:dyDescent="0.25">
      <c r="A84" s="1047"/>
      <c r="B84" s="1049"/>
      <c r="C84" s="1052"/>
      <c r="D84" s="167" t="s">
        <v>407</v>
      </c>
      <c r="E84" s="615"/>
      <c r="F84" s="616"/>
      <c r="G84" s="617"/>
      <c r="H84" s="613"/>
      <c r="I84" s="614"/>
      <c r="J84" s="613"/>
      <c r="K84" s="613"/>
      <c r="L84" s="613"/>
      <c r="M84" s="613"/>
      <c r="N84" s="613"/>
      <c r="O84" s="613"/>
      <c r="P84" s="613"/>
      <c r="Q84" s="613"/>
      <c r="R84" s="613"/>
      <c r="S84" s="1055"/>
      <c r="T84" s="617"/>
      <c r="U84" s="613">
        <v>0</v>
      </c>
      <c r="V84" s="614">
        <v>0</v>
      </c>
      <c r="W84" s="613">
        <v>0</v>
      </c>
      <c r="X84" s="613">
        <v>0</v>
      </c>
      <c r="Y84" s="613"/>
      <c r="Z84" s="613"/>
      <c r="AA84" s="613"/>
      <c r="AB84" s="613"/>
      <c r="AC84" s="613"/>
      <c r="AD84" s="618"/>
      <c r="AE84" s="627"/>
      <c r="AF84" s="1083"/>
      <c r="AG84" s="1092"/>
      <c r="AH84" s="1032"/>
      <c r="AI84" s="1032"/>
      <c r="AJ84" s="1035"/>
      <c r="AK84" s="1089"/>
      <c r="AL84" s="1032"/>
      <c r="AM84" s="1032"/>
      <c r="AN84" s="1070"/>
      <c r="AO84" s="1070"/>
      <c r="AP84" s="1070"/>
      <c r="AQ84" s="1032"/>
      <c r="AR84" s="1067"/>
      <c r="AS84" s="1070"/>
      <c r="AT84" s="1067"/>
      <c r="AU84" s="1070"/>
      <c r="AV84" s="1067"/>
      <c r="AW84" s="1070"/>
      <c r="AX84" s="1070"/>
      <c r="AY84" s="1073"/>
    </row>
    <row r="85" spans="1:51" ht="24.75" customHeight="1" x14ac:dyDescent="0.25">
      <c r="A85" s="1047"/>
      <c r="B85" s="1049"/>
      <c r="C85" s="1052"/>
      <c r="D85" s="168" t="s">
        <v>110</v>
      </c>
      <c r="E85" s="615"/>
      <c r="F85" s="616"/>
      <c r="G85" s="617"/>
      <c r="H85" s="613"/>
      <c r="I85" s="614"/>
      <c r="J85" s="613"/>
      <c r="K85" s="613"/>
      <c r="L85" s="613"/>
      <c r="M85" s="613"/>
      <c r="N85" s="613"/>
      <c r="O85" s="613"/>
      <c r="P85" s="613"/>
      <c r="Q85" s="613"/>
      <c r="R85" s="613"/>
      <c r="S85" s="1055"/>
      <c r="T85" s="617"/>
      <c r="U85" s="613">
        <v>0</v>
      </c>
      <c r="V85" s="614">
        <v>0</v>
      </c>
      <c r="W85" s="613">
        <v>0</v>
      </c>
      <c r="X85" s="613">
        <v>0</v>
      </c>
      <c r="Y85" s="613"/>
      <c r="Z85" s="613"/>
      <c r="AA85" s="613"/>
      <c r="AB85" s="613"/>
      <c r="AC85" s="613"/>
      <c r="AD85" s="618"/>
      <c r="AE85" s="627"/>
      <c r="AF85" s="1083"/>
      <c r="AG85" s="1092"/>
      <c r="AH85" s="1032"/>
      <c r="AI85" s="1032"/>
      <c r="AJ85" s="1035"/>
      <c r="AK85" s="1089"/>
      <c r="AL85" s="1032"/>
      <c r="AM85" s="1032"/>
      <c r="AN85" s="1070"/>
      <c r="AO85" s="1070"/>
      <c r="AP85" s="1070"/>
      <c r="AQ85" s="1032"/>
      <c r="AR85" s="1067"/>
      <c r="AS85" s="1070"/>
      <c r="AT85" s="1067"/>
      <c r="AU85" s="1070"/>
      <c r="AV85" s="1067"/>
      <c r="AW85" s="1070"/>
      <c r="AX85" s="1070"/>
      <c r="AY85" s="1073"/>
    </row>
    <row r="86" spans="1:51" ht="24.75" customHeight="1" x14ac:dyDescent="0.25">
      <c r="A86" s="1047"/>
      <c r="B86" s="1049"/>
      <c r="C86" s="1052"/>
      <c r="D86" s="167" t="s">
        <v>408</v>
      </c>
      <c r="E86" s="615">
        <v>539</v>
      </c>
      <c r="F86" s="616"/>
      <c r="G86" s="617">
        <v>539</v>
      </c>
      <c r="H86" s="613">
        <v>539</v>
      </c>
      <c r="I86" s="614">
        <v>539</v>
      </c>
      <c r="J86" s="613">
        <v>539</v>
      </c>
      <c r="K86" s="613">
        <v>539</v>
      </c>
      <c r="L86" s="613"/>
      <c r="M86" s="613"/>
      <c r="N86" s="613"/>
      <c r="O86" s="613"/>
      <c r="P86" s="613"/>
      <c r="Q86" s="613"/>
      <c r="R86" s="613"/>
      <c r="S86" s="1055"/>
      <c r="T86" s="617">
        <v>89</v>
      </c>
      <c r="U86" s="613">
        <v>164</v>
      </c>
      <c r="V86" s="614">
        <v>270</v>
      </c>
      <c r="W86" s="613">
        <v>360</v>
      </c>
      <c r="X86" s="613">
        <v>414</v>
      </c>
      <c r="Y86" s="613"/>
      <c r="Z86" s="613"/>
      <c r="AA86" s="613"/>
      <c r="AB86" s="613"/>
      <c r="AC86" s="613"/>
      <c r="AD86" s="618"/>
      <c r="AE86" s="627"/>
      <c r="AF86" s="1083"/>
      <c r="AG86" s="1092"/>
      <c r="AH86" s="1032"/>
      <c r="AI86" s="1032"/>
      <c r="AJ86" s="1035"/>
      <c r="AK86" s="1089"/>
      <c r="AL86" s="1032"/>
      <c r="AM86" s="1032"/>
      <c r="AN86" s="1070"/>
      <c r="AO86" s="1070"/>
      <c r="AP86" s="1070"/>
      <c r="AQ86" s="1032"/>
      <c r="AR86" s="1067"/>
      <c r="AS86" s="1070"/>
      <c r="AT86" s="1067"/>
      <c r="AU86" s="1070"/>
      <c r="AV86" s="1067"/>
      <c r="AW86" s="1070"/>
      <c r="AX86" s="1070"/>
      <c r="AY86" s="1073"/>
    </row>
    <row r="87" spans="1:51" ht="24.75" customHeight="1" thickBot="1" x14ac:dyDescent="0.3">
      <c r="A87" s="1047"/>
      <c r="B87" s="1049"/>
      <c r="C87" s="1053"/>
      <c r="D87" s="215" t="s">
        <v>112</v>
      </c>
      <c r="E87" s="287">
        <v>298282842</v>
      </c>
      <c r="F87" s="264"/>
      <c r="G87" s="532">
        <v>298282842</v>
      </c>
      <c r="H87" s="260">
        <v>298282842</v>
      </c>
      <c r="I87" s="620">
        <v>298282842</v>
      </c>
      <c r="J87" s="260">
        <v>298282842</v>
      </c>
      <c r="K87" s="260">
        <v>298282842</v>
      </c>
      <c r="L87" s="261"/>
      <c r="M87" s="261"/>
      <c r="N87" s="261"/>
      <c r="O87" s="261"/>
      <c r="P87" s="261"/>
      <c r="Q87" s="261"/>
      <c r="R87" s="261"/>
      <c r="S87" s="1056"/>
      <c r="T87" s="628">
        <v>17433892.744479496</v>
      </c>
      <c r="U87" s="220">
        <v>58726162.580942199</v>
      </c>
      <c r="V87" s="629">
        <v>83792876.306432396</v>
      </c>
      <c r="W87" s="220">
        <v>83792876.306432396</v>
      </c>
      <c r="X87" s="260">
        <v>98346043.802940339</v>
      </c>
      <c r="Y87" s="220"/>
      <c r="Z87" s="220"/>
      <c r="AA87" s="220"/>
      <c r="AB87" s="220"/>
      <c r="AC87" s="220"/>
      <c r="AD87" s="221"/>
      <c r="AE87" s="189"/>
      <c r="AF87" s="1084"/>
      <c r="AG87" s="1093"/>
      <c r="AH87" s="1033"/>
      <c r="AI87" s="1033"/>
      <c r="AJ87" s="1036"/>
      <c r="AK87" s="1090"/>
      <c r="AL87" s="1033"/>
      <c r="AM87" s="1033"/>
      <c r="AN87" s="1071"/>
      <c r="AO87" s="1071"/>
      <c r="AP87" s="1071"/>
      <c r="AQ87" s="1033"/>
      <c r="AR87" s="1068"/>
      <c r="AS87" s="1071"/>
      <c r="AT87" s="1068"/>
      <c r="AU87" s="1071"/>
      <c r="AV87" s="1068"/>
      <c r="AW87" s="1071"/>
      <c r="AX87" s="1071"/>
      <c r="AY87" s="1074"/>
    </row>
    <row r="88" spans="1:51" ht="24.75" customHeight="1" x14ac:dyDescent="0.25">
      <c r="A88" s="1047"/>
      <c r="B88" s="1049"/>
      <c r="C88" s="1051" t="s">
        <v>416</v>
      </c>
      <c r="D88" s="214" t="s">
        <v>402</v>
      </c>
      <c r="E88" s="603">
        <v>71</v>
      </c>
      <c r="F88" s="604"/>
      <c r="G88" s="605">
        <v>71</v>
      </c>
      <c r="H88" s="606">
        <v>71</v>
      </c>
      <c r="I88" s="607">
        <v>71</v>
      </c>
      <c r="J88" s="606">
        <v>71</v>
      </c>
      <c r="K88" s="606">
        <v>71</v>
      </c>
      <c r="L88" s="607"/>
      <c r="M88" s="607"/>
      <c r="N88" s="607"/>
      <c r="O88" s="607"/>
      <c r="P88" s="607"/>
      <c r="Q88" s="607"/>
      <c r="R88" s="608"/>
      <c r="S88" s="1054"/>
      <c r="T88" s="605">
        <v>11</v>
      </c>
      <c r="U88" s="608">
        <v>16</v>
      </c>
      <c r="V88" s="609">
        <v>19</v>
      </c>
      <c r="W88" s="608">
        <v>31</v>
      </c>
      <c r="X88" s="606">
        <v>47</v>
      </c>
      <c r="Y88" s="608"/>
      <c r="Z88" s="608"/>
      <c r="AA88" s="608"/>
      <c r="AB88" s="608"/>
      <c r="AC88" s="608"/>
      <c r="AD88" s="630"/>
      <c r="AE88" s="626"/>
      <c r="AF88" s="1082"/>
      <c r="AG88" s="1091" t="s">
        <v>416</v>
      </c>
      <c r="AH88" s="1031" t="s">
        <v>81</v>
      </c>
      <c r="AI88" s="1031" t="s">
        <v>81</v>
      </c>
      <c r="AJ88" s="1034" t="s">
        <v>403</v>
      </c>
      <c r="AK88" s="1088" t="s">
        <v>416</v>
      </c>
      <c r="AL88" s="1031" t="s">
        <v>81</v>
      </c>
      <c r="AM88" s="1031" t="s">
        <v>404</v>
      </c>
      <c r="AN88" s="1069">
        <v>83001</v>
      </c>
      <c r="AO88" s="1069">
        <v>33755</v>
      </c>
      <c r="AP88" s="1069">
        <v>49246</v>
      </c>
      <c r="AQ88" s="1031" t="s">
        <v>81</v>
      </c>
      <c r="AR88" s="1066" t="s">
        <v>162</v>
      </c>
      <c r="AS88" s="1069">
        <v>83001</v>
      </c>
      <c r="AT88" s="1066" t="s">
        <v>162</v>
      </c>
      <c r="AU88" s="1069">
        <v>83001</v>
      </c>
      <c r="AV88" s="1066" t="s">
        <v>405</v>
      </c>
      <c r="AW88" s="1069">
        <v>83001</v>
      </c>
      <c r="AX88" s="1069">
        <v>83001</v>
      </c>
      <c r="AY88" s="1072"/>
    </row>
    <row r="89" spans="1:51" ht="24.75" customHeight="1" x14ac:dyDescent="0.25">
      <c r="A89" s="1047"/>
      <c r="B89" s="1049"/>
      <c r="C89" s="1052"/>
      <c r="D89" s="168" t="s">
        <v>406</v>
      </c>
      <c r="E89" s="286">
        <v>39371249</v>
      </c>
      <c r="F89" s="263"/>
      <c r="G89" s="531">
        <v>39371249</v>
      </c>
      <c r="H89" s="216">
        <v>39371249</v>
      </c>
      <c r="I89" s="612">
        <v>39371249</v>
      </c>
      <c r="J89" s="216">
        <v>39371249</v>
      </c>
      <c r="K89" s="216">
        <v>39371249</v>
      </c>
      <c r="L89" s="217"/>
      <c r="M89" s="217"/>
      <c r="N89" s="217"/>
      <c r="O89" s="217"/>
      <c r="P89" s="217"/>
      <c r="Q89" s="217"/>
      <c r="R89" s="217"/>
      <c r="S89" s="1055"/>
      <c r="T89" s="531">
        <v>2154750.7886435329</v>
      </c>
      <c r="U89" s="613">
        <v>4907568.7777410503</v>
      </c>
      <c r="V89" s="614">
        <v>5617004.0718586976</v>
      </c>
      <c r="W89" s="217">
        <v>9729278.7632167228</v>
      </c>
      <c r="X89" s="216">
        <v>14415892.024804024</v>
      </c>
      <c r="Y89" s="217"/>
      <c r="Z89" s="217"/>
      <c r="AA89" s="217"/>
      <c r="AB89" s="217"/>
      <c r="AC89" s="217"/>
      <c r="AD89" s="218"/>
      <c r="AE89" s="188"/>
      <c r="AF89" s="1083"/>
      <c r="AG89" s="1092"/>
      <c r="AH89" s="1032"/>
      <c r="AI89" s="1032"/>
      <c r="AJ89" s="1035"/>
      <c r="AK89" s="1089"/>
      <c r="AL89" s="1032"/>
      <c r="AM89" s="1032"/>
      <c r="AN89" s="1070"/>
      <c r="AO89" s="1070"/>
      <c r="AP89" s="1070"/>
      <c r="AQ89" s="1032"/>
      <c r="AR89" s="1067"/>
      <c r="AS89" s="1070"/>
      <c r="AT89" s="1067"/>
      <c r="AU89" s="1070"/>
      <c r="AV89" s="1067"/>
      <c r="AW89" s="1070"/>
      <c r="AX89" s="1070"/>
      <c r="AY89" s="1073"/>
    </row>
    <row r="90" spans="1:51" ht="24.75" customHeight="1" x14ac:dyDescent="0.25">
      <c r="A90" s="1047"/>
      <c r="B90" s="1049"/>
      <c r="C90" s="1052"/>
      <c r="D90" s="167" t="s">
        <v>407</v>
      </c>
      <c r="E90" s="615"/>
      <c r="F90" s="616"/>
      <c r="G90" s="617"/>
      <c r="H90" s="613"/>
      <c r="I90" s="614"/>
      <c r="J90" s="613"/>
      <c r="K90" s="613"/>
      <c r="L90" s="613"/>
      <c r="M90" s="613"/>
      <c r="N90" s="613"/>
      <c r="O90" s="613"/>
      <c r="P90" s="613"/>
      <c r="Q90" s="613"/>
      <c r="R90" s="613"/>
      <c r="S90" s="1055"/>
      <c r="T90" s="617"/>
      <c r="U90" s="613">
        <v>0</v>
      </c>
      <c r="V90" s="614">
        <v>0</v>
      </c>
      <c r="W90" s="613">
        <v>0</v>
      </c>
      <c r="X90" s="613">
        <v>0</v>
      </c>
      <c r="Y90" s="613"/>
      <c r="Z90" s="613"/>
      <c r="AA90" s="613"/>
      <c r="AB90" s="613"/>
      <c r="AC90" s="613"/>
      <c r="AD90" s="618"/>
      <c r="AE90" s="627"/>
      <c r="AF90" s="1083"/>
      <c r="AG90" s="1092"/>
      <c r="AH90" s="1032"/>
      <c r="AI90" s="1032"/>
      <c r="AJ90" s="1035"/>
      <c r="AK90" s="1089"/>
      <c r="AL90" s="1032"/>
      <c r="AM90" s="1032"/>
      <c r="AN90" s="1070"/>
      <c r="AO90" s="1070"/>
      <c r="AP90" s="1070"/>
      <c r="AQ90" s="1032"/>
      <c r="AR90" s="1067"/>
      <c r="AS90" s="1070"/>
      <c r="AT90" s="1067"/>
      <c r="AU90" s="1070"/>
      <c r="AV90" s="1067"/>
      <c r="AW90" s="1070"/>
      <c r="AX90" s="1070"/>
      <c r="AY90" s="1073"/>
    </row>
    <row r="91" spans="1:51" ht="24.75" customHeight="1" x14ac:dyDescent="0.25">
      <c r="A91" s="1047"/>
      <c r="B91" s="1049"/>
      <c r="C91" s="1052"/>
      <c r="D91" s="168" t="s">
        <v>110</v>
      </c>
      <c r="E91" s="615"/>
      <c r="F91" s="616"/>
      <c r="G91" s="617"/>
      <c r="H91" s="613"/>
      <c r="I91" s="614"/>
      <c r="J91" s="613"/>
      <c r="K91" s="613"/>
      <c r="L91" s="613"/>
      <c r="M91" s="613"/>
      <c r="N91" s="613"/>
      <c r="O91" s="613"/>
      <c r="P91" s="613"/>
      <c r="Q91" s="613"/>
      <c r="R91" s="613"/>
      <c r="S91" s="1055"/>
      <c r="T91" s="617"/>
      <c r="U91" s="613">
        <v>0</v>
      </c>
      <c r="V91" s="614">
        <v>0</v>
      </c>
      <c r="W91" s="613">
        <v>0</v>
      </c>
      <c r="X91" s="613">
        <v>0</v>
      </c>
      <c r="Y91" s="613"/>
      <c r="Z91" s="613"/>
      <c r="AA91" s="613"/>
      <c r="AB91" s="613"/>
      <c r="AC91" s="613"/>
      <c r="AD91" s="618"/>
      <c r="AE91" s="627"/>
      <c r="AF91" s="1083"/>
      <c r="AG91" s="1092"/>
      <c r="AH91" s="1032"/>
      <c r="AI91" s="1032"/>
      <c r="AJ91" s="1035"/>
      <c r="AK91" s="1089"/>
      <c r="AL91" s="1032"/>
      <c r="AM91" s="1032"/>
      <c r="AN91" s="1070"/>
      <c r="AO91" s="1070"/>
      <c r="AP91" s="1070"/>
      <c r="AQ91" s="1032"/>
      <c r="AR91" s="1067"/>
      <c r="AS91" s="1070"/>
      <c r="AT91" s="1067"/>
      <c r="AU91" s="1070"/>
      <c r="AV91" s="1067"/>
      <c r="AW91" s="1070"/>
      <c r="AX91" s="1070"/>
      <c r="AY91" s="1073"/>
    </row>
    <row r="92" spans="1:51" ht="24.75" customHeight="1" x14ac:dyDescent="0.25">
      <c r="A92" s="1047"/>
      <c r="B92" s="1049"/>
      <c r="C92" s="1052"/>
      <c r="D92" s="167" t="s">
        <v>408</v>
      </c>
      <c r="E92" s="615">
        <v>71</v>
      </c>
      <c r="F92" s="616"/>
      <c r="G92" s="617">
        <v>71</v>
      </c>
      <c r="H92" s="613">
        <v>71</v>
      </c>
      <c r="I92" s="614">
        <v>71</v>
      </c>
      <c r="J92" s="613">
        <v>71</v>
      </c>
      <c r="K92" s="613">
        <v>71</v>
      </c>
      <c r="L92" s="613"/>
      <c r="M92" s="613"/>
      <c r="N92" s="613"/>
      <c r="O92" s="613"/>
      <c r="P92" s="613"/>
      <c r="Q92" s="613"/>
      <c r="R92" s="613"/>
      <c r="S92" s="1055"/>
      <c r="T92" s="617">
        <v>11</v>
      </c>
      <c r="U92" s="613">
        <v>16</v>
      </c>
      <c r="V92" s="614">
        <v>19</v>
      </c>
      <c r="W92" s="613">
        <v>31</v>
      </c>
      <c r="X92" s="613">
        <v>47</v>
      </c>
      <c r="Y92" s="613"/>
      <c r="Z92" s="613"/>
      <c r="AA92" s="613"/>
      <c r="AB92" s="613"/>
      <c r="AC92" s="613"/>
      <c r="AD92" s="618"/>
      <c r="AE92" s="627"/>
      <c r="AF92" s="1083"/>
      <c r="AG92" s="1092"/>
      <c r="AH92" s="1032"/>
      <c r="AI92" s="1032"/>
      <c r="AJ92" s="1035"/>
      <c r="AK92" s="1089"/>
      <c r="AL92" s="1032"/>
      <c r="AM92" s="1032"/>
      <c r="AN92" s="1070"/>
      <c r="AO92" s="1070"/>
      <c r="AP92" s="1070"/>
      <c r="AQ92" s="1032"/>
      <c r="AR92" s="1067"/>
      <c r="AS92" s="1070"/>
      <c r="AT92" s="1067"/>
      <c r="AU92" s="1070"/>
      <c r="AV92" s="1067"/>
      <c r="AW92" s="1070"/>
      <c r="AX92" s="1070"/>
      <c r="AY92" s="1073"/>
    </row>
    <row r="93" spans="1:51" ht="24.75" customHeight="1" thickBot="1" x14ac:dyDescent="0.3">
      <c r="A93" s="1047"/>
      <c r="B93" s="1049"/>
      <c r="C93" s="1053"/>
      <c r="D93" s="215" t="s">
        <v>112</v>
      </c>
      <c r="E93" s="287">
        <v>39371249</v>
      </c>
      <c r="F93" s="264"/>
      <c r="G93" s="532">
        <v>39371249</v>
      </c>
      <c r="H93" s="260">
        <v>39371249</v>
      </c>
      <c r="I93" s="620">
        <v>39371249</v>
      </c>
      <c r="J93" s="260">
        <v>39371249</v>
      </c>
      <c r="K93" s="260">
        <v>39371249</v>
      </c>
      <c r="L93" s="261"/>
      <c r="M93" s="261"/>
      <c r="N93" s="261"/>
      <c r="O93" s="261"/>
      <c r="P93" s="261"/>
      <c r="Q93" s="261"/>
      <c r="R93" s="261"/>
      <c r="S93" s="1056"/>
      <c r="T93" s="628">
        <v>2154750.7886435329</v>
      </c>
      <c r="U93" s="220">
        <v>4907568.7777410503</v>
      </c>
      <c r="V93" s="629">
        <v>5617004.0718586976</v>
      </c>
      <c r="W93" s="220">
        <v>5617004.0718586976</v>
      </c>
      <c r="X93" s="260">
        <v>10303617.333446</v>
      </c>
      <c r="Y93" s="220"/>
      <c r="Z93" s="220"/>
      <c r="AA93" s="220"/>
      <c r="AB93" s="220"/>
      <c r="AC93" s="220"/>
      <c r="AD93" s="221"/>
      <c r="AE93" s="189"/>
      <c r="AF93" s="1084"/>
      <c r="AG93" s="1093"/>
      <c r="AH93" s="1033"/>
      <c r="AI93" s="1033"/>
      <c r="AJ93" s="1036"/>
      <c r="AK93" s="1090"/>
      <c r="AL93" s="1033"/>
      <c r="AM93" s="1033"/>
      <c r="AN93" s="1071"/>
      <c r="AO93" s="1071"/>
      <c r="AP93" s="1071"/>
      <c r="AQ93" s="1033"/>
      <c r="AR93" s="1068"/>
      <c r="AS93" s="1071"/>
      <c r="AT93" s="1068"/>
      <c r="AU93" s="1071"/>
      <c r="AV93" s="1068"/>
      <c r="AW93" s="1071"/>
      <c r="AX93" s="1071"/>
      <c r="AY93" s="1074"/>
    </row>
    <row r="94" spans="1:51" ht="24.75" customHeight="1" x14ac:dyDescent="0.25">
      <c r="A94" s="1047"/>
      <c r="B94" s="1049"/>
      <c r="C94" s="1051" t="s">
        <v>417</v>
      </c>
      <c r="D94" s="214" t="s">
        <v>402</v>
      </c>
      <c r="E94" s="603">
        <v>112</v>
      </c>
      <c r="F94" s="604"/>
      <c r="G94" s="605">
        <v>112</v>
      </c>
      <c r="H94" s="606">
        <v>112</v>
      </c>
      <c r="I94" s="607">
        <v>112</v>
      </c>
      <c r="J94" s="606">
        <v>112</v>
      </c>
      <c r="K94" s="606">
        <v>112</v>
      </c>
      <c r="L94" s="607"/>
      <c r="M94" s="607"/>
      <c r="N94" s="607"/>
      <c r="O94" s="607"/>
      <c r="P94" s="607"/>
      <c r="Q94" s="607"/>
      <c r="R94" s="608"/>
      <c r="S94" s="1054"/>
      <c r="T94" s="605">
        <v>16</v>
      </c>
      <c r="U94" s="608">
        <v>37</v>
      </c>
      <c r="V94" s="609">
        <v>49</v>
      </c>
      <c r="W94" s="608">
        <v>56</v>
      </c>
      <c r="X94" s="606">
        <v>67</v>
      </c>
      <c r="Y94" s="608"/>
      <c r="Z94" s="608"/>
      <c r="AA94" s="608"/>
      <c r="AB94" s="608"/>
      <c r="AC94" s="608"/>
      <c r="AD94" s="630"/>
      <c r="AE94" s="626"/>
      <c r="AF94" s="1082"/>
      <c r="AG94" s="1091" t="s">
        <v>417</v>
      </c>
      <c r="AH94" s="1031" t="s">
        <v>81</v>
      </c>
      <c r="AI94" s="1031" t="s">
        <v>81</v>
      </c>
      <c r="AJ94" s="1034" t="s">
        <v>403</v>
      </c>
      <c r="AK94" s="1088" t="s">
        <v>417</v>
      </c>
      <c r="AL94" s="1031" t="s">
        <v>81</v>
      </c>
      <c r="AM94" s="1031" t="s">
        <v>404</v>
      </c>
      <c r="AN94" s="1069">
        <v>84979</v>
      </c>
      <c r="AO94" s="1069">
        <v>39218</v>
      </c>
      <c r="AP94" s="1069">
        <v>45761</v>
      </c>
      <c r="AQ94" s="1031" t="s">
        <v>81</v>
      </c>
      <c r="AR94" s="1066" t="s">
        <v>162</v>
      </c>
      <c r="AS94" s="1069">
        <v>84979</v>
      </c>
      <c r="AT94" s="1066" t="s">
        <v>162</v>
      </c>
      <c r="AU94" s="1069">
        <v>84979</v>
      </c>
      <c r="AV94" s="1066" t="s">
        <v>405</v>
      </c>
      <c r="AW94" s="1069">
        <v>84979</v>
      </c>
      <c r="AX94" s="1069">
        <v>84979</v>
      </c>
      <c r="AY94" s="1072"/>
    </row>
    <row r="95" spans="1:51" ht="24.75" customHeight="1" x14ac:dyDescent="0.25">
      <c r="A95" s="1047"/>
      <c r="B95" s="1049"/>
      <c r="C95" s="1052"/>
      <c r="D95" s="168" t="s">
        <v>406</v>
      </c>
      <c r="E95" s="286">
        <v>62055346</v>
      </c>
      <c r="F95" s="263"/>
      <c r="G95" s="531">
        <v>62055346</v>
      </c>
      <c r="H95" s="216">
        <v>62055346</v>
      </c>
      <c r="I95" s="612">
        <v>62055346</v>
      </c>
      <c r="J95" s="216">
        <v>62055346</v>
      </c>
      <c r="K95" s="216">
        <v>62055346</v>
      </c>
      <c r="L95" s="217"/>
      <c r="M95" s="217"/>
      <c r="N95" s="217"/>
      <c r="O95" s="217"/>
      <c r="P95" s="217"/>
      <c r="Q95" s="217"/>
      <c r="R95" s="217"/>
      <c r="S95" s="1055"/>
      <c r="T95" s="631">
        <v>3134182.9652996846</v>
      </c>
      <c r="U95" s="613">
        <v>14696018.519509301</v>
      </c>
      <c r="V95" s="614">
        <v>17533759.695979889</v>
      </c>
      <c r="W95" s="217">
        <v>19932586.599272072</v>
      </c>
      <c r="X95" s="216">
        <v>24619199.860859372</v>
      </c>
      <c r="Y95" s="217"/>
      <c r="Z95" s="217"/>
      <c r="AA95" s="217"/>
      <c r="AB95" s="217"/>
      <c r="AC95" s="217"/>
      <c r="AD95" s="218"/>
      <c r="AE95" s="188"/>
      <c r="AF95" s="1083"/>
      <c r="AG95" s="1092"/>
      <c r="AH95" s="1032"/>
      <c r="AI95" s="1032"/>
      <c r="AJ95" s="1035"/>
      <c r="AK95" s="1089"/>
      <c r="AL95" s="1032"/>
      <c r="AM95" s="1032"/>
      <c r="AN95" s="1070"/>
      <c r="AO95" s="1070"/>
      <c r="AP95" s="1070"/>
      <c r="AQ95" s="1032"/>
      <c r="AR95" s="1067"/>
      <c r="AS95" s="1070"/>
      <c r="AT95" s="1067"/>
      <c r="AU95" s="1070"/>
      <c r="AV95" s="1067"/>
      <c r="AW95" s="1070"/>
      <c r="AX95" s="1070"/>
      <c r="AY95" s="1073"/>
    </row>
    <row r="96" spans="1:51" ht="24.75" customHeight="1" x14ac:dyDescent="0.25">
      <c r="A96" s="1047"/>
      <c r="B96" s="1049"/>
      <c r="C96" s="1052"/>
      <c r="D96" s="167" t="s">
        <v>407</v>
      </c>
      <c r="E96" s="615"/>
      <c r="F96" s="616"/>
      <c r="G96" s="617"/>
      <c r="H96" s="613"/>
      <c r="I96" s="614"/>
      <c r="J96" s="613"/>
      <c r="K96" s="613"/>
      <c r="L96" s="613"/>
      <c r="M96" s="613"/>
      <c r="N96" s="613"/>
      <c r="O96" s="613"/>
      <c r="P96" s="613"/>
      <c r="Q96" s="613"/>
      <c r="R96" s="613"/>
      <c r="S96" s="1055"/>
      <c r="T96" s="617"/>
      <c r="U96" s="613">
        <v>0</v>
      </c>
      <c r="V96" s="614">
        <v>0</v>
      </c>
      <c r="W96" s="613">
        <v>0</v>
      </c>
      <c r="X96" s="613">
        <v>0</v>
      </c>
      <c r="Y96" s="613"/>
      <c r="Z96" s="613"/>
      <c r="AA96" s="613"/>
      <c r="AB96" s="613"/>
      <c r="AC96" s="613"/>
      <c r="AD96" s="618"/>
      <c r="AE96" s="627"/>
      <c r="AF96" s="1083"/>
      <c r="AG96" s="1092"/>
      <c r="AH96" s="1032"/>
      <c r="AI96" s="1032"/>
      <c r="AJ96" s="1035"/>
      <c r="AK96" s="1089"/>
      <c r="AL96" s="1032"/>
      <c r="AM96" s="1032"/>
      <c r="AN96" s="1070"/>
      <c r="AO96" s="1070"/>
      <c r="AP96" s="1070"/>
      <c r="AQ96" s="1032"/>
      <c r="AR96" s="1067"/>
      <c r="AS96" s="1070"/>
      <c r="AT96" s="1067"/>
      <c r="AU96" s="1070"/>
      <c r="AV96" s="1067"/>
      <c r="AW96" s="1070"/>
      <c r="AX96" s="1070"/>
      <c r="AY96" s="1073"/>
    </row>
    <row r="97" spans="1:51" ht="24.75" customHeight="1" x14ac:dyDescent="0.25">
      <c r="A97" s="1047"/>
      <c r="B97" s="1049"/>
      <c r="C97" s="1052"/>
      <c r="D97" s="168" t="s">
        <v>110</v>
      </c>
      <c r="E97" s="615"/>
      <c r="F97" s="616"/>
      <c r="G97" s="617"/>
      <c r="H97" s="613"/>
      <c r="I97" s="614"/>
      <c r="J97" s="613"/>
      <c r="K97" s="613"/>
      <c r="L97" s="613"/>
      <c r="M97" s="613"/>
      <c r="N97" s="613"/>
      <c r="O97" s="613"/>
      <c r="P97" s="613"/>
      <c r="Q97" s="613"/>
      <c r="R97" s="613"/>
      <c r="S97" s="1055"/>
      <c r="T97" s="617"/>
      <c r="U97" s="613">
        <v>0</v>
      </c>
      <c r="V97" s="614">
        <v>0</v>
      </c>
      <c r="W97" s="613">
        <v>0</v>
      </c>
      <c r="X97" s="613">
        <v>0</v>
      </c>
      <c r="Y97" s="613"/>
      <c r="Z97" s="613"/>
      <c r="AA97" s="613"/>
      <c r="AB97" s="613"/>
      <c r="AC97" s="613"/>
      <c r="AD97" s="618"/>
      <c r="AE97" s="627"/>
      <c r="AF97" s="1083"/>
      <c r="AG97" s="1092"/>
      <c r="AH97" s="1032"/>
      <c r="AI97" s="1032"/>
      <c r="AJ97" s="1035"/>
      <c r="AK97" s="1089"/>
      <c r="AL97" s="1032"/>
      <c r="AM97" s="1032"/>
      <c r="AN97" s="1070"/>
      <c r="AO97" s="1070"/>
      <c r="AP97" s="1070"/>
      <c r="AQ97" s="1032"/>
      <c r="AR97" s="1067"/>
      <c r="AS97" s="1070"/>
      <c r="AT97" s="1067"/>
      <c r="AU97" s="1070"/>
      <c r="AV97" s="1067"/>
      <c r="AW97" s="1070"/>
      <c r="AX97" s="1070"/>
      <c r="AY97" s="1073"/>
    </row>
    <row r="98" spans="1:51" ht="24.75" customHeight="1" x14ac:dyDescent="0.25">
      <c r="A98" s="1047"/>
      <c r="B98" s="1049"/>
      <c r="C98" s="1052"/>
      <c r="D98" s="167" t="s">
        <v>408</v>
      </c>
      <c r="E98" s="615">
        <v>112</v>
      </c>
      <c r="F98" s="616"/>
      <c r="G98" s="617">
        <v>112</v>
      </c>
      <c r="H98" s="613">
        <v>112</v>
      </c>
      <c r="I98" s="614">
        <v>112</v>
      </c>
      <c r="J98" s="613">
        <v>112</v>
      </c>
      <c r="K98" s="613">
        <v>112</v>
      </c>
      <c r="L98" s="613"/>
      <c r="M98" s="613"/>
      <c r="N98" s="613"/>
      <c r="O98" s="613"/>
      <c r="P98" s="613"/>
      <c r="Q98" s="613"/>
      <c r="R98" s="613"/>
      <c r="S98" s="1055"/>
      <c r="T98" s="617">
        <v>16</v>
      </c>
      <c r="U98" s="613">
        <v>37</v>
      </c>
      <c r="V98" s="614">
        <v>49</v>
      </c>
      <c r="W98" s="613">
        <v>56</v>
      </c>
      <c r="X98" s="613">
        <v>67</v>
      </c>
      <c r="Y98" s="613"/>
      <c r="Z98" s="613"/>
      <c r="AA98" s="613"/>
      <c r="AB98" s="613"/>
      <c r="AC98" s="613"/>
      <c r="AD98" s="618"/>
      <c r="AE98" s="627"/>
      <c r="AF98" s="1083"/>
      <c r="AG98" s="1092"/>
      <c r="AH98" s="1032"/>
      <c r="AI98" s="1032"/>
      <c r="AJ98" s="1035"/>
      <c r="AK98" s="1089"/>
      <c r="AL98" s="1032"/>
      <c r="AM98" s="1032"/>
      <c r="AN98" s="1070"/>
      <c r="AO98" s="1070"/>
      <c r="AP98" s="1070"/>
      <c r="AQ98" s="1032"/>
      <c r="AR98" s="1067"/>
      <c r="AS98" s="1070"/>
      <c r="AT98" s="1067"/>
      <c r="AU98" s="1070"/>
      <c r="AV98" s="1067"/>
      <c r="AW98" s="1070"/>
      <c r="AX98" s="1070"/>
      <c r="AY98" s="1073"/>
    </row>
    <row r="99" spans="1:51" ht="24.75" customHeight="1" thickBot="1" x14ac:dyDescent="0.3">
      <c r="A99" s="1047"/>
      <c r="B99" s="1049"/>
      <c r="C99" s="1053"/>
      <c r="D99" s="215" t="s">
        <v>112</v>
      </c>
      <c r="E99" s="287">
        <v>62055346</v>
      </c>
      <c r="F99" s="264"/>
      <c r="G99" s="532">
        <v>62055346</v>
      </c>
      <c r="H99" s="260">
        <v>62055346</v>
      </c>
      <c r="I99" s="620">
        <v>62055346</v>
      </c>
      <c r="J99" s="260">
        <v>62055346</v>
      </c>
      <c r="K99" s="260">
        <v>62055346</v>
      </c>
      <c r="L99" s="261"/>
      <c r="M99" s="261"/>
      <c r="N99" s="261"/>
      <c r="O99" s="261"/>
      <c r="P99" s="261"/>
      <c r="Q99" s="261"/>
      <c r="R99" s="261"/>
      <c r="S99" s="1056"/>
      <c r="T99" s="628">
        <v>3134182.9652996846</v>
      </c>
      <c r="U99" s="220">
        <v>14696018.519509301</v>
      </c>
      <c r="V99" s="629">
        <v>17533759.695979889</v>
      </c>
      <c r="W99" s="220">
        <v>17533759.695979889</v>
      </c>
      <c r="X99" s="260">
        <v>22220372.957567193</v>
      </c>
      <c r="Y99" s="220"/>
      <c r="Z99" s="220"/>
      <c r="AA99" s="220"/>
      <c r="AB99" s="220"/>
      <c r="AC99" s="220"/>
      <c r="AD99" s="221"/>
      <c r="AE99" s="189"/>
      <c r="AF99" s="1084"/>
      <c r="AG99" s="1093"/>
      <c r="AH99" s="1033"/>
      <c r="AI99" s="1033"/>
      <c r="AJ99" s="1036"/>
      <c r="AK99" s="1090"/>
      <c r="AL99" s="1033"/>
      <c r="AM99" s="1033"/>
      <c r="AN99" s="1071"/>
      <c r="AO99" s="1071"/>
      <c r="AP99" s="1071"/>
      <c r="AQ99" s="1033"/>
      <c r="AR99" s="1068"/>
      <c r="AS99" s="1071"/>
      <c r="AT99" s="1068"/>
      <c r="AU99" s="1071"/>
      <c r="AV99" s="1068"/>
      <c r="AW99" s="1071"/>
      <c r="AX99" s="1071"/>
      <c r="AY99" s="1074"/>
    </row>
    <row r="100" spans="1:51" ht="24.75" customHeight="1" x14ac:dyDescent="0.25">
      <c r="A100" s="1047"/>
      <c r="B100" s="1049"/>
      <c r="C100" s="1051" t="s">
        <v>178</v>
      </c>
      <c r="D100" s="214" t="s">
        <v>402</v>
      </c>
      <c r="E100" s="603">
        <v>350</v>
      </c>
      <c r="F100" s="604"/>
      <c r="G100" s="605">
        <v>350</v>
      </c>
      <c r="H100" s="606">
        <v>350</v>
      </c>
      <c r="I100" s="607">
        <v>350</v>
      </c>
      <c r="J100" s="606">
        <v>350</v>
      </c>
      <c r="K100" s="606">
        <v>350</v>
      </c>
      <c r="L100" s="607"/>
      <c r="M100" s="607"/>
      <c r="N100" s="607"/>
      <c r="O100" s="607"/>
      <c r="P100" s="607"/>
      <c r="Q100" s="607"/>
      <c r="R100" s="608"/>
      <c r="S100" s="1054"/>
      <c r="T100" s="605">
        <v>60</v>
      </c>
      <c r="U100" s="608">
        <v>107</v>
      </c>
      <c r="V100" s="609">
        <v>171</v>
      </c>
      <c r="W100" s="608">
        <v>215</v>
      </c>
      <c r="X100" s="606">
        <v>281</v>
      </c>
      <c r="Y100" s="608"/>
      <c r="Z100" s="608"/>
      <c r="AA100" s="608"/>
      <c r="AB100" s="608"/>
      <c r="AC100" s="608"/>
      <c r="AD100" s="630"/>
      <c r="AE100" s="626"/>
      <c r="AF100" s="1082"/>
      <c r="AG100" s="1091" t="s">
        <v>178</v>
      </c>
      <c r="AH100" s="1031" t="s">
        <v>81</v>
      </c>
      <c r="AI100" s="1031" t="s">
        <v>81</v>
      </c>
      <c r="AJ100" s="1034" t="s">
        <v>403</v>
      </c>
      <c r="AK100" s="1088" t="s">
        <v>178</v>
      </c>
      <c r="AL100" s="1031" t="s">
        <v>81</v>
      </c>
      <c r="AM100" s="1031" t="s">
        <v>404</v>
      </c>
      <c r="AN100" s="1069">
        <v>258034</v>
      </c>
      <c r="AO100" s="1069">
        <v>128107</v>
      </c>
      <c r="AP100" s="1069">
        <v>129927</v>
      </c>
      <c r="AQ100" s="1031" t="s">
        <v>81</v>
      </c>
      <c r="AR100" s="1066" t="s">
        <v>162</v>
      </c>
      <c r="AS100" s="1069">
        <v>258034</v>
      </c>
      <c r="AT100" s="1066" t="s">
        <v>162</v>
      </c>
      <c r="AU100" s="1069">
        <v>258034</v>
      </c>
      <c r="AV100" s="1066" t="s">
        <v>405</v>
      </c>
      <c r="AW100" s="1069">
        <v>258034</v>
      </c>
      <c r="AX100" s="1069">
        <v>258034</v>
      </c>
      <c r="AY100" s="1072"/>
    </row>
    <row r="101" spans="1:51" ht="24.75" customHeight="1" x14ac:dyDescent="0.25">
      <c r="A101" s="1047"/>
      <c r="B101" s="1049"/>
      <c r="C101" s="1052"/>
      <c r="D101" s="168" t="s">
        <v>406</v>
      </c>
      <c r="E101" s="286">
        <v>193988142</v>
      </c>
      <c r="F101" s="263"/>
      <c r="G101" s="531">
        <v>193988142</v>
      </c>
      <c r="H101" s="216">
        <v>193988142</v>
      </c>
      <c r="I101" s="612">
        <v>193988142</v>
      </c>
      <c r="J101" s="216">
        <v>193988142</v>
      </c>
      <c r="K101" s="216">
        <v>193988142</v>
      </c>
      <c r="L101" s="217"/>
      <c r="M101" s="217"/>
      <c r="N101" s="217"/>
      <c r="O101" s="217"/>
      <c r="P101" s="217"/>
      <c r="Q101" s="217"/>
      <c r="R101" s="217"/>
      <c r="S101" s="1055"/>
      <c r="T101" s="531">
        <v>11753186.119873816</v>
      </c>
      <c r="U101" s="613">
        <v>37629675.2173905</v>
      </c>
      <c r="V101" s="614">
        <v>52764294.825233638</v>
      </c>
      <c r="W101" s="217">
        <v>67842635.360213056</v>
      </c>
      <c r="X101" s="216">
        <v>91522365.524022579</v>
      </c>
      <c r="Y101" s="217"/>
      <c r="Z101" s="217"/>
      <c r="AA101" s="217"/>
      <c r="AB101" s="217"/>
      <c r="AC101" s="217"/>
      <c r="AD101" s="218"/>
      <c r="AE101" s="188"/>
      <c r="AF101" s="1083"/>
      <c r="AG101" s="1092"/>
      <c r="AH101" s="1032"/>
      <c r="AI101" s="1032"/>
      <c r="AJ101" s="1035"/>
      <c r="AK101" s="1089"/>
      <c r="AL101" s="1032"/>
      <c r="AM101" s="1032"/>
      <c r="AN101" s="1070"/>
      <c r="AO101" s="1070"/>
      <c r="AP101" s="1070"/>
      <c r="AQ101" s="1032"/>
      <c r="AR101" s="1067"/>
      <c r="AS101" s="1070"/>
      <c r="AT101" s="1067"/>
      <c r="AU101" s="1070"/>
      <c r="AV101" s="1067"/>
      <c r="AW101" s="1070"/>
      <c r="AX101" s="1070"/>
      <c r="AY101" s="1073"/>
    </row>
    <row r="102" spans="1:51" ht="24.75" customHeight="1" x14ac:dyDescent="0.25">
      <c r="A102" s="1047"/>
      <c r="B102" s="1049"/>
      <c r="C102" s="1052"/>
      <c r="D102" s="167" t="s">
        <v>407</v>
      </c>
      <c r="E102" s="615"/>
      <c r="F102" s="616"/>
      <c r="G102" s="617"/>
      <c r="H102" s="613"/>
      <c r="I102" s="614"/>
      <c r="J102" s="613"/>
      <c r="K102" s="613"/>
      <c r="L102" s="613"/>
      <c r="M102" s="613"/>
      <c r="N102" s="613"/>
      <c r="O102" s="613"/>
      <c r="P102" s="613"/>
      <c r="Q102" s="613"/>
      <c r="R102" s="613"/>
      <c r="S102" s="1055"/>
      <c r="T102" s="617"/>
      <c r="U102" s="613">
        <v>0</v>
      </c>
      <c r="V102" s="614">
        <v>0</v>
      </c>
      <c r="W102" s="613">
        <v>0</v>
      </c>
      <c r="X102" s="613">
        <v>0</v>
      </c>
      <c r="Y102" s="613"/>
      <c r="Z102" s="613"/>
      <c r="AA102" s="613"/>
      <c r="AB102" s="613"/>
      <c r="AC102" s="613"/>
      <c r="AD102" s="618"/>
      <c r="AE102" s="627"/>
      <c r="AF102" s="1083"/>
      <c r="AG102" s="1092"/>
      <c r="AH102" s="1032"/>
      <c r="AI102" s="1032"/>
      <c r="AJ102" s="1035"/>
      <c r="AK102" s="1089"/>
      <c r="AL102" s="1032"/>
      <c r="AM102" s="1032"/>
      <c r="AN102" s="1070"/>
      <c r="AO102" s="1070"/>
      <c r="AP102" s="1070"/>
      <c r="AQ102" s="1032"/>
      <c r="AR102" s="1067"/>
      <c r="AS102" s="1070"/>
      <c r="AT102" s="1067"/>
      <c r="AU102" s="1070"/>
      <c r="AV102" s="1067"/>
      <c r="AW102" s="1070"/>
      <c r="AX102" s="1070"/>
      <c r="AY102" s="1073"/>
    </row>
    <row r="103" spans="1:51" ht="24.75" customHeight="1" x14ac:dyDescent="0.25">
      <c r="A103" s="1047"/>
      <c r="B103" s="1049"/>
      <c r="C103" s="1052"/>
      <c r="D103" s="168" t="s">
        <v>110</v>
      </c>
      <c r="E103" s="615"/>
      <c r="F103" s="616"/>
      <c r="G103" s="617"/>
      <c r="H103" s="613"/>
      <c r="I103" s="614"/>
      <c r="J103" s="613"/>
      <c r="K103" s="613"/>
      <c r="L103" s="613"/>
      <c r="M103" s="613"/>
      <c r="N103" s="613"/>
      <c r="O103" s="613"/>
      <c r="P103" s="613"/>
      <c r="Q103" s="613"/>
      <c r="R103" s="613"/>
      <c r="S103" s="1055"/>
      <c r="T103" s="617"/>
      <c r="U103" s="613">
        <v>0</v>
      </c>
      <c r="V103" s="614">
        <v>0</v>
      </c>
      <c r="W103" s="613">
        <v>0</v>
      </c>
      <c r="X103" s="613">
        <v>0</v>
      </c>
      <c r="Y103" s="613"/>
      <c r="Z103" s="613"/>
      <c r="AA103" s="613"/>
      <c r="AB103" s="613"/>
      <c r="AC103" s="613"/>
      <c r="AD103" s="618"/>
      <c r="AE103" s="627"/>
      <c r="AF103" s="1083"/>
      <c r="AG103" s="1092"/>
      <c r="AH103" s="1032"/>
      <c r="AI103" s="1032"/>
      <c r="AJ103" s="1035"/>
      <c r="AK103" s="1089"/>
      <c r="AL103" s="1032"/>
      <c r="AM103" s="1032"/>
      <c r="AN103" s="1070"/>
      <c r="AO103" s="1070"/>
      <c r="AP103" s="1070"/>
      <c r="AQ103" s="1032"/>
      <c r="AR103" s="1067"/>
      <c r="AS103" s="1070"/>
      <c r="AT103" s="1067"/>
      <c r="AU103" s="1070"/>
      <c r="AV103" s="1067"/>
      <c r="AW103" s="1070"/>
      <c r="AX103" s="1070"/>
      <c r="AY103" s="1073"/>
    </row>
    <row r="104" spans="1:51" ht="24.75" customHeight="1" x14ac:dyDescent="0.25">
      <c r="A104" s="1047"/>
      <c r="B104" s="1049"/>
      <c r="C104" s="1052"/>
      <c r="D104" s="167" t="s">
        <v>408</v>
      </c>
      <c r="E104" s="615">
        <v>350</v>
      </c>
      <c r="F104" s="616"/>
      <c r="G104" s="617">
        <v>350</v>
      </c>
      <c r="H104" s="613">
        <v>350</v>
      </c>
      <c r="I104" s="614">
        <v>350</v>
      </c>
      <c r="J104" s="613">
        <v>350</v>
      </c>
      <c r="K104" s="613">
        <v>350</v>
      </c>
      <c r="L104" s="613"/>
      <c r="M104" s="613"/>
      <c r="N104" s="613"/>
      <c r="O104" s="613"/>
      <c r="P104" s="613"/>
      <c r="Q104" s="613"/>
      <c r="R104" s="613"/>
      <c r="S104" s="1055"/>
      <c r="T104" s="617">
        <v>60</v>
      </c>
      <c r="U104" s="613">
        <v>107</v>
      </c>
      <c r="V104" s="614">
        <v>171</v>
      </c>
      <c r="W104" s="613">
        <v>215</v>
      </c>
      <c r="X104" s="613">
        <v>281</v>
      </c>
      <c r="Y104" s="613"/>
      <c r="Z104" s="613"/>
      <c r="AA104" s="613"/>
      <c r="AB104" s="613"/>
      <c r="AC104" s="613"/>
      <c r="AD104" s="618"/>
      <c r="AE104" s="627"/>
      <c r="AF104" s="1083"/>
      <c r="AG104" s="1092"/>
      <c r="AH104" s="1032"/>
      <c r="AI104" s="1032"/>
      <c r="AJ104" s="1035"/>
      <c r="AK104" s="1089"/>
      <c r="AL104" s="1032"/>
      <c r="AM104" s="1032"/>
      <c r="AN104" s="1070"/>
      <c r="AO104" s="1070"/>
      <c r="AP104" s="1070"/>
      <c r="AQ104" s="1032"/>
      <c r="AR104" s="1067"/>
      <c r="AS104" s="1070"/>
      <c r="AT104" s="1067"/>
      <c r="AU104" s="1070"/>
      <c r="AV104" s="1067"/>
      <c r="AW104" s="1070"/>
      <c r="AX104" s="1070"/>
      <c r="AY104" s="1073"/>
    </row>
    <row r="105" spans="1:51" ht="24.75" customHeight="1" thickBot="1" x14ac:dyDescent="0.3">
      <c r="A105" s="1047"/>
      <c r="B105" s="1049"/>
      <c r="C105" s="1053"/>
      <c r="D105" s="215" t="s">
        <v>112</v>
      </c>
      <c r="E105" s="287">
        <v>193988142</v>
      </c>
      <c r="F105" s="264"/>
      <c r="G105" s="532">
        <v>193988142</v>
      </c>
      <c r="H105" s="260">
        <v>193988142</v>
      </c>
      <c r="I105" s="620">
        <v>193988142</v>
      </c>
      <c r="J105" s="260">
        <v>193988142</v>
      </c>
      <c r="K105" s="260">
        <v>193988142</v>
      </c>
      <c r="L105" s="261"/>
      <c r="M105" s="261"/>
      <c r="N105" s="261"/>
      <c r="O105" s="261"/>
      <c r="P105" s="261"/>
      <c r="Q105" s="261"/>
      <c r="R105" s="261"/>
      <c r="S105" s="1056"/>
      <c r="T105" s="628">
        <v>11753186.119873816</v>
      </c>
      <c r="U105" s="220">
        <v>37629675.2173905</v>
      </c>
      <c r="V105" s="629">
        <v>52764294.825233638</v>
      </c>
      <c r="W105" s="220">
        <v>52764294.825233638</v>
      </c>
      <c r="X105" s="260">
        <v>76444024.989043161</v>
      </c>
      <c r="Y105" s="220"/>
      <c r="Z105" s="220"/>
      <c r="AA105" s="220"/>
      <c r="AB105" s="220"/>
      <c r="AC105" s="220"/>
      <c r="AD105" s="221"/>
      <c r="AE105" s="189"/>
      <c r="AF105" s="1084"/>
      <c r="AG105" s="1093"/>
      <c r="AH105" s="1033"/>
      <c r="AI105" s="1033"/>
      <c r="AJ105" s="1036"/>
      <c r="AK105" s="1090"/>
      <c r="AL105" s="1033"/>
      <c r="AM105" s="1033"/>
      <c r="AN105" s="1071"/>
      <c r="AO105" s="1071"/>
      <c r="AP105" s="1071"/>
      <c r="AQ105" s="1033"/>
      <c r="AR105" s="1068"/>
      <c r="AS105" s="1071"/>
      <c r="AT105" s="1068"/>
      <c r="AU105" s="1071"/>
      <c r="AV105" s="1068"/>
      <c r="AW105" s="1071"/>
      <c r="AX105" s="1071"/>
      <c r="AY105" s="1074"/>
    </row>
    <row r="106" spans="1:51" ht="24.75" customHeight="1" x14ac:dyDescent="0.25">
      <c r="A106" s="1047"/>
      <c r="B106" s="1049"/>
      <c r="C106" s="1051" t="s">
        <v>418</v>
      </c>
      <c r="D106" s="214" t="s">
        <v>402</v>
      </c>
      <c r="E106" s="603">
        <v>107</v>
      </c>
      <c r="F106" s="604"/>
      <c r="G106" s="605">
        <v>107</v>
      </c>
      <c r="H106" s="606">
        <v>107</v>
      </c>
      <c r="I106" s="607">
        <v>107</v>
      </c>
      <c r="J106" s="606">
        <v>107</v>
      </c>
      <c r="K106" s="606">
        <v>107</v>
      </c>
      <c r="L106" s="607"/>
      <c r="M106" s="607"/>
      <c r="N106" s="607"/>
      <c r="O106" s="607"/>
      <c r="P106" s="607"/>
      <c r="Q106" s="607"/>
      <c r="R106" s="608"/>
      <c r="S106" s="1054"/>
      <c r="T106" s="605">
        <v>13</v>
      </c>
      <c r="U106" s="608">
        <v>19</v>
      </c>
      <c r="V106" s="609">
        <v>36</v>
      </c>
      <c r="W106" s="608">
        <v>45</v>
      </c>
      <c r="X106" s="606">
        <v>52</v>
      </c>
      <c r="Y106" s="608"/>
      <c r="Z106" s="608"/>
      <c r="AA106" s="608"/>
      <c r="AB106" s="608"/>
      <c r="AC106" s="608"/>
      <c r="AD106" s="630"/>
      <c r="AE106" s="626"/>
      <c r="AF106" s="1082"/>
      <c r="AG106" s="1091" t="s">
        <v>418</v>
      </c>
      <c r="AH106" s="1031" t="s">
        <v>81</v>
      </c>
      <c r="AI106" s="1031" t="s">
        <v>81</v>
      </c>
      <c r="AJ106" s="1034" t="s">
        <v>403</v>
      </c>
      <c r="AK106" s="1088" t="s">
        <v>418</v>
      </c>
      <c r="AL106" s="1031" t="s">
        <v>81</v>
      </c>
      <c r="AM106" s="1031" t="s">
        <v>404</v>
      </c>
      <c r="AN106" s="1069">
        <v>18675</v>
      </c>
      <c r="AO106" s="1069">
        <v>9430</v>
      </c>
      <c r="AP106" s="1069">
        <v>9245</v>
      </c>
      <c r="AQ106" s="1031" t="s">
        <v>81</v>
      </c>
      <c r="AR106" s="1066" t="s">
        <v>162</v>
      </c>
      <c r="AS106" s="1069">
        <v>18675</v>
      </c>
      <c r="AT106" s="1066" t="s">
        <v>162</v>
      </c>
      <c r="AU106" s="1069">
        <v>18675</v>
      </c>
      <c r="AV106" s="1066" t="s">
        <v>405</v>
      </c>
      <c r="AW106" s="1069">
        <v>18675</v>
      </c>
      <c r="AX106" s="1069">
        <v>18675</v>
      </c>
      <c r="AY106" s="1072"/>
    </row>
    <row r="107" spans="1:51" ht="24.75" customHeight="1" x14ac:dyDescent="0.25">
      <c r="A107" s="1047"/>
      <c r="B107" s="1049"/>
      <c r="C107" s="1052"/>
      <c r="D107" s="168" t="s">
        <v>406</v>
      </c>
      <c r="E107" s="286">
        <v>59187242</v>
      </c>
      <c r="F107" s="263"/>
      <c r="G107" s="531">
        <v>59187242</v>
      </c>
      <c r="H107" s="216">
        <v>59187242</v>
      </c>
      <c r="I107" s="612">
        <v>59187242</v>
      </c>
      <c r="J107" s="216">
        <v>59187242</v>
      </c>
      <c r="K107" s="216">
        <v>59187242</v>
      </c>
      <c r="L107" s="217"/>
      <c r="M107" s="217"/>
      <c r="N107" s="217"/>
      <c r="O107" s="217"/>
      <c r="P107" s="217"/>
      <c r="Q107" s="217"/>
      <c r="R107" s="217"/>
      <c r="S107" s="1055"/>
      <c r="T107" s="531">
        <v>2546523.6593059935</v>
      </c>
      <c r="U107" s="613">
        <v>5849905.2462230101</v>
      </c>
      <c r="V107" s="614">
        <v>9870038.5795563441</v>
      </c>
      <c r="W107" s="217">
        <v>12954244.598074863</v>
      </c>
      <c r="X107" s="216">
        <v>15914210.868551053</v>
      </c>
      <c r="Y107" s="217"/>
      <c r="Z107" s="217"/>
      <c r="AA107" s="217"/>
      <c r="AB107" s="217"/>
      <c r="AC107" s="217"/>
      <c r="AD107" s="218"/>
      <c r="AE107" s="188"/>
      <c r="AF107" s="1083"/>
      <c r="AG107" s="1092"/>
      <c r="AH107" s="1032"/>
      <c r="AI107" s="1032"/>
      <c r="AJ107" s="1035"/>
      <c r="AK107" s="1089"/>
      <c r="AL107" s="1032"/>
      <c r="AM107" s="1032"/>
      <c r="AN107" s="1070"/>
      <c r="AO107" s="1070"/>
      <c r="AP107" s="1070"/>
      <c r="AQ107" s="1032"/>
      <c r="AR107" s="1067"/>
      <c r="AS107" s="1070"/>
      <c r="AT107" s="1067"/>
      <c r="AU107" s="1070"/>
      <c r="AV107" s="1067"/>
      <c r="AW107" s="1070"/>
      <c r="AX107" s="1070"/>
      <c r="AY107" s="1073"/>
    </row>
    <row r="108" spans="1:51" ht="24.75" customHeight="1" x14ac:dyDescent="0.25">
      <c r="A108" s="1047"/>
      <c r="B108" s="1049"/>
      <c r="C108" s="1052"/>
      <c r="D108" s="167" t="s">
        <v>407</v>
      </c>
      <c r="E108" s="615"/>
      <c r="F108" s="616"/>
      <c r="G108" s="617"/>
      <c r="H108" s="613"/>
      <c r="I108" s="614"/>
      <c r="J108" s="613"/>
      <c r="K108" s="613"/>
      <c r="L108" s="613"/>
      <c r="M108" s="613"/>
      <c r="N108" s="613"/>
      <c r="O108" s="613"/>
      <c r="P108" s="613"/>
      <c r="Q108" s="613"/>
      <c r="R108" s="613"/>
      <c r="S108" s="1055"/>
      <c r="T108" s="617"/>
      <c r="U108" s="613">
        <v>0</v>
      </c>
      <c r="V108" s="614">
        <v>0</v>
      </c>
      <c r="W108" s="613">
        <v>0</v>
      </c>
      <c r="X108" s="613">
        <v>0</v>
      </c>
      <c r="Y108" s="613"/>
      <c r="Z108" s="613"/>
      <c r="AA108" s="613"/>
      <c r="AB108" s="613"/>
      <c r="AC108" s="613"/>
      <c r="AD108" s="618"/>
      <c r="AE108" s="627"/>
      <c r="AF108" s="1083"/>
      <c r="AG108" s="1092"/>
      <c r="AH108" s="1032"/>
      <c r="AI108" s="1032"/>
      <c r="AJ108" s="1035"/>
      <c r="AK108" s="1089"/>
      <c r="AL108" s="1032"/>
      <c r="AM108" s="1032"/>
      <c r="AN108" s="1070"/>
      <c r="AO108" s="1070"/>
      <c r="AP108" s="1070"/>
      <c r="AQ108" s="1032"/>
      <c r="AR108" s="1067"/>
      <c r="AS108" s="1070"/>
      <c r="AT108" s="1067"/>
      <c r="AU108" s="1070"/>
      <c r="AV108" s="1067"/>
      <c r="AW108" s="1070"/>
      <c r="AX108" s="1070"/>
      <c r="AY108" s="1073"/>
    </row>
    <row r="109" spans="1:51" ht="24.75" customHeight="1" x14ac:dyDescent="0.25">
      <c r="A109" s="1047"/>
      <c r="B109" s="1049"/>
      <c r="C109" s="1052"/>
      <c r="D109" s="168" t="s">
        <v>110</v>
      </c>
      <c r="E109" s="615"/>
      <c r="F109" s="616"/>
      <c r="G109" s="617"/>
      <c r="H109" s="613"/>
      <c r="I109" s="614"/>
      <c r="J109" s="613"/>
      <c r="K109" s="613"/>
      <c r="L109" s="613"/>
      <c r="M109" s="613"/>
      <c r="N109" s="613"/>
      <c r="O109" s="613"/>
      <c r="P109" s="613"/>
      <c r="Q109" s="613"/>
      <c r="R109" s="613"/>
      <c r="S109" s="1055"/>
      <c r="T109" s="617"/>
      <c r="U109" s="613">
        <v>0</v>
      </c>
      <c r="V109" s="614">
        <v>0</v>
      </c>
      <c r="W109" s="613">
        <v>0</v>
      </c>
      <c r="X109" s="613">
        <v>0</v>
      </c>
      <c r="Y109" s="613"/>
      <c r="Z109" s="613"/>
      <c r="AA109" s="613"/>
      <c r="AB109" s="613"/>
      <c r="AC109" s="613"/>
      <c r="AD109" s="618"/>
      <c r="AE109" s="627"/>
      <c r="AF109" s="1083"/>
      <c r="AG109" s="1092"/>
      <c r="AH109" s="1032"/>
      <c r="AI109" s="1032"/>
      <c r="AJ109" s="1035"/>
      <c r="AK109" s="1089"/>
      <c r="AL109" s="1032"/>
      <c r="AM109" s="1032"/>
      <c r="AN109" s="1070"/>
      <c r="AO109" s="1070"/>
      <c r="AP109" s="1070"/>
      <c r="AQ109" s="1032"/>
      <c r="AR109" s="1067"/>
      <c r="AS109" s="1070"/>
      <c r="AT109" s="1067"/>
      <c r="AU109" s="1070"/>
      <c r="AV109" s="1067"/>
      <c r="AW109" s="1070"/>
      <c r="AX109" s="1070"/>
      <c r="AY109" s="1073"/>
    </row>
    <row r="110" spans="1:51" ht="24.75" customHeight="1" x14ac:dyDescent="0.25">
      <c r="A110" s="1047"/>
      <c r="B110" s="1049"/>
      <c r="C110" s="1052"/>
      <c r="D110" s="167" t="s">
        <v>408</v>
      </c>
      <c r="E110" s="615">
        <v>107</v>
      </c>
      <c r="F110" s="616"/>
      <c r="G110" s="617">
        <v>107</v>
      </c>
      <c r="H110" s="613">
        <v>107</v>
      </c>
      <c r="I110" s="614">
        <v>107</v>
      </c>
      <c r="J110" s="613">
        <v>107</v>
      </c>
      <c r="K110" s="613">
        <v>107</v>
      </c>
      <c r="L110" s="613"/>
      <c r="M110" s="613"/>
      <c r="N110" s="613"/>
      <c r="O110" s="613"/>
      <c r="P110" s="613"/>
      <c r="Q110" s="613"/>
      <c r="R110" s="613"/>
      <c r="S110" s="1055"/>
      <c r="T110" s="617">
        <v>13</v>
      </c>
      <c r="U110" s="613">
        <v>19</v>
      </c>
      <c r="V110" s="614">
        <v>36</v>
      </c>
      <c r="W110" s="613">
        <v>45</v>
      </c>
      <c r="X110" s="613">
        <v>52</v>
      </c>
      <c r="Y110" s="613"/>
      <c r="Z110" s="613"/>
      <c r="AA110" s="613"/>
      <c r="AB110" s="613"/>
      <c r="AC110" s="613"/>
      <c r="AD110" s="618"/>
      <c r="AE110" s="627"/>
      <c r="AF110" s="1083"/>
      <c r="AG110" s="1092"/>
      <c r="AH110" s="1032"/>
      <c r="AI110" s="1032"/>
      <c r="AJ110" s="1035"/>
      <c r="AK110" s="1089"/>
      <c r="AL110" s="1032"/>
      <c r="AM110" s="1032"/>
      <c r="AN110" s="1070"/>
      <c r="AO110" s="1070"/>
      <c r="AP110" s="1070"/>
      <c r="AQ110" s="1032"/>
      <c r="AR110" s="1067"/>
      <c r="AS110" s="1070"/>
      <c r="AT110" s="1067"/>
      <c r="AU110" s="1070"/>
      <c r="AV110" s="1067"/>
      <c r="AW110" s="1070"/>
      <c r="AX110" s="1070"/>
      <c r="AY110" s="1073"/>
    </row>
    <row r="111" spans="1:51" ht="24.75" customHeight="1" thickBot="1" x14ac:dyDescent="0.3">
      <c r="A111" s="1047"/>
      <c r="B111" s="1049"/>
      <c r="C111" s="1053"/>
      <c r="D111" s="215" t="s">
        <v>112</v>
      </c>
      <c r="E111" s="287">
        <v>59187242</v>
      </c>
      <c r="F111" s="264"/>
      <c r="G111" s="532">
        <v>59187242</v>
      </c>
      <c r="H111" s="260">
        <v>59187242</v>
      </c>
      <c r="I111" s="620">
        <v>59187242</v>
      </c>
      <c r="J111" s="260">
        <v>59187242</v>
      </c>
      <c r="K111" s="260">
        <v>59187242</v>
      </c>
      <c r="L111" s="261"/>
      <c r="M111" s="261"/>
      <c r="N111" s="261"/>
      <c r="O111" s="261"/>
      <c r="P111" s="261"/>
      <c r="Q111" s="261"/>
      <c r="R111" s="261"/>
      <c r="S111" s="1056"/>
      <c r="T111" s="628">
        <v>2546523.6593059935</v>
      </c>
      <c r="U111" s="220">
        <v>5849905.2462230101</v>
      </c>
      <c r="V111" s="629">
        <v>9870038.5795563441</v>
      </c>
      <c r="W111" s="220">
        <v>9870038.5795563441</v>
      </c>
      <c r="X111" s="260">
        <v>12830004.850032534</v>
      </c>
      <c r="Y111" s="220"/>
      <c r="Z111" s="220"/>
      <c r="AA111" s="220"/>
      <c r="AB111" s="220"/>
      <c r="AC111" s="220"/>
      <c r="AD111" s="221"/>
      <c r="AE111" s="189"/>
      <c r="AF111" s="1084"/>
      <c r="AG111" s="1093"/>
      <c r="AH111" s="1033"/>
      <c r="AI111" s="1033"/>
      <c r="AJ111" s="1036"/>
      <c r="AK111" s="1090"/>
      <c r="AL111" s="1033"/>
      <c r="AM111" s="1033"/>
      <c r="AN111" s="1071"/>
      <c r="AO111" s="1071"/>
      <c r="AP111" s="1071"/>
      <c r="AQ111" s="1033"/>
      <c r="AR111" s="1068"/>
      <c r="AS111" s="1071"/>
      <c r="AT111" s="1068"/>
      <c r="AU111" s="1071"/>
      <c r="AV111" s="1068"/>
      <c r="AW111" s="1071"/>
      <c r="AX111" s="1071"/>
      <c r="AY111" s="1074"/>
    </row>
    <row r="112" spans="1:51" ht="24.75" customHeight="1" x14ac:dyDescent="0.25">
      <c r="A112" s="1047"/>
      <c r="B112" s="1049"/>
      <c r="C112" s="1051" t="s">
        <v>419</v>
      </c>
      <c r="D112" s="214" t="s">
        <v>402</v>
      </c>
      <c r="E112" s="603">
        <v>207</v>
      </c>
      <c r="F112" s="604"/>
      <c r="G112" s="605">
        <v>207</v>
      </c>
      <c r="H112" s="606">
        <v>207</v>
      </c>
      <c r="I112" s="607">
        <v>207</v>
      </c>
      <c r="J112" s="606">
        <v>251</v>
      </c>
      <c r="K112" s="606">
        <v>207</v>
      </c>
      <c r="L112" s="607"/>
      <c r="M112" s="607"/>
      <c r="N112" s="607"/>
      <c r="O112" s="607"/>
      <c r="P112" s="607"/>
      <c r="Q112" s="607"/>
      <c r="R112" s="608"/>
      <c r="S112" s="1054"/>
      <c r="T112" s="605">
        <v>54</v>
      </c>
      <c r="U112" s="608">
        <v>86</v>
      </c>
      <c r="V112" s="609">
        <v>101</v>
      </c>
      <c r="W112" s="608">
        <v>127</v>
      </c>
      <c r="X112" s="606">
        <v>150</v>
      </c>
      <c r="Y112" s="608"/>
      <c r="Z112" s="608"/>
      <c r="AA112" s="608"/>
      <c r="AB112" s="608"/>
      <c r="AC112" s="608"/>
      <c r="AD112" s="630"/>
      <c r="AE112" s="626"/>
      <c r="AF112" s="1082"/>
      <c r="AG112" s="1091" t="s">
        <v>419</v>
      </c>
      <c r="AH112" s="1031" t="s">
        <v>81</v>
      </c>
      <c r="AI112" s="1031" t="s">
        <v>81</v>
      </c>
      <c r="AJ112" s="1034" t="s">
        <v>403</v>
      </c>
      <c r="AK112" s="1088" t="s">
        <v>419</v>
      </c>
      <c r="AL112" s="1031" t="s">
        <v>81</v>
      </c>
      <c r="AM112" s="1031" t="s">
        <v>404</v>
      </c>
      <c r="AN112" s="1069">
        <v>391588</v>
      </c>
      <c r="AO112" s="1069">
        <v>192276</v>
      </c>
      <c r="AP112" s="1069">
        <v>199312</v>
      </c>
      <c r="AQ112" s="1031" t="s">
        <v>81</v>
      </c>
      <c r="AR112" s="1066" t="s">
        <v>162</v>
      </c>
      <c r="AS112" s="1069">
        <v>391588</v>
      </c>
      <c r="AT112" s="1066" t="s">
        <v>162</v>
      </c>
      <c r="AU112" s="1069">
        <v>391588</v>
      </c>
      <c r="AV112" s="1066" t="s">
        <v>405</v>
      </c>
      <c r="AW112" s="1069">
        <v>391588</v>
      </c>
      <c r="AX112" s="1069">
        <v>391588</v>
      </c>
      <c r="AY112" s="1072"/>
    </row>
    <row r="113" spans="1:51" ht="24.75" customHeight="1" x14ac:dyDescent="0.25">
      <c r="A113" s="1047"/>
      <c r="B113" s="1049"/>
      <c r="C113" s="1052"/>
      <c r="D113" s="168" t="s">
        <v>406</v>
      </c>
      <c r="E113" s="286">
        <v>114463433</v>
      </c>
      <c r="F113" s="263"/>
      <c r="G113" s="531">
        <v>114463433</v>
      </c>
      <c r="H113" s="216">
        <v>114463433</v>
      </c>
      <c r="I113" s="612">
        <v>114463433</v>
      </c>
      <c r="J113" s="216">
        <v>114463433</v>
      </c>
      <c r="K113" s="216">
        <v>114463433</v>
      </c>
      <c r="L113" s="217"/>
      <c r="M113" s="217"/>
      <c r="N113" s="217"/>
      <c r="O113" s="217"/>
      <c r="P113" s="217"/>
      <c r="Q113" s="217"/>
      <c r="R113" s="217"/>
      <c r="S113" s="1055"/>
      <c r="T113" s="531">
        <v>10577867.507886436</v>
      </c>
      <c r="U113" s="613">
        <v>28195902.6381105</v>
      </c>
      <c r="V113" s="614">
        <v>31743079.108698733</v>
      </c>
      <c r="W113" s="217">
        <v>40653007.606641121</v>
      </c>
      <c r="X113" s="216">
        <v>47312931.715212554</v>
      </c>
      <c r="Y113" s="217"/>
      <c r="Z113" s="217"/>
      <c r="AA113" s="217"/>
      <c r="AB113" s="217"/>
      <c r="AC113" s="217"/>
      <c r="AD113" s="218"/>
      <c r="AE113" s="188"/>
      <c r="AF113" s="1083"/>
      <c r="AG113" s="1092"/>
      <c r="AH113" s="1032"/>
      <c r="AI113" s="1032"/>
      <c r="AJ113" s="1035"/>
      <c r="AK113" s="1089"/>
      <c r="AL113" s="1032"/>
      <c r="AM113" s="1032"/>
      <c r="AN113" s="1070"/>
      <c r="AO113" s="1070"/>
      <c r="AP113" s="1070"/>
      <c r="AQ113" s="1032"/>
      <c r="AR113" s="1067"/>
      <c r="AS113" s="1070"/>
      <c r="AT113" s="1067"/>
      <c r="AU113" s="1070"/>
      <c r="AV113" s="1067"/>
      <c r="AW113" s="1070"/>
      <c r="AX113" s="1070"/>
      <c r="AY113" s="1073"/>
    </row>
    <row r="114" spans="1:51" ht="24.75" customHeight="1" x14ac:dyDescent="0.25">
      <c r="A114" s="1047"/>
      <c r="B114" s="1049"/>
      <c r="C114" s="1052"/>
      <c r="D114" s="167" t="s">
        <v>407</v>
      </c>
      <c r="E114" s="615"/>
      <c r="F114" s="616"/>
      <c r="G114" s="617"/>
      <c r="H114" s="613"/>
      <c r="I114" s="614"/>
      <c r="J114" s="613"/>
      <c r="K114" s="613"/>
      <c r="L114" s="613"/>
      <c r="M114" s="613"/>
      <c r="N114" s="613"/>
      <c r="O114" s="613"/>
      <c r="P114" s="613"/>
      <c r="Q114" s="613"/>
      <c r="R114" s="613"/>
      <c r="S114" s="1055"/>
      <c r="T114" s="617"/>
      <c r="U114" s="613">
        <v>0</v>
      </c>
      <c r="V114" s="614">
        <v>0</v>
      </c>
      <c r="W114" s="613">
        <v>0</v>
      </c>
      <c r="X114" s="613">
        <v>0</v>
      </c>
      <c r="Y114" s="613"/>
      <c r="Z114" s="613"/>
      <c r="AA114" s="613"/>
      <c r="AB114" s="613"/>
      <c r="AC114" s="613"/>
      <c r="AD114" s="618"/>
      <c r="AE114" s="627"/>
      <c r="AF114" s="1083"/>
      <c r="AG114" s="1092"/>
      <c r="AH114" s="1032"/>
      <c r="AI114" s="1032"/>
      <c r="AJ114" s="1035"/>
      <c r="AK114" s="1089"/>
      <c r="AL114" s="1032"/>
      <c r="AM114" s="1032"/>
      <c r="AN114" s="1070"/>
      <c r="AO114" s="1070"/>
      <c r="AP114" s="1070"/>
      <c r="AQ114" s="1032"/>
      <c r="AR114" s="1067"/>
      <c r="AS114" s="1070"/>
      <c r="AT114" s="1067"/>
      <c r="AU114" s="1070"/>
      <c r="AV114" s="1067"/>
      <c r="AW114" s="1070"/>
      <c r="AX114" s="1070"/>
      <c r="AY114" s="1073"/>
    </row>
    <row r="115" spans="1:51" ht="24.75" customHeight="1" x14ac:dyDescent="0.25">
      <c r="A115" s="1047"/>
      <c r="B115" s="1049"/>
      <c r="C115" s="1052"/>
      <c r="D115" s="168" t="s">
        <v>110</v>
      </c>
      <c r="E115" s="615"/>
      <c r="F115" s="616"/>
      <c r="G115" s="617"/>
      <c r="H115" s="613"/>
      <c r="I115" s="614"/>
      <c r="J115" s="613"/>
      <c r="K115" s="613"/>
      <c r="L115" s="613"/>
      <c r="M115" s="613"/>
      <c r="N115" s="613"/>
      <c r="O115" s="613"/>
      <c r="P115" s="613"/>
      <c r="Q115" s="613"/>
      <c r="R115" s="613"/>
      <c r="S115" s="1055"/>
      <c r="T115" s="617"/>
      <c r="U115" s="613">
        <v>0</v>
      </c>
      <c r="V115" s="614">
        <v>0</v>
      </c>
      <c r="W115" s="613">
        <v>0</v>
      </c>
      <c r="X115" s="613">
        <v>0</v>
      </c>
      <c r="Y115" s="613"/>
      <c r="Z115" s="613"/>
      <c r="AA115" s="613"/>
      <c r="AB115" s="613"/>
      <c r="AC115" s="613"/>
      <c r="AD115" s="618"/>
      <c r="AE115" s="627"/>
      <c r="AF115" s="1083"/>
      <c r="AG115" s="1092"/>
      <c r="AH115" s="1032"/>
      <c r="AI115" s="1032"/>
      <c r="AJ115" s="1035"/>
      <c r="AK115" s="1089"/>
      <c r="AL115" s="1032"/>
      <c r="AM115" s="1032"/>
      <c r="AN115" s="1070"/>
      <c r="AO115" s="1070"/>
      <c r="AP115" s="1070"/>
      <c r="AQ115" s="1032"/>
      <c r="AR115" s="1067"/>
      <c r="AS115" s="1070"/>
      <c r="AT115" s="1067"/>
      <c r="AU115" s="1070"/>
      <c r="AV115" s="1067"/>
      <c r="AW115" s="1070"/>
      <c r="AX115" s="1070"/>
      <c r="AY115" s="1073"/>
    </row>
    <row r="116" spans="1:51" ht="24.75" customHeight="1" x14ac:dyDescent="0.25">
      <c r="A116" s="1047"/>
      <c r="B116" s="1049"/>
      <c r="C116" s="1052"/>
      <c r="D116" s="167" t="s">
        <v>408</v>
      </c>
      <c r="E116" s="615">
        <v>207</v>
      </c>
      <c r="F116" s="616"/>
      <c r="G116" s="617">
        <v>207</v>
      </c>
      <c r="H116" s="613">
        <v>207</v>
      </c>
      <c r="I116" s="614">
        <v>207</v>
      </c>
      <c r="J116" s="613">
        <v>207</v>
      </c>
      <c r="K116" s="613">
        <v>207</v>
      </c>
      <c r="L116" s="613"/>
      <c r="M116" s="613"/>
      <c r="N116" s="613"/>
      <c r="O116" s="613"/>
      <c r="P116" s="613"/>
      <c r="Q116" s="613"/>
      <c r="R116" s="613"/>
      <c r="S116" s="1055"/>
      <c r="T116" s="617">
        <v>54</v>
      </c>
      <c r="U116" s="613">
        <v>86</v>
      </c>
      <c r="V116" s="614">
        <v>101</v>
      </c>
      <c r="W116" s="613">
        <v>127</v>
      </c>
      <c r="X116" s="613">
        <v>150</v>
      </c>
      <c r="Y116" s="613"/>
      <c r="Z116" s="613"/>
      <c r="AA116" s="613"/>
      <c r="AB116" s="613"/>
      <c r="AC116" s="613"/>
      <c r="AD116" s="618"/>
      <c r="AE116" s="627"/>
      <c r="AF116" s="1083"/>
      <c r="AG116" s="1092"/>
      <c r="AH116" s="1032"/>
      <c r="AI116" s="1032"/>
      <c r="AJ116" s="1035"/>
      <c r="AK116" s="1089"/>
      <c r="AL116" s="1032"/>
      <c r="AM116" s="1032"/>
      <c r="AN116" s="1070"/>
      <c r="AO116" s="1070"/>
      <c r="AP116" s="1070"/>
      <c r="AQ116" s="1032"/>
      <c r="AR116" s="1067"/>
      <c r="AS116" s="1070"/>
      <c r="AT116" s="1067"/>
      <c r="AU116" s="1070"/>
      <c r="AV116" s="1067"/>
      <c r="AW116" s="1070"/>
      <c r="AX116" s="1070"/>
      <c r="AY116" s="1073"/>
    </row>
    <row r="117" spans="1:51" ht="24.75" customHeight="1" thickBot="1" x14ac:dyDescent="0.3">
      <c r="A117" s="1047"/>
      <c r="B117" s="1049"/>
      <c r="C117" s="1053"/>
      <c r="D117" s="215" t="s">
        <v>112</v>
      </c>
      <c r="E117" s="287">
        <v>114463433</v>
      </c>
      <c r="F117" s="264"/>
      <c r="G117" s="532">
        <v>114463433</v>
      </c>
      <c r="H117" s="260">
        <v>114463433</v>
      </c>
      <c r="I117" s="620">
        <v>114463433</v>
      </c>
      <c r="J117" s="260">
        <v>114463433</v>
      </c>
      <c r="K117" s="260">
        <v>114463433</v>
      </c>
      <c r="L117" s="261"/>
      <c r="M117" s="261"/>
      <c r="N117" s="261"/>
      <c r="O117" s="261"/>
      <c r="P117" s="261"/>
      <c r="Q117" s="261"/>
      <c r="R117" s="261"/>
      <c r="S117" s="1056"/>
      <c r="T117" s="628">
        <v>10577867.507886436</v>
      </c>
      <c r="U117" s="220">
        <v>28195902.6381105</v>
      </c>
      <c r="V117" s="629">
        <v>31743079.108698733</v>
      </c>
      <c r="W117" s="220">
        <v>31743079.108698733</v>
      </c>
      <c r="X117" s="260">
        <v>38403003.217270166</v>
      </c>
      <c r="Y117" s="220"/>
      <c r="Z117" s="220"/>
      <c r="AA117" s="220"/>
      <c r="AB117" s="220"/>
      <c r="AC117" s="220"/>
      <c r="AD117" s="221"/>
      <c r="AE117" s="189"/>
      <c r="AF117" s="1084"/>
      <c r="AG117" s="1093"/>
      <c r="AH117" s="1033"/>
      <c r="AI117" s="1033"/>
      <c r="AJ117" s="1036"/>
      <c r="AK117" s="1090"/>
      <c r="AL117" s="1033"/>
      <c r="AM117" s="1033"/>
      <c r="AN117" s="1071"/>
      <c r="AO117" s="1071"/>
      <c r="AP117" s="1071"/>
      <c r="AQ117" s="1033"/>
      <c r="AR117" s="1068"/>
      <c r="AS117" s="1071"/>
      <c r="AT117" s="1068"/>
      <c r="AU117" s="1071"/>
      <c r="AV117" s="1068"/>
      <c r="AW117" s="1071"/>
      <c r="AX117" s="1071"/>
      <c r="AY117" s="1074"/>
    </row>
    <row r="118" spans="1:51" ht="24.75" customHeight="1" x14ac:dyDescent="0.25">
      <c r="A118" s="1047"/>
      <c r="B118" s="1049"/>
      <c r="C118" s="1051" t="s">
        <v>420</v>
      </c>
      <c r="D118" s="214" t="s">
        <v>402</v>
      </c>
      <c r="E118" s="603">
        <v>156</v>
      </c>
      <c r="F118" s="604"/>
      <c r="G118" s="605">
        <v>156</v>
      </c>
      <c r="H118" s="606">
        <v>156</v>
      </c>
      <c r="I118" s="607">
        <v>156</v>
      </c>
      <c r="J118" s="608">
        <v>241</v>
      </c>
      <c r="K118" s="608">
        <v>260</v>
      </c>
      <c r="L118" s="609"/>
      <c r="M118" s="609"/>
      <c r="N118" s="609"/>
      <c r="O118" s="609"/>
      <c r="P118" s="609"/>
      <c r="Q118" s="609"/>
      <c r="R118" s="608"/>
      <c r="S118" s="1054"/>
      <c r="T118" s="632">
        <v>125</v>
      </c>
      <c r="U118" s="608">
        <v>167</v>
      </c>
      <c r="V118" s="609">
        <v>197</v>
      </c>
      <c r="W118" s="608">
        <v>241</v>
      </c>
      <c r="X118" s="608">
        <v>260</v>
      </c>
      <c r="Y118" s="608"/>
      <c r="Z118" s="608"/>
      <c r="AA118" s="608"/>
      <c r="AB118" s="608"/>
      <c r="AC118" s="608"/>
      <c r="AD118" s="630"/>
      <c r="AE118" s="626"/>
      <c r="AF118" s="1082"/>
      <c r="AG118" s="1091" t="s">
        <v>420</v>
      </c>
      <c r="AH118" s="1031" t="s">
        <v>81</v>
      </c>
      <c r="AI118" s="1031" t="s">
        <v>81</v>
      </c>
      <c r="AJ118" s="1034" t="s">
        <v>403</v>
      </c>
      <c r="AK118" s="1088" t="s">
        <v>420</v>
      </c>
      <c r="AL118" s="1031" t="s">
        <v>81</v>
      </c>
      <c r="AM118" s="1031" t="s">
        <v>404</v>
      </c>
      <c r="AN118" s="1069">
        <v>655881</v>
      </c>
      <c r="AO118" s="1069">
        <v>327558</v>
      </c>
      <c r="AP118" s="1069">
        <v>328323</v>
      </c>
      <c r="AQ118" s="1031" t="s">
        <v>81</v>
      </c>
      <c r="AR118" s="1066" t="s">
        <v>162</v>
      </c>
      <c r="AS118" s="1069">
        <v>655881</v>
      </c>
      <c r="AT118" s="1066" t="s">
        <v>162</v>
      </c>
      <c r="AU118" s="1069">
        <v>655881</v>
      </c>
      <c r="AV118" s="1066" t="s">
        <v>405</v>
      </c>
      <c r="AW118" s="1069">
        <v>655881</v>
      </c>
      <c r="AX118" s="1069">
        <v>655881</v>
      </c>
      <c r="AY118" s="1072"/>
    </row>
    <row r="119" spans="1:51" ht="24.75" customHeight="1" x14ac:dyDescent="0.25">
      <c r="A119" s="1047"/>
      <c r="B119" s="1049"/>
      <c r="C119" s="1052"/>
      <c r="D119" s="168" t="s">
        <v>406</v>
      </c>
      <c r="E119" s="286">
        <v>86303864</v>
      </c>
      <c r="F119" s="263"/>
      <c r="G119" s="531">
        <v>86303864</v>
      </c>
      <c r="H119" s="216">
        <v>86303864</v>
      </c>
      <c r="I119" s="612">
        <v>86303864</v>
      </c>
      <c r="J119" s="633">
        <v>86303864</v>
      </c>
      <c r="K119" s="633">
        <v>86303864</v>
      </c>
      <c r="L119" s="217"/>
      <c r="M119" s="217"/>
      <c r="N119" s="217"/>
      <c r="O119" s="217"/>
      <c r="P119" s="217"/>
      <c r="Q119" s="217"/>
      <c r="R119" s="217"/>
      <c r="S119" s="1055"/>
      <c r="T119" s="634">
        <v>24485804.416403785</v>
      </c>
      <c r="U119" s="613">
        <v>47609475.524822898</v>
      </c>
      <c r="V119" s="614">
        <v>54703828.465999365</v>
      </c>
      <c r="W119" s="217">
        <v>69782169.000978783</v>
      </c>
      <c r="X119" s="633">
        <v>70127498.399201006</v>
      </c>
      <c r="Y119" s="217"/>
      <c r="Z119" s="217"/>
      <c r="AA119" s="217"/>
      <c r="AB119" s="217"/>
      <c r="AC119" s="217"/>
      <c r="AD119" s="218"/>
      <c r="AE119" s="188"/>
      <c r="AF119" s="1083"/>
      <c r="AG119" s="1092"/>
      <c r="AH119" s="1032"/>
      <c r="AI119" s="1032"/>
      <c r="AJ119" s="1035"/>
      <c r="AK119" s="1089"/>
      <c r="AL119" s="1032"/>
      <c r="AM119" s="1032"/>
      <c r="AN119" s="1070"/>
      <c r="AO119" s="1070"/>
      <c r="AP119" s="1070"/>
      <c r="AQ119" s="1032"/>
      <c r="AR119" s="1067"/>
      <c r="AS119" s="1070"/>
      <c r="AT119" s="1067"/>
      <c r="AU119" s="1070"/>
      <c r="AV119" s="1067"/>
      <c r="AW119" s="1070"/>
      <c r="AX119" s="1070"/>
      <c r="AY119" s="1073"/>
    </row>
    <row r="120" spans="1:51" ht="24.75" customHeight="1" x14ac:dyDescent="0.25">
      <c r="A120" s="1047"/>
      <c r="B120" s="1049"/>
      <c r="C120" s="1052"/>
      <c r="D120" s="167" t="s">
        <v>407</v>
      </c>
      <c r="E120" s="615"/>
      <c r="F120" s="616"/>
      <c r="G120" s="617"/>
      <c r="H120" s="613"/>
      <c r="I120" s="614"/>
      <c r="J120" s="613"/>
      <c r="K120" s="613"/>
      <c r="L120" s="613"/>
      <c r="M120" s="613"/>
      <c r="N120" s="613"/>
      <c r="O120" s="613"/>
      <c r="P120" s="613"/>
      <c r="Q120" s="613"/>
      <c r="R120" s="613"/>
      <c r="S120" s="1055"/>
      <c r="T120" s="617"/>
      <c r="U120" s="613">
        <v>0</v>
      </c>
      <c r="V120" s="614">
        <v>0</v>
      </c>
      <c r="W120" s="613">
        <v>0</v>
      </c>
      <c r="X120" s="613">
        <v>0</v>
      </c>
      <c r="Y120" s="613"/>
      <c r="Z120" s="613"/>
      <c r="AA120" s="613"/>
      <c r="AB120" s="613"/>
      <c r="AC120" s="613"/>
      <c r="AD120" s="618"/>
      <c r="AE120" s="627"/>
      <c r="AF120" s="1083"/>
      <c r="AG120" s="1092"/>
      <c r="AH120" s="1032"/>
      <c r="AI120" s="1032"/>
      <c r="AJ120" s="1035"/>
      <c r="AK120" s="1089"/>
      <c r="AL120" s="1032"/>
      <c r="AM120" s="1032"/>
      <c r="AN120" s="1070"/>
      <c r="AO120" s="1070"/>
      <c r="AP120" s="1070"/>
      <c r="AQ120" s="1032"/>
      <c r="AR120" s="1067"/>
      <c r="AS120" s="1070"/>
      <c r="AT120" s="1067"/>
      <c r="AU120" s="1070"/>
      <c r="AV120" s="1067"/>
      <c r="AW120" s="1070"/>
      <c r="AX120" s="1070"/>
      <c r="AY120" s="1073"/>
    </row>
    <row r="121" spans="1:51" ht="24.75" customHeight="1" x14ac:dyDescent="0.25">
      <c r="A121" s="1047"/>
      <c r="B121" s="1049"/>
      <c r="C121" s="1052"/>
      <c r="D121" s="168" t="s">
        <v>110</v>
      </c>
      <c r="E121" s="615"/>
      <c r="F121" s="616"/>
      <c r="G121" s="617"/>
      <c r="H121" s="613"/>
      <c r="I121" s="614"/>
      <c r="J121" s="613"/>
      <c r="K121" s="613"/>
      <c r="L121" s="613"/>
      <c r="M121" s="613"/>
      <c r="N121" s="613"/>
      <c r="O121" s="613"/>
      <c r="P121" s="613"/>
      <c r="Q121" s="613"/>
      <c r="R121" s="613"/>
      <c r="S121" s="1055"/>
      <c r="T121" s="617"/>
      <c r="U121" s="613">
        <v>0</v>
      </c>
      <c r="V121" s="614">
        <v>0</v>
      </c>
      <c r="W121" s="613">
        <v>0</v>
      </c>
      <c r="X121" s="613">
        <v>0</v>
      </c>
      <c r="Y121" s="613"/>
      <c r="Z121" s="613"/>
      <c r="AA121" s="613"/>
      <c r="AB121" s="613"/>
      <c r="AC121" s="613"/>
      <c r="AD121" s="618"/>
      <c r="AE121" s="627"/>
      <c r="AF121" s="1083"/>
      <c r="AG121" s="1092"/>
      <c r="AH121" s="1032"/>
      <c r="AI121" s="1032"/>
      <c r="AJ121" s="1035"/>
      <c r="AK121" s="1089"/>
      <c r="AL121" s="1032"/>
      <c r="AM121" s="1032"/>
      <c r="AN121" s="1070"/>
      <c r="AO121" s="1070"/>
      <c r="AP121" s="1070"/>
      <c r="AQ121" s="1032"/>
      <c r="AR121" s="1067"/>
      <c r="AS121" s="1070"/>
      <c r="AT121" s="1067"/>
      <c r="AU121" s="1070"/>
      <c r="AV121" s="1067"/>
      <c r="AW121" s="1070"/>
      <c r="AX121" s="1070"/>
      <c r="AY121" s="1073"/>
    </row>
    <row r="122" spans="1:51" ht="24.75" customHeight="1" x14ac:dyDescent="0.25">
      <c r="A122" s="1047"/>
      <c r="B122" s="1049"/>
      <c r="C122" s="1052"/>
      <c r="D122" s="167" t="s">
        <v>408</v>
      </c>
      <c r="E122" s="615">
        <v>156</v>
      </c>
      <c r="F122" s="616"/>
      <c r="G122" s="617">
        <v>156</v>
      </c>
      <c r="H122" s="613">
        <v>156</v>
      </c>
      <c r="I122" s="614">
        <v>156</v>
      </c>
      <c r="J122" s="613">
        <v>241</v>
      </c>
      <c r="K122" s="613">
        <v>260</v>
      </c>
      <c r="L122" s="613"/>
      <c r="M122" s="613"/>
      <c r="N122" s="613"/>
      <c r="O122" s="613"/>
      <c r="P122" s="613"/>
      <c r="Q122" s="613"/>
      <c r="R122" s="613"/>
      <c r="S122" s="1055"/>
      <c r="T122" s="617">
        <v>125</v>
      </c>
      <c r="U122" s="613">
        <v>167</v>
      </c>
      <c r="V122" s="614">
        <v>197</v>
      </c>
      <c r="W122" s="613">
        <v>241</v>
      </c>
      <c r="X122" s="613">
        <v>260</v>
      </c>
      <c r="Y122" s="613"/>
      <c r="Z122" s="613"/>
      <c r="AA122" s="613"/>
      <c r="AB122" s="613"/>
      <c r="AC122" s="613"/>
      <c r="AD122" s="618"/>
      <c r="AE122" s="627"/>
      <c r="AF122" s="1083"/>
      <c r="AG122" s="1092"/>
      <c r="AH122" s="1032"/>
      <c r="AI122" s="1032"/>
      <c r="AJ122" s="1035"/>
      <c r="AK122" s="1089"/>
      <c r="AL122" s="1032"/>
      <c r="AM122" s="1032"/>
      <c r="AN122" s="1070"/>
      <c r="AO122" s="1070"/>
      <c r="AP122" s="1070"/>
      <c r="AQ122" s="1032"/>
      <c r="AR122" s="1067"/>
      <c r="AS122" s="1070"/>
      <c r="AT122" s="1067"/>
      <c r="AU122" s="1070"/>
      <c r="AV122" s="1067"/>
      <c r="AW122" s="1070"/>
      <c r="AX122" s="1070"/>
      <c r="AY122" s="1073"/>
    </row>
    <row r="123" spans="1:51" ht="24.75" customHeight="1" thickBot="1" x14ac:dyDescent="0.3">
      <c r="A123" s="1047"/>
      <c r="B123" s="1049"/>
      <c r="C123" s="1053"/>
      <c r="D123" s="215" t="s">
        <v>112</v>
      </c>
      <c r="E123" s="287">
        <v>86303864</v>
      </c>
      <c r="F123" s="264"/>
      <c r="G123" s="532">
        <v>86303864</v>
      </c>
      <c r="H123" s="260">
        <v>86303864</v>
      </c>
      <c r="I123" s="620">
        <v>86303864</v>
      </c>
      <c r="J123" s="260">
        <v>86303864</v>
      </c>
      <c r="K123" s="260">
        <v>86303864</v>
      </c>
      <c r="L123" s="261"/>
      <c r="M123" s="261"/>
      <c r="N123" s="261"/>
      <c r="O123" s="261"/>
      <c r="P123" s="261"/>
      <c r="Q123" s="261"/>
      <c r="R123" s="261"/>
      <c r="S123" s="1056"/>
      <c r="T123" s="628">
        <v>24485804.416403785</v>
      </c>
      <c r="U123" s="220">
        <v>47609475.524822898</v>
      </c>
      <c r="V123" s="629">
        <v>54703828.465999365</v>
      </c>
      <c r="W123" s="220">
        <v>54703828.465999365</v>
      </c>
      <c r="X123" s="260">
        <v>55049157.864221588</v>
      </c>
      <c r="Y123" s="220"/>
      <c r="Z123" s="220"/>
      <c r="AA123" s="220"/>
      <c r="AB123" s="220"/>
      <c r="AC123" s="220"/>
      <c r="AD123" s="221"/>
      <c r="AE123" s="189"/>
      <c r="AF123" s="1084"/>
      <c r="AG123" s="1093"/>
      <c r="AH123" s="1033"/>
      <c r="AI123" s="1033"/>
      <c r="AJ123" s="1036"/>
      <c r="AK123" s="1090"/>
      <c r="AL123" s="1033"/>
      <c r="AM123" s="1033"/>
      <c r="AN123" s="1071"/>
      <c r="AO123" s="1071"/>
      <c r="AP123" s="1071"/>
      <c r="AQ123" s="1033"/>
      <c r="AR123" s="1068"/>
      <c r="AS123" s="1071"/>
      <c r="AT123" s="1068"/>
      <c r="AU123" s="1071"/>
      <c r="AV123" s="1068"/>
      <c r="AW123" s="1071"/>
      <c r="AX123" s="1071"/>
      <c r="AY123" s="1074"/>
    </row>
    <row r="124" spans="1:51" ht="24.75" customHeight="1" x14ac:dyDescent="0.25">
      <c r="A124" s="1047"/>
      <c r="B124" s="1049"/>
      <c r="C124" s="1051" t="s">
        <v>421</v>
      </c>
      <c r="D124" s="214" t="s">
        <v>402</v>
      </c>
      <c r="E124" s="603">
        <v>863</v>
      </c>
      <c r="F124" s="604"/>
      <c r="G124" s="605">
        <v>863</v>
      </c>
      <c r="H124" s="606">
        <v>863</v>
      </c>
      <c r="I124" s="607">
        <v>863</v>
      </c>
      <c r="J124" s="608">
        <v>1184</v>
      </c>
      <c r="K124" s="608">
        <v>1649</v>
      </c>
      <c r="L124" s="609"/>
      <c r="M124" s="609"/>
      <c r="N124" s="609"/>
      <c r="O124" s="609"/>
      <c r="P124" s="609"/>
      <c r="Q124" s="609"/>
      <c r="R124" s="608"/>
      <c r="S124" s="1054"/>
      <c r="T124" s="632">
        <v>84</v>
      </c>
      <c r="U124" s="608">
        <v>418</v>
      </c>
      <c r="V124" s="609">
        <v>689</v>
      </c>
      <c r="W124" s="608">
        <v>1184</v>
      </c>
      <c r="X124" s="608">
        <v>1649</v>
      </c>
      <c r="Y124" s="608"/>
      <c r="Z124" s="608"/>
      <c r="AA124" s="608"/>
      <c r="AB124" s="608"/>
      <c r="AC124" s="608"/>
      <c r="AD124" s="630"/>
      <c r="AE124" s="626"/>
      <c r="AF124" s="1082"/>
      <c r="AG124" s="1091" t="s">
        <v>422</v>
      </c>
      <c r="AH124" s="1031" t="s">
        <v>81</v>
      </c>
      <c r="AI124" s="1031" t="s">
        <v>81</v>
      </c>
      <c r="AJ124" s="1034" t="s">
        <v>403</v>
      </c>
      <c r="AK124" s="1088" t="s">
        <v>423</v>
      </c>
      <c r="AL124" s="1031" t="s">
        <v>81</v>
      </c>
      <c r="AM124" s="1031" t="s">
        <v>404</v>
      </c>
      <c r="AN124" s="1069">
        <v>8002180</v>
      </c>
      <c r="AO124" s="1069">
        <v>3831130</v>
      </c>
      <c r="AP124" s="1069">
        <v>4171050</v>
      </c>
      <c r="AQ124" s="1031" t="s">
        <v>81</v>
      </c>
      <c r="AR124" s="1066" t="s">
        <v>162</v>
      </c>
      <c r="AS124" s="1069">
        <v>8002180</v>
      </c>
      <c r="AT124" s="1066" t="s">
        <v>162</v>
      </c>
      <c r="AU124" s="1069">
        <v>8002180</v>
      </c>
      <c r="AV124" s="1066" t="s">
        <v>405</v>
      </c>
      <c r="AW124" s="1069">
        <v>8002180</v>
      </c>
      <c r="AX124" s="1069">
        <v>8002180</v>
      </c>
      <c r="AY124" s="1072"/>
    </row>
    <row r="125" spans="1:51" ht="24.75" customHeight="1" x14ac:dyDescent="0.25">
      <c r="A125" s="1047"/>
      <c r="B125" s="1049"/>
      <c r="C125" s="1052"/>
      <c r="D125" s="168" t="s">
        <v>406</v>
      </c>
      <c r="E125" s="286">
        <v>1896599117</v>
      </c>
      <c r="F125" s="263"/>
      <c r="G125" s="531">
        <v>1896599117</v>
      </c>
      <c r="H125" s="216">
        <v>1896599117</v>
      </c>
      <c r="I125" s="612">
        <v>1896599117</v>
      </c>
      <c r="J125" s="633">
        <v>1896599117</v>
      </c>
      <c r="K125" s="633">
        <v>1896599117</v>
      </c>
      <c r="L125" s="217"/>
      <c r="M125" s="217"/>
      <c r="N125" s="217"/>
      <c r="O125" s="217"/>
      <c r="P125" s="217"/>
      <c r="Q125" s="217"/>
      <c r="R125" s="217"/>
      <c r="S125" s="1055"/>
      <c r="T125" s="635">
        <v>16454460.5678233</v>
      </c>
      <c r="U125" s="613">
        <v>200342702.239537</v>
      </c>
      <c r="V125" s="614">
        <v>264428357.14149779</v>
      </c>
      <c r="W125" s="217">
        <v>434059688.1600163</v>
      </c>
      <c r="X125" s="633">
        <v>441706267.69207978</v>
      </c>
      <c r="Y125" s="217"/>
      <c r="Z125" s="217"/>
      <c r="AA125" s="217"/>
      <c r="AB125" s="217"/>
      <c r="AC125" s="217"/>
      <c r="AD125" s="218"/>
      <c r="AE125" s="188"/>
      <c r="AF125" s="1083"/>
      <c r="AG125" s="1092"/>
      <c r="AH125" s="1032"/>
      <c r="AI125" s="1032"/>
      <c r="AJ125" s="1035"/>
      <c r="AK125" s="1089"/>
      <c r="AL125" s="1032"/>
      <c r="AM125" s="1032"/>
      <c r="AN125" s="1070"/>
      <c r="AO125" s="1070"/>
      <c r="AP125" s="1070"/>
      <c r="AQ125" s="1032"/>
      <c r="AR125" s="1067"/>
      <c r="AS125" s="1070"/>
      <c r="AT125" s="1067"/>
      <c r="AU125" s="1070"/>
      <c r="AV125" s="1067"/>
      <c r="AW125" s="1070"/>
      <c r="AX125" s="1070"/>
      <c r="AY125" s="1073"/>
    </row>
    <row r="126" spans="1:51" ht="24.75" customHeight="1" x14ac:dyDescent="0.25">
      <c r="A126" s="1047"/>
      <c r="B126" s="1049"/>
      <c r="C126" s="1052"/>
      <c r="D126" s="167" t="s">
        <v>407</v>
      </c>
      <c r="E126" s="615"/>
      <c r="F126" s="616"/>
      <c r="G126" s="617"/>
      <c r="H126" s="613"/>
      <c r="I126" s="614"/>
      <c r="J126" s="613"/>
      <c r="K126" s="613"/>
      <c r="L126" s="613"/>
      <c r="M126" s="613"/>
      <c r="N126" s="613"/>
      <c r="O126" s="613"/>
      <c r="P126" s="613"/>
      <c r="Q126" s="613"/>
      <c r="R126" s="613"/>
      <c r="S126" s="1055"/>
      <c r="T126" s="617"/>
      <c r="U126" s="613">
        <v>0</v>
      </c>
      <c r="V126" s="614">
        <v>0</v>
      </c>
      <c r="W126" s="613">
        <v>0</v>
      </c>
      <c r="X126" s="613">
        <v>0</v>
      </c>
      <c r="Y126" s="613"/>
      <c r="Z126" s="613"/>
      <c r="AA126" s="613"/>
      <c r="AB126" s="613"/>
      <c r="AC126" s="613"/>
      <c r="AD126" s="618"/>
      <c r="AE126" s="627"/>
      <c r="AF126" s="1083"/>
      <c r="AG126" s="1092"/>
      <c r="AH126" s="1032"/>
      <c r="AI126" s="1032"/>
      <c r="AJ126" s="1035"/>
      <c r="AK126" s="1089"/>
      <c r="AL126" s="1032"/>
      <c r="AM126" s="1032"/>
      <c r="AN126" s="1070"/>
      <c r="AO126" s="1070"/>
      <c r="AP126" s="1070"/>
      <c r="AQ126" s="1032"/>
      <c r="AR126" s="1067"/>
      <c r="AS126" s="1070"/>
      <c r="AT126" s="1067"/>
      <c r="AU126" s="1070"/>
      <c r="AV126" s="1067"/>
      <c r="AW126" s="1070"/>
      <c r="AX126" s="1070"/>
      <c r="AY126" s="1073"/>
    </row>
    <row r="127" spans="1:51" ht="24.75" customHeight="1" x14ac:dyDescent="0.25">
      <c r="A127" s="1047"/>
      <c r="B127" s="1049"/>
      <c r="C127" s="1052"/>
      <c r="D127" s="168" t="s">
        <v>110</v>
      </c>
      <c r="E127" s="615">
        <v>501679238</v>
      </c>
      <c r="F127" s="616"/>
      <c r="G127" s="617">
        <v>501679238</v>
      </c>
      <c r="H127" s="613">
        <v>501679238</v>
      </c>
      <c r="I127" s="614">
        <v>501679238</v>
      </c>
      <c r="J127" s="613">
        <v>501679238</v>
      </c>
      <c r="K127" s="613">
        <v>501679238</v>
      </c>
      <c r="L127" s="613"/>
      <c r="M127" s="613"/>
      <c r="N127" s="613"/>
      <c r="O127" s="613"/>
      <c r="P127" s="613"/>
      <c r="Q127" s="613"/>
      <c r="R127" s="613"/>
      <c r="S127" s="1055"/>
      <c r="T127" s="617"/>
      <c r="U127" s="613">
        <v>294536016.7019583</v>
      </c>
      <c r="V127" s="614">
        <v>294536016.7019583</v>
      </c>
      <c r="W127" s="613">
        <v>294536016.7019583</v>
      </c>
      <c r="X127" s="613">
        <v>294536016.7019583</v>
      </c>
      <c r="Y127" s="613"/>
      <c r="Z127" s="613"/>
      <c r="AA127" s="613"/>
      <c r="AB127" s="613"/>
      <c r="AC127" s="613"/>
      <c r="AD127" s="618"/>
      <c r="AE127" s="627"/>
      <c r="AF127" s="1083"/>
      <c r="AG127" s="1092"/>
      <c r="AH127" s="1032"/>
      <c r="AI127" s="1032"/>
      <c r="AJ127" s="1035"/>
      <c r="AK127" s="1089"/>
      <c r="AL127" s="1032"/>
      <c r="AM127" s="1032"/>
      <c r="AN127" s="1070"/>
      <c r="AO127" s="1070"/>
      <c r="AP127" s="1070"/>
      <c r="AQ127" s="1032"/>
      <c r="AR127" s="1067"/>
      <c r="AS127" s="1070"/>
      <c r="AT127" s="1067"/>
      <c r="AU127" s="1070"/>
      <c r="AV127" s="1067"/>
      <c r="AW127" s="1070"/>
      <c r="AX127" s="1070"/>
      <c r="AY127" s="1073"/>
    </row>
    <row r="128" spans="1:51" ht="24.75" customHeight="1" x14ac:dyDescent="0.25">
      <c r="A128" s="1047"/>
      <c r="B128" s="1049"/>
      <c r="C128" s="1052"/>
      <c r="D128" s="167" t="s">
        <v>408</v>
      </c>
      <c r="E128" s="615">
        <v>863</v>
      </c>
      <c r="F128" s="616"/>
      <c r="G128" s="617">
        <v>863</v>
      </c>
      <c r="H128" s="613">
        <v>863</v>
      </c>
      <c r="I128" s="614">
        <v>863</v>
      </c>
      <c r="J128" s="613">
        <v>1184</v>
      </c>
      <c r="K128" s="613">
        <v>1649</v>
      </c>
      <c r="L128" s="613"/>
      <c r="M128" s="613"/>
      <c r="N128" s="613"/>
      <c r="O128" s="613"/>
      <c r="P128" s="613"/>
      <c r="Q128" s="613"/>
      <c r="R128" s="613"/>
      <c r="S128" s="1055"/>
      <c r="T128" s="617">
        <v>84</v>
      </c>
      <c r="U128" s="613">
        <v>418</v>
      </c>
      <c r="V128" s="614">
        <v>689</v>
      </c>
      <c r="W128" s="613">
        <v>1184</v>
      </c>
      <c r="X128" s="613">
        <v>1649</v>
      </c>
      <c r="Y128" s="613"/>
      <c r="Z128" s="613"/>
      <c r="AA128" s="613"/>
      <c r="AB128" s="613"/>
      <c r="AC128" s="613"/>
      <c r="AD128" s="618"/>
      <c r="AE128" s="627"/>
      <c r="AF128" s="1083"/>
      <c r="AG128" s="1092"/>
      <c r="AH128" s="1032"/>
      <c r="AI128" s="1032"/>
      <c r="AJ128" s="1035"/>
      <c r="AK128" s="1089"/>
      <c r="AL128" s="1032"/>
      <c r="AM128" s="1032"/>
      <c r="AN128" s="1070"/>
      <c r="AO128" s="1070"/>
      <c r="AP128" s="1070"/>
      <c r="AQ128" s="1032"/>
      <c r="AR128" s="1067"/>
      <c r="AS128" s="1070"/>
      <c r="AT128" s="1067"/>
      <c r="AU128" s="1070"/>
      <c r="AV128" s="1067"/>
      <c r="AW128" s="1070"/>
      <c r="AX128" s="1070"/>
      <c r="AY128" s="1073"/>
    </row>
    <row r="129" spans="1:52" ht="24.75" customHeight="1" thickBot="1" x14ac:dyDescent="0.3">
      <c r="A129" s="1047"/>
      <c r="B129" s="1049"/>
      <c r="C129" s="1053"/>
      <c r="D129" s="215" t="s">
        <v>112</v>
      </c>
      <c r="E129" s="287">
        <v>1896599117</v>
      </c>
      <c r="F129" s="264"/>
      <c r="G129" s="532">
        <v>1896599117</v>
      </c>
      <c r="H129" s="260">
        <v>1896599117</v>
      </c>
      <c r="I129" s="620">
        <v>1896599117</v>
      </c>
      <c r="J129" s="260">
        <v>1896599117</v>
      </c>
      <c r="K129" s="260">
        <v>1896599117</v>
      </c>
      <c r="L129" s="261"/>
      <c r="M129" s="261"/>
      <c r="N129" s="261"/>
      <c r="O129" s="261"/>
      <c r="P129" s="261"/>
      <c r="Q129" s="261"/>
      <c r="R129" s="261"/>
      <c r="S129" s="1056"/>
      <c r="T129" s="628">
        <v>16454460.5678233</v>
      </c>
      <c r="U129" s="220">
        <v>200342702.239537</v>
      </c>
      <c r="V129" s="629">
        <v>264428357.14149779</v>
      </c>
      <c r="W129" s="220">
        <v>264428357.14149779</v>
      </c>
      <c r="X129" s="260">
        <v>272074936.67356128</v>
      </c>
      <c r="Y129" s="220"/>
      <c r="Z129" s="220"/>
      <c r="AA129" s="220"/>
      <c r="AB129" s="220"/>
      <c r="AC129" s="220"/>
      <c r="AD129" s="221"/>
      <c r="AE129" s="189"/>
      <c r="AF129" s="1084"/>
      <c r="AG129" s="1093"/>
      <c r="AH129" s="1033"/>
      <c r="AI129" s="1033"/>
      <c r="AJ129" s="1036"/>
      <c r="AK129" s="1090"/>
      <c r="AL129" s="1033"/>
      <c r="AM129" s="1033"/>
      <c r="AN129" s="1071"/>
      <c r="AO129" s="1071"/>
      <c r="AP129" s="1071"/>
      <c r="AQ129" s="1033"/>
      <c r="AR129" s="1068"/>
      <c r="AS129" s="1071"/>
      <c r="AT129" s="1068"/>
      <c r="AU129" s="1071"/>
      <c r="AV129" s="1068"/>
      <c r="AW129" s="1071"/>
      <c r="AX129" s="1071"/>
      <c r="AY129" s="1074"/>
    </row>
    <row r="130" spans="1:52" ht="24.75" customHeight="1" x14ac:dyDescent="0.25">
      <c r="A130" s="1047"/>
      <c r="B130" s="1049"/>
      <c r="C130" s="1051" t="s">
        <v>424</v>
      </c>
      <c r="D130" s="214" t="s">
        <v>402</v>
      </c>
      <c r="E130" s="636">
        <f>+E10+E16+E22+E28+E34+E40+E46+E52+E58+E64+E70+E76+E82+E88+E94+E100+E106+E112+E118+E124</f>
        <v>8250</v>
      </c>
      <c r="F130" s="637"/>
      <c r="G130" s="638">
        <v>8250</v>
      </c>
      <c r="H130" s="639">
        <v>8250</v>
      </c>
      <c r="I130" s="607">
        <v>8250</v>
      </c>
      <c r="J130" s="608">
        <v>8250</v>
      </c>
      <c r="K130" s="608">
        <v>8285</v>
      </c>
      <c r="L130" s="609"/>
      <c r="M130" s="609"/>
      <c r="N130" s="609"/>
      <c r="O130" s="609"/>
      <c r="P130" s="609"/>
      <c r="Q130" s="609"/>
      <c r="R130" s="608"/>
      <c r="S130" s="1054"/>
      <c r="T130" s="640">
        <v>1585</v>
      </c>
      <c r="U130" s="641">
        <v>3236</v>
      </c>
      <c r="V130" s="642">
        <v>4766</v>
      </c>
      <c r="W130" s="643">
        <v>6710</v>
      </c>
      <c r="X130" s="608">
        <v>8285</v>
      </c>
      <c r="Y130" s="644"/>
      <c r="Z130" s="644"/>
      <c r="AA130" s="644"/>
      <c r="AB130" s="644"/>
      <c r="AC130" s="644"/>
      <c r="AD130" s="645"/>
      <c r="AE130" s="646"/>
      <c r="AF130" s="1082"/>
      <c r="AG130" s="1085" t="s">
        <v>423</v>
      </c>
      <c r="AH130" s="1063" t="s">
        <v>81</v>
      </c>
      <c r="AI130" s="1063" t="s">
        <v>81</v>
      </c>
      <c r="AJ130" s="1063" t="s">
        <v>81</v>
      </c>
      <c r="AK130" s="1063" t="s">
        <v>423</v>
      </c>
      <c r="AL130" s="1063" t="s">
        <v>81</v>
      </c>
      <c r="AM130" s="1031" t="s">
        <v>404</v>
      </c>
      <c r="AN130" s="1040">
        <v>8002180</v>
      </c>
      <c r="AO130" s="1040">
        <v>3831130</v>
      </c>
      <c r="AP130" s="1040">
        <v>4171050</v>
      </c>
      <c r="AQ130" s="1063" t="s">
        <v>81</v>
      </c>
      <c r="AR130" s="1063" t="s">
        <v>162</v>
      </c>
      <c r="AS130" s="1040">
        <v>8002180</v>
      </c>
      <c r="AT130" s="1063" t="s">
        <v>162</v>
      </c>
      <c r="AU130" s="1040">
        <v>8002180</v>
      </c>
      <c r="AV130" s="1034" t="s">
        <v>405</v>
      </c>
      <c r="AW130" s="1040">
        <v>8002180</v>
      </c>
      <c r="AX130" s="1040">
        <v>8002180</v>
      </c>
      <c r="AY130" s="1043"/>
    </row>
    <row r="131" spans="1:52" ht="24.75" customHeight="1" x14ac:dyDescent="0.25">
      <c r="A131" s="1047"/>
      <c r="B131" s="1049"/>
      <c r="C131" s="1052"/>
      <c r="D131" s="168" t="s">
        <v>107</v>
      </c>
      <c r="E131" s="288">
        <f>+E11+E17+E23+E29+E35+E41+E47+E53+E59+E65+E71+E77+E83+E89+E95+E101+E107+E113+E119+E125</f>
        <v>6232912000</v>
      </c>
      <c r="F131" s="268"/>
      <c r="G131" s="533">
        <v>6232912000</v>
      </c>
      <c r="H131" s="228">
        <v>6232912000</v>
      </c>
      <c r="I131" s="612">
        <v>6232912000</v>
      </c>
      <c r="J131" s="633">
        <v>6232912000</v>
      </c>
      <c r="K131" s="633">
        <v>6232912000</v>
      </c>
      <c r="L131" s="217"/>
      <c r="M131" s="217"/>
      <c r="N131" s="217"/>
      <c r="O131" s="217"/>
      <c r="P131" s="217"/>
      <c r="Q131" s="217"/>
      <c r="R131" s="217"/>
      <c r="S131" s="1055"/>
      <c r="T131" s="647">
        <v>310480000</v>
      </c>
      <c r="U131" s="648">
        <v>1219460499.9999993</v>
      </c>
      <c r="V131" s="649">
        <v>1581272499.9999993</v>
      </c>
      <c r="W131" s="650">
        <v>2247460999.999999</v>
      </c>
      <c r="X131" s="633">
        <f>+[4]INVERSIÓN!EQ11</f>
        <v>2635956573</v>
      </c>
      <c r="Y131" s="222"/>
      <c r="Z131" s="222"/>
      <c r="AA131" s="222"/>
      <c r="AB131" s="222"/>
      <c r="AC131" s="222"/>
      <c r="AD131" s="223"/>
      <c r="AE131" s="183"/>
      <c r="AF131" s="1083"/>
      <c r="AG131" s="1086"/>
      <c r="AH131" s="1064"/>
      <c r="AI131" s="1064"/>
      <c r="AJ131" s="1064"/>
      <c r="AK131" s="1064"/>
      <c r="AL131" s="1064"/>
      <c r="AM131" s="1032"/>
      <c r="AN131" s="1041"/>
      <c r="AO131" s="1041"/>
      <c r="AP131" s="1041"/>
      <c r="AQ131" s="1064"/>
      <c r="AR131" s="1064"/>
      <c r="AS131" s="1041"/>
      <c r="AT131" s="1064"/>
      <c r="AU131" s="1041"/>
      <c r="AV131" s="1035"/>
      <c r="AW131" s="1041"/>
      <c r="AX131" s="1041"/>
      <c r="AY131" s="1044"/>
    </row>
    <row r="132" spans="1:52" ht="24.75" customHeight="1" x14ac:dyDescent="0.25">
      <c r="A132" s="1047"/>
      <c r="B132" s="1049"/>
      <c r="C132" s="1052"/>
      <c r="D132" s="167" t="s">
        <v>109</v>
      </c>
      <c r="E132" s="651">
        <f t="shared" ref="E132:E134" si="0">+E12+E18+E24+E30+E36+E42+E48+E54+E60+E66+E72+E78+E84+E90+E96+E102+E108+E114+E120+E126</f>
        <v>0</v>
      </c>
      <c r="F132" s="652"/>
      <c r="G132" s="653">
        <v>0</v>
      </c>
      <c r="H132" s="648">
        <v>0</v>
      </c>
      <c r="I132" s="614">
        <v>0</v>
      </c>
      <c r="J132" s="613">
        <v>0</v>
      </c>
      <c r="K132" s="613">
        <v>0</v>
      </c>
      <c r="L132" s="613"/>
      <c r="M132" s="613"/>
      <c r="N132" s="613"/>
      <c r="O132" s="613"/>
      <c r="P132" s="613"/>
      <c r="Q132" s="613"/>
      <c r="R132" s="613"/>
      <c r="S132" s="1055"/>
      <c r="T132" s="653">
        <v>0</v>
      </c>
      <c r="U132" s="648">
        <v>0</v>
      </c>
      <c r="V132" s="654">
        <v>0</v>
      </c>
      <c r="W132" s="229">
        <v>0</v>
      </c>
      <c r="X132" s="613">
        <v>0</v>
      </c>
      <c r="Y132" s="224"/>
      <c r="Z132" s="224"/>
      <c r="AA132" s="224"/>
      <c r="AB132" s="224"/>
      <c r="AC132" s="224"/>
      <c r="AD132" s="225"/>
      <c r="AE132" s="184"/>
      <c r="AF132" s="1083"/>
      <c r="AG132" s="1086"/>
      <c r="AH132" s="1064"/>
      <c r="AI132" s="1064"/>
      <c r="AJ132" s="1064"/>
      <c r="AK132" s="1064"/>
      <c r="AL132" s="1064"/>
      <c r="AM132" s="1032"/>
      <c r="AN132" s="1041"/>
      <c r="AO132" s="1041"/>
      <c r="AP132" s="1041"/>
      <c r="AQ132" s="1064"/>
      <c r="AR132" s="1064"/>
      <c r="AS132" s="1041"/>
      <c r="AT132" s="1064"/>
      <c r="AU132" s="1041"/>
      <c r="AV132" s="1035"/>
      <c r="AW132" s="1041"/>
      <c r="AX132" s="1041"/>
      <c r="AY132" s="1044"/>
    </row>
    <row r="133" spans="1:52" ht="24.75" customHeight="1" x14ac:dyDescent="0.25">
      <c r="A133" s="1047"/>
      <c r="B133" s="1049"/>
      <c r="C133" s="1052"/>
      <c r="D133" s="168" t="s">
        <v>110</v>
      </c>
      <c r="E133" s="651">
        <v>501679238</v>
      </c>
      <c r="F133" s="652"/>
      <c r="G133" s="653">
        <v>501679238</v>
      </c>
      <c r="H133" s="648">
        <v>501679238</v>
      </c>
      <c r="I133" s="614">
        <v>501679238</v>
      </c>
      <c r="J133" s="613">
        <v>501679238</v>
      </c>
      <c r="K133" s="613">
        <v>501679238</v>
      </c>
      <c r="L133" s="613"/>
      <c r="M133" s="613"/>
      <c r="N133" s="613"/>
      <c r="O133" s="613"/>
      <c r="P133" s="613"/>
      <c r="Q133" s="613"/>
      <c r="R133" s="613"/>
      <c r="S133" s="1055"/>
      <c r="T133" s="653">
        <v>70405099</v>
      </c>
      <c r="U133" s="648">
        <v>294536016.7019583</v>
      </c>
      <c r="V133" s="655">
        <v>424781474.84934187</v>
      </c>
      <c r="W133" s="229">
        <v>476936237</v>
      </c>
      <c r="X133" s="613">
        <f>+[4]INVERSIÓN!EQ14</f>
        <v>476936237</v>
      </c>
      <c r="Y133" s="224"/>
      <c r="Z133" s="224"/>
      <c r="AA133" s="224"/>
      <c r="AB133" s="224"/>
      <c r="AC133" s="224"/>
      <c r="AD133" s="225"/>
      <c r="AE133" s="184"/>
      <c r="AF133" s="1083"/>
      <c r="AG133" s="1086"/>
      <c r="AH133" s="1064"/>
      <c r="AI133" s="1064"/>
      <c r="AJ133" s="1064"/>
      <c r="AK133" s="1064"/>
      <c r="AL133" s="1064"/>
      <c r="AM133" s="1032"/>
      <c r="AN133" s="1041"/>
      <c r="AO133" s="1041"/>
      <c r="AP133" s="1041"/>
      <c r="AQ133" s="1064"/>
      <c r="AR133" s="1064"/>
      <c r="AS133" s="1041"/>
      <c r="AT133" s="1064"/>
      <c r="AU133" s="1041"/>
      <c r="AV133" s="1035"/>
      <c r="AW133" s="1041"/>
      <c r="AX133" s="1041"/>
      <c r="AY133" s="1044"/>
    </row>
    <row r="134" spans="1:52" ht="24.75" customHeight="1" x14ac:dyDescent="0.25">
      <c r="A134" s="1047"/>
      <c r="B134" s="1049"/>
      <c r="C134" s="1052"/>
      <c r="D134" s="167" t="s">
        <v>111</v>
      </c>
      <c r="E134" s="651">
        <f t="shared" si="0"/>
        <v>8250</v>
      </c>
      <c r="F134" s="652"/>
      <c r="G134" s="653">
        <v>8250</v>
      </c>
      <c r="H134" s="648">
        <v>8250</v>
      </c>
      <c r="I134" s="614">
        <v>8250</v>
      </c>
      <c r="J134" s="613">
        <v>8250</v>
      </c>
      <c r="K134" s="613">
        <v>8285</v>
      </c>
      <c r="L134" s="613"/>
      <c r="M134" s="613"/>
      <c r="N134" s="613"/>
      <c r="O134" s="613"/>
      <c r="P134" s="613"/>
      <c r="Q134" s="613"/>
      <c r="R134" s="613"/>
      <c r="S134" s="1055"/>
      <c r="T134" s="653">
        <v>1585</v>
      </c>
      <c r="U134" s="648">
        <v>3236</v>
      </c>
      <c r="V134" s="654">
        <v>4766</v>
      </c>
      <c r="W134" s="229">
        <v>6710</v>
      </c>
      <c r="X134" s="613">
        <f>+[4]INVERSIÓN!EQ15</f>
        <v>8285</v>
      </c>
      <c r="Y134" s="224"/>
      <c r="Z134" s="224"/>
      <c r="AA134" s="224"/>
      <c r="AB134" s="224"/>
      <c r="AC134" s="224"/>
      <c r="AD134" s="225"/>
      <c r="AE134" s="184"/>
      <c r="AF134" s="1083"/>
      <c r="AG134" s="1086"/>
      <c r="AH134" s="1064"/>
      <c r="AI134" s="1064"/>
      <c r="AJ134" s="1064"/>
      <c r="AK134" s="1064"/>
      <c r="AL134" s="1064"/>
      <c r="AM134" s="1032"/>
      <c r="AN134" s="1041"/>
      <c r="AO134" s="1041"/>
      <c r="AP134" s="1041"/>
      <c r="AQ134" s="1064"/>
      <c r="AR134" s="1064"/>
      <c r="AS134" s="1041"/>
      <c r="AT134" s="1064"/>
      <c r="AU134" s="1041"/>
      <c r="AV134" s="1035"/>
      <c r="AW134" s="1041"/>
      <c r="AX134" s="1041"/>
      <c r="AY134" s="1044"/>
    </row>
    <row r="135" spans="1:52" ht="24.75" customHeight="1" thickBot="1" x14ac:dyDescent="0.3">
      <c r="A135" s="1094"/>
      <c r="B135" s="1050"/>
      <c r="C135" s="1053"/>
      <c r="D135" s="215" t="s">
        <v>112</v>
      </c>
      <c r="E135" s="289">
        <v>6734591238</v>
      </c>
      <c r="F135" s="269"/>
      <c r="G135" s="534">
        <v>6734591238</v>
      </c>
      <c r="H135" s="230">
        <v>6734591238</v>
      </c>
      <c r="I135" s="620">
        <v>6734591238</v>
      </c>
      <c r="J135" s="260">
        <v>6734591238</v>
      </c>
      <c r="K135" s="260">
        <v>6734591238</v>
      </c>
      <c r="L135" s="261"/>
      <c r="M135" s="261"/>
      <c r="N135" s="261"/>
      <c r="O135" s="261"/>
      <c r="P135" s="261"/>
      <c r="Q135" s="261"/>
      <c r="R135" s="261"/>
      <c r="S135" s="1056"/>
      <c r="T135" s="656">
        <v>310480000</v>
      </c>
      <c r="U135" s="657">
        <v>1513996516.7019577</v>
      </c>
      <c r="V135" s="658">
        <v>2006053974.8493412</v>
      </c>
      <c r="W135" s="230">
        <v>2724397236.999999</v>
      </c>
      <c r="X135" s="260">
        <f>+[4]INVERSIÓN!EQ16</f>
        <v>3112892810</v>
      </c>
      <c r="Y135" s="226"/>
      <c r="Z135" s="226"/>
      <c r="AA135" s="226"/>
      <c r="AB135" s="226"/>
      <c r="AC135" s="226"/>
      <c r="AD135" s="227"/>
      <c r="AE135" s="185"/>
      <c r="AF135" s="1084"/>
      <c r="AG135" s="1087"/>
      <c r="AH135" s="1065"/>
      <c r="AI135" s="1065"/>
      <c r="AJ135" s="1065"/>
      <c r="AK135" s="1065"/>
      <c r="AL135" s="1065"/>
      <c r="AM135" s="1033"/>
      <c r="AN135" s="1042"/>
      <c r="AO135" s="1042"/>
      <c r="AP135" s="1042"/>
      <c r="AQ135" s="1065"/>
      <c r="AR135" s="1065"/>
      <c r="AS135" s="1042"/>
      <c r="AT135" s="1065"/>
      <c r="AU135" s="1042"/>
      <c r="AV135" s="1036"/>
      <c r="AW135" s="1042"/>
      <c r="AX135" s="1042"/>
      <c r="AY135" s="1045"/>
    </row>
    <row r="136" spans="1:52" ht="24.75" customHeight="1" x14ac:dyDescent="0.25">
      <c r="A136" s="1046">
        <v>2</v>
      </c>
      <c r="B136" s="1048" t="s">
        <v>113</v>
      </c>
      <c r="C136" s="1051" t="s">
        <v>337</v>
      </c>
      <c r="D136" s="214" t="s">
        <v>106</v>
      </c>
      <c r="E136" s="636">
        <v>2</v>
      </c>
      <c r="F136" s="637"/>
      <c r="G136" s="638">
        <v>2</v>
      </c>
      <c r="H136" s="639">
        <v>2</v>
      </c>
      <c r="I136" s="659">
        <v>2</v>
      </c>
      <c r="J136" s="608">
        <v>2</v>
      </c>
      <c r="K136" s="608">
        <v>2</v>
      </c>
      <c r="L136" s="609"/>
      <c r="M136" s="609"/>
      <c r="N136" s="609"/>
      <c r="O136" s="609"/>
      <c r="P136" s="609"/>
      <c r="Q136" s="609"/>
      <c r="R136" s="608"/>
      <c r="S136" s="1054"/>
      <c r="T136" s="640">
        <v>0.1</v>
      </c>
      <c r="U136" s="641">
        <v>0.2</v>
      </c>
      <c r="V136" s="660">
        <v>0.4</v>
      </c>
      <c r="W136" s="661">
        <v>0.5</v>
      </c>
      <c r="X136" s="608">
        <f>+[4]INVERSIÓN!EQ17</f>
        <v>1.3</v>
      </c>
      <c r="Y136" s="662"/>
      <c r="Z136" s="662"/>
      <c r="AA136" s="662"/>
      <c r="AB136" s="662"/>
      <c r="AC136" s="662"/>
      <c r="AD136" s="663"/>
      <c r="AE136" s="664"/>
      <c r="AF136" s="1057"/>
      <c r="AG136" s="1091" t="s">
        <v>160</v>
      </c>
      <c r="AH136" s="1031" t="s">
        <v>81</v>
      </c>
      <c r="AI136" s="1031" t="s">
        <v>81</v>
      </c>
      <c r="AJ136" s="1034" t="s">
        <v>355</v>
      </c>
      <c r="AK136" s="1088" t="s">
        <v>160</v>
      </c>
      <c r="AL136" s="1031" t="s">
        <v>81</v>
      </c>
      <c r="AM136" s="1031" t="s">
        <v>161</v>
      </c>
      <c r="AN136" s="1025">
        <v>8002180</v>
      </c>
      <c r="AO136" s="1025">
        <v>3831130</v>
      </c>
      <c r="AP136" s="1025">
        <v>4171050</v>
      </c>
      <c r="AQ136" s="1025" t="s">
        <v>81</v>
      </c>
      <c r="AR136" s="1025" t="s">
        <v>162</v>
      </c>
      <c r="AS136" s="1025">
        <v>8002180</v>
      </c>
      <c r="AT136" s="1025" t="s">
        <v>162</v>
      </c>
      <c r="AU136" s="1025">
        <v>8002180</v>
      </c>
      <c r="AV136" s="1025" t="s">
        <v>163</v>
      </c>
      <c r="AW136" s="1025">
        <v>8002180</v>
      </c>
      <c r="AX136" s="1025">
        <v>8002180</v>
      </c>
      <c r="AY136" s="1028"/>
      <c r="AZ136" s="429"/>
    </row>
    <row r="137" spans="1:52" ht="24.75" customHeight="1" x14ac:dyDescent="0.25">
      <c r="A137" s="1047"/>
      <c r="B137" s="1049"/>
      <c r="C137" s="1052"/>
      <c r="D137" s="168" t="s">
        <v>107</v>
      </c>
      <c r="E137" s="288">
        <v>106920000</v>
      </c>
      <c r="F137" s="268"/>
      <c r="G137" s="533">
        <v>106920000</v>
      </c>
      <c r="H137" s="228">
        <v>106920000</v>
      </c>
      <c r="I137" s="665">
        <v>106920000</v>
      </c>
      <c r="J137" s="633">
        <v>106920000</v>
      </c>
      <c r="K137" s="633">
        <v>106920000</v>
      </c>
      <c r="L137" s="217"/>
      <c r="M137" s="217"/>
      <c r="N137" s="217"/>
      <c r="O137" s="217"/>
      <c r="P137" s="217"/>
      <c r="Q137" s="217"/>
      <c r="R137" s="217"/>
      <c r="S137" s="1055"/>
      <c r="T137" s="647">
        <v>0</v>
      </c>
      <c r="U137" s="648">
        <v>8818000</v>
      </c>
      <c r="V137" s="666">
        <v>30688000</v>
      </c>
      <c r="W137" s="667">
        <v>47698000</v>
      </c>
      <c r="X137" s="633">
        <f>+[4]INVERSIÓN!EQ18</f>
        <v>47698000</v>
      </c>
      <c r="Y137" s="228"/>
      <c r="Z137" s="228"/>
      <c r="AA137" s="228"/>
      <c r="AB137" s="228"/>
      <c r="AC137" s="228"/>
      <c r="AD137" s="186"/>
      <c r="AE137" s="190"/>
      <c r="AF137" s="1058"/>
      <c r="AG137" s="1092"/>
      <c r="AH137" s="1032"/>
      <c r="AI137" s="1032"/>
      <c r="AJ137" s="1035"/>
      <c r="AK137" s="1089"/>
      <c r="AL137" s="1032"/>
      <c r="AM137" s="1032"/>
      <c r="AN137" s="1026"/>
      <c r="AO137" s="1026"/>
      <c r="AP137" s="1026"/>
      <c r="AQ137" s="1026"/>
      <c r="AR137" s="1026"/>
      <c r="AS137" s="1026"/>
      <c r="AT137" s="1026"/>
      <c r="AU137" s="1026"/>
      <c r="AV137" s="1026"/>
      <c r="AW137" s="1026"/>
      <c r="AX137" s="1026"/>
      <c r="AY137" s="1029"/>
      <c r="AZ137" s="430"/>
    </row>
    <row r="138" spans="1:52" ht="24.75" customHeight="1" x14ac:dyDescent="0.25">
      <c r="A138" s="1047"/>
      <c r="B138" s="1049"/>
      <c r="C138" s="1052"/>
      <c r="D138" s="167" t="s">
        <v>109</v>
      </c>
      <c r="E138" s="651">
        <v>0</v>
      </c>
      <c r="F138" s="652"/>
      <c r="G138" s="653">
        <v>0</v>
      </c>
      <c r="H138" s="648">
        <v>0.4</v>
      </c>
      <c r="I138" s="654">
        <v>0.4</v>
      </c>
      <c r="J138" s="613">
        <v>0.4</v>
      </c>
      <c r="K138" s="613">
        <v>0.4</v>
      </c>
      <c r="L138" s="613"/>
      <c r="M138" s="613"/>
      <c r="N138" s="613"/>
      <c r="O138" s="613"/>
      <c r="P138" s="613"/>
      <c r="Q138" s="613"/>
      <c r="R138" s="613"/>
      <c r="S138" s="1055"/>
      <c r="T138" s="668">
        <v>0</v>
      </c>
      <c r="U138" s="669">
        <v>0.1</v>
      </c>
      <c r="V138" s="670">
        <v>0.3</v>
      </c>
      <c r="W138" s="671">
        <v>0.4</v>
      </c>
      <c r="X138" s="613">
        <v>0.4</v>
      </c>
      <c r="Y138" s="648"/>
      <c r="Z138" s="648"/>
      <c r="AA138" s="648"/>
      <c r="AB138" s="648"/>
      <c r="AC138" s="648"/>
      <c r="AD138" s="672"/>
      <c r="AE138" s="673"/>
      <c r="AF138" s="1058"/>
      <c r="AG138" s="1092"/>
      <c r="AH138" s="1032"/>
      <c r="AI138" s="1032"/>
      <c r="AJ138" s="1035"/>
      <c r="AK138" s="1089"/>
      <c r="AL138" s="1032"/>
      <c r="AM138" s="1032"/>
      <c r="AN138" s="1026"/>
      <c r="AO138" s="1026"/>
      <c r="AP138" s="1026"/>
      <c r="AQ138" s="1026"/>
      <c r="AR138" s="1026"/>
      <c r="AS138" s="1026"/>
      <c r="AT138" s="1026"/>
      <c r="AU138" s="1026"/>
      <c r="AV138" s="1026"/>
      <c r="AW138" s="1026"/>
      <c r="AX138" s="1026"/>
      <c r="AY138" s="1029"/>
      <c r="AZ138" s="430"/>
    </row>
    <row r="139" spans="1:52" ht="24.75" customHeight="1" x14ac:dyDescent="0.25">
      <c r="A139" s="1047"/>
      <c r="B139" s="1049"/>
      <c r="C139" s="1052"/>
      <c r="D139" s="168" t="s">
        <v>110</v>
      </c>
      <c r="E139" s="651">
        <v>2645400</v>
      </c>
      <c r="F139" s="652"/>
      <c r="G139" s="653">
        <v>2645400</v>
      </c>
      <c r="H139" s="648">
        <v>2645400</v>
      </c>
      <c r="I139" s="654">
        <v>2645400</v>
      </c>
      <c r="J139" s="613">
        <v>2645400</v>
      </c>
      <c r="K139" s="613">
        <v>2645400</v>
      </c>
      <c r="L139" s="613"/>
      <c r="M139" s="613"/>
      <c r="N139" s="613"/>
      <c r="O139" s="613"/>
      <c r="P139" s="613"/>
      <c r="Q139" s="613"/>
      <c r="R139" s="613"/>
      <c r="S139" s="1055"/>
      <c r="T139" s="653"/>
      <c r="U139" s="648">
        <v>2645400</v>
      </c>
      <c r="V139" s="655">
        <v>2645400</v>
      </c>
      <c r="W139" s="648">
        <v>2645400</v>
      </c>
      <c r="X139" s="613">
        <v>2645400</v>
      </c>
      <c r="Y139" s="648"/>
      <c r="Z139" s="648"/>
      <c r="AA139" s="648"/>
      <c r="AB139" s="648"/>
      <c r="AC139" s="648"/>
      <c r="AD139" s="672"/>
      <c r="AE139" s="673"/>
      <c r="AF139" s="1058"/>
      <c r="AG139" s="1092"/>
      <c r="AH139" s="1032"/>
      <c r="AI139" s="1032"/>
      <c r="AJ139" s="1035"/>
      <c r="AK139" s="1089"/>
      <c r="AL139" s="1032"/>
      <c r="AM139" s="1032"/>
      <c r="AN139" s="1026"/>
      <c r="AO139" s="1026"/>
      <c r="AP139" s="1026"/>
      <c r="AQ139" s="1026"/>
      <c r="AR139" s="1026"/>
      <c r="AS139" s="1026"/>
      <c r="AT139" s="1026"/>
      <c r="AU139" s="1026"/>
      <c r="AV139" s="1026"/>
      <c r="AW139" s="1026"/>
      <c r="AX139" s="1026"/>
      <c r="AY139" s="1029"/>
      <c r="AZ139" s="429"/>
    </row>
    <row r="140" spans="1:52" ht="24.75" customHeight="1" x14ac:dyDescent="0.25">
      <c r="A140" s="1047"/>
      <c r="B140" s="1049"/>
      <c r="C140" s="1052"/>
      <c r="D140" s="167" t="s">
        <v>111</v>
      </c>
      <c r="E140" s="651">
        <f>+E136</f>
        <v>2</v>
      </c>
      <c r="F140" s="652"/>
      <c r="G140" s="653">
        <v>2</v>
      </c>
      <c r="H140" s="648">
        <v>2.4</v>
      </c>
      <c r="I140" s="654">
        <v>2.4</v>
      </c>
      <c r="J140" s="613">
        <v>2.4</v>
      </c>
      <c r="K140" s="613">
        <v>2.4</v>
      </c>
      <c r="L140" s="613"/>
      <c r="M140" s="613"/>
      <c r="N140" s="613"/>
      <c r="O140" s="613"/>
      <c r="P140" s="613"/>
      <c r="Q140" s="613"/>
      <c r="R140" s="613"/>
      <c r="S140" s="1055"/>
      <c r="T140" s="653">
        <v>0.1</v>
      </c>
      <c r="U140" s="648">
        <v>0.3</v>
      </c>
      <c r="V140" s="670">
        <v>0.7</v>
      </c>
      <c r="W140" s="671">
        <v>0.9</v>
      </c>
      <c r="X140" s="613">
        <f>+[4]INVERSIÓN!EQ22</f>
        <v>1.7000000000000002</v>
      </c>
      <c r="Y140" s="671"/>
      <c r="Z140" s="671"/>
      <c r="AA140" s="671"/>
      <c r="AB140" s="671"/>
      <c r="AC140" s="671"/>
      <c r="AD140" s="674"/>
      <c r="AE140" s="675"/>
      <c r="AF140" s="1058"/>
      <c r="AG140" s="1092"/>
      <c r="AH140" s="1032"/>
      <c r="AI140" s="1032"/>
      <c r="AJ140" s="1035"/>
      <c r="AK140" s="1089"/>
      <c r="AL140" s="1032"/>
      <c r="AM140" s="1032"/>
      <c r="AN140" s="1026"/>
      <c r="AO140" s="1026"/>
      <c r="AP140" s="1026"/>
      <c r="AQ140" s="1026"/>
      <c r="AR140" s="1026"/>
      <c r="AS140" s="1026"/>
      <c r="AT140" s="1026"/>
      <c r="AU140" s="1026"/>
      <c r="AV140" s="1026"/>
      <c r="AW140" s="1026"/>
      <c r="AX140" s="1026"/>
      <c r="AY140" s="1029"/>
      <c r="AZ140" s="430"/>
    </row>
    <row r="141" spans="1:52" ht="24.75" customHeight="1" thickBot="1" x14ac:dyDescent="0.3">
      <c r="A141" s="1047"/>
      <c r="B141" s="1050"/>
      <c r="C141" s="1053"/>
      <c r="D141" s="215" t="s">
        <v>112</v>
      </c>
      <c r="E141" s="289">
        <v>109565400</v>
      </c>
      <c r="F141" s="269"/>
      <c r="G141" s="534">
        <v>109565400</v>
      </c>
      <c r="H141" s="230">
        <v>109565400</v>
      </c>
      <c r="I141" s="676">
        <v>109565400</v>
      </c>
      <c r="J141" s="260">
        <v>109565400</v>
      </c>
      <c r="K141" s="260">
        <v>109565400</v>
      </c>
      <c r="L141" s="261"/>
      <c r="M141" s="261"/>
      <c r="N141" s="261"/>
      <c r="O141" s="261"/>
      <c r="P141" s="261"/>
      <c r="Q141" s="261"/>
      <c r="R141" s="261"/>
      <c r="S141" s="1056"/>
      <c r="T141" s="656">
        <v>0</v>
      </c>
      <c r="U141" s="657">
        <v>11463400</v>
      </c>
      <c r="V141" s="677">
        <v>33333400</v>
      </c>
      <c r="W141" s="229">
        <v>50343400</v>
      </c>
      <c r="X141" s="260">
        <f>+[4]INVERSIÓN!EQ23</f>
        <v>50343400</v>
      </c>
      <c r="Y141" s="229"/>
      <c r="Z141" s="229"/>
      <c r="AA141" s="229"/>
      <c r="AB141" s="229"/>
      <c r="AC141" s="229"/>
      <c r="AD141" s="270"/>
      <c r="AE141" s="187"/>
      <c r="AF141" s="1059"/>
      <c r="AG141" s="1093"/>
      <c r="AH141" s="1033"/>
      <c r="AI141" s="1033"/>
      <c r="AJ141" s="1036"/>
      <c r="AK141" s="1090"/>
      <c r="AL141" s="1033"/>
      <c r="AM141" s="1033"/>
      <c r="AN141" s="1027"/>
      <c r="AO141" s="1027"/>
      <c r="AP141" s="1027"/>
      <c r="AQ141" s="1027"/>
      <c r="AR141" s="1027"/>
      <c r="AS141" s="1027"/>
      <c r="AT141" s="1027"/>
      <c r="AU141" s="1027"/>
      <c r="AV141" s="1027"/>
      <c r="AW141" s="1027"/>
      <c r="AX141" s="1027"/>
      <c r="AY141" s="1030"/>
      <c r="AZ141" s="431"/>
    </row>
    <row r="142" spans="1:52" ht="24.75" customHeight="1" thickBot="1" x14ac:dyDescent="0.3">
      <c r="A142" s="1046">
        <v>3</v>
      </c>
      <c r="B142" s="1048" t="s">
        <v>114</v>
      </c>
      <c r="C142" s="1051" t="s">
        <v>160</v>
      </c>
      <c r="D142" s="214" t="s">
        <v>106</v>
      </c>
      <c r="E142" s="603">
        <v>162</v>
      </c>
      <c r="F142" s="604"/>
      <c r="G142" s="605">
        <v>162</v>
      </c>
      <c r="H142" s="606">
        <v>162</v>
      </c>
      <c r="I142" s="607">
        <v>162</v>
      </c>
      <c r="J142" s="606">
        <v>162</v>
      </c>
      <c r="K142" s="606">
        <v>162</v>
      </c>
      <c r="L142" s="607"/>
      <c r="M142" s="607"/>
      <c r="N142" s="607"/>
      <c r="O142" s="607"/>
      <c r="P142" s="607"/>
      <c r="Q142" s="607"/>
      <c r="R142" s="608"/>
      <c r="S142" s="1054"/>
      <c r="T142" s="678">
        <v>16</v>
      </c>
      <c r="U142" s="679">
        <v>41</v>
      </c>
      <c r="V142" s="680">
        <v>75</v>
      </c>
      <c r="W142" s="679">
        <v>93</v>
      </c>
      <c r="X142" s="606">
        <v>128</v>
      </c>
      <c r="Y142" s="679"/>
      <c r="Z142" s="679"/>
      <c r="AA142" s="679"/>
      <c r="AB142" s="679"/>
      <c r="AC142" s="606"/>
      <c r="AD142" s="681"/>
      <c r="AE142" s="682"/>
      <c r="AF142" s="1082"/>
      <c r="AG142" s="1091" t="s">
        <v>164</v>
      </c>
      <c r="AH142" s="1031" t="s">
        <v>81</v>
      </c>
      <c r="AI142" s="1031" t="s">
        <v>81</v>
      </c>
      <c r="AJ142" s="1034" t="s">
        <v>355</v>
      </c>
      <c r="AK142" s="1088" t="s">
        <v>164</v>
      </c>
      <c r="AL142" s="1031" t="s">
        <v>81</v>
      </c>
      <c r="AM142" s="1031" t="s">
        <v>161</v>
      </c>
      <c r="AN142" s="1069">
        <v>593978</v>
      </c>
      <c r="AO142" s="1069">
        <v>272693</v>
      </c>
      <c r="AP142" s="1069">
        <v>321285</v>
      </c>
      <c r="AQ142" s="1031" t="s">
        <v>81</v>
      </c>
      <c r="AR142" s="1066" t="s">
        <v>162</v>
      </c>
      <c r="AS142" s="1069">
        <v>593978</v>
      </c>
      <c r="AT142" s="1066" t="s">
        <v>162</v>
      </c>
      <c r="AU142" s="1069">
        <v>593978</v>
      </c>
      <c r="AV142" s="1066" t="s">
        <v>163</v>
      </c>
      <c r="AW142" s="1069">
        <v>593978</v>
      </c>
      <c r="AX142" s="1069">
        <v>593978</v>
      </c>
      <c r="AY142" s="1081"/>
      <c r="AZ142" s="19">
        <f>+SUBTOTAL(9,X142:X256)</f>
        <v>656801766.45454574</v>
      </c>
    </row>
    <row r="143" spans="1:52" ht="24.75" customHeight="1" thickBot="1" x14ac:dyDescent="0.3">
      <c r="A143" s="1047"/>
      <c r="B143" s="1049"/>
      <c r="C143" s="1052"/>
      <c r="D143" s="168" t="s">
        <v>107</v>
      </c>
      <c r="E143" s="286">
        <v>44774565</v>
      </c>
      <c r="F143" s="263"/>
      <c r="G143" s="531">
        <v>44774565</v>
      </c>
      <c r="H143" s="216">
        <v>44774565</v>
      </c>
      <c r="I143" s="612">
        <v>44774565</v>
      </c>
      <c r="J143" s="216">
        <v>44774565</v>
      </c>
      <c r="K143" s="216">
        <v>44774565</v>
      </c>
      <c r="L143" s="217"/>
      <c r="M143" s="217"/>
      <c r="N143" s="217"/>
      <c r="O143" s="217"/>
      <c r="P143" s="217"/>
      <c r="Q143" s="217"/>
      <c r="R143" s="217"/>
      <c r="S143" s="1055"/>
      <c r="T143" s="683">
        <v>1438545.4545454546</v>
      </c>
      <c r="U143" s="216">
        <v>12317749.490419894</v>
      </c>
      <c r="V143" s="612">
        <v>19279976.130578939</v>
      </c>
      <c r="W143" s="684">
        <v>25722710.505578939</v>
      </c>
      <c r="X143" s="216">
        <v>28931550.616484668</v>
      </c>
      <c r="Y143" s="684"/>
      <c r="Z143" s="684"/>
      <c r="AA143" s="684"/>
      <c r="AB143" s="684"/>
      <c r="AC143" s="216"/>
      <c r="AD143" s="181"/>
      <c r="AE143" s="682"/>
      <c r="AF143" s="1083"/>
      <c r="AG143" s="1092"/>
      <c r="AH143" s="1032"/>
      <c r="AI143" s="1032"/>
      <c r="AJ143" s="1035"/>
      <c r="AK143" s="1089"/>
      <c r="AL143" s="1032"/>
      <c r="AM143" s="1032"/>
      <c r="AN143" s="1070"/>
      <c r="AO143" s="1070"/>
      <c r="AP143" s="1070"/>
      <c r="AQ143" s="1032"/>
      <c r="AR143" s="1067"/>
      <c r="AS143" s="1070"/>
      <c r="AT143" s="1067"/>
      <c r="AU143" s="1070"/>
      <c r="AV143" s="1067"/>
      <c r="AW143" s="1070"/>
      <c r="AX143" s="1070"/>
      <c r="AY143" s="1081"/>
      <c r="AZ143" s="28"/>
    </row>
    <row r="144" spans="1:52" ht="24.75" customHeight="1" thickBot="1" x14ac:dyDescent="0.3">
      <c r="A144" s="1047"/>
      <c r="B144" s="1049"/>
      <c r="C144" s="1052"/>
      <c r="D144" s="167" t="s">
        <v>109</v>
      </c>
      <c r="E144" s="615"/>
      <c r="F144" s="616"/>
      <c r="G144" s="617"/>
      <c r="H144" s="613"/>
      <c r="I144" s="614"/>
      <c r="J144" s="613"/>
      <c r="K144" s="613"/>
      <c r="L144" s="613"/>
      <c r="M144" s="613"/>
      <c r="N144" s="613"/>
      <c r="O144" s="613"/>
      <c r="P144" s="613"/>
      <c r="Q144" s="613"/>
      <c r="R144" s="613"/>
      <c r="S144" s="1055"/>
      <c r="T144" s="685"/>
      <c r="U144" s="686">
        <v>0</v>
      </c>
      <c r="V144" s="687">
        <v>0</v>
      </c>
      <c r="W144" s="686">
        <v>0</v>
      </c>
      <c r="X144" s="613">
        <v>0</v>
      </c>
      <c r="Y144" s="686"/>
      <c r="Z144" s="686"/>
      <c r="AA144" s="686"/>
      <c r="AB144" s="686"/>
      <c r="AC144" s="613"/>
      <c r="AD144" s="618"/>
      <c r="AE144" s="688"/>
      <c r="AF144" s="1083"/>
      <c r="AG144" s="1092"/>
      <c r="AH144" s="1032"/>
      <c r="AI144" s="1032"/>
      <c r="AJ144" s="1035"/>
      <c r="AK144" s="1089"/>
      <c r="AL144" s="1032"/>
      <c r="AM144" s="1032"/>
      <c r="AN144" s="1070"/>
      <c r="AO144" s="1070"/>
      <c r="AP144" s="1070"/>
      <c r="AQ144" s="1032"/>
      <c r="AR144" s="1067"/>
      <c r="AS144" s="1070"/>
      <c r="AT144" s="1067"/>
      <c r="AU144" s="1070"/>
      <c r="AV144" s="1067"/>
      <c r="AW144" s="1070"/>
      <c r="AX144" s="1070"/>
      <c r="AY144" s="1081"/>
    </row>
    <row r="145" spans="1:52" ht="24.75" customHeight="1" thickBot="1" x14ac:dyDescent="0.3">
      <c r="A145" s="1047"/>
      <c r="B145" s="1049"/>
      <c r="C145" s="1052"/>
      <c r="D145" s="168" t="s">
        <v>110</v>
      </c>
      <c r="E145" s="615"/>
      <c r="F145" s="616"/>
      <c r="G145" s="617"/>
      <c r="H145" s="613"/>
      <c r="I145" s="614"/>
      <c r="J145" s="613"/>
      <c r="K145" s="613"/>
      <c r="L145" s="613"/>
      <c r="M145" s="613"/>
      <c r="N145" s="613"/>
      <c r="O145" s="613"/>
      <c r="P145" s="613"/>
      <c r="Q145" s="613"/>
      <c r="R145" s="613"/>
      <c r="S145" s="1055"/>
      <c r="T145" s="685"/>
      <c r="U145" s="216">
        <v>0</v>
      </c>
      <c r="V145" s="612">
        <v>0</v>
      </c>
      <c r="W145" s="684">
        <v>0</v>
      </c>
      <c r="X145" s="613">
        <v>0</v>
      </c>
      <c r="Y145" s="684"/>
      <c r="Z145" s="684"/>
      <c r="AA145" s="684"/>
      <c r="AB145" s="684"/>
      <c r="AC145" s="613"/>
      <c r="AD145" s="618"/>
      <c r="AE145" s="682"/>
      <c r="AF145" s="1083"/>
      <c r="AG145" s="1092"/>
      <c r="AH145" s="1032"/>
      <c r="AI145" s="1032"/>
      <c r="AJ145" s="1035"/>
      <c r="AK145" s="1089"/>
      <c r="AL145" s="1032"/>
      <c r="AM145" s="1032"/>
      <c r="AN145" s="1070"/>
      <c r="AO145" s="1070"/>
      <c r="AP145" s="1070"/>
      <c r="AQ145" s="1032"/>
      <c r="AR145" s="1067"/>
      <c r="AS145" s="1070"/>
      <c r="AT145" s="1067"/>
      <c r="AU145" s="1070"/>
      <c r="AV145" s="1067"/>
      <c r="AW145" s="1070"/>
      <c r="AX145" s="1070"/>
      <c r="AY145" s="1081"/>
    </row>
    <row r="146" spans="1:52" ht="24.75" customHeight="1" thickBot="1" x14ac:dyDescent="0.3">
      <c r="A146" s="1047"/>
      <c r="B146" s="1049"/>
      <c r="C146" s="1052"/>
      <c r="D146" s="167" t="s">
        <v>111</v>
      </c>
      <c r="E146" s="615">
        <v>162</v>
      </c>
      <c r="F146" s="616"/>
      <c r="G146" s="617">
        <v>162</v>
      </c>
      <c r="H146" s="613">
        <v>162</v>
      </c>
      <c r="I146" s="614">
        <v>162</v>
      </c>
      <c r="J146" s="613">
        <v>162</v>
      </c>
      <c r="K146" s="613">
        <v>162</v>
      </c>
      <c r="L146" s="613"/>
      <c r="M146" s="613"/>
      <c r="N146" s="613"/>
      <c r="O146" s="613"/>
      <c r="P146" s="613"/>
      <c r="Q146" s="613"/>
      <c r="R146" s="613"/>
      <c r="S146" s="1055"/>
      <c r="T146" s="685">
        <v>16</v>
      </c>
      <c r="U146" s="613">
        <v>41</v>
      </c>
      <c r="V146" s="614">
        <v>75</v>
      </c>
      <c r="W146" s="613">
        <v>93</v>
      </c>
      <c r="X146" s="613">
        <v>128</v>
      </c>
      <c r="Y146" s="613"/>
      <c r="Z146" s="613"/>
      <c r="AA146" s="613"/>
      <c r="AB146" s="613"/>
      <c r="AC146" s="613"/>
      <c r="AD146" s="618"/>
      <c r="AE146" s="627"/>
      <c r="AF146" s="1083"/>
      <c r="AG146" s="1092"/>
      <c r="AH146" s="1032"/>
      <c r="AI146" s="1032"/>
      <c r="AJ146" s="1035"/>
      <c r="AK146" s="1089"/>
      <c r="AL146" s="1032"/>
      <c r="AM146" s="1032"/>
      <c r="AN146" s="1070"/>
      <c r="AO146" s="1070"/>
      <c r="AP146" s="1070"/>
      <c r="AQ146" s="1032"/>
      <c r="AR146" s="1067"/>
      <c r="AS146" s="1070"/>
      <c r="AT146" s="1067"/>
      <c r="AU146" s="1070"/>
      <c r="AV146" s="1067"/>
      <c r="AW146" s="1070"/>
      <c r="AX146" s="1070"/>
      <c r="AY146" s="1081"/>
    </row>
    <row r="147" spans="1:52" ht="24.75" customHeight="1" thickBot="1" x14ac:dyDescent="0.3">
      <c r="A147" s="1047"/>
      <c r="B147" s="1049"/>
      <c r="C147" s="1053"/>
      <c r="D147" s="215" t="s">
        <v>112</v>
      </c>
      <c r="E147" s="287">
        <v>44774565</v>
      </c>
      <c r="F147" s="264"/>
      <c r="G147" s="532">
        <v>44774565</v>
      </c>
      <c r="H147" s="260">
        <v>44774565</v>
      </c>
      <c r="I147" s="620">
        <v>44774565</v>
      </c>
      <c r="J147" s="260">
        <v>44774565</v>
      </c>
      <c r="K147" s="260">
        <v>44774565</v>
      </c>
      <c r="L147" s="261"/>
      <c r="M147" s="261"/>
      <c r="N147" s="261"/>
      <c r="O147" s="261"/>
      <c r="P147" s="261"/>
      <c r="Q147" s="261"/>
      <c r="R147" s="261"/>
      <c r="S147" s="1056"/>
      <c r="T147" s="689">
        <v>1438545.4545454546</v>
      </c>
      <c r="U147" s="690">
        <v>12317749.490419894</v>
      </c>
      <c r="V147" s="691">
        <v>19279976.130578939</v>
      </c>
      <c r="W147" s="692">
        <v>19279976.130578939</v>
      </c>
      <c r="X147" s="260">
        <v>22488816.241484668</v>
      </c>
      <c r="Y147" s="692"/>
      <c r="Z147" s="692"/>
      <c r="AA147" s="692"/>
      <c r="AB147" s="692"/>
      <c r="AC147" s="260"/>
      <c r="AD147" s="271"/>
      <c r="AE147" s="693"/>
      <c r="AF147" s="1084"/>
      <c r="AG147" s="1093"/>
      <c r="AH147" s="1033"/>
      <c r="AI147" s="1033"/>
      <c r="AJ147" s="1036"/>
      <c r="AK147" s="1090"/>
      <c r="AL147" s="1033"/>
      <c r="AM147" s="1033"/>
      <c r="AN147" s="1071"/>
      <c r="AO147" s="1071"/>
      <c r="AP147" s="1071"/>
      <c r="AQ147" s="1033"/>
      <c r="AR147" s="1068"/>
      <c r="AS147" s="1071"/>
      <c r="AT147" s="1068"/>
      <c r="AU147" s="1071"/>
      <c r="AV147" s="1068"/>
      <c r="AW147" s="1071"/>
      <c r="AX147" s="1071"/>
      <c r="AY147" s="1081"/>
    </row>
    <row r="148" spans="1:52" ht="24.75" customHeight="1" thickBot="1" x14ac:dyDescent="0.3">
      <c r="A148" s="1047"/>
      <c r="B148" s="1049"/>
      <c r="C148" s="1051" t="s">
        <v>164</v>
      </c>
      <c r="D148" s="214" t="s">
        <v>106</v>
      </c>
      <c r="E148" s="603">
        <v>76</v>
      </c>
      <c r="F148" s="604"/>
      <c r="G148" s="605">
        <v>76</v>
      </c>
      <c r="H148" s="606">
        <v>76</v>
      </c>
      <c r="I148" s="607">
        <v>76</v>
      </c>
      <c r="J148" s="694">
        <v>113</v>
      </c>
      <c r="K148" s="694">
        <v>120</v>
      </c>
      <c r="L148" s="607"/>
      <c r="M148" s="607"/>
      <c r="N148" s="607"/>
      <c r="O148" s="607"/>
      <c r="P148" s="607"/>
      <c r="Q148" s="607"/>
      <c r="R148" s="608"/>
      <c r="S148" s="1054"/>
      <c r="T148" s="605">
        <v>76</v>
      </c>
      <c r="U148" s="695">
        <v>89</v>
      </c>
      <c r="V148" s="696">
        <v>99</v>
      </c>
      <c r="W148" s="697">
        <v>113</v>
      </c>
      <c r="X148" s="694">
        <v>120</v>
      </c>
      <c r="Y148" s="684"/>
      <c r="Z148" s="684"/>
      <c r="AA148" s="684"/>
      <c r="AB148" s="684"/>
      <c r="AC148" s="606"/>
      <c r="AD148" s="681"/>
      <c r="AE148" s="682"/>
      <c r="AF148" s="1082"/>
      <c r="AG148" s="1091" t="s">
        <v>165</v>
      </c>
      <c r="AH148" s="1031" t="s">
        <v>81</v>
      </c>
      <c r="AI148" s="1031" t="s">
        <v>81</v>
      </c>
      <c r="AJ148" s="1034" t="s">
        <v>355</v>
      </c>
      <c r="AK148" s="1088" t="s">
        <v>165</v>
      </c>
      <c r="AL148" s="1031" t="s">
        <v>81</v>
      </c>
      <c r="AM148" s="1031" t="s">
        <v>161</v>
      </c>
      <c r="AN148" s="1069">
        <v>180974</v>
      </c>
      <c r="AO148" s="1069">
        <v>86932</v>
      </c>
      <c r="AP148" s="1069">
        <v>94042</v>
      </c>
      <c r="AQ148" s="1031" t="s">
        <v>81</v>
      </c>
      <c r="AR148" s="1066" t="s">
        <v>162</v>
      </c>
      <c r="AS148" s="1069">
        <v>180974</v>
      </c>
      <c r="AT148" s="1066" t="s">
        <v>162</v>
      </c>
      <c r="AU148" s="1069">
        <v>180974</v>
      </c>
      <c r="AV148" s="1091" t="s">
        <v>163</v>
      </c>
      <c r="AW148" s="1069">
        <v>180974</v>
      </c>
      <c r="AX148" s="1069">
        <v>180974</v>
      </c>
      <c r="AY148" s="1081"/>
    </row>
    <row r="149" spans="1:52" ht="24.75" customHeight="1" thickBot="1" x14ac:dyDescent="0.3">
      <c r="A149" s="1047"/>
      <c r="B149" s="1049"/>
      <c r="C149" s="1052"/>
      <c r="D149" s="168" t="s">
        <v>107</v>
      </c>
      <c r="E149" s="286">
        <v>21108009</v>
      </c>
      <c r="F149" s="263"/>
      <c r="G149" s="531">
        <v>21108009</v>
      </c>
      <c r="H149" s="216">
        <v>21108009</v>
      </c>
      <c r="I149" s="612">
        <v>21108009</v>
      </c>
      <c r="J149" s="216">
        <v>20014541.320395451</v>
      </c>
      <c r="K149" s="216">
        <v>21108009</v>
      </c>
      <c r="L149" s="217"/>
      <c r="M149" s="217"/>
      <c r="N149" s="217"/>
      <c r="O149" s="217"/>
      <c r="P149" s="217"/>
      <c r="Q149" s="217"/>
      <c r="R149" s="217"/>
      <c r="S149" s="1055"/>
      <c r="T149" s="531">
        <v>6833090.9090909092</v>
      </c>
      <c r="U149" s="216">
        <v>12490277.007745618</v>
      </c>
      <c r="V149" s="612">
        <v>14537990.725439455</v>
      </c>
      <c r="W149" s="684">
        <v>19549006.350439455</v>
      </c>
      <c r="X149" s="216">
        <v>20190774.372620601</v>
      </c>
      <c r="Y149" s="684"/>
      <c r="Z149" s="684"/>
      <c r="AA149" s="684"/>
      <c r="AB149" s="684"/>
      <c r="AC149" s="216"/>
      <c r="AD149" s="181"/>
      <c r="AE149" s="682"/>
      <c r="AF149" s="1083"/>
      <c r="AG149" s="1092"/>
      <c r="AH149" s="1032"/>
      <c r="AI149" s="1032"/>
      <c r="AJ149" s="1035"/>
      <c r="AK149" s="1089"/>
      <c r="AL149" s="1032"/>
      <c r="AM149" s="1032"/>
      <c r="AN149" s="1070"/>
      <c r="AO149" s="1070"/>
      <c r="AP149" s="1070"/>
      <c r="AQ149" s="1032"/>
      <c r="AR149" s="1067"/>
      <c r="AS149" s="1070"/>
      <c r="AT149" s="1067"/>
      <c r="AU149" s="1070"/>
      <c r="AV149" s="1092"/>
      <c r="AW149" s="1070"/>
      <c r="AX149" s="1070"/>
      <c r="AY149" s="1081"/>
    </row>
    <row r="150" spans="1:52" ht="24.75" customHeight="1" thickBot="1" x14ac:dyDescent="0.3">
      <c r="A150" s="1047"/>
      <c r="B150" s="1049"/>
      <c r="C150" s="1052"/>
      <c r="D150" s="167" t="s">
        <v>109</v>
      </c>
      <c r="E150" s="615"/>
      <c r="F150" s="616"/>
      <c r="G150" s="617"/>
      <c r="H150" s="613"/>
      <c r="I150" s="614"/>
      <c r="J150" s="613"/>
      <c r="K150" s="613"/>
      <c r="L150" s="613"/>
      <c r="M150" s="613"/>
      <c r="N150" s="613"/>
      <c r="O150" s="613"/>
      <c r="P150" s="613"/>
      <c r="Q150" s="613"/>
      <c r="R150" s="613"/>
      <c r="S150" s="1055"/>
      <c r="T150" s="617"/>
      <c r="U150" s="686">
        <v>0</v>
      </c>
      <c r="V150" s="687">
        <v>0</v>
      </c>
      <c r="W150" s="686">
        <v>0</v>
      </c>
      <c r="X150" s="613">
        <v>0</v>
      </c>
      <c r="Y150" s="686"/>
      <c r="Z150" s="686"/>
      <c r="AA150" s="686"/>
      <c r="AB150" s="686"/>
      <c r="AC150" s="613"/>
      <c r="AD150" s="618"/>
      <c r="AE150" s="688"/>
      <c r="AF150" s="1083"/>
      <c r="AG150" s="1092"/>
      <c r="AH150" s="1032"/>
      <c r="AI150" s="1032"/>
      <c r="AJ150" s="1035"/>
      <c r="AK150" s="1089"/>
      <c r="AL150" s="1032"/>
      <c r="AM150" s="1032"/>
      <c r="AN150" s="1070"/>
      <c r="AO150" s="1070"/>
      <c r="AP150" s="1070"/>
      <c r="AQ150" s="1032"/>
      <c r="AR150" s="1067"/>
      <c r="AS150" s="1070"/>
      <c r="AT150" s="1067"/>
      <c r="AU150" s="1070"/>
      <c r="AV150" s="1092"/>
      <c r="AW150" s="1070"/>
      <c r="AX150" s="1070"/>
      <c r="AY150" s="1081"/>
    </row>
    <row r="151" spans="1:52" ht="24.75" customHeight="1" thickBot="1" x14ac:dyDescent="0.3">
      <c r="A151" s="1047"/>
      <c r="B151" s="1049"/>
      <c r="C151" s="1052"/>
      <c r="D151" s="168" t="s">
        <v>110</v>
      </c>
      <c r="E151" s="615"/>
      <c r="F151" s="616"/>
      <c r="G151" s="617"/>
      <c r="H151" s="613"/>
      <c r="I151" s="614"/>
      <c r="J151" s="613"/>
      <c r="K151" s="613"/>
      <c r="L151" s="613"/>
      <c r="M151" s="613"/>
      <c r="N151" s="613"/>
      <c r="O151" s="613"/>
      <c r="P151" s="613"/>
      <c r="Q151" s="613"/>
      <c r="R151" s="613"/>
      <c r="S151" s="1055"/>
      <c r="T151" s="617"/>
      <c r="U151" s="216">
        <v>0</v>
      </c>
      <c r="V151" s="612">
        <v>0</v>
      </c>
      <c r="W151" s="684">
        <v>0</v>
      </c>
      <c r="X151" s="613">
        <v>0</v>
      </c>
      <c r="Y151" s="684"/>
      <c r="Z151" s="684"/>
      <c r="AA151" s="684"/>
      <c r="AB151" s="684"/>
      <c r="AC151" s="613"/>
      <c r="AD151" s="618"/>
      <c r="AE151" s="682"/>
      <c r="AF151" s="1083"/>
      <c r="AG151" s="1092"/>
      <c r="AH151" s="1032"/>
      <c r="AI151" s="1032"/>
      <c r="AJ151" s="1035"/>
      <c r="AK151" s="1089"/>
      <c r="AL151" s="1032"/>
      <c r="AM151" s="1032"/>
      <c r="AN151" s="1070"/>
      <c r="AO151" s="1070"/>
      <c r="AP151" s="1070"/>
      <c r="AQ151" s="1032"/>
      <c r="AR151" s="1067"/>
      <c r="AS151" s="1070"/>
      <c r="AT151" s="1067"/>
      <c r="AU151" s="1070"/>
      <c r="AV151" s="1092"/>
      <c r="AW151" s="1070"/>
      <c r="AX151" s="1070"/>
      <c r="AY151" s="1081"/>
    </row>
    <row r="152" spans="1:52" ht="24.75" customHeight="1" thickBot="1" x14ac:dyDescent="0.3">
      <c r="A152" s="1047"/>
      <c r="B152" s="1049"/>
      <c r="C152" s="1052"/>
      <c r="D152" s="167" t="s">
        <v>111</v>
      </c>
      <c r="E152" s="615">
        <v>76</v>
      </c>
      <c r="F152" s="616"/>
      <c r="G152" s="617">
        <v>76</v>
      </c>
      <c r="H152" s="613">
        <v>76</v>
      </c>
      <c r="I152" s="614">
        <v>76</v>
      </c>
      <c r="J152" s="613">
        <v>113</v>
      </c>
      <c r="K152" s="613">
        <v>120</v>
      </c>
      <c r="L152" s="613"/>
      <c r="M152" s="613"/>
      <c r="N152" s="613"/>
      <c r="O152" s="613"/>
      <c r="P152" s="613"/>
      <c r="Q152" s="613"/>
      <c r="R152" s="613"/>
      <c r="S152" s="1055"/>
      <c r="T152" s="617">
        <v>76</v>
      </c>
      <c r="U152" s="698">
        <v>89</v>
      </c>
      <c r="V152" s="699">
        <v>99</v>
      </c>
      <c r="W152" s="613">
        <v>113</v>
      </c>
      <c r="X152" s="613">
        <v>120</v>
      </c>
      <c r="Y152" s="613"/>
      <c r="Z152" s="613"/>
      <c r="AA152" s="613"/>
      <c r="AB152" s="613"/>
      <c r="AC152" s="613"/>
      <c r="AD152" s="618"/>
      <c r="AE152" s="627"/>
      <c r="AF152" s="1083"/>
      <c r="AG152" s="1092"/>
      <c r="AH152" s="1032"/>
      <c r="AI152" s="1032"/>
      <c r="AJ152" s="1035"/>
      <c r="AK152" s="1089"/>
      <c r="AL152" s="1032"/>
      <c r="AM152" s="1032"/>
      <c r="AN152" s="1070"/>
      <c r="AO152" s="1070"/>
      <c r="AP152" s="1070"/>
      <c r="AQ152" s="1032"/>
      <c r="AR152" s="1067"/>
      <c r="AS152" s="1070"/>
      <c r="AT152" s="1067"/>
      <c r="AU152" s="1070"/>
      <c r="AV152" s="1092"/>
      <c r="AW152" s="1070"/>
      <c r="AX152" s="1070"/>
      <c r="AY152" s="1081"/>
    </row>
    <row r="153" spans="1:52" ht="24.75" customHeight="1" thickBot="1" x14ac:dyDescent="0.3">
      <c r="A153" s="1047"/>
      <c r="B153" s="1049"/>
      <c r="C153" s="1053"/>
      <c r="D153" s="215" t="s">
        <v>112</v>
      </c>
      <c r="E153" s="287">
        <v>21108009</v>
      </c>
      <c r="F153" s="264"/>
      <c r="G153" s="532">
        <v>21108009</v>
      </c>
      <c r="H153" s="260">
        <v>21108009</v>
      </c>
      <c r="I153" s="620">
        <v>21108009</v>
      </c>
      <c r="J153" s="260">
        <v>20014541.320395451</v>
      </c>
      <c r="K153" s="260">
        <v>21108009</v>
      </c>
      <c r="L153" s="261"/>
      <c r="M153" s="261"/>
      <c r="N153" s="261"/>
      <c r="O153" s="261"/>
      <c r="P153" s="261"/>
      <c r="Q153" s="261"/>
      <c r="R153" s="261"/>
      <c r="S153" s="1056"/>
      <c r="T153" s="628">
        <v>6833090.9090909092</v>
      </c>
      <c r="U153" s="690">
        <v>12490277.007745618</v>
      </c>
      <c r="V153" s="691">
        <v>14537990.725439455</v>
      </c>
      <c r="W153" s="692">
        <v>14537990.725439455</v>
      </c>
      <c r="X153" s="260">
        <v>15179758.747620601</v>
      </c>
      <c r="Y153" s="692"/>
      <c r="Z153" s="692"/>
      <c r="AA153" s="692"/>
      <c r="AB153" s="692"/>
      <c r="AC153" s="219"/>
      <c r="AD153" s="182"/>
      <c r="AE153" s="693"/>
      <c r="AF153" s="1084"/>
      <c r="AG153" s="1093"/>
      <c r="AH153" s="1033"/>
      <c r="AI153" s="1033"/>
      <c r="AJ153" s="1036"/>
      <c r="AK153" s="1090"/>
      <c r="AL153" s="1033"/>
      <c r="AM153" s="1033"/>
      <c r="AN153" s="1071"/>
      <c r="AO153" s="1071"/>
      <c r="AP153" s="1071"/>
      <c r="AQ153" s="1033"/>
      <c r="AR153" s="1068"/>
      <c r="AS153" s="1071"/>
      <c r="AT153" s="1068"/>
      <c r="AU153" s="1071"/>
      <c r="AV153" s="1093"/>
      <c r="AW153" s="1071"/>
      <c r="AX153" s="1071"/>
      <c r="AY153" s="1081"/>
      <c r="AZ153" s="28"/>
    </row>
    <row r="154" spans="1:52" ht="24.75" customHeight="1" thickBot="1" x14ac:dyDescent="0.3">
      <c r="A154" s="1047"/>
      <c r="B154" s="1049"/>
      <c r="C154" s="1051" t="s">
        <v>165</v>
      </c>
      <c r="D154" s="214" t="s">
        <v>106</v>
      </c>
      <c r="E154" s="603">
        <v>22</v>
      </c>
      <c r="F154" s="604"/>
      <c r="G154" s="605">
        <v>22</v>
      </c>
      <c r="H154" s="606">
        <v>22</v>
      </c>
      <c r="I154" s="607">
        <v>22</v>
      </c>
      <c r="J154" s="694">
        <v>30</v>
      </c>
      <c r="K154" s="694">
        <v>37</v>
      </c>
      <c r="L154" s="607"/>
      <c r="M154" s="607"/>
      <c r="N154" s="607"/>
      <c r="O154" s="607"/>
      <c r="P154" s="607"/>
      <c r="Q154" s="607"/>
      <c r="R154" s="608"/>
      <c r="S154" s="1054"/>
      <c r="T154" s="605">
        <v>0</v>
      </c>
      <c r="U154" s="697">
        <v>2</v>
      </c>
      <c r="V154" s="696">
        <v>27</v>
      </c>
      <c r="W154" s="697">
        <v>30</v>
      </c>
      <c r="X154" s="694">
        <v>37</v>
      </c>
      <c r="Y154" s="684"/>
      <c r="Z154" s="684"/>
      <c r="AA154" s="684"/>
      <c r="AB154" s="684"/>
      <c r="AC154" s="606"/>
      <c r="AD154" s="681"/>
      <c r="AE154" s="682"/>
      <c r="AF154" s="1082"/>
      <c r="AG154" s="1091" t="s">
        <v>166</v>
      </c>
      <c r="AH154" s="1031" t="s">
        <v>81</v>
      </c>
      <c r="AI154" s="1031" t="s">
        <v>81</v>
      </c>
      <c r="AJ154" s="1034" t="s">
        <v>355</v>
      </c>
      <c r="AK154" s="1088" t="s">
        <v>166</v>
      </c>
      <c r="AL154" s="1031" t="s">
        <v>81</v>
      </c>
      <c r="AM154" s="1031" t="s">
        <v>161</v>
      </c>
      <c r="AN154" s="1069">
        <v>106783</v>
      </c>
      <c r="AO154" s="1069">
        <v>52269</v>
      </c>
      <c r="AP154" s="1069">
        <v>54514</v>
      </c>
      <c r="AQ154" s="1031" t="s">
        <v>81</v>
      </c>
      <c r="AR154" s="1066" t="s">
        <v>162</v>
      </c>
      <c r="AS154" s="1069">
        <v>106783</v>
      </c>
      <c r="AT154" s="1066" t="s">
        <v>162</v>
      </c>
      <c r="AU154" s="1069">
        <v>106783</v>
      </c>
      <c r="AV154" s="1066" t="s">
        <v>163</v>
      </c>
      <c r="AW154" s="1069">
        <v>106783</v>
      </c>
      <c r="AX154" s="1069">
        <v>106783</v>
      </c>
      <c r="AY154" s="1081"/>
    </row>
    <row r="155" spans="1:52" ht="24.75" customHeight="1" thickBot="1" x14ac:dyDescent="0.3">
      <c r="A155" s="1047"/>
      <c r="B155" s="1049"/>
      <c r="C155" s="1052"/>
      <c r="D155" s="168" t="s">
        <v>107</v>
      </c>
      <c r="E155" s="286">
        <v>5969942</v>
      </c>
      <c r="F155" s="263"/>
      <c r="G155" s="531">
        <v>5969942</v>
      </c>
      <c r="H155" s="216">
        <v>5969942</v>
      </c>
      <c r="I155" s="612">
        <v>5969942</v>
      </c>
      <c r="J155" s="216">
        <v>7063409.679604548</v>
      </c>
      <c r="K155" s="216">
        <v>7705177.7017856939</v>
      </c>
      <c r="L155" s="217"/>
      <c r="M155" s="217"/>
      <c r="N155" s="217"/>
      <c r="O155" s="217"/>
      <c r="P155" s="217"/>
      <c r="Q155" s="217"/>
      <c r="R155" s="217"/>
      <c r="S155" s="1055"/>
      <c r="T155" s="531">
        <v>0</v>
      </c>
      <c r="U155" s="216">
        <v>870336.32286995521</v>
      </c>
      <c r="V155" s="700">
        <v>5989620.617104548</v>
      </c>
      <c r="W155" s="684">
        <v>7063409.679604548</v>
      </c>
      <c r="X155" s="216">
        <v>7705177.7017856939</v>
      </c>
      <c r="Y155" s="684"/>
      <c r="Z155" s="684"/>
      <c r="AA155" s="684"/>
      <c r="AB155" s="684"/>
      <c r="AC155" s="216"/>
      <c r="AD155" s="181"/>
      <c r="AE155" s="682"/>
      <c r="AF155" s="1083"/>
      <c r="AG155" s="1092"/>
      <c r="AH155" s="1032"/>
      <c r="AI155" s="1032"/>
      <c r="AJ155" s="1035"/>
      <c r="AK155" s="1089"/>
      <c r="AL155" s="1032"/>
      <c r="AM155" s="1032"/>
      <c r="AN155" s="1070"/>
      <c r="AO155" s="1070"/>
      <c r="AP155" s="1070"/>
      <c r="AQ155" s="1032"/>
      <c r="AR155" s="1067"/>
      <c r="AS155" s="1070"/>
      <c r="AT155" s="1067"/>
      <c r="AU155" s="1070"/>
      <c r="AV155" s="1067"/>
      <c r="AW155" s="1070"/>
      <c r="AX155" s="1070"/>
      <c r="AY155" s="1081"/>
      <c r="AZ155" s="19"/>
    </row>
    <row r="156" spans="1:52" ht="24.75" customHeight="1" thickBot="1" x14ac:dyDescent="0.3">
      <c r="A156" s="1047"/>
      <c r="B156" s="1049"/>
      <c r="C156" s="1052"/>
      <c r="D156" s="167" t="s">
        <v>109</v>
      </c>
      <c r="E156" s="615"/>
      <c r="F156" s="616"/>
      <c r="G156" s="617"/>
      <c r="H156" s="613"/>
      <c r="I156" s="614"/>
      <c r="J156" s="613"/>
      <c r="K156" s="613"/>
      <c r="L156" s="613"/>
      <c r="M156" s="613"/>
      <c r="N156" s="613"/>
      <c r="O156" s="613"/>
      <c r="P156" s="613"/>
      <c r="Q156" s="613"/>
      <c r="R156" s="613"/>
      <c r="S156" s="1055"/>
      <c r="T156" s="617"/>
      <c r="U156" s="686">
        <v>0</v>
      </c>
      <c r="V156" s="687">
        <v>0</v>
      </c>
      <c r="W156" s="686">
        <v>0</v>
      </c>
      <c r="X156" s="613">
        <v>0</v>
      </c>
      <c r="Y156" s="686"/>
      <c r="Z156" s="686"/>
      <c r="AA156" s="686"/>
      <c r="AB156" s="686"/>
      <c r="AC156" s="613"/>
      <c r="AD156" s="618"/>
      <c r="AE156" s="688"/>
      <c r="AF156" s="1083"/>
      <c r="AG156" s="1092"/>
      <c r="AH156" s="1032"/>
      <c r="AI156" s="1032"/>
      <c r="AJ156" s="1035"/>
      <c r="AK156" s="1089"/>
      <c r="AL156" s="1032"/>
      <c r="AM156" s="1032"/>
      <c r="AN156" s="1070"/>
      <c r="AO156" s="1070"/>
      <c r="AP156" s="1070"/>
      <c r="AQ156" s="1032"/>
      <c r="AR156" s="1067"/>
      <c r="AS156" s="1070"/>
      <c r="AT156" s="1067"/>
      <c r="AU156" s="1070"/>
      <c r="AV156" s="1067"/>
      <c r="AW156" s="1070"/>
      <c r="AX156" s="1070"/>
      <c r="AY156" s="1081"/>
    </row>
    <row r="157" spans="1:52" ht="24.75" customHeight="1" thickBot="1" x14ac:dyDescent="0.3">
      <c r="A157" s="1047"/>
      <c r="B157" s="1049"/>
      <c r="C157" s="1052"/>
      <c r="D157" s="168" t="s">
        <v>110</v>
      </c>
      <c r="E157" s="615"/>
      <c r="F157" s="616"/>
      <c r="G157" s="617"/>
      <c r="H157" s="613"/>
      <c r="I157" s="614"/>
      <c r="J157" s="613"/>
      <c r="K157" s="613"/>
      <c r="L157" s="613"/>
      <c r="M157" s="613"/>
      <c r="N157" s="613"/>
      <c r="O157" s="613"/>
      <c r="P157" s="613"/>
      <c r="Q157" s="613"/>
      <c r="R157" s="613"/>
      <c r="S157" s="1055"/>
      <c r="T157" s="617"/>
      <c r="U157" s="216">
        <v>0</v>
      </c>
      <c r="V157" s="612">
        <v>0</v>
      </c>
      <c r="W157" s="684">
        <v>0</v>
      </c>
      <c r="X157" s="613">
        <v>0</v>
      </c>
      <c r="Y157" s="684"/>
      <c r="Z157" s="684"/>
      <c r="AA157" s="684"/>
      <c r="AB157" s="684"/>
      <c r="AC157" s="613"/>
      <c r="AD157" s="618"/>
      <c r="AE157" s="682"/>
      <c r="AF157" s="1083"/>
      <c r="AG157" s="1092"/>
      <c r="AH157" s="1032"/>
      <c r="AI157" s="1032"/>
      <c r="AJ157" s="1035"/>
      <c r="AK157" s="1089"/>
      <c r="AL157" s="1032"/>
      <c r="AM157" s="1032"/>
      <c r="AN157" s="1070"/>
      <c r="AO157" s="1070"/>
      <c r="AP157" s="1070"/>
      <c r="AQ157" s="1032"/>
      <c r="AR157" s="1067"/>
      <c r="AS157" s="1070"/>
      <c r="AT157" s="1067"/>
      <c r="AU157" s="1070"/>
      <c r="AV157" s="1067"/>
      <c r="AW157" s="1070"/>
      <c r="AX157" s="1070"/>
      <c r="AY157" s="1081"/>
    </row>
    <row r="158" spans="1:52" ht="24.75" customHeight="1" thickBot="1" x14ac:dyDescent="0.3">
      <c r="A158" s="1047"/>
      <c r="B158" s="1049"/>
      <c r="C158" s="1052"/>
      <c r="D158" s="167" t="s">
        <v>111</v>
      </c>
      <c r="E158" s="615">
        <v>22</v>
      </c>
      <c r="F158" s="616"/>
      <c r="G158" s="617">
        <v>22</v>
      </c>
      <c r="H158" s="613">
        <v>22</v>
      </c>
      <c r="I158" s="614">
        <v>22</v>
      </c>
      <c r="J158" s="698">
        <v>30</v>
      </c>
      <c r="K158" s="698">
        <v>37</v>
      </c>
      <c r="L158" s="613"/>
      <c r="M158" s="613"/>
      <c r="N158" s="613"/>
      <c r="O158" s="613"/>
      <c r="P158" s="613"/>
      <c r="Q158" s="613"/>
      <c r="R158" s="613"/>
      <c r="S158" s="1055"/>
      <c r="T158" s="617">
        <v>0</v>
      </c>
      <c r="U158" s="613">
        <v>2</v>
      </c>
      <c r="V158" s="699">
        <v>27</v>
      </c>
      <c r="W158" s="613">
        <v>30</v>
      </c>
      <c r="X158" s="698">
        <v>37</v>
      </c>
      <c r="Y158" s="613"/>
      <c r="Z158" s="613"/>
      <c r="AA158" s="613"/>
      <c r="AB158" s="613"/>
      <c r="AC158" s="613"/>
      <c r="AD158" s="618"/>
      <c r="AE158" s="627"/>
      <c r="AF158" s="1083"/>
      <c r="AG158" s="1092"/>
      <c r="AH158" s="1032"/>
      <c r="AI158" s="1032"/>
      <c r="AJ158" s="1035"/>
      <c r="AK158" s="1089"/>
      <c r="AL158" s="1032"/>
      <c r="AM158" s="1032"/>
      <c r="AN158" s="1070"/>
      <c r="AO158" s="1070"/>
      <c r="AP158" s="1070"/>
      <c r="AQ158" s="1032"/>
      <c r="AR158" s="1067"/>
      <c r="AS158" s="1070"/>
      <c r="AT158" s="1067"/>
      <c r="AU158" s="1070"/>
      <c r="AV158" s="1067"/>
      <c r="AW158" s="1070"/>
      <c r="AX158" s="1070"/>
      <c r="AY158" s="1081"/>
    </row>
    <row r="159" spans="1:52" ht="24.75" customHeight="1" thickBot="1" x14ac:dyDescent="0.3">
      <c r="A159" s="1047"/>
      <c r="B159" s="1049"/>
      <c r="C159" s="1053"/>
      <c r="D159" s="215" t="s">
        <v>112</v>
      </c>
      <c r="E159" s="287">
        <v>5969942</v>
      </c>
      <c r="F159" s="264"/>
      <c r="G159" s="532">
        <v>5969942</v>
      </c>
      <c r="H159" s="260">
        <v>5969942</v>
      </c>
      <c r="I159" s="620">
        <v>5969942</v>
      </c>
      <c r="J159" s="260">
        <v>20014541.320395451</v>
      </c>
      <c r="K159" s="260">
        <f>+K155</f>
        <v>7705177.7017856939</v>
      </c>
      <c r="L159" s="261"/>
      <c r="M159" s="261"/>
      <c r="N159" s="261"/>
      <c r="O159" s="261"/>
      <c r="P159" s="261"/>
      <c r="Q159" s="261"/>
      <c r="R159" s="261"/>
      <c r="S159" s="1056"/>
      <c r="T159" s="628">
        <v>0</v>
      </c>
      <c r="U159" s="692">
        <v>870336.32286995521</v>
      </c>
      <c r="V159" s="701">
        <v>5989620.6171045499</v>
      </c>
      <c r="W159" s="692">
        <f>+W155</f>
        <v>7063409.679604548</v>
      </c>
      <c r="X159" s="260">
        <v>6631388.6392856902</v>
      </c>
      <c r="Y159" s="692"/>
      <c r="Z159" s="692"/>
      <c r="AA159" s="692"/>
      <c r="AB159" s="692"/>
      <c r="AC159" s="219"/>
      <c r="AD159" s="182"/>
      <c r="AE159" s="693"/>
      <c r="AF159" s="1084"/>
      <c r="AG159" s="1093"/>
      <c r="AH159" s="1033"/>
      <c r="AI159" s="1033"/>
      <c r="AJ159" s="1036"/>
      <c r="AK159" s="1090"/>
      <c r="AL159" s="1033"/>
      <c r="AM159" s="1033"/>
      <c r="AN159" s="1071"/>
      <c r="AO159" s="1071"/>
      <c r="AP159" s="1071"/>
      <c r="AQ159" s="1033"/>
      <c r="AR159" s="1068"/>
      <c r="AS159" s="1071"/>
      <c r="AT159" s="1068"/>
      <c r="AU159" s="1071"/>
      <c r="AV159" s="1068"/>
      <c r="AW159" s="1071"/>
      <c r="AX159" s="1071"/>
      <c r="AY159" s="1081"/>
    </row>
    <row r="160" spans="1:52" ht="24.75" customHeight="1" thickBot="1" x14ac:dyDescent="0.3">
      <c r="A160" s="1047"/>
      <c r="B160" s="1049"/>
      <c r="C160" s="1051" t="s">
        <v>166</v>
      </c>
      <c r="D160" s="214" t="s">
        <v>106</v>
      </c>
      <c r="E160" s="603">
        <v>75</v>
      </c>
      <c r="F160" s="604"/>
      <c r="G160" s="605">
        <v>75</v>
      </c>
      <c r="H160" s="606">
        <v>75</v>
      </c>
      <c r="I160" s="607">
        <v>75</v>
      </c>
      <c r="J160" s="606">
        <v>75</v>
      </c>
      <c r="K160" s="606">
        <v>75</v>
      </c>
      <c r="L160" s="607"/>
      <c r="M160" s="607"/>
      <c r="N160" s="607"/>
      <c r="O160" s="607"/>
      <c r="P160" s="607"/>
      <c r="Q160" s="607"/>
      <c r="R160" s="608"/>
      <c r="S160" s="1054"/>
      <c r="T160" s="605">
        <v>0</v>
      </c>
      <c r="U160" s="697">
        <v>8</v>
      </c>
      <c r="V160" s="702">
        <v>27</v>
      </c>
      <c r="W160" s="697">
        <v>36</v>
      </c>
      <c r="X160" s="606">
        <v>51</v>
      </c>
      <c r="Y160" s="684"/>
      <c r="Z160" s="684"/>
      <c r="AA160" s="684"/>
      <c r="AB160" s="684"/>
      <c r="AC160" s="606"/>
      <c r="AD160" s="681"/>
      <c r="AE160" s="682"/>
      <c r="AF160" s="1082"/>
      <c r="AG160" s="1091" t="s">
        <v>167</v>
      </c>
      <c r="AH160" s="1031" t="s">
        <v>81</v>
      </c>
      <c r="AI160" s="1031" t="s">
        <v>81</v>
      </c>
      <c r="AJ160" s="1034" t="s">
        <v>355</v>
      </c>
      <c r="AK160" s="1088" t="s">
        <v>167</v>
      </c>
      <c r="AL160" s="1031" t="s">
        <v>81</v>
      </c>
      <c r="AM160" s="1031" t="s">
        <v>161</v>
      </c>
      <c r="AN160" s="1069">
        <v>409033</v>
      </c>
      <c r="AO160" s="1069">
        <v>196875</v>
      </c>
      <c r="AP160" s="1069">
        <v>212158</v>
      </c>
      <c r="AQ160" s="1031" t="s">
        <v>81</v>
      </c>
      <c r="AR160" s="1066" t="s">
        <v>162</v>
      </c>
      <c r="AS160" s="1069">
        <v>409033</v>
      </c>
      <c r="AT160" s="1066" t="s">
        <v>162</v>
      </c>
      <c r="AU160" s="1069">
        <v>409033</v>
      </c>
      <c r="AV160" s="1066" t="s">
        <v>163</v>
      </c>
      <c r="AW160" s="1069">
        <v>409033</v>
      </c>
      <c r="AX160" s="1069">
        <v>409033</v>
      </c>
      <c r="AY160" s="1081"/>
    </row>
    <row r="161" spans="1:51" ht="24.75" customHeight="1" thickBot="1" x14ac:dyDescent="0.3">
      <c r="A161" s="1047"/>
      <c r="B161" s="1049"/>
      <c r="C161" s="1052"/>
      <c r="D161" s="168" t="s">
        <v>107</v>
      </c>
      <c r="E161" s="286">
        <v>20681585</v>
      </c>
      <c r="F161" s="263"/>
      <c r="G161" s="531">
        <v>20681585</v>
      </c>
      <c r="H161" s="216">
        <v>20681585</v>
      </c>
      <c r="I161" s="612">
        <v>20681585</v>
      </c>
      <c r="J161" s="216">
        <v>20681585</v>
      </c>
      <c r="K161" s="216">
        <v>20681585</v>
      </c>
      <c r="L161" s="217"/>
      <c r="M161" s="217"/>
      <c r="N161" s="217"/>
      <c r="O161" s="217"/>
      <c r="P161" s="217"/>
      <c r="Q161" s="217"/>
      <c r="R161" s="217"/>
      <c r="S161" s="1055"/>
      <c r="T161" s="531">
        <v>0</v>
      </c>
      <c r="U161" s="216">
        <v>3481345.2914798209</v>
      </c>
      <c r="V161" s="612">
        <v>7372001.3550981116</v>
      </c>
      <c r="W161" s="684">
        <v>10593368.542598112</v>
      </c>
      <c r="X161" s="216">
        <v>11968585.732986283</v>
      </c>
      <c r="Y161" s="684"/>
      <c r="Z161" s="684"/>
      <c r="AA161" s="684"/>
      <c r="AB161" s="684"/>
      <c r="AC161" s="216"/>
      <c r="AD161" s="181"/>
      <c r="AE161" s="682"/>
      <c r="AF161" s="1083"/>
      <c r="AG161" s="1092"/>
      <c r="AH161" s="1032"/>
      <c r="AI161" s="1032"/>
      <c r="AJ161" s="1035"/>
      <c r="AK161" s="1089"/>
      <c r="AL161" s="1032"/>
      <c r="AM161" s="1032"/>
      <c r="AN161" s="1070"/>
      <c r="AO161" s="1070"/>
      <c r="AP161" s="1070"/>
      <c r="AQ161" s="1032"/>
      <c r="AR161" s="1067"/>
      <c r="AS161" s="1070"/>
      <c r="AT161" s="1067"/>
      <c r="AU161" s="1070"/>
      <c r="AV161" s="1067"/>
      <c r="AW161" s="1070"/>
      <c r="AX161" s="1070"/>
      <c r="AY161" s="1081"/>
    </row>
    <row r="162" spans="1:51" ht="24.75" customHeight="1" thickBot="1" x14ac:dyDescent="0.3">
      <c r="A162" s="1047"/>
      <c r="B162" s="1049"/>
      <c r="C162" s="1052"/>
      <c r="D162" s="167" t="s">
        <v>109</v>
      </c>
      <c r="E162" s="615"/>
      <c r="F162" s="616"/>
      <c r="G162" s="617"/>
      <c r="H162" s="613"/>
      <c r="I162" s="614"/>
      <c r="J162" s="613"/>
      <c r="K162" s="613"/>
      <c r="L162" s="613"/>
      <c r="M162" s="613"/>
      <c r="N162" s="613"/>
      <c r="O162" s="613"/>
      <c r="P162" s="613"/>
      <c r="Q162" s="613"/>
      <c r="R162" s="613"/>
      <c r="S162" s="1055"/>
      <c r="T162" s="617"/>
      <c r="U162" s="686">
        <v>0</v>
      </c>
      <c r="V162" s="687">
        <v>0</v>
      </c>
      <c r="W162" s="686">
        <v>0</v>
      </c>
      <c r="X162" s="613">
        <v>0</v>
      </c>
      <c r="Y162" s="686"/>
      <c r="Z162" s="686"/>
      <c r="AA162" s="686"/>
      <c r="AB162" s="686"/>
      <c r="AC162" s="613"/>
      <c r="AD162" s="618"/>
      <c r="AE162" s="688"/>
      <c r="AF162" s="1083"/>
      <c r="AG162" s="1092"/>
      <c r="AH162" s="1032"/>
      <c r="AI162" s="1032"/>
      <c r="AJ162" s="1035"/>
      <c r="AK162" s="1089"/>
      <c r="AL162" s="1032"/>
      <c r="AM162" s="1032"/>
      <c r="AN162" s="1070"/>
      <c r="AO162" s="1070"/>
      <c r="AP162" s="1070"/>
      <c r="AQ162" s="1032"/>
      <c r="AR162" s="1067"/>
      <c r="AS162" s="1070"/>
      <c r="AT162" s="1067"/>
      <c r="AU162" s="1070"/>
      <c r="AV162" s="1067"/>
      <c r="AW162" s="1070"/>
      <c r="AX162" s="1070"/>
      <c r="AY162" s="1081"/>
    </row>
    <row r="163" spans="1:51" ht="24.75" customHeight="1" thickBot="1" x14ac:dyDescent="0.3">
      <c r="A163" s="1047"/>
      <c r="B163" s="1049"/>
      <c r="C163" s="1052"/>
      <c r="D163" s="168" t="s">
        <v>110</v>
      </c>
      <c r="E163" s="615"/>
      <c r="F163" s="616"/>
      <c r="G163" s="617"/>
      <c r="H163" s="613"/>
      <c r="I163" s="614"/>
      <c r="J163" s="613"/>
      <c r="K163" s="613"/>
      <c r="L163" s="613"/>
      <c r="M163" s="613"/>
      <c r="N163" s="613"/>
      <c r="O163" s="613"/>
      <c r="P163" s="613"/>
      <c r="Q163" s="613"/>
      <c r="R163" s="613"/>
      <c r="S163" s="1055"/>
      <c r="T163" s="617"/>
      <c r="U163" s="216">
        <v>0</v>
      </c>
      <c r="V163" s="612">
        <v>0</v>
      </c>
      <c r="W163" s="684">
        <v>0</v>
      </c>
      <c r="X163" s="613">
        <v>0</v>
      </c>
      <c r="Y163" s="684"/>
      <c r="Z163" s="684"/>
      <c r="AA163" s="684"/>
      <c r="AB163" s="684"/>
      <c r="AC163" s="613"/>
      <c r="AD163" s="618"/>
      <c r="AE163" s="682"/>
      <c r="AF163" s="1083"/>
      <c r="AG163" s="1092"/>
      <c r="AH163" s="1032"/>
      <c r="AI163" s="1032"/>
      <c r="AJ163" s="1035"/>
      <c r="AK163" s="1089"/>
      <c r="AL163" s="1032"/>
      <c r="AM163" s="1032"/>
      <c r="AN163" s="1070"/>
      <c r="AO163" s="1070"/>
      <c r="AP163" s="1070"/>
      <c r="AQ163" s="1032"/>
      <c r="AR163" s="1067"/>
      <c r="AS163" s="1070"/>
      <c r="AT163" s="1067"/>
      <c r="AU163" s="1070"/>
      <c r="AV163" s="1067"/>
      <c r="AW163" s="1070"/>
      <c r="AX163" s="1070"/>
      <c r="AY163" s="1081"/>
    </row>
    <row r="164" spans="1:51" ht="24.75" customHeight="1" thickBot="1" x14ac:dyDescent="0.3">
      <c r="A164" s="1047"/>
      <c r="B164" s="1049"/>
      <c r="C164" s="1052"/>
      <c r="D164" s="167" t="s">
        <v>111</v>
      </c>
      <c r="E164" s="615">
        <v>75</v>
      </c>
      <c r="F164" s="616"/>
      <c r="G164" s="617">
        <v>75</v>
      </c>
      <c r="H164" s="613">
        <v>75</v>
      </c>
      <c r="I164" s="614">
        <v>75</v>
      </c>
      <c r="J164" s="613">
        <v>75</v>
      </c>
      <c r="K164" s="613">
        <v>75</v>
      </c>
      <c r="L164" s="613"/>
      <c r="M164" s="613"/>
      <c r="N164" s="613"/>
      <c r="O164" s="613"/>
      <c r="P164" s="613"/>
      <c r="Q164" s="613"/>
      <c r="R164" s="613"/>
      <c r="S164" s="1055"/>
      <c r="T164" s="617">
        <v>0</v>
      </c>
      <c r="U164" s="613">
        <v>8</v>
      </c>
      <c r="V164" s="614">
        <v>27</v>
      </c>
      <c r="W164" s="613">
        <v>36</v>
      </c>
      <c r="X164" s="613">
        <v>51</v>
      </c>
      <c r="Y164" s="613"/>
      <c r="Z164" s="613"/>
      <c r="AA164" s="613"/>
      <c r="AB164" s="613"/>
      <c r="AC164" s="613"/>
      <c r="AD164" s="618"/>
      <c r="AE164" s="627"/>
      <c r="AF164" s="1083"/>
      <c r="AG164" s="1092"/>
      <c r="AH164" s="1032"/>
      <c r="AI164" s="1032"/>
      <c r="AJ164" s="1035"/>
      <c r="AK164" s="1089"/>
      <c r="AL164" s="1032"/>
      <c r="AM164" s="1032"/>
      <c r="AN164" s="1070"/>
      <c r="AO164" s="1070"/>
      <c r="AP164" s="1070"/>
      <c r="AQ164" s="1032"/>
      <c r="AR164" s="1067"/>
      <c r="AS164" s="1070"/>
      <c r="AT164" s="1067"/>
      <c r="AU164" s="1070"/>
      <c r="AV164" s="1067"/>
      <c r="AW164" s="1070"/>
      <c r="AX164" s="1070"/>
      <c r="AY164" s="1081"/>
    </row>
    <row r="165" spans="1:51" ht="24.75" customHeight="1" thickBot="1" x14ac:dyDescent="0.3">
      <c r="A165" s="1047"/>
      <c r="B165" s="1049"/>
      <c r="C165" s="1053"/>
      <c r="D165" s="215" t="s">
        <v>112</v>
      </c>
      <c r="E165" s="287">
        <v>20681585</v>
      </c>
      <c r="F165" s="264"/>
      <c r="G165" s="532">
        <v>20681585</v>
      </c>
      <c r="H165" s="260">
        <v>20681585</v>
      </c>
      <c r="I165" s="620">
        <v>20681585</v>
      </c>
      <c r="J165" s="260">
        <v>20681585</v>
      </c>
      <c r="K165" s="260">
        <v>20681585</v>
      </c>
      <c r="L165" s="261"/>
      <c r="M165" s="261"/>
      <c r="N165" s="261"/>
      <c r="O165" s="261"/>
      <c r="P165" s="261"/>
      <c r="Q165" s="261"/>
      <c r="R165" s="261"/>
      <c r="S165" s="1056"/>
      <c r="T165" s="628">
        <v>0</v>
      </c>
      <c r="U165" s="690">
        <v>3481345.2914798209</v>
      </c>
      <c r="V165" s="691">
        <v>7372001.3550981116</v>
      </c>
      <c r="W165" s="692">
        <v>7372001.3550981116</v>
      </c>
      <c r="X165" s="260">
        <v>8747218.5454862826</v>
      </c>
      <c r="Y165" s="692"/>
      <c r="Z165" s="692"/>
      <c r="AA165" s="692"/>
      <c r="AB165" s="692"/>
      <c r="AC165" s="219"/>
      <c r="AD165" s="182"/>
      <c r="AE165" s="693"/>
      <c r="AF165" s="1084"/>
      <c r="AG165" s="1093"/>
      <c r="AH165" s="1033"/>
      <c r="AI165" s="1033"/>
      <c r="AJ165" s="1036"/>
      <c r="AK165" s="1090"/>
      <c r="AL165" s="1033"/>
      <c r="AM165" s="1033"/>
      <c r="AN165" s="1071"/>
      <c r="AO165" s="1071"/>
      <c r="AP165" s="1071"/>
      <c r="AQ165" s="1033"/>
      <c r="AR165" s="1068"/>
      <c r="AS165" s="1071"/>
      <c r="AT165" s="1068"/>
      <c r="AU165" s="1071"/>
      <c r="AV165" s="1068"/>
      <c r="AW165" s="1071"/>
      <c r="AX165" s="1071"/>
      <c r="AY165" s="1081"/>
    </row>
    <row r="166" spans="1:51" ht="24.75" customHeight="1" thickBot="1" x14ac:dyDescent="0.3">
      <c r="A166" s="1047"/>
      <c r="B166" s="1049"/>
      <c r="C166" s="1051" t="s">
        <v>167</v>
      </c>
      <c r="D166" s="214" t="s">
        <v>106</v>
      </c>
      <c r="E166" s="603">
        <v>29</v>
      </c>
      <c r="F166" s="604"/>
      <c r="G166" s="605">
        <v>29</v>
      </c>
      <c r="H166" s="606">
        <v>29</v>
      </c>
      <c r="I166" s="607">
        <v>29</v>
      </c>
      <c r="J166" s="606">
        <v>29</v>
      </c>
      <c r="K166" s="606">
        <v>29</v>
      </c>
      <c r="L166" s="607"/>
      <c r="M166" s="607"/>
      <c r="N166" s="607"/>
      <c r="O166" s="607"/>
      <c r="P166" s="607"/>
      <c r="Q166" s="607"/>
      <c r="R166" s="608"/>
      <c r="S166" s="1054"/>
      <c r="T166" s="605">
        <v>0</v>
      </c>
      <c r="U166" s="697">
        <v>1</v>
      </c>
      <c r="V166" s="702">
        <v>3</v>
      </c>
      <c r="W166" s="697">
        <v>4</v>
      </c>
      <c r="X166" s="606">
        <v>22</v>
      </c>
      <c r="Y166" s="684"/>
      <c r="Z166" s="684"/>
      <c r="AA166" s="684"/>
      <c r="AB166" s="684"/>
      <c r="AC166" s="606"/>
      <c r="AD166" s="681"/>
      <c r="AE166" s="682"/>
      <c r="AF166" s="1082"/>
      <c r="AG166" s="1091" t="s">
        <v>168</v>
      </c>
      <c r="AH166" s="1031" t="s">
        <v>81</v>
      </c>
      <c r="AI166" s="1031" t="s">
        <v>81</v>
      </c>
      <c r="AJ166" s="1034" t="s">
        <v>355</v>
      </c>
      <c r="AK166" s="1088" t="s">
        <v>168</v>
      </c>
      <c r="AL166" s="1031" t="s">
        <v>81</v>
      </c>
      <c r="AM166" s="1031" t="s">
        <v>161</v>
      </c>
      <c r="AN166" s="1069">
        <v>404676</v>
      </c>
      <c r="AO166" s="1069">
        <v>200538</v>
      </c>
      <c r="AP166" s="1069">
        <v>204138</v>
      </c>
      <c r="AQ166" s="1031" t="s">
        <v>81</v>
      </c>
      <c r="AR166" s="1066" t="s">
        <v>162</v>
      </c>
      <c r="AS166" s="1069">
        <v>404676</v>
      </c>
      <c r="AT166" s="1066" t="s">
        <v>162</v>
      </c>
      <c r="AU166" s="1069">
        <v>404676</v>
      </c>
      <c r="AV166" s="1066" t="s">
        <v>163</v>
      </c>
      <c r="AW166" s="1069">
        <v>404676</v>
      </c>
      <c r="AX166" s="1069">
        <v>404676</v>
      </c>
      <c r="AY166" s="1081"/>
    </row>
    <row r="167" spans="1:51" ht="24.75" customHeight="1" thickBot="1" x14ac:dyDescent="0.3">
      <c r="A167" s="1047"/>
      <c r="B167" s="1049"/>
      <c r="C167" s="1052"/>
      <c r="D167" s="168" t="s">
        <v>107</v>
      </c>
      <c r="E167" s="286">
        <v>7888852</v>
      </c>
      <c r="F167" s="263"/>
      <c r="G167" s="531">
        <v>7888852</v>
      </c>
      <c r="H167" s="216">
        <v>7888852</v>
      </c>
      <c r="I167" s="612">
        <v>7888852</v>
      </c>
      <c r="J167" s="216">
        <v>7888852</v>
      </c>
      <c r="K167" s="216">
        <v>7888852</v>
      </c>
      <c r="L167" s="217"/>
      <c r="M167" s="217"/>
      <c r="N167" s="217"/>
      <c r="O167" s="217"/>
      <c r="P167" s="217"/>
      <c r="Q167" s="217"/>
      <c r="R167" s="217"/>
      <c r="S167" s="1055"/>
      <c r="T167" s="531">
        <v>0</v>
      </c>
      <c r="U167" s="216">
        <v>435168.16143497761</v>
      </c>
      <c r="V167" s="612">
        <v>844710.904973745</v>
      </c>
      <c r="W167" s="684">
        <v>1202640.5924737449</v>
      </c>
      <c r="X167" s="216">
        <v>2852901.2209395487</v>
      </c>
      <c r="Y167" s="684"/>
      <c r="Z167" s="684"/>
      <c r="AA167" s="684"/>
      <c r="AB167" s="684"/>
      <c r="AC167" s="216"/>
      <c r="AD167" s="181"/>
      <c r="AE167" s="682"/>
      <c r="AF167" s="1083"/>
      <c r="AG167" s="1092"/>
      <c r="AH167" s="1032"/>
      <c r="AI167" s="1032"/>
      <c r="AJ167" s="1035"/>
      <c r="AK167" s="1089"/>
      <c r="AL167" s="1032"/>
      <c r="AM167" s="1032"/>
      <c r="AN167" s="1070"/>
      <c r="AO167" s="1070"/>
      <c r="AP167" s="1070"/>
      <c r="AQ167" s="1032"/>
      <c r="AR167" s="1067"/>
      <c r="AS167" s="1070"/>
      <c r="AT167" s="1067"/>
      <c r="AU167" s="1070"/>
      <c r="AV167" s="1067"/>
      <c r="AW167" s="1070"/>
      <c r="AX167" s="1070"/>
      <c r="AY167" s="1081"/>
    </row>
    <row r="168" spans="1:51" ht="24.75" customHeight="1" thickBot="1" x14ac:dyDescent="0.3">
      <c r="A168" s="1047"/>
      <c r="B168" s="1049"/>
      <c r="C168" s="1052"/>
      <c r="D168" s="167" t="s">
        <v>109</v>
      </c>
      <c r="E168" s="615"/>
      <c r="F168" s="616"/>
      <c r="G168" s="617"/>
      <c r="H168" s="613"/>
      <c r="I168" s="614"/>
      <c r="J168" s="613"/>
      <c r="K168" s="613"/>
      <c r="L168" s="613"/>
      <c r="M168" s="613"/>
      <c r="N168" s="613"/>
      <c r="O168" s="613"/>
      <c r="P168" s="613"/>
      <c r="Q168" s="613"/>
      <c r="R168" s="613"/>
      <c r="S168" s="1055"/>
      <c r="T168" s="617"/>
      <c r="U168" s="686">
        <v>0</v>
      </c>
      <c r="V168" s="687">
        <v>0</v>
      </c>
      <c r="W168" s="686">
        <v>0</v>
      </c>
      <c r="X168" s="613">
        <v>0</v>
      </c>
      <c r="Y168" s="686"/>
      <c r="Z168" s="686"/>
      <c r="AA168" s="686"/>
      <c r="AB168" s="686"/>
      <c r="AC168" s="613"/>
      <c r="AD168" s="618"/>
      <c r="AE168" s="688"/>
      <c r="AF168" s="1083"/>
      <c r="AG168" s="1092"/>
      <c r="AH168" s="1032"/>
      <c r="AI168" s="1032"/>
      <c r="AJ168" s="1035"/>
      <c r="AK168" s="1089"/>
      <c r="AL168" s="1032"/>
      <c r="AM168" s="1032"/>
      <c r="AN168" s="1070"/>
      <c r="AO168" s="1070"/>
      <c r="AP168" s="1070"/>
      <c r="AQ168" s="1032"/>
      <c r="AR168" s="1067"/>
      <c r="AS168" s="1070"/>
      <c r="AT168" s="1067"/>
      <c r="AU168" s="1070"/>
      <c r="AV168" s="1067"/>
      <c r="AW168" s="1070"/>
      <c r="AX168" s="1070"/>
      <c r="AY168" s="1081"/>
    </row>
    <row r="169" spans="1:51" ht="24.75" customHeight="1" thickBot="1" x14ac:dyDescent="0.3">
      <c r="A169" s="1047"/>
      <c r="B169" s="1049"/>
      <c r="C169" s="1052"/>
      <c r="D169" s="168" t="s">
        <v>110</v>
      </c>
      <c r="E169" s="615"/>
      <c r="F169" s="616"/>
      <c r="G169" s="617"/>
      <c r="H169" s="613"/>
      <c r="I169" s="614"/>
      <c r="J169" s="613"/>
      <c r="K169" s="613"/>
      <c r="L169" s="613"/>
      <c r="M169" s="613"/>
      <c r="N169" s="613"/>
      <c r="O169" s="613"/>
      <c r="P169" s="613"/>
      <c r="Q169" s="613"/>
      <c r="R169" s="613"/>
      <c r="S169" s="1055"/>
      <c r="T169" s="617"/>
      <c r="U169" s="216">
        <v>0</v>
      </c>
      <c r="V169" s="612">
        <v>0</v>
      </c>
      <c r="W169" s="684">
        <v>0</v>
      </c>
      <c r="X169" s="613">
        <v>0</v>
      </c>
      <c r="Y169" s="684"/>
      <c r="Z169" s="684"/>
      <c r="AA169" s="684"/>
      <c r="AB169" s="684"/>
      <c r="AC169" s="613"/>
      <c r="AD169" s="618"/>
      <c r="AE169" s="682"/>
      <c r="AF169" s="1083"/>
      <c r="AG169" s="1092"/>
      <c r="AH169" s="1032"/>
      <c r="AI169" s="1032"/>
      <c r="AJ169" s="1035"/>
      <c r="AK169" s="1089"/>
      <c r="AL169" s="1032"/>
      <c r="AM169" s="1032"/>
      <c r="AN169" s="1070"/>
      <c r="AO169" s="1070"/>
      <c r="AP169" s="1070"/>
      <c r="AQ169" s="1032"/>
      <c r="AR169" s="1067"/>
      <c r="AS169" s="1070"/>
      <c r="AT169" s="1067"/>
      <c r="AU169" s="1070"/>
      <c r="AV169" s="1067"/>
      <c r="AW169" s="1070"/>
      <c r="AX169" s="1070"/>
      <c r="AY169" s="1081"/>
    </row>
    <row r="170" spans="1:51" ht="24.75" customHeight="1" thickBot="1" x14ac:dyDescent="0.3">
      <c r="A170" s="1047"/>
      <c r="B170" s="1049"/>
      <c r="C170" s="1052"/>
      <c r="D170" s="167" t="s">
        <v>111</v>
      </c>
      <c r="E170" s="615">
        <v>29</v>
      </c>
      <c r="F170" s="616"/>
      <c r="G170" s="617">
        <v>29</v>
      </c>
      <c r="H170" s="613">
        <v>29</v>
      </c>
      <c r="I170" s="614">
        <v>29</v>
      </c>
      <c r="J170" s="613">
        <v>29</v>
      </c>
      <c r="K170" s="613">
        <v>29</v>
      </c>
      <c r="L170" s="613"/>
      <c r="M170" s="613"/>
      <c r="N170" s="613"/>
      <c r="O170" s="613"/>
      <c r="P170" s="613"/>
      <c r="Q170" s="613"/>
      <c r="R170" s="613"/>
      <c r="S170" s="1055"/>
      <c r="T170" s="617">
        <v>0</v>
      </c>
      <c r="U170" s="613">
        <v>1</v>
      </c>
      <c r="V170" s="614">
        <v>3</v>
      </c>
      <c r="W170" s="613">
        <v>4</v>
      </c>
      <c r="X170" s="613">
        <v>22</v>
      </c>
      <c r="Y170" s="613"/>
      <c r="Z170" s="613"/>
      <c r="AA170" s="613"/>
      <c r="AB170" s="613"/>
      <c r="AC170" s="613"/>
      <c r="AD170" s="618"/>
      <c r="AE170" s="627"/>
      <c r="AF170" s="1083"/>
      <c r="AG170" s="1092"/>
      <c r="AH170" s="1032"/>
      <c r="AI170" s="1032"/>
      <c r="AJ170" s="1035"/>
      <c r="AK170" s="1089"/>
      <c r="AL170" s="1032"/>
      <c r="AM170" s="1032"/>
      <c r="AN170" s="1070"/>
      <c r="AO170" s="1070"/>
      <c r="AP170" s="1070"/>
      <c r="AQ170" s="1032"/>
      <c r="AR170" s="1067"/>
      <c r="AS170" s="1070"/>
      <c r="AT170" s="1067"/>
      <c r="AU170" s="1070"/>
      <c r="AV170" s="1067"/>
      <c r="AW170" s="1070"/>
      <c r="AX170" s="1070"/>
      <c r="AY170" s="1081"/>
    </row>
    <row r="171" spans="1:51" ht="24.75" customHeight="1" thickBot="1" x14ac:dyDescent="0.3">
      <c r="A171" s="1047"/>
      <c r="B171" s="1049"/>
      <c r="C171" s="1053"/>
      <c r="D171" s="215" t="s">
        <v>112</v>
      </c>
      <c r="E171" s="287">
        <v>7888852</v>
      </c>
      <c r="F171" s="264"/>
      <c r="G171" s="532">
        <v>7888852</v>
      </c>
      <c r="H171" s="260">
        <v>7888852</v>
      </c>
      <c r="I171" s="620">
        <v>7888852</v>
      </c>
      <c r="J171" s="260">
        <v>7888852</v>
      </c>
      <c r="K171" s="260">
        <v>7888852</v>
      </c>
      <c r="L171" s="261"/>
      <c r="M171" s="261"/>
      <c r="N171" s="261"/>
      <c r="O171" s="261"/>
      <c r="P171" s="261"/>
      <c r="Q171" s="261"/>
      <c r="R171" s="261"/>
      <c r="S171" s="1056"/>
      <c r="T171" s="628">
        <v>0</v>
      </c>
      <c r="U171" s="692">
        <v>435168.16143497761</v>
      </c>
      <c r="V171" s="691">
        <v>844710.904973745</v>
      </c>
      <c r="W171" s="692">
        <v>844710.904973745</v>
      </c>
      <c r="X171" s="260">
        <v>2494971.5334395492</v>
      </c>
      <c r="Y171" s="692"/>
      <c r="Z171" s="692"/>
      <c r="AA171" s="692"/>
      <c r="AB171" s="692"/>
      <c r="AC171" s="219"/>
      <c r="AD171" s="182"/>
      <c r="AE171" s="693"/>
      <c r="AF171" s="1084"/>
      <c r="AG171" s="1093"/>
      <c r="AH171" s="1033"/>
      <c r="AI171" s="1033"/>
      <c r="AJ171" s="1036"/>
      <c r="AK171" s="1090"/>
      <c r="AL171" s="1033"/>
      <c r="AM171" s="1033"/>
      <c r="AN171" s="1071"/>
      <c r="AO171" s="1071"/>
      <c r="AP171" s="1071"/>
      <c r="AQ171" s="1033"/>
      <c r="AR171" s="1068"/>
      <c r="AS171" s="1071"/>
      <c r="AT171" s="1068"/>
      <c r="AU171" s="1071"/>
      <c r="AV171" s="1068"/>
      <c r="AW171" s="1071"/>
      <c r="AX171" s="1071"/>
      <c r="AY171" s="1081"/>
    </row>
    <row r="172" spans="1:51" ht="24.75" customHeight="1" thickBot="1" x14ac:dyDescent="0.3">
      <c r="A172" s="1047"/>
      <c r="B172" s="1049"/>
      <c r="C172" s="1051" t="s">
        <v>168</v>
      </c>
      <c r="D172" s="214" t="s">
        <v>106</v>
      </c>
      <c r="E172" s="603">
        <v>89</v>
      </c>
      <c r="F172" s="604"/>
      <c r="G172" s="605">
        <v>89</v>
      </c>
      <c r="H172" s="606">
        <v>89</v>
      </c>
      <c r="I172" s="607">
        <v>89</v>
      </c>
      <c r="J172" s="606">
        <v>89</v>
      </c>
      <c r="K172" s="606">
        <v>89</v>
      </c>
      <c r="L172" s="607"/>
      <c r="M172" s="607"/>
      <c r="N172" s="607"/>
      <c r="O172" s="607"/>
      <c r="P172" s="607"/>
      <c r="Q172" s="607"/>
      <c r="R172" s="608"/>
      <c r="S172" s="1054"/>
      <c r="T172" s="605">
        <v>0</v>
      </c>
      <c r="U172" s="697">
        <v>8</v>
      </c>
      <c r="V172" s="702">
        <v>25</v>
      </c>
      <c r="W172" s="697">
        <v>32</v>
      </c>
      <c r="X172" s="606">
        <v>56</v>
      </c>
      <c r="Y172" s="684"/>
      <c r="Z172" s="684"/>
      <c r="AA172" s="684"/>
      <c r="AB172" s="684"/>
      <c r="AC172" s="606"/>
      <c r="AD172" s="681"/>
      <c r="AE172" s="682"/>
      <c r="AF172" s="1082"/>
      <c r="AG172" s="1091" t="s">
        <v>169</v>
      </c>
      <c r="AH172" s="1031" t="s">
        <v>81</v>
      </c>
      <c r="AI172" s="1031" t="s">
        <v>81</v>
      </c>
      <c r="AJ172" s="1034" t="s">
        <v>355</v>
      </c>
      <c r="AK172" s="1088" t="s">
        <v>169</v>
      </c>
      <c r="AL172" s="1031" t="s">
        <v>81</v>
      </c>
      <c r="AM172" s="1031" t="s">
        <v>161</v>
      </c>
      <c r="AN172" s="1069">
        <v>184492</v>
      </c>
      <c r="AO172" s="1069">
        <v>91914</v>
      </c>
      <c r="AP172" s="1069">
        <v>92578</v>
      </c>
      <c r="AQ172" s="1031" t="s">
        <v>81</v>
      </c>
      <c r="AR172" s="1066" t="s">
        <v>162</v>
      </c>
      <c r="AS172" s="1069">
        <v>184492</v>
      </c>
      <c r="AT172" s="1066" t="s">
        <v>162</v>
      </c>
      <c r="AU172" s="1069">
        <v>184492</v>
      </c>
      <c r="AV172" s="1066" t="s">
        <v>163</v>
      </c>
      <c r="AW172" s="1069">
        <v>184492</v>
      </c>
      <c r="AX172" s="1069">
        <v>184492</v>
      </c>
      <c r="AY172" s="1081"/>
    </row>
    <row r="173" spans="1:51" ht="24.75" customHeight="1" thickBot="1" x14ac:dyDescent="0.3">
      <c r="A173" s="1047"/>
      <c r="B173" s="1049"/>
      <c r="C173" s="1052"/>
      <c r="D173" s="168" t="s">
        <v>107</v>
      </c>
      <c r="E173" s="286">
        <v>24732617</v>
      </c>
      <c r="F173" s="263"/>
      <c r="G173" s="531">
        <v>24732617</v>
      </c>
      <c r="H173" s="216">
        <v>24732617</v>
      </c>
      <c r="I173" s="612">
        <v>24732617</v>
      </c>
      <c r="J173" s="216">
        <v>24732617</v>
      </c>
      <c r="K173" s="216">
        <v>24732617</v>
      </c>
      <c r="L173" s="217"/>
      <c r="M173" s="217"/>
      <c r="N173" s="217"/>
      <c r="O173" s="217"/>
      <c r="P173" s="217"/>
      <c r="Q173" s="217"/>
      <c r="R173" s="217"/>
      <c r="S173" s="1055"/>
      <c r="T173" s="531">
        <v>0</v>
      </c>
      <c r="U173" s="216">
        <v>3481345.2914798209</v>
      </c>
      <c r="V173" s="612">
        <v>6962458.6115593435</v>
      </c>
      <c r="W173" s="684">
        <v>9467966.4240593426</v>
      </c>
      <c r="X173" s="216">
        <v>11668313.928680414</v>
      </c>
      <c r="Y173" s="684"/>
      <c r="Z173" s="684"/>
      <c r="AA173" s="684"/>
      <c r="AB173" s="684"/>
      <c r="AC173" s="216"/>
      <c r="AD173" s="181"/>
      <c r="AE173" s="682"/>
      <c r="AF173" s="1083"/>
      <c r="AG173" s="1092"/>
      <c r="AH173" s="1032"/>
      <c r="AI173" s="1032"/>
      <c r="AJ173" s="1035"/>
      <c r="AK173" s="1089"/>
      <c r="AL173" s="1032"/>
      <c r="AM173" s="1032"/>
      <c r="AN173" s="1070"/>
      <c r="AO173" s="1070"/>
      <c r="AP173" s="1070"/>
      <c r="AQ173" s="1032"/>
      <c r="AR173" s="1067"/>
      <c r="AS173" s="1070"/>
      <c r="AT173" s="1067"/>
      <c r="AU173" s="1070"/>
      <c r="AV173" s="1067"/>
      <c r="AW173" s="1070"/>
      <c r="AX173" s="1070"/>
      <c r="AY173" s="1081"/>
    </row>
    <row r="174" spans="1:51" ht="24.75" customHeight="1" thickBot="1" x14ac:dyDescent="0.3">
      <c r="A174" s="1047"/>
      <c r="B174" s="1049"/>
      <c r="C174" s="1052"/>
      <c r="D174" s="167" t="s">
        <v>109</v>
      </c>
      <c r="E174" s="615"/>
      <c r="F174" s="616"/>
      <c r="G174" s="617"/>
      <c r="H174" s="613"/>
      <c r="I174" s="614"/>
      <c r="J174" s="613"/>
      <c r="K174" s="613"/>
      <c r="L174" s="613"/>
      <c r="M174" s="613"/>
      <c r="N174" s="613"/>
      <c r="O174" s="613"/>
      <c r="P174" s="613"/>
      <c r="Q174" s="613"/>
      <c r="R174" s="613"/>
      <c r="S174" s="1055"/>
      <c r="T174" s="617"/>
      <c r="U174" s="686">
        <v>0</v>
      </c>
      <c r="V174" s="687">
        <v>0</v>
      </c>
      <c r="W174" s="686">
        <v>0</v>
      </c>
      <c r="X174" s="613">
        <v>0</v>
      </c>
      <c r="Y174" s="686"/>
      <c r="Z174" s="686"/>
      <c r="AA174" s="686"/>
      <c r="AB174" s="686"/>
      <c r="AC174" s="613"/>
      <c r="AD174" s="618"/>
      <c r="AE174" s="688"/>
      <c r="AF174" s="1083"/>
      <c r="AG174" s="1092"/>
      <c r="AH174" s="1032"/>
      <c r="AI174" s="1032"/>
      <c r="AJ174" s="1035"/>
      <c r="AK174" s="1089"/>
      <c r="AL174" s="1032"/>
      <c r="AM174" s="1032"/>
      <c r="AN174" s="1070"/>
      <c r="AO174" s="1070"/>
      <c r="AP174" s="1070"/>
      <c r="AQ174" s="1032"/>
      <c r="AR174" s="1067"/>
      <c r="AS174" s="1070"/>
      <c r="AT174" s="1067"/>
      <c r="AU174" s="1070"/>
      <c r="AV174" s="1067"/>
      <c r="AW174" s="1070"/>
      <c r="AX174" s="1070"/>
      <c r="AY174" s="1081"/>
    </row>
    <row r="175" spans="1:51" ht="24.75" customHeight="1" thickBot="1" x14ac:dyDescent="0.3">
      <c r="A175" s="1047"/>
      <c r="B175" s="1049"/>
      <c r="C175" s="1052"/>
      <c r="D175" s="168" t="s">
        <v>110</v>
      </c>
      <c r="E175" s="615"/>
      <c r="F175" s="616"/>
      <c r="G175" s="617"/>
      <c r="H175" s="613"/>
      <c r="I175" s="614"/>
      <c r="J175" s="613"/>
      <c r="K175" s="613"/>
      <c r="L175" s="613"/>
      <c r="M175" s="613"/>
      <c r="N175" s="613"/>
      <c r="O175" s="613"/>
      <c r="P175" s="613"/>
      <c r="Q175" s="613"/>
      <c r="R175" s="613"/>
      <c r="S175" s="1055"/>
      <c r="T175" s="617"/>
      <c r="U175" s="216">
        <v>0</v>
      </c>
      <c r="V175" s="612">
        <v>0</v>
      </c>
      <c r="W175" s="684">
        <v>0</v>
      </c>
      <c r="X175" s="613">
        <v>0</v>
      </c>
      <c r="Y175" s="684"/>
      <c r="Z175" s="684"/>
      <c r="AA175" s="684"/>
      <c r="AB175" s="684"/>
      <c r="AC175" s="613"/>
      <c r="AD175" s="618"/>
      <c r="AE175" s="682"/>
      <c r="AF175" s="1083"/>
      <c r="AG175" s="1092"/>
      <c r="AH175" s="1032"/>
      <c r="AI175" s="1032"/>
      <c r="AJ175" s="1035"/>
      <c r="AK175" s="1089"/>
      <c r="AL175" s="1032"/>
      <c r="AM175" s="1032"/>
      <c r="AN175" s="1070"/>
      <c r="AO175" s="1070"/>
      <c r="AP175" s="1070"/>
      <c r="AQ175" s="1032"/>
      <c r="AR175" s="1067"/>
      <c r="AS175" s="1070"/>
      <c r="AT175" s="1067"/>
      <c r="AU175" s="1070"/>
      <c r="AV175" s="1067"/>
      <c r="AW175" s="1070"/>
      <c r="AX175" s="1070"/>
      <c r="AY175" s="1081"/>
    </row>
    <row r="176" spans="1:51" ht="24.75" customHeight="1" thickBot="1" x14ac:dyDescent="0.3">
      <c r="A176" s="1047"/>
      <c r="B176" s="1049"/>
      <c r="C176" s="1052"/>
      <c r="D176" s="167" t="s">
        <v>111</v>
      </c>
      <c r="E176" s="615">
        <v>89</v>
      </c>
      <c r="F176" s="616"/>
      <c r="G176" s="617">
        <v>89</v>
      </c>
      <c r="H176" s="613">
        <v>89</v>
      </c>
      <c r="I176" s="614">
        <v>89</v>
      </c>
      <c r="J176" s="613">
        <v>89</v>
      </c>
      <c r="K176" s="613">
        <v>89</v>
      </c>
      <c r="L176" s="613"/>
      <c r="M176" s="613"/>
      <c r="N176" s="613"/>
      <c r="O176" s="613"/>
      <c r="P176" s="613"/>
      <c r="Q176" s="613"/>
      <c r="R176" s="613"/>
      <c r="S176" s="1055"/>
      <c r="T176" s="617">
        <v>0</v>
      </c>
      <c r="U176" s="613">
        <v>8</v>
      </c>
      <c r="V176" s="614">
        <v>25</v>
      </c>
      <c r="W176" s="613">
        <v>32</v>
      </c>
      <c r="X176" s="613">
        <v>56</v>
      </c>
      <c r="Y176" s="613"/>
      <c r="Z176" s="613"/>
      <c r="AA176" s="613"/>
      <c r="AB176" s="613"/>
      <c r="AC176" s="613"/>
      <c r="AD176" s="618"/>
      <c r="AE176" s="627"/>
      <c r="AF176" s="1083"/>
      <c r="AG176" s="1092"/>
      <c r="AH176" s="1032"/>
      <c r="AI176" s="1032"/>
      <c r="AJ176" s="1035"/>
      <c r="AK176" s="1089"/>
      <c r="AL176" s="1032"/>
      <c r="AM176" s="1032"/>
      <c r="AN176" s="1070"/>
      <c r="AO176" s="1070"/>
      <c r="AP176" s="1070"/>
      <c r="AQ176" s="1032"/>
      <c r="AR176" s="1067"/>
      <c r="AS176" s="1070"/>
      <c r="AT176" s="1067"/>
      <c r="AU176" s="1070"/>
      <c r="AV176" s="1067"/>
      <c r="AW176" s="1070"/>
      <c r="AX176" s="1070"/>
      <c r="AY176" s="1081"/>
    </row>
    <row r="177" spans="1:51" ht="24.75" customHeight="1" thickBot="1" x14ac:dyDescent="0.3">
      <c r="A177" s="1047"/>
      <c r="B177" s="1049"/>
      <c r="C177" s="1053"/>
      <c r="D177" s="215" t="s">
        <v>112</v>
      </c>
      <c r="E177" s="287">
        <v>24732617</v>
      </c>
      <c r="F177" s="264"/>
      <c r="G177" s="532">
        <v>24732617</v>
      </c>
      <c r="H177" s="260">
        <v>24732617</v>
      </c>
      <c r="I177" s="620">
        <v>24732617</v>
      </c>
      <c r="J177" s="260">
        <v>24732617</v>
      </c>
      <c r="K177" s="260">
        <v>24732617</v>
      </c>
      <c r="L177" s="261"/>
      <c r="M177" s="261"/>
      <c r="N177" s="261"/>
      <c r="O177" s="261"/>
      <c r="P177" s="261"/>
      <c r="Q177" s="261"/>
      <c r="R177" s="261"/>
      <c r="S177" s="1056"/>
      <c r="T177" s="628">
        <v>0</v>
      </c>
      <c r="U177" s="690">
        <v>3481345.2914798209</v>
      </c>
      <c r="V177" s="691">
        <v>6962458.6115593435</v>
      </c>
      <c r="W177" s="692">
        <v>6962458.6115593435</v>
      </c>
      <c r="X177" s="260">
        <v>9162806.1161804162</v>
      </c>
      <c r="Y177" s="692"/>
      <c r="Z177" s="692"/>
      <c r="AA177" s="692"/>
      <c r="AB177" s="692"/>
      <c r="AC177" s="219"/>
      <c r="AD177" s="182"/>
      <c r="AE177" s="693"/>
      <c r="AF177" s="1084"/>
      <c r="AG177" s="1093"/>
      <c r="AH177" s="1033"/>
      <c r="AI177" s="1033"/>
      <c r="AJ177" s="1036"/>
      <c r="AK177" s="1090"/>
      <c r="AL177" s="1033"/>
      <c r="AM177" s="1033"/>
      <c r="AN177" s="1071"/>
      <c r="AO177" s="1071"/>
      <c r="AP177" s="1071"/>
      <c r="AQ177" s="1033"/>
      <c r="AR177" s="1068"/>
      <c r="AS177" s="1071"/>
      <c r="AT177" s="1068"/>
      <c r="AU177" s="1071"/>
      <c r="AV177" s="1068"/>
      <c r="AW177" s="1071"/>
      <c r="AX177" s="1071"/>
      <c r="AY177" s="1081"/>
    </row>
    <row r="178" spans="1:51" ht="24.75" customHeight="1" thickBot="1" x14ac:dyDescent="0.3">
      <c r="A178" s="1047"/>
      <c r="B178" s="1049"/>
      <c r="C178" s="1051" t="s">
        <v>169</v>
      </c>
      <c r="D178" s="214" t="s">
        <v>106</v>
      </c>
      <c r="E178" s="603">
        <v>97</v>
      </c>
      <c r="F178" s="604"/>
      <c r="G178" s="605">
        <v>97</v>
      </c>
      <c r="H178" s="606">
        <v>97</v>
      </c>
      <c r="I178" s="607">
        <v>97</v>
      </c>
      <c r="J178" s="606">
        <v>97</v>
      </c>
      <c r="K178" s="606">
        <v>97</v>
      </c>
      <c r="L178" s="607"/>
      <c r="M178" s="607"/>
      <c r="N178" s="607"/>
      <c r="O178" s="607"/>
      <c r="P178" s="607"/>
      <c r="Q178" s="607"/>
      <c r="R178" s="608"/>
      <c r="S178" s="1054"/>
      <c r="T178" s="605">
        <v>4</v>
      </c>
      <c r="U178" s="697">
        <v>8</v>
      </c>
      <c r="V178" s="702">
        <v>23</v>
      </c>
      <c r="W178" s="697">
        <v>35</v>
      </c>
      <c r="X178" s="606">
        <v>61</v>
      </c>
      <c r="Y178" s="684"/>
      <c r="Z178" s="684"/>
      <c r="AA178" s="684"/>
      <c r="AB178" s="684"/>
      <c r="AC178" s="606"/>
      <c r="AD178" s="681"/>
      <c r="AE178" s="682"/>
      <c r="AF178" s="1082"/>
      <c r="AG178" s="1091" t="s">
        <v>170</v>
      </c>
      <c r="AH178" s="1031" t="s">
        <v>81</v>
      </c>
      <c r="AI178" s="1031" t="s">
        <v>81</v>
      </c>
      <c r="AJ178" s="1034" t="s">
        <v>355</v>
      </c>
      <c r="AK178" s="1088" t="s">
        <v>170</v>
      </c>
      <c r="AL178" s="1031" t="s">
        <v>81</v>
      </c>
      <c r="AM178" s="1031" t="s">
        <v>161</v>
      </c>
      <c r="AN178" s="1069">
        <v>733740</v>
      </c>
      <c r="AO178" s="1069">
        <v>353078</v>
      </c>
      <c r="AP178" s="1069">
        <v>380662</v>
      </c>
      <c r="AQ178" s="1031" t="s">
        <v>81</v>
      </c>
      <c r="AR178" s="1066" t="s">
        <v>162</v>
      </c>
      <c r="AS178" s="1069">
        <v>733740</v>
      </c>
      <c r="AT178" s="1066" t="s">
        <v>162</v>
      </c>
      <c r="AU178" s="1069">
        <v>733740</v>
      </c>
      <c r="AV178" s="1066" t="s">
        <v>163</v>
      </c>
      <c r="AW178" s="1069">
        <v>733740</v>
      </c>
      <c r="AX178" s="1069">
        <v>733740</v>
      </c>
      <c r="AY178" s="1081"/>
    </row>
    <row r="179" spans="1:51" ht="24.75" customHeight="1" thickBot="1" x14ac:dyDescent="0.3">
      <c r="A179" s="1047"/>
      <c r="B179" s="1049"/>
      <c r="C179" s="1052"/>
      <c r="D179" s="168" t="s">
        <v>107</v>
      </c>
      <c r="E179" s="286">
        <v>26864739</v>
      </c>
      <c r="F179" s="263"/>
      <c r="G179" s="531">
        <v>26864739</v>
      </c>
      <c r="H179" s="216">
        <v>26864739</v>
      </c>
      <c r="I179" s="612">
        <v>26864739</v>
      </c>
      <c r="J179" s="216">
        <v>26864739</v>
      </c>
      <c r="K179" s="216">
        <v>26864739</v>
      </c>
      <c r="L179" s="217"/>
      <c r="M179" s="217"/>
      <c r="N179" s="217"/>
      <c r="O179" s="217"/>
      <c r="P179" s="217"/>
      <c r="Q179" s="217"/>
      <c r="R179" s="217"/>
      <c r="S179" s="1055"/>
      <c r="T179" s="531">
        <v>359636.36363636365</v>
      </c>
      <c r="U179" s="216">
        <v>2100309.009376274</v>
      </c>
      <c r="V179" s="612">
        <v>5171879.5859170295</v>
      </c>
      <c r="W179" s="684">
        <v>9467035.8359170295</v>
      </c>
      <c r="X179" s="216">
        <v>11850745.632589858</v>
      </c>
      <c r="Y179" s="684"/>
      <c r="Z179" s="684"/>
      <c r="AA179" s="684"/>
      <c r="AB179" s="684"/>
      <c r="AC179" s="216"/>
      <c r="AD179" s="181"/>
      <c r="AE179" s="682"/>
      <c r="AF179" s="1083"/>
      <c r="AG179" s="1092"/>
      <c r="AH179" s="1032"/>
      <c r="AI179" s="1032"/>
      <c r="AJ179" s="1035"/>
      <c r="AK179" s="1089"/>
      <c r="AL179" s="1032"/>
      <c r="AM179" s="1032"/>
      <c r="AN179" s="1070"/>
      <c r="AO179" s="1070"/>
      <c r="AP179" s="1070"/>
      <c r="AQ179" s="1032"/>
      <c r="AR179" s="1067"/>
      <c r="AS179" s="1070"/>
      <c r="AT179" s="1067"/>
      <c r="AU179" s="1070"/>
      <c r="AV179" s="1067"/>
      <c r="AW179" s="1070"/>
      <c r="AX179" s="1070"/>
      <c r="AY179" s="1081"/>
    </row>
    <row r="180" spans="1:51" ht="24.75" customHeight="1" thickBot="1" x14ac:dyDescent="0.3">
      <c r="A180" s="1047"/>
      <c r="B180" s="1049"/>
      <c r="C180" s="1052"/>
      <c r="D180" s="167" t="s">
        <v>109</v>
      </c>
      <c r="E180" s="615"/>
      <c r="F180" s="616"/>
      <c r="G180" s="617"/>
      <c r="H180" s="613"/>
      <c r="I180" s="614"/>
      <c r="J180" s="613"/>
      <c r="K180" s="613"/>
      <c r="L180" s="613"/>
      <c r="M180" s="613"/>
      <c r="N180" s="613"/>
      <c r="O180" s="613"/>
      <c r="P180" s="613"/>
      <c r="Q180" s="613"/>
      <c r="R180" s="613"/>
      <c r="S180" s="1055"/>
      <c r="T180" s="617"/>
      <c r="U180" s="686">
        <v>0</v>
      </c>
      <c r="V180" s="687">
        <v>0</v>
      </c>
      <c r="W180" s="686">
        <v>0</v>
      </c>
      <c r="X180" s="613">
        <v>0</v>
      </c>
      <c r="Y180" s="686"/>
      <c r="Z180" s="686"/>
      <c r="AA180" s="686"/>
      <c r="AB180" s="686"/>
      <c r="AC180" s="613"/>
      <c r="AD180" s="618"/>
      <c r="AE180" s="688"/>
      <c r="AF180" s="1083"/>
      <c r="AG180" s="1092"/>
      <c r="AH180" s="1032"/>
      <c r="AI180" s="1032"/>
      <c r="AJ180" s="1035"/>
      <c r="AK180" s="1089"/>
      <c r="AL180" s="1032"/>
      <c r="AM180" s="1032"/>
      <c r="AN180" s="1070"/>
      <c r="AO180" s="1070"/>
      <c r="AP180" s="1070"/>
      <c r="AQ180" s="1032"/>
      <c r="AR180" s="1067"/>
      <c r="AS180" s="1070"/>
      <c r="AT180" s="1067"/>
      <c r="AU180" s="1070"/>
      <c r="AV180" s="1067"/>
      <c r="AW180" s="1070"/>
      <c r="AX180" s="1070"/>
      <c r="AY180" s="1081"/>
    </row>
    <row r="181" spans="1:51" ht="24.75" customHeight="1" thickBot="1" x14ac:dyDescent="0.3">
      <c r="A181" s="1047"/>
      <c r="B181" s="1049"/>
      <c r="C181" s="1052"/>
      <c r="D181" s="168" t="s">
        <v>110</v>
      </c>
      <c r="E181" s="615"/>
      <c r="F181" s="616"/>
      <c r="G181" s="617"/>
      <c r="H181" s="613"/>
      <c r="I181" s="614"/>
      <c r="J181" s="613"/>
      <c r="K181" s="613"/>
      <c r="L181" s="613"/>
      <c r="M181" s="613"/>
      <c r="N181" s="613"/>
      <c r="O181" s="613"/>
      <c r="P181" s="613"/>
      <c r="Q181" s="613"/>
      <c r="R181" s="613"/>
      <c r="S181" s="1055"/>
      <c r="T181" s="617"/>
      <c r="U181" s="216">
        <v>0</v>
      </c>
      <c r="V181" s="612">
        <v>0</v>
      </c>
      <c r="W181" s="684">
        <v>0</v>
      </c>
      <c r="X181" s="613">
        <v>0</v>
      </c>
      <c r="Y181" s="684"/>
      <c r="Z181" s="684"/>
      <c r="AA181" s="684"/>
      <c r="AB181" s="684"/>
      <c r="AC181" s="613"/>
      <c r="AD181" s="618"/>
      <c r="AE181" s="682"/>
      <c r="AF181" s="1083"/>
      <c r="AG181" s="1092"/>
      <c r="AH181" s="1032"/>
      <c r="AI181" s="1032"/>
      <c r="AJ181" s="1035"/>
      <c r="AK181" s="1089"/>
      <c r="AL181" s="1032"/>
      <c r="AM181" s="1032"/>
      <c r="AN181" s="1070"/>
      <c r="AO181" s="1070"/>
      <c r="AP181" s="1070"/>
      <c r="AQ181" s="1032"/>
      <c r="AR181" s="1067"/>
      <c r="AS181" s="1070"/>
      <c r="AT181" s="1067"/>
      <c r="AU181" s="1070"/>
      <c r="AV181" s="1067"/>
      <c r="AW181" s="1070"/>
      <c r="AX181" s="1070"/>
      <c r="AY181" s="1081"/>
    </row>
    <row r="182" spans="1:51" ht="24.75" customHeight="1" thickBot="1" x14ac:dyDescent="0.3">
      <c r="A182" s="1047"/>
      <c r="B182" s="1049"/>
      <c r="C182" s="1052"/>
      <c r="D182" s="167" t="s">
        <v>111</v>
      </c>
      <c r="E182" s="615">
        <v>97</v>
      </c>
      <c r="F182" s="616"/>
      <c r="G182" s="617">
        <v>97</v>
      </c>
      <c r="H182" s="613">
        <v>97</v>
      </c>
      <c r="I182" s="614">
        <v>97</v>
      </c>
      <c r="J182" s="613">
        <v>97</v>
      </c>
      <c r="K182" s="613">
        <v>97</v>
      </c>
      <c r="L182" s="613"/>
      <c r="M182" s="613"/>
      <c r="N182" s="613"/>
      <c r="O182" s="613"/>
      <c r="P182" s="613"/>
      <c r="Q182" s="613"/>
      <c r="R182" s="613"/>
      <c r="S182" s="1055"/>
      <c r="T182" s="617">
        <v>4</v>
      </c>
      <c r="U182" s="613">
        <v>8</v>
      </c>
      <c r="V182" s="614">
        <v>23</v>
      </c>
      <c r="W182" s="613">
        <v>35</v>
      </c>
      <c r="X182" s="613">
        <v>61</v>
      </c>
      <c r="Y182" s="613"/>
      <c r="Z182" s="613"/>
      <c r="AA182" s="613"/>
      <c r="AB182" s="613"/>
      <c r="AC182" s="613"/>
      <c r="AD182" s="618"/>
      <c r="AE182" s="627"/>
      <c r="AF182" s="1083"/>
      <c r="AG182" s="1092"/>
      <c r="AH182" s="1032"/>
      <c r="AI182" s="1032"/>
      <c r="AJ182" s="1035"/>
      <c r="AK182" s="1089"/>
      <c r="AL182" s="1032"/>
      <c r="AM182" s="1032"/>
      <c r="AN182" s="1070"/>
      <c r="AO182" s="1070"/>
      <c r="AP182" s="1070"/>
      <c r="AQ182" s="1032"/>
      <c r="AR182" s="1067"/>
      <c r="AS182" s="1070"/>
      <c r="AT182" s="1067"/>
      <c r="AU182" s="1070"/>
      <c r="AV182" s="1067"/>
      <c r="AW182" s="1070"/>
      <c r="AX182" s="1070"/>
      <c r="AY182" s="1081"/>
    </row>
    <row r="183" spans="1:51" ht="24.75" customHeight="1" thickBot="1" x14ac:dyDescent="0.3">
      <c r="A183" s="1047"/>
      <c r="B183" s="1049"/>
      <c r="C183" s="1053"/>
      <c r="D183" s="215" t="s">
        <v>112</v>
      </c>
      <c r="E183" s="287">
        <v>26864739</v>
      </c>
      <c r="F183" s="264"/>
      <c r="G183" s="532">
        <v>26864739</v>
      </c>
      <c r="H183" s="260">
        <v>26864739</v>
      </c>
      <c r="I183" s="620">
        <v>26864739</v>
      </c>
      <c r="J183" s="260">
        <v>26864739</v>
      </c>
      <c r="K183" s="260">
        <v>26864739</v>
      </c>
      <c r="L183" s="261"/>
      <c r="M183" s="261"/>
      <c r="N183" s="261"/>
      <c r="O183" s="261"/>
      <c r="P183" s="261"/>
      <c r="Q183" s="261"/>
      <c r="R183" s="261"/>
      <c r="S183" s="1056"/>
      <c r="T183" s="628">
        <v>359636.36363636365</v>
      </c>
      <c r="U183" s="690">
        <v>2100309.009376274</v>
      </c>
      <c r="V183" s="691">
        <v>5171879.5859170295</v>
      </c>
      <c r="W183" s="692">
        <v>5171879.5859170295</v>
      </c>
      <c r="X183" s="260">
        <v>7555589.382589858</v>
      </c>
      <c r="Y183" s="692"/>
      <c r="Z183" s="692"/>
      <c r="AA183" s="692"/>
      <c r="AB183" s="692"/>
      <c r="AC183" s="219"/>
      <c r="AD183" s="182"/>
      <c r="AE183" s="693"/>
      <c r="AF183" s="1084"/>
      <c r="AG183" s="1093"/>
      <c r="AH183" s="1033"/>
      <c r="AI183" s="1033"/>
      <c r="AJ183" s="1036"/>
      <c r="AK183" s="1090"/>
      <c r="AL183" s="1033"/>
      <c r="AM183" s="1033"/>
      <c r="AN183" s="1071"/>
      <c r="AO183" s="1071"/>
      <c r="AP183" s="1071"/>
      <c r="AQ183" s="1033"/>
      <c r="AR183" s="1068"/>
      <c r="AS183" s="1071"/>
      <c r="AT183" s="1068"/>
      <c r="AU183" s="1071"/>
      <c r="AV183" s="1068"/>
      <c r="AW183" s="1071"/>
      <c r="AX183" s="1071"/>
      <c r="AY183" s="1081"/>
    </row>
    <row r="184" spans="1:51" ht="24.75" customHeight="1" thickBot="1" x14ac:dyDescent="0.3">
      <c r="A184" s="1047"/>
      <c r="B184" s="1049"/>
      <c r="C184" s="1051" t="s">
        <v>170</v>
      </c>
      <c r="D184" s="214" t="s">
        <v>106</v>
      </c>
      <c r="E184" s="603">
        <v>231</v>
      </c>
      <c r="F184" s="604"/>
      <c r="G184" s="605">
        <v>231</v>
      </c>
      <c r="H184" s="606">
        <v>231</v>
      </c>
      <c r="I184" s="607">
        <v>231</v>
      </c>
      <c r="J184" s="606">
        <v>231</v>
      </c>
      <c r="K184" s="606">
        <v>231</v>
      </c>
      <c r="L184" s="607"/>
      <c r="M184" s="607"/>
      <c r="N184" s="607"/>
      <c r="O184" s="607"/>
      <c r="P184" s="607"/>
      <c r="Q184" s="607"/>
      <c r="R184" s="608"/>
      <c r="S184" s="1054"/>
      <c r="T184" s="703">
        <v>11</v>
      </c>
      <c r="U184" s="697">
        <v>30</v>
      </c>
      <c r="V184" s="702">
        <v>76</v>
      </c>
      <c r="W184" s="697">
        <v>103</v>
      </c>
      <c r="X184" s="606">
        <v>157</v>
      </c>
      <c r="Y184" s="684"/>
      <c r="Z184" s="684"/>
      <c r="AA184" s="684"/>
      <c r="AB184" s="684"/>
      <c r="AC184" s="606"/>
      <c r="AD184" s="681"/>
      <c r="AE184" s="682"/>
      <c r="AF184" s="1082"/>
      <c r="AG184" s="1091" t="s">
        <v>171</v>
      </c>
      <c r="AH184" s="1031" t="s">
        <v>81</v>
      </c>
      <c r="AI184" s="1031" t="s">
        <v>81</v>
      </c>
      <c r="AJ184" s="1034" t="s">
        <v>355</v>
      </c>
      <c r="AK184" s="1088" t="s">
        <v>171</v>
      </c>
      <c r="AL184" s="1031" t="s">
        <v>81</v>
      </c>
      <c r="AM184" s="1031" t="s">
        <v>161</v>
      </c>
      <c r="AN184" s="1069">
        <v>1037929</v>
      </c>
      <c r="AO184" s="1069">
        <v>503962</v>
      </c>
      <c r="AP184" s="1069">
        <v>533967</v>
      </c>
      <c r="AQ184" s="1031" t="s">
        <v>81</v>
      </c>
      <c r="AR184" s="1066" t="s">
        <v>162</v>
      </c>
      <c r="AS184" s="1069">
        <v>1037929</v>
      </c>
      <c r="AT184" s="1066" t="s">
        <v>162</v>
      </c>
      <c r="AU184" s="1069">
        <v>1037929</v>
      </c>
      <c r="AV184" s="1066" t="s">
        <v>163</v>
      </c>
      <c r="AW184" s="1069">
        <v>1037929</v>
      </c>
      <c r="AX184" s="1069">
        <v>1037929</v>
      </c>
      <c r="AY184" s="1081"/>
    </row>
    <row r="185" spans="1:51" ht="24.75" customHeight="1" thickBot="1" x14ac:dyDescent="0.3">
      <c r="A185" s="1047"/>
      <c r="B185" s="1049"/>
      <c r="C185" s="1052"/>
      <c r="D185" s="168" t="s">
        <v>107</v>
      </c>
      <c r="E185" s="286">
        <v>63963664</v>
      </c>
      <c r="F185" s="263"/>
      <c r="G185" s="531">
        <v>63963664</v>
      </c>
      <c r="H185" s="216">
        <v>63963664</v>
      </c>
      <c r="I185" s="612">
        <v>63963664</v>
      </c>
      <c r="J185" s="216">
        <v>63963664</v>
      </c>
      <c r="K185" s="216">
        <v>63963664</v>
      </c>
      <c r="L185" s="217"/>
      <c r="M185" s="217"/>
      <c r="N185" s="217"/>
      <c r="O185" s="217"/>
      <c r="P185" s="217"/>
      <c r="Q185" s="217"/>
      <c r="R185" s="217"/>
      <c r="S185" s="1055"/>
      <c r="T185" s="531">
        <v>989000</v>
      </c>
      <c r="U185" s="216">
        <v>9257195.0672645736</v>
      </c>
      <c r="V185" s="612">
        <v>18676678.168656223</v>
      </c>
      <c r="W185" s="684">
        <v>28340779.731156223</v>
      </c>
      <c r="X185" s="216">
        <v>33291561.616553634</v>
      </c>
      <c r="Y185" s="684"/>
      <c r="Z185" s="684"/>
      <c r="AA185" s="684"/>
      <c r="AB185" s="684"/>
      <c r="AC185" s="216"/>
      <c r="AD185" s="181"/>
      <c r="AE185" s="682"/>
      <c r="AF185" s="1083"/>
      <c r="AG185" s="1092"/>
      <c r="AH185" s="1032"/>
      <c r="AI185" s="1032"/>
      <c r="AJ185" s="1035"/>
      <c r="AK185" s="1089"/>
      <c r="AL185" s="1032"/>
      <c r="AM185" s="1032"/>
      <c r="AN185" s="1070"/>
      <c r="AO185" s="1070"/>
      <c r="AP185" s="1070"/>
      <c r="AQ185" s="1032"/>
      <c r="AR185" s="1067"/>
      <c r="AS185" s="1070"/>
      <c r="AT185" s="1067"/>
      <c r="AU185" s="1070"/>
      <c r="AV185" s="1067"/>
      <c r="AW185" s="1070"/>
      <c r="AX185" s="1070"/>
      <c r="AY185" s="1081"/>
    </row>
    <row r="186" spans="1:51" ht="24.75" customHeight="1" thickBot="1" x14ac:dyDescent="0.3">
      <c r="A186" s="1047"/>
      <c r="B186" s="1049"/>
      <c r="C186" s="1052"/>
      <c r="D186" s="167" t="s">
        <v>109</v>
      </c>
      <c r="E186" s="615"/>
      <c r="F186" s="616"/>
      <c r="G186" s="617"/>
      <c r="H186" s="613"/>
      <c r="I186" s="614"/>
      <c r="J186" s="613"/>
      <c r="K186" s="613"/>
      <c r="L186" s="613"/>
      <c r="M186" s="613"/>
      <c r="N186" s="613"/>
      <c r="O186" s="613"/>
      <c r="P186" s="613"/>
      <c r="Q186" s="613"/>
      <c r="R186" s="613"/>
      <c r="S186" s="1055"/>
      <c r="T186" s="617"/>
      <c r="U186" s="686">
        <v>0</v>
      </c>
      <c r="V186" s="687">
        <v>0</v>
      </c>
      <c r="W186" s="686">
        <v>0</v>
      </c>
      <c r="X186" s="613">
        <v>0</v>
      </c>
      <c r="Y186" s="686"/>
      <c r="Z186" s="686"/>
      <c r="AA186" s="686"/>
      <c r="AB186" s="686"/>
      <c r="AC186" s="613"/>
      <c r="AD186" s="618"/>
      <c r="AE186" s="688"/>
      <c r="AF186" s="1083"/>
      <c r="AG186" s="1092"/>
      <c r="AH186" s="1032"/>
      <c r="AI186" s="1032"/>
      <c r="AJ186" s="1035"/>
      <c r="AK186" s="1089"/>
      <c r="AL186" s="1032"/>
      <c r="AM186" s="1032"/>
      <c r="AN186" s="1070"/>
      <c r="AO186" s="1070"/>
      <c r="AP186" s="1070"/>
      <c r="AQ186" s="1032"/>
      <c r="AR186" s="1067"/>
      <c r="AS186" s="1070"/>
      <c r="AT186" s="1067"/>
      <c r="AU186" s="1070"/>
      <c r="AV186" s="1067"/>
      <c r="AW186" s="1070"/>
      <c r="AX186" s="1070"/>
      <c r="AY186" s="1081"/>
    </row>
    <row r="187" spans="1:51" ht="24.75" customHeight="1" thickBot="1" x14ac:dyDescent="0.3">
      <c r="A187" s="1047"/>
      <c r="B187" s="1049"/>
      <c r="C187" s="1052"/>
      <c r="D187" s="168" t="s">
        <v>110</v>
      </c>
      <c r="E187" s="615"/>
      <c r="F187" s="616"/>
      <c r="G187" s="617"/>
      <c r="H187" s="613"/>
      <c r="I187" s="614"/>
      <c r="J187" s="613"/>
      <c r="K187" s="613"/>
      <c r="L187" s="613"/>
      <c r="M187" s="613"/>
      <c r="N187" s="613"/>
      <c r="O187" s="613"/>
      <c r="P187" s="613"/>
      <c r="Q187" s="613"/>
      <c r="R187" s="613"/>
      <c r="S187" s="1055"/>
      <c r="T187" s="617"/>
      <c r="U187" s="216">
        <v>0</v>
      </c>
      <c r="V187" s="612">
        <v>0</v>
      </c>
      <c r="W187" s="684">
        <v>0</v>
      </c>
      <c r="X187" s="613">
        <v>0</v>
      </c>
      <c r="Y187" s="684"/>
      <c r="Z187" s="684"/>
      <c r="AA187" s="684"/>
      <c r="AB187" s="684"/>
      <c r="AC187" s="613"/>
      <c r="AD187" s="618"/>
      <c r="AE187" s="682"/>
      <c r="AF187" s="1083"/>
      <c r="AG187" s="1092"/>
      <c r="AH187" s="1032"/>
      <c r="AI187" s="1032"/>
      <c r="AJ187" s="1035"/>
      <c r="AK187" s="1089"/>
      <c r="AL187" s="1032"/>
      <c r="AM187" s="1032"/>
      <c r="AN187" s="1070"/>
      <c r="AO187" s="1070"/>
      <c r="AP187" s="1070"/>
      <c r="AQ187" s="1032"/>
      <c r="AR187" s="1067"/>
      <c r="AS187" s="1070"/>
      <c r="AT187" s="1067"/>
      <c r="AU187" s="1070"/>
      <c r="AV187" s="1067"/>
      <c r="AW187" s="1070"/>
      <c r="AX187" s="1070"/>
      <c r="AY187" s="1081"/>
    </row>
    <row r="188" spans="1:51" ht="24.75" customHeight="1" thickBot="1" x14ac:dyDescent="0.3">
      <c r="A188" s="1047"/>
      <c r="B188" s="1049"/>
      <c r="C188" s="1052"/>
      <c r="D188" s="167" t="s">
        <v>111</v>
      </c>
      <c r="E188" s="615">
        <v>231</v>
      </c>
      <c r="F188" s="616"/>
      <c r="G188" s="617">
        <v>231</v>
      </c>
      <c r="H188" s="613">
        <v>231</v>
      </c>
      <c r="I188" s="614">
        <v>231</v>
      </c>
      <c r="J188" s="613">
        <v>231</v>
      </c>
      <c r="K188" s="613">
        <v>231</v>
      </c>
      <c r="L188" s="613"/>
      <c r="M188" s="613"/>
      <c r="N188" s="613"/>
      <c r="O188" s="613"/>
      <c r="P188" s="613"/>
      <c r="Q188" s="613"/>
      <c r="R188" s="613"/>
      <c r="S188" s="1055"/>
      <c r="T188" s="617">
        <v>11</v>
      </c>
      <c r="U188" s="613">
        <v>30</v>
      </c>
      <c r="V188" s="614">
        <v>76</v>
      </c>
      <c r="W188" s="613">
        <v>103</v>
      </c>
      <c r="X188" s="613">
        <v>157</v>
      </c>
      <c r="Y188" s="613"/>
      <c r="Z188" s="613"/>
      <c r="AA188" s="613"/>
      <c r="AB188" s="613"/>
      <c r="AC188" s="613"/>
      <c r="AD188" s="618"/>
      <c r="AE188" s="627"/>
      <c r="AF188" s="1083"/>
      <c r="AG188" s="1092"/>
      <c r="AH188" s="1032"/>
      <c r="AI188" s="1032"/>
      <c r="AJ188" s="1035"/>
      <c r="AK188" s="1089"/>
      <c r="AL188" s="1032"/>
      <c r="AM188" s="1032"/>
      <c r="AN188" s="1070"/>
      <c r="AO188" s="1070"/>
      <c r="AP188" s="1070"/>
      <c r="AQ188" s="1032"/>
      <c r="AR188" s="1067"/>
      <c r="AS188" s="1070"/>
      <c r="AT188" s="1067"/>
      <c r="AU188" s="1070"/>
      <c r="AV188" s="1067"/>
      <c r="AW188" s="1070"/>
      <c r="AX188" s="1070"/>
      <c r="AY188" s="1081"/>
    </row>
    <row r="189" spans="1:51" ht="24.75" customHeight="1" thickBot="1" x14ac:dyDescent="0.3">
      <c r="A189" s="1047"/>
      <c r="B189" s="1049"/>
      <c r="C189" s="1053"/>
      <c r="D189" s="215" t="s">
        <v>112</v>
      </c>
      <c r="E189" s="287">
        <v>63963664</v>
      </c>
      <c r="F189" s="264"/>
      <c r="G189" s="532">
        <v>63963664</v>
      </c>
      <c r="H189" s="260">
        <v>63963664</v>
      </c>
      <c r="I189" s="620">
        <v>63963664</v>
      </c>
      <c r="J189" s="260">
        <v>63963664</v>
      </c>
      <c r="K189" s="260">
        <v>63963664</v>
      </c>
      <c r="L189" s="261"/>
      <c r="M189" s="261"/>
      <c r="N189" s="261"/>
      <c r="O189" s="261"/>
      <c r="P189" s="261"/>
      <c r="Q189" s="261"/>
      <c r="R189" s="261"/>
      <c r="S189" s="1056"/>
      <c r="T189" s="628">
        <v>989000</v>
      </c>
      <c r="U189" s="690">
        <v>9257195.0672645736</v>
      </c>
      <c r="V189" s="691">
        <v>18676678.168656223</v>
      </c>
      <c r="W189" s="692">
        <v>18676678.168656223</v>
      </c>
      <c r="X189" s="260">
        <v>23627460.054053634</v>
      </c>
      <c r="Y189" s="692"/>
      <c r="Z189" s="692"/>
      <c r="AA189" s="692"/>
      <c r="AB189" s="692"/>
      <c r="AC189" s="219"/>
      <c r="AD189" s="182"/>
      <c r="AE189" s="693"/>
      <c r="AF189" s="1084"/>
      <c r="AG189" s="1093"/>
      <c r="AH189" s="1033"/>
      <c r="AI189" s="1033"/>
      <c r="AJ189" s="1036"/>
      <c r="AK189" s="1090"/>
      <c r="AL189" s="1033"/>
      <c r="AM189" s="1033"/>
      <c r="AN189" s="1071"/>
      <c r="AO189" s="1071"/>
      <c r="AP189" s="1071"/>
      <c r="AQ189" s="1033"/>
      <c r="AR189" s="1068"/>
      <c r="AS189" s="1071"/>
      <c r="AT189" s="1068"/>
      <c r="AU189" s="1071"/>
      <c r="AV189" s="1068"/>
      <c r="AW189" s="1071"/>
      <c r="AX189" s="1071"/>
      <c r="AY189" s="1081"/>
    </row>
    <row r="190" spans="1:51" ht="24.75" customHeight="1" thickBot="1" x14ac:dyDescent="0.3">
      <c r="A190" s="1047"/>
      <c r="B190" s="1049"/>
      <c r="C190" s="1051" t="s">
        <v>171</v>
      </c>
      <c r="D190" s="214" t="s">
        <v>106</v>
      </c>
      <c r="E190" s="603">
        <v>560</v>
      </c>
      <c r="F190" s="604"/>
      <c r="G190" s="605">
        <v>560</v>
      </c>
      <c r="H190" s="606">
        <v>560</v>
      </c>
      <c r="I190" s="607">
        <v>560</v>
      </c>
      <c r="J190" s="606">
        <v>560</v>
      </c>
      <c r="K190" s="606">
        <v>560</v>
      </c>
      <c r="L190" s="607"/>
      <c r="M190" s="607"/>
      <c r="N190" s="607"/>
      <c r="O190" s="607"/>
      <c r="P190" s="607"/>
      <c r="Q190" s="607"/>
      <c r="R190" s="608"/>
      <c r="S190" s="1054"/>
      <c r="T190" s="605">
        <v>17</v>
      </c>
      <c r="U190" s="697">
        <v>48</v>
      </c>
      <c r="V190" s="702">
        <v>103</v>
      </c>
      <c r="W190" s="697">
        <v>141</v>
      </c>
      <c r="X190" s="606">
        <v>185</v>
      </c>
      <c r="Y190" s="684"/>
      <c r="Z190" s="684"/>
      <c r="AA190" s="684"/>
      <c r="AB190" s="684"/>
      <c r="AC190" s="606"/>
      <c r="AD190" s="681"/>
      <c r="AE190" s="682"/>
      <c r="AF190" s="1082"/>
      <c r="AG190" s="1091" t="s">
        <v>172</v>
      </c>
      <c r="AH190" s="1031" t="s">
        <v>81</v>
      </c>
      <c r="AI190" s="1031" t="s">
        <v>81</v>
      </c>
      <c r="AJ190" s="1034" t="s">
        <v>355</v>
      </c>
      <c r="AK190" s="1088" t="s">
        <v>172</v>
      </c>
      <c r="AL190" s="1031" t="s">
        <v>81</v>
      </c>
      <c r="AM190" s="1031" t="s">
        <v>161</v>
      </c>
      <c r="AN190" s="1069">
        <v>408155</v>
      </c>
      <c r="AO190" s="1069">
        <v>189984</v>
      </c>
      <c r="AP190" s="1069">
        <v>218171</v>
      </c>
      <c r="AQ190" s="1031" t="s">
        <v>81</v>
      </c>
      <c r="AR190" s="1066" t="s">
        <v>162</v>
      </c>
      <c r="AS190" s="1069">
        <v>408155</v>
      </c>
      <c r="AT190" s="1066" t="s">
        <v>162</v>
      </c>
      <c r="AU190" s="1069">
        <v>408155</v>
      </c>
      <c r="AV190" s="1066" t="s">
        <v>163</v>
      </c>
      <c r="AW190" s="1069">
        <v>408155</v>
      </c>
      <c r="AX190" s="1069">
        <v>408155</v>
      </c>
      <c r="AY190" s="1081"/>
    </row>
    <row r="191" spans="1:51" ht="24.75" customHeight="1" thickBot="1" x14ac:dyDescent="0.3">
      <c r="A191" s="1047"/>
      <c r="B191" s="1049"/>
      <c r="C191" s="1052"/>
      <c r="D191" s="168" t="s">
        <v>107</v>
      </c>
      <c r="E191" s="286">
        <v>154792068</v>
      </c>
      <c r="F191" s="263"/>
      <c r="G191" s="531">
        <v>154792068</v>
      </c>
      <c r="H191" s="216">
        <v>154792068</v>
      </c>
      <c r="I191" s="612">
        <v>154792068</v>
      </c>
      <c r="J191" s="216">
        <v>154792068</v>
      </c>
      <c r="K191" s="216">
        <v>154792068</v>
      </c>
      <c r="L191" s="217"/>
      <c r="M191" s="217"/>
      <c r="N191" s="217"/>
      <c r="O191" s="217"/>
      <c r="P191" s="217"/>
      <c r="Q191" s="217"/>
      <c r="R191" s="217"/>
      <c r="S191" s="1055"/>
      <c r="T191" s="531">
        <v>1528454.5454545454</v>
      </c>
      <c r="U191" s="216">
        <v>15018667.54993885</v>
      </c>
      <c r="V191" s="612">
        <v>26281092.997254953</v>
      </c>
      <c r="W191" s="684">
        <v>39882421.122254953</v>
      </c>
      <c r="X191" s="216">
        <v>43916391.547393583</v>
      </c>
      <c r="Y191" s="684"/>
      <c r="Z191" s="684"/>
      <c r="AA191" s="684"/>
      <c r="AB191" s="684"/>
      <c r="AC191" s="216"/>
      <c r="AD191" s="181"/>
      <c r="AE191" s="682"/>
      <c r="AF191" s="1083"/>
      <c r="AG191" s="1092"/>
      <c r="AH191" s="1032"/>
      <c r="AI191" s="1032"/>
      <c r="AJ191" s="1035"/>
      <c r="AK191" s="1089"/>
      <c r="AL191" s="1032"/>
      <c r="AM191" s="1032"/>
      <c r="AN191" s="1070"/>
      <c r="AO191" s="1070"/>
      <c r="AP191" s="1070"/>
      <c r="AQ191" s="1032"/>
      <c r="AR191" s="1067"/>
      <c r="AS191" s="1070"/>
      <c r="AT191" s="1067"/>
      <c r="AU191" s="1070"/>
      <c r="AV191" s="1067"/>
      <c r="AW191" s="1070"/>
      <c r="AX191" s="1070"/>
      <c r="AY191" s="1081"/>
    </row>
    <row r="192" spans="1:51" ht="24.75" customHeight="1" thickBot="1" x14ac:dyDescent="0.3">
      <c r="A192" s="1047"/>
      <c r="B192" s="1049"/>
      <c r="C192" s="1052"/>
      <c r="D192" s="167" t="s">
        <v>109</v>
      </c>
      <c r="E192" s="615"/>
      <c r="F192" s="616"/>
      <c r="G192" s="617"/>
      <c r="H192" s="613"/>
      <c r="I192" s="614"/>
      <c r="J192" s="613"/>
      <c r="K192" s="613"/>
      <c r="L192" s="613"/>
      <c r="M192" s="613"/>
      <c r="N192" s="613"/>
      <c r="O192" s="613"/>
      <c r="P192" s="613"/>
      <c r="Q192" s="613"/>
      <c r="R192" s="613"/>
      <c r="S192" s="1055"/>
      <c r="T192" s="617"/>
      <c r="U192" s="686">
        <v>0</v>
      </c>
      <c r="V192" s="687">
        <v>0</v>
      </c>
      <c r="W192" s="686">
        <v>0</v>
      </c>
      <c r="X192" s="613">
        <v>0</v>
      </c>
      <c r="Y192" s="686"/>
      <c r="Z192" s="686"/>
      <c r="AA192" s="686"/>
      <c r="AB192" s="686"/>
      <c r="AC192" s="613"/>
      <c r="AD192" s="618"/>
      <c r="AE192" s="688"/>
      <c r="AF192" s="1083"/>
      <c r="AG192" s="1092"/>
      <c r="AH192" s="1032"/>
      <c r="AI192" s="1032"/>
      <c r="AJ192" s="1035"/>
      <c r="AK192" s="1089"/>
      <c r="AL192" s="1032"/>
      <c r="AM192" s="1032"/>
      <c r="AN192" s="1070"/>
      <c r="AO192" s="1070"/>
      <c r="AP192" s="1070"/>
      <c r="AQ192" s="1032"/>
      <c r="AR192" s="1067"/>
      <c r="AS192" s="1070"/>
      <c r="AT192" s="1067"/>
      <c r="AU192" s="1070"/>
      <c r="AV192" s="1067"/>
      <c r="AW192" s="1070"/>
      <c r="AX192" s="1070"/>
      <c r="AY192" s="1081"/>
    </row>
    <row r="193" spans="1:51" ht="24.75" customHeight="1" thickBot="1" x14ac:dyDescent="0.3">
      <c r="A193" s="1047"/>
      <c r="B193" s="1049"/>
      <c r="C193" s="1052"/>
      <c r="D193" s="168" t="s">
        <v>110</v>
      </c>
      <c r="E193" s="615"/>
      <c r="F193" s="616"/>
      <c r="G193" s="617"/>
      <c r="H193" s="613"/>
      <c r="I193" s="614"/>
      <c r="J193" s="613"/>
      <c r="K193" s="613"/>
      <c r="L193" s="613"/>
      <c r="M193" s="613"/>
      <c r="N193" s="613"/>
      <c r="O193" s="613"/>
      <c r="P193" s="613"/>
      <c r="Q193" s="613"/>
      <c r="R193" s="613"/>
      <c r="S193" s="1055"/>
      <c r="T193" s="617"/>
      <c r="U193" s="216">
        <v>0</v>
      </c>
      <c r="V193" s="612">
        <v>0</v>
      </c>
      <c r="W193" s="684">
        <v>0</v>
      </c>
      <c r="X193" s="613">
        <v>0</v>
      </c>
      <c r="Y193" s="684"/>
      <c r="Z193" s="684"/>
      <c r="AA193" s="684"/>
      <c r="AB193" s="684"/>
      <c r="AC193" s="613"/>
      <c r="AD193" s="618"/>
      <c r="AE193" s="682"/>
      <c r="AF193" s="1083"/>
      <c r="AG193" s="1092"/>
      <c r="AH193" s="1032"/>
      <c r="AI193" s="1032"/>
      <c r="AJ193" s="1035"/>
      <c r="AK193" s="1089"/>
      <c r="AL193" s="1032"/>
      <c r="AM193" s="1032"/>
      <c r="AN193" s="1070"/>
      <c r="AO193" s="1070"/>
      <c r="AP193" s="1070"/>
      <c r="AQ193" s="1032"/>
      <c r="AR193" s="1067"/>
      <c r="AS193" s="1070"/>
      <c r="AT193" s="1067"/>
      <c r="AU193" s="1070"/>
      <c r="AV193" s="1067"/>
      <c r="AW193" s="1070"/>
      <c r="AX193" s="1070"/>
      <c r="AY193" s="1081"/>
    </row>
    <row r="194" spans="1:51" ht="24.75" customHeight="1" thickBot="1" x14ac:dyDescent="0.3">
      <c r="A194" s="1047"/>
      <c r="B194" s="1049"/>
      <c r="C194" s="1052"/>
      <c r="D194" s="167" t="s">
        <v>111</v>
      </c>
      <c r="E194" s="615">
        <v>560</v>
      </c>
      <c r="F194" s="616"/>
      <c r="G194" s="617">
        <v>560</v>
      </c>
      <c r="H194" s="613">
        <v>560</v>
      </c>
      <c r="I194" s="614">
        <v>560</v>
      </c>
      <c r="J194" s="613">
        <v>560</v>
      </c>
      <c r="K194" s="613">
        <v>560</v>
      </c>
      <c r="L194" s="613"/>
      <c r="M194" s="613"/>
      <c r="N194" s="613"/>
      <c r="O194" s="613"/>
      <c r="P194" s="613"/>
      <c r="Q194" s="613"/>
      <c r="R194" s="613"/>
      <c r="S194" s="1055"/>
      <c r="T194" s="617">
        <v>17</v>
      </c>
      <c r="U194" s="613">
        <v>48</v>
      </c>
      <c r="V194" s="614">
        <v>103</v>
      </c>
      <c r="W194" s="613">
        <v>141</v>
      </c>
      <c r="X194" s="613">
        <v>185</v>
      </c>
      <c r="Y194" s="613"/>
      <c r="Z194" s="613"/>
      <c r="AA194" s="613"/>
      <c r="AB194" s="613"/>
      <c r="AC194" s="613"/>
      <c r="AD194" s="618"/>
      <c r="AE194" s="627"/>
      <c r="AF194" s="1083"/>
      <c r="AG194" s="1092"/>
      <c r="AH194" s="1032"/>
      <c r="AI194" s="1032"/>
      <c r="AJ194" s="1035"/>
      <c r="AK194" s="1089"/>
      <c r="AL194" s="1032"/>
      <c r="AM194" s="1032"/>
      <c r="AN194" s="1070"/>
      <c r="AO194" s="1070"/>
      <c r="AP194" s="1070"/>
      <c r="AQ194" s="1032"/>
      <c r="AR194" s="1067"/>
      <c r="AS194" s="1070"/>
      <c r="AT194" s="1067"/>
      <c r="AU194" s="1070"/>
      <c r="AV194" s="1067"/>
      <c r="AW194" s="1070"/>
      <c r="AX194" s="1070"/>
      <c r="AY194" s="1081"/>
    </row>
    <row r="195" spans="1:51" ht="24.75" customHeight="1" thickBot="1" x14ac:dyDescent="0.3">
      <c r="A195" s="1047"/>
      <c r="B195" s="1049"/>
      <c r="C195" s="1053"/>
      <c r="D195" s="215" t="s">
        <v>112</v>
      </c>
      <c r="E195" s="287">
        <v>154792068</v>
      </c>
      <c r="F195" s="264"/>
      <c r="G195" s="532">
        <v>154792068</v>
      </c>
      <c r="H195" s="260">
        <v>154792068</v>
      </c>
      <c r="I195" s="620">
        <v>154792068</v>
      </c>
      <c r="J195" s="260">
        <v>154792068</v>
      </c>
      <c r="K195" s="260">
        <v>154792068</v>
      </c>
      <c r="L195" s="261"/>
      <c r="M195" s="261"/>
      <c r="N195" s="261"/>
      <c r="O195" s="261"/>
      <c r="P195" s="261"/>
      <c r="Q195" s="261"/>
      <c r="R195" s="261"/>
      <c r="S195" s="1056"/>
      <c r="T195" s="628">
        <v>1528454.5454545454</v>
      </c>
      <c r="U195" s="690">
        <v>15018667.54993885</v>
      </c>
      <c r="V195" s="691">
        <v>26281092.997254953</v>
      </c>
      <c r="W195" s="692">
        <v>26281092.997254953</v>
      </c>
      <c r="X195" s="260">
        <v>30315063.422393586</v>
      </c>
      <c r="Y195" s="692"/>
      <c r="Z195" s="692"/>
      <c r="AA195" s="692"/>
      <c r="AB195" s="692"/>
      <c r="AC195" s="219"/>
      <c r="AD195" s="182"/>
      <c r="AE195" s="693"/>
      <c r="AF195" s="1084"/>
      <c r="AG195" s="1093"/>
      <c r="AH195" s="1033"/>
      <c r="AI195" s="1033"/>
      <c r="AJ195" s="1036"/>
      <c r="AK195" s="1090"/>
      <c r="AL195" s="1033"/>
      <c r="AM195" s="1033"/>
      <c r="AN195" s="1071"/>
      <c r="AO195" s="1071"/>
      <c r="AP195" s="1071"/>
      <c r="AQ195" s="1033"/>
      <c r="AR195" s="1068"/>
      <c r="AS195" s="1071"/>
      <c r="AT195" s="1068"/>
      <c r="AU195" s="1071"/>
      <c r="AV195" s="1068"/>
      <c r="AW195" s="1071"/>
      <c r="AX195" s="1071"/>
      <c r="AY195" s="1081"/>
    </row>
    <row r="196" spans="1:51" ht="24.75" customHeight="1" thickBot="1" x14ac:dyDescent="0.3">
      <c r="A196" s="1047"/>
      <c r="B196" s="1049"/>
      <c r="C196" s="1051" t="s">
        <v>172</v>
      </c>
      <c r="D196" s="214" t="s">
        <v>106</v>
      </c>
      <c r="E196" s="603">
        <v>458</v>
      </c>
      <c r="F196" s="604"/>
      <c r="G196" s="605">
        <v>458</v>
      </c>
      <c r="H196" s="606">
        <v>458</v>
      </c>
      <c r="I196" s="607">
        <v>458</v>
      </c>
      <c r="J196" s="606">
        <v>458</v>
      </c>
      <c r="K196" s="606">
        <v>458</v>
      </c>
      <c r="L196" s="607"/>
      <c r="M196" s="607"/>
      <c r="N196" s="607"/>
      <c r="O196" s="607"/>
      <c r="P196" s="607"/>
      <c r="Q196" s="607"/>
      <c r="R196" s="608"/>
      <c r="S196" s="1054"/>
      <c r="T196" s="605">
        <v>70</v>
      </c>
      <c r="U196" s="697">
        <v>110</v>
      </c>
      <c r="V196" s="702">
        <v>237</v>
      </c>
      <c r="W196" s="697">
        <v>316</v>
      </c>
      <c r="X196" s="606">
        <v>451</v>
      </c>
      <c r="Y196" s="684"/>
      <c r="Z196" s="684"/>
      <c r="AA196" s="684"/>
      <c r="AB196" s="684"/>
      <c r="AC196" s="606"/>
      <c r="AD196" s="681"/>
      <c r="AE196" s="682"/>
      <c r="AF196" s="1082"/>
      <c r="AG196" s="1091" t="s">
        <v>173</v>
      </c>
      <c r="AH196" s="1031" t="s">
        <v>81</v>
      </c>
      <c r="AI196" s="1031" t="s">
        <v>81</v>
      </c>
      <c r="AJ196" s="1034" t="s">
        <v>355</v>
      </c>
      <c r="AK196" s="1088" t="s">
        <v>173</v>
      </c>
      <c r="AL196" s="1031" t="s">
        <v>81</v>
      </c>
      <c r="AM196" s="1031" t="s">
        <v>161</v>
      </c>
      <c r="AN196" s="1069">
        <v>819441</v>
      </c>
      <c r="AO196" s="1069">
        <v>388871</v>
      </c>
      <c r="AP196" s="1069">
        <v>430570</v>
      </c>
      <c r="AQ196" s="1031" t="s">
        <v>81</v>
      </c>
      <c r="AR196" s="1066" t="s">
        <v>162</v>
      </c>
      <c r="AS196" s="1069">
        <v>819441</v>
      </c>
      <c r="AT196" s="1066" t="s">
        <v>162</v>
      </c>
      <c r="AU196" s="1069">
        <v>819441</v>
      </c>
      <c r="AV196" s="1066" t="s">
        <v>163</v>
      </c>
      <c r="AW196" s="1069">
        <v>819441</v>
      </c>
      <c r="AX196" s="1069">
        <v>819441</v>
      </c>
      <c r="AY196" s="1081"/>
    </row>
    <row r="197" spans="1:51" ht="24.75" customHeight="1" thickBot="1" x14ac:dyDescent="0.3">
      <c r="A197" s="1047"/>
      <c r="B197" s="1049"/>
      <c r="C197" s="1052"/>
      <c r="D197" s="168" t="s">
        <v>107</v>
      </c>
      <c r="E197" s="286">
        <v>198287359</v>
      </c>
      <c r="F197" s="263"/>
      <c r="G197" s="531">
        <v>198287359</v>
      </c>
      <c r="H197" s="216">
        <v>198287359</v>
      </c>
      <c r="I197" s="612">
        <v>198287359</v>
      </c>
      <c r="J197" s="216">
        <v>198287359</v>
      </c>
      <c r="K197" s="216">
        <v>198287359</v>
      </c>
      <c r="L197" s="217"/>
      <c r="M197" s="217"/>
      <c r="N197" s="217"/>
      <c r="O197" s="217"/>
      <c r="P197" s="217"/>
      <c r="Q197" s="217"/>
      <c r="R197" s="217"/>
      <c r="S197" s="1055"/>
      <c r="T197" s="531">
        <v>6293636.3636363633</v>
      </c>
      <c r="U197" s="216">
        <v>23700362.821035467</v>
      </c>
      <c r="V197" s="612">
        <v>49706327.0357472</v>
      </c>
      <c r="W197" s="684">
        <v>77982772.3482472</v>
      </c>
      <c r="X197" s="216">
        <v>90359727.061740726</v>
      </c>
      <c r="Y197" s="684"/>
      <c r="Z197" s="684"/>
      <c r="AA197" s="684"/>
      <c r="AB197" s="684"/>
      <c r="AC197" s="216"/>
      <c r="AD197" s="181"/>
      <c r="AE197" s="682"/>
      <c r="AF197" s="1083"/>
      <c r="AG197" s="1092"/>
      <c r="AH197" s="1032"/>
      <c r="AI197" s="1032"/>
      <c r="AJ197" s="1035"/>
      <c r="AK197" s="1089"/>
      <c r="AL197" s="1032"/>
      <c r="AM197" s="1032"/>
      <c r="AN197" s="1070"/>
      <c r="AO197" s="1070"/>
      <c r="AP197" s="1070"/>
      <c r="AQ197" s="1032"/>
      <c r="AR197" s="1067"/>
      <c r="AS197" s="1070"/>
      <c r="AT197" s="1067"/>
      <c r="AU197" s="1070"/>
      <c r="AV197" s="1067"/>
      <c r="AW197" s="1070"/>
      <c r="AX197" s="1070"/>
      <c r="AY197" s="1081"/>
    </row>
    <row r="198" spans="1:51" ht="24.75" customHeight="1" thickBot="1" x14ac:dyDescent="0.3">
      <c r="A198" s="1047"/>
      <c r="B198" s="1049"/>
      <c r="C198" s="1052"/>
      <c r="D198" s="167" t="s">
        <v>109</v>
      </c>
      <c r="E198" s="615"/>
      <c r="F198" s="616"/>
      <c r="G198" s="617"/>
      <c r="H198" s="613"/>
      <c r="I198" s="614"/>
      <c r="J198" s="613"/>
      <c r="K198" s="613"/>
      <c r="L198" s="613"/>
      <c r="M198" s="613"/>
      <c r="N198" s="613"/>
      <c r="O198" s="613"/>
      <c r="P198" s="613"/>
      <c r="Q198" s="613"/>
      <c r="R198" s="613"/>
      <c r="S198" s="1055"/>
      <c r="T198" s="617"/>
      <c r="U198" s="686">
        <v>0</v>
      </c>
      <c r="V198" s="687">
        <v>0</v>
      </c>
      <c r="W198" s="686">
        <v>0</v>
      </c>
      <c r="X198" s="613">
        <v>0</v>
      </c>
      <c r="Y198" s="686"/>
      <c r="Z198" s="686"/>
      <c r="AA198" s="686"/>
      <c r="AB198" s="686"/>
      <c r="AC198" s="613"/>
      <c r="AD198" s="618"/>
      <c r="AE198" s="688"/>
      <c r="AF198" s="1083"/>
      <c r="AG198" s="1092"/>
      <c r="AH198" s="1032"/>
      <c r="AI198" s="1032"/>
      <c r="AJ198" s="1035"/>
      <c r="AK198" s="1089"/>
      <c r="AL198" s="1032"/>
      <c r="AM198" s="1032"/>
      <c r="AN198" s="1070"/>
      <c r="AO198" s="1070"/>
      <c r="AP198" s="1070"/>
      <c r="AQ198" s="1032"/>
      <c r="AR198" s="1067"/>
      <c r="AS198" s="1070"/>
      <c r="AT198" s="1067"/>
      <c r="AU198" s="1070"/>
      <c r="AV198" s="1067"/>
      <c r="AW198" s="1070"/>
      <c r="AX198" s="1070"/>
      <c r="AY198" s="1081"/>
    </row>
    <row r="199" spans="1:51" ht="24.75" customHeight="1" thickBot="1" x14ac:dyDescent="0.3">
      <c r="A199" s="1047"/>
      <c r="B199" s="1049"/>
      <c r="C199" s="1052"/>
      <c r="D199" s="168" t="s">
        <v>110</v>
      </c>
      <c r="E199" s="615"/>
      <c r="F199" s="616"/>
      <c r="G199" s="617"/>
      <c r="H199" s="613"/>
      <c r="I199" s="614"/>
      <c r="J199" s="613"/>
      <c r="K199" s="613"/>
      <c r="L199" s="613"/>
      <c r="M199" s="613"/>
      <c r="N199" s="613"/>
      <c r="O199" s="613"/>
      <c r="P199" s="613"/>
      <c r="Q199" s="613"/>
      <c r="R199" s="613"/>
      <c r="S199" s="1055"/>
      <c r="T199" s="617"/>
      <c r="U199" s="216">
        <v>0</v>
      </c>
      <c r="V199" s="612">
        <v>0</v>
      </c>
      <c r="W199" s="684">
        <v>0</v>
      </c>
      <c r="X199" s="613">
        <v>0</v>
      </c>
      <c r="Y199" s="684"/>
      <c r="Z199" s="684"/>
      <c r="AA199" s="684"/>
      <c r="AB199" s="684"/>
      <c r="AC199" s="613"/>
      <c r="AD199" s="618"/>
      <c r="AE199" s="682"/>
      <c r="AF199" s="1083"/>
      <c r="AG199" s="1092"/>
      <c r="AH199" s="1032"/>
      <c r="AI199" s="1032"/>
      <c r="AJ199" s="1035"/>
      <c r="AK199" s="1089"/>
      <c r="AL199" s="1032"/>
      <c r="AM199" s="1032"/>
      <c r="AN199" s="1070"/>
      <c r="AO199" s="1070"/>
      <c r="AP199" s="1070"/>
      <c r="AQ199" s="1032"/>
      <c r="AR199" s="1067"/>
      <c r="AS199" s="1070"/>
      <c r="AT199" s="1067"/>
      <c r="AU199" s="1070"/>
      <c r="AV199" s="1067"/>
      <c r="AW199" s="1070"/>
      <c r="AX199" s="1070"/>
      <c r="AY199" s="1081"/>
    </row>
    <row r="200" spans="1:51" ht="24.75" customHeight="1" thickBot="1" x14ac:dyDescent="0.3">
      <c r="A200" s="1047"/>
      <c r="B200" s="1049"/>
      <c r="C200" s="1052"/>
      <c r="D200" s="167" t="s">
        <v>111</v>
      </c>
      <c r="E200" s="615">
        <v>458</v>
      </c>
      <c r="F200" s="616"/>
      <c r="G200" s="617">
        <v>458</v>
      </c>
      <c r="H200" s="613">
        <v>458</v>
      </c>
      <c r="I200" s="614">
        <v>458</v>
      </c>
      <c r="J200" s="613">
        <v>458</v>
      </c>
      <c r="K200" s="613">
        <v>458</v>
      </c>
      <c r="L200" s="613"/>
      <c r="M200" s="613"/>
      <c r="N200" s="613"/>
      <c r="O200" s="613"/>
      <c r="P200" s="613"/>
      <c r="Q200" s="613"/>
      <c r="R200" s="613"/>
      <c r="S200" s="1055"/>
      <c r="T200" s="617">
        <v>70</v>
      </c>
      <c r="U200" s="613">
        <v>110</v>
      </c>
      <c r="V200" s="614">
        <v>237</v>
      </c>
      <c r="W200" s="613">
        <v>316</v>
      </c>
      <c r="X200" s="613">
        <v>451</v>
      </c>
      <c r="Y200" s="613"/>
      <c r="Z200" s="613"/>
      <c r="AA200" s="613"/>
      <c r="AB200" s="613"/>
      <c r="AC200" s="613"/>
      <c r="AD200" s="618"/>
      <c r="AE200" s="627"/>
      <c r="AF200" s="1083"/>
      <c r="AG200" s="1092"/>
      <c r="AH200" s="1032"/>
      <c r="AI200" s="1032"/>
      <c r="AJ200" s="1035"/>
      <c r="AK200" s="1089"/>
      <c r="AL200" s="1032"/>
      <c r="AM200" s="1032"/>
      <c r="AN200" s="1070"/>
      <c r="AO200" s="1070"/>
      <c r="AP200" s="1070"/>
      <c r="AQ200" s="1032"/>
      <c r="AR200" s="1067"/>
      <c r="AS200" s="1070"/>
      <c r="AT200" s="1067"/>
      <c r="AU200" s="1070"/>
      <c r="AV200" s="1067"/>
      <c r="AW200" s="1070"/>
      <c r="AX200" s="1070"/>
      <c r="AY200" s="1081"/>
    </row>
    <row r="201" spans="1:51" ht="24.75" customHeight="1" thickBot="1" x14ac:dyDescent="0.3">
      <c r="A201" s="1047"/>
      <c r="B201" s="1049"/>
      <c r="C201" s="1053"/>
      <c r="D201" s="215" t="s">
        <v>112</v>
      </c>
      <c r="E201" s="287">
        <v>198287359</v>
      </c>
      <c r="F201" s="264"/>
      <c r="G201" s="532">
        <v>198287359</v>
      </c>
      <c r="H201" s="260">
        <v>198287359</v>
      </c>
      <c r="I201" s="620">
        <v>198287359</v>
      </c>
      <c r="J201" s="260">
        <v>198287359</v>
      </c>
      <c r="K201" s="260">
        <v>198287359</v>
      </c>
      <c r="L201" s="261"/>
      <c r="M201" s="261"/>
      <c r="N201" s="261"/>
      <c r="O201" s="261"/>
      <c r="P201" s="261"/>
      <c r="Q201" s="261"/>
      <c r="R201" s="261"/>
      <c r="S201" s="1056"/>
      <c r="T201" s="628">
        <v>6293636.3636363633</v>
      </c>
      <c r="U201" s="690">
        <v>23700362.821035467</v>
      </c>
      <c r="V201" s="691">
        <v>49706327.0357472</v>
      </c>
      <c r="W201" s="692">
        <v>49706327.0357472</v>
      </c>
      <c r="X201" s="260">
        <v>62083281.749240726</v>
      </c>
      <c r="Y201" s="692"/>
      <c r="Z201" s="692"/>
      <c r="AA201" s="692"/>
      <c r="AB201" s="692"/>
      <c r="AC201" s="219"/>
      <c r="AD201" s="182"/>
      <c r="AE201" s="693"/>
      <c r="AF201" s="1084"/>
      <c r="AG201" s="1093"/>
      <c r="AH201" s="1033"/>
      <c r="AI201" s="1033"/>
      <c r="AJ201" s="1036"/>
      <c r="AK201" s="1090"/>
      <c r="AL201" s="1033"/>
      <c r="AM201" s="1033"/>
      <c r="AN201" s="1071"/>
      <c r="AO201" s="1071"/>
      <c r="AP201" s="1071"/>
      <c r="AQ201" s="1033"/>
      <c r="AR201" s="1068"/>
      <c r="AS201" s="1071"/>
      <c r="AT201" s="1068"/>
      <c r="AU201" s="1071"/>
      <c r="AV201" s="1068"/>
      <c r="AW201" s="1071"/>
      <c r="AX201" s="1071"/>
      <c r="AY201" s="1081"/>
    </row>
    <row r="202" spans="1:51" ht="24.75" customHeight="1" thickBot="1" x14ac:dyDescent="0.3">
      <c r="A202" s="1047"/>
      <c r="B202" s="1049"/>
      <c r="C202" s="1051" t="s">
        <v>173</v>
      </c>
      <c r="D202" s="214" t="s">
        <v>106</v>
      </c>
      <c r="E202" s="603">
        <v>190</v>
      </c>
      <c r="F202" s="604"/>
      <c r="G202" s="605">
        <v>190</v>
      </c>
      <c r="H202" s="606">
        <v>190</v>
      </c>
      <c r="I202" s="607">
        <v>190</v>
      </c>
      <c r="J202" s="606">
        <v>190</v>
      </c>
      <c r="K202" s="606">
        <v>190</v>
      </c>
      <c r="L202" s="607"/>
      <c r="M202" s="607"/>
      <c r="N202" s="607"/>
      <c r="O202" s="607"/>
      <c r="P202" s="607"/>
      <c r="Q202" s="607"/>
      <c r="R202" s="608"/>
      <c r="S202" s="1054"/>
      <c r="T202" s="605">
        <v>7</v>
      </c>
      <c r="U202" s="697">
        <v>21</v>
      </c>
      <c r="V202" s="702">
        <v>44</v>
      </c>
      <c r="W202" s="697">
        <v>69</v>
      </c>
      <c r="X202" s="606">
        <v>106</v>
      </c>
      <c r="Y202" s="684"/>
      <c r="Z202" s="684"/>
      <c r="AA202" s="684"/>
      <c r="AB202" s="684"/>
      <c r="AC202" s="606"/>
      <c r="AD202" s="681"/>
      <c r="AE202" s="682"/>
      <c r="AF202" s="1082"/>
      <c r="AG202" s="1091" t="s">
        <v>174</v>
      </c>
      <c r="AH202" s="1031" t="s">
        <v>81</v>
      </c>
      <c r="AI202" s="1031" t="s">
        <v>81</v>
      </c>
      <c r="AJ202" s="1034" t="s">
        <v>355</v>
      </c>
      <c r="AK202" s="1088" t="s">
        <v>174</v>
      </c>
      <c r="AL202" s="1031" t="s">
        <v>81</v>
      </c>
      <c r="AM202" s="1031" t="s">
        <v>161</v>
      </c>
      <c r="AN202" s="1069">
        <v>1309115</v>
      </c>
      <c r="AO202" s="1069">
        <v>617598</v>
      </c>
      <c r="AP202" s="1069">
        <v>691517</v>
      </c>
      <c r="AQ202" s="1031" t="s">
        <v>81</v>
      </c>
      <c r="AR202" s="1066" t="s">
        <v>162</v>
      </c>
      <c r="AS202" s="1069">
        <v>1309115</v>
      </c>
      <c r="AT202" s="1066" t="s">
        <v>162</v>
      </c>
      <c r="AU202" s="1069">
        <v>1309115</v>
      </c>
      <c r="AV202" s="1066" t="s">
        <v>163</v>
      </c>
      <c r="AW202" s="1069">
        <v>1309115</v>
      </c>
      <c r="AX202" s="1069">
        <v>1309115</v>
      </c>
      <c r="AY202" s="1081"/>
    </row>
    <row r="203" spans="1:51" ht="24.75" customHeight="1" thickBot="1" x14ac:dyDescent="0.3">
      <c r="A203" s="1047"/>
      <c r="B203" s="1049"/>
      <c r="C203" s="1052"/>
      <c r="D203" s="168" t="s">
        <v>107</v>
      </c>
      <c r="E203" s="286">
        <v>52450205</v>
      </c>
      <c r="F203" s="263"/>
      <c r="G203" s="531">
        <v>52450205</v>
      </c>
      <c r="H203" s="216">
        <v>52450205</v>
      </c>
      <c r="I203" s="612">
        <v>52450205</v>
      </c>
      <c r="J203" s="216">
        <v>52450205</v>
      </c>
      <c r="K203" s="216">
        <v>52450205</v>
      </c>
      <c r="L203" s="217"/>
      <c r="M203" s="217"/>
      <c r="N203" s="217"/>
      <c r="O203" s="217"/>
      <c r="P203" s="217"/>
      <c r="Q203" s="217"/>
      <c r="R203" s="217"/>
      <c r="S203" s="1055"/>
      <c r="T203" s="531">
        <v>629363.63636363635</v>
      </c>
      <c r="U203" s="216">
        <v>6721717.8964533228</v>
      </c>
      <c r="V203" s="612">
        <v>11431459.447149148</v>
      </c>
      <c r="W203" s="684">
        <v>20379701.63464915</v>
      </c>
      <c r="X203" s="216">
        <v>23771904.037606634</v>
      </c>
      <c r="Y203" s="684"/>
      <c r="Z203" s="684"/>
      <c r="AA203" s="684"/>
      <c r="AB203" s="684"/>
      <c r="AC203" s="216"/>
      <c r="AD203" s="181"/>
      <c r="AE203" s="682"/>
      <c r="AF203" s="1083"/>
      <c r="AG203" s="1092"/>
      <c r="AH203" s="1032"/>
      <c r="AI203" s="1032"/>
      <c r="AJ203" s="1035"/>
      <c r="AK203" s="1089"/>
      <c r="AL203" s="1032"/>
      <c r="AM203" s="1032"/>
      <c r="AN203" s="1070"/>
      <c r="AO203" s="1070"/>
      <c r="AP203" s="1070"/>
      <c r="AQ203" s="1032"/>
      <c r="AR203" s="1067"/>
      <c r="AS203" s="1070"/>
      <c r="AT203" s="1067"/>
      <c r="AU203" s="1070"/>
      <c r="AV203" s="1067"/>
      <c r="AW203" s="1070"/>
      <c r="AX203" s="1070"/>
      <c r="AY203" s="1081"/>
    </row>
    <row r="204" spans="1:51" ht="24.75" customHeight="1" thickBot="1" x14ac:dyDescent="0.3">
      <c r="A204" s="1047"/>
      <c r="B204" s="1049"/>
      <c r="C204" s="1052"/>
      <c r="D204" s="167" t="s">
        <v>109</v>
      </c>
      <c r="E204" s="615"/>
      <c r="F204" s="616"/>
      <c r="G204" s="617"/>
      <c r="H204" s="613"/>
      <c r="I204" s="614"/>
      <c r="J204" s="613"/>
      <c r="K204" s="613"/>
      <c r="L204" s="613"/>
      <c r="M204" s="613"/>
      <c r="N204" s="613"/>
      <c r="O204" s="613"/>
      <c r="P204" s="613"/>
      <c r="Q204" s="613"/>
      <c r="R204" s="613"/>
      <c r="S204" s="1055"/>
      <c r="T204" s="617"/>
      <c r="U204" s="686">
        <v>0</v>
      </c>
      <c r="V204" s="687">
        <v>0</v>
      </c>
      <c r="W204" s="686">
        <v>0</v>
      </c>
      <c r="X204" s="613">
        <v>0</v>
      </c>
      <c r="Y204" s="686"/>
      <c r="Z204" s="686"/>
      <c r="AA204" s="686"/>
      <c r="AB204" s="686"/>
      <c r="AC204" s="613"/>
      <c r="AD204" s="618"/>
      <c r="AE204" s="688"/>
      <c r="AF204" s="1083"/>
      <c r="AG204" s="1092"/>
      <c r="AH204" s="1032"/>
      <c r="AI204" s="1032"/>
      <c r="AJ204" s="1035"/>
      <c r="AK204" s="1089"/>
      <c r="AL204" s="1032"/>
      <c r="AM204" s="1032"/>
      <c r="AN204" s="1070"/>
      <c r="AO204" s="1070"/>
      <c r="AP204" s="1070"/>
      <c r="AQ204" s="1032"/>
      <c r="AR204" s="1067"/>
      <c r="AS204" s="1070"/>
      <c r="AT204" s="1067"/>
      <c r="AU204" s="1070"/>
      <c r="AV204" s="1067"/>
      <c r="AW204" s="1070"/>
      <c r="AX204" s="1070"/>
      <c r="AY204" s="1081"/>
    </row>
    <row r="205" spans="1:51" ht="24.75" customHeight="1" thickBot="1" x14ac:dyDescent="0.3">
      <c r="A205" s="1047"/>
      <c r="B205" s="1049"/>
      <c r="C205" s="1052"/>
      <c r="D205" s="168" t="s">
        <v>110</v>
      </c>
      <c r="E205" s="615"/>
      <c r="F205" s="616"/>
      <c r="G205" s="617"/>
      <c r="H205" s="613"/>
      <c r="I205" s="614"/>
      <c r="J205" s="613"/>
      <c r="K205" s="613"/>
      <c r="L205" s="613"/>
      <c r="M205" s="613"/>
      <c r="N205" s="613"/>
      <c r="O205" s="613"/>
      <c r="P205" s="613"/>
      <c r="Q205" s="613"/>
      <c r="R205" s="613"/>
      <c r="S205" s="1055"/>
      <c r="T205" s="617"/>
      <c r="U205" s="216">
        <v>0</v>
      </c>
      <c r="V205" s="612">
        <v>0</v>
      </c>
      <c r="W205" s="684">
        <v>0</v>
      </c>
      <c r="X205" s="613">
        <v>0</v>
      </c>
      <c r="Y205" s="684"/>
      <c r="Z205" s="684"/>
      <c r="AA205" s="684"/>
      <c r="AB205" s="684"/>
      <c r="AC205" s="613"/>
      <c r="AD205" s="618"/>
      <c r="AE205" s="682"/>
      <c r="AF205" s="1083"/>
      <c r="AG205" s="1092"/>
      <c r="AH205" s="1032"/>
      <c r="AI205" s="1032"/>
      <c r="AJ205" s="1035"/>
      <c r="AK205" s="1089"/>
      <c r="AL205" s="1032"/>
      <c r="AM205" s="1032"/>
      <c r="AN205" s="1070"/>
      <c r="AO205" s="1070"/>
      <c r="AP205" s="1070"/>
      <c r="AQ205" s="1032"/>
      <c r="AR205" s="1067"/>
      <c r="AS205" s="1070"/>
      <c r="AT205" s="1067"/>
      <c r="AU205" s="1070"/>
      <c r="AV205" s="1067"/>
      <c r="AW205" s="1070"/>
      <c r="AX205" s="1070"/>
      <c r="AY205" s="1081"/>
    </row>
    <row r="206" spans="1:51" ht="24.75" customHeight="1" thickBot="1" x14ac:dyDescent="0.3">
      <c r="A206" s="1047"/>
      <c r="B206" s="1049"/>
      <c r="C206" s="1052"/>
      <c r="D206" s="167" t="s">
        <v>111</v>
      </c>
      <c r="E206" s="615">
        <v>190</v>
      </c>
      <c r="F206" s="616"/>
      <c r="G206" s="617">
        <v>190</v>
      </c>
      <c r="H206" s="613">
        <v>190</v>
      </c>
      <c r="I206" s="614">
        <v>190</v>
      </c>
      <c r="J206" s="613">
        <v>190</v>
      </c>
      <c r="K206" s="613">
        <v>190</v>
      </c>
      <c r="L206" s="613"/>
      <c r="M206" s="613"/>
      <c r="N206" s="613"/>
      <c r="O206" s="613"/>
      <c r="P206" s="613"/>
      <c r="Q206" s="613"/>
      <c r="R206" s="613"/>
      <c r="S206" s="1055"/>
      <c r="T206" s="617">
        <v>7</v>
      </c>
      <c r="U206" s="613">
        <v>21</v>
      </c>
      <c r="V206" s="614">
        <v>44</v>
      </c>
      <c r="W206" s="613">
        <v>69</v>
      </c>
      <c r="X206" s="613">
        <v>106</v>
      </c>
      <c r="Y206" s="613"/>
      <c r="Z206" s="613"/>
      <c r="AA206" s="613"/>
      <c r="AB206" s="613"/>
      <c r="AC206" s="613"/>
      <c r="AD206" s="618"/>
      <c r="AE206" s="627"/>
      <c r="AF206" s="1083"/>
      <c r="AG206" s="1092"/>
      <c r="AH206" s="1032"/>
      <c r="AI206" s="1032"/>
      <c r="AJ206" s="1035"/>
      <c r="AK206" s="1089"/>
      <c r="AL206" s="1032"/>
      <c r="AM206" s="1032"/>
      <c r="AN206" s="1070"/>
      <c r="AO206" s="1070"/>
      <c r="AP206" s="1070"/>
      <c r="AQ206" s="1032"/>
      <c r="AR206" s="1067"/>
      <c r="AS206" s="1070"/>
      <c r="AT206" s="1067"/>
      <c r="AU206" s="1070"/>
      <c r="AV206" s="1067"/>
      <c r="AW206" s="1070"/>
      <c r="AX206" s="1070"/>
      <c r="AY206" s="1081"/>
    </row>
    <row r="207" spans="1:51" ht="24.75" customHeight="1" thickBot="1" x14ac:dyDescent="0.3">
      <c r="A207" s="1047"/>
      <c r="B207" s="1049"/>
      <c r="C207" s="1053"/>
      <c r="D207" s="215" t="s">
        <v>112</v>
      </c>
      <c r="E207" s="287">
        <v>52450205</v>
      </c>
      <c r="F207" s="264"/>
      <c r="G207" s="532">
        <v>52450205</v>
      </c>
      <c r="H207" s="260">
        <v>52450205</v>
      </c>
      <c r="I207" s="620">
        <v>52450205</v>
      </c>
      <c r="J207" s="260">
        <v>52450205</v>
      </c>
      <c r="K207" s="260">
        <v>52450205</v>
      </c>
      <c r="L207" s="261"/>
      <c r="M207" s="261"/>
      <c r="N207" s="261"/>
      <c r="O207" s="261"/>
      <c r="P207" s="261"/>
      <c r="Q207" s="261"/>
      <c r="R207" s="261"/>
      <c r="S207" s="1056"/>
      <c r="T207" s="628">
        <v>629363.63636363635</v>
      </c>
      <c r="U207" s="690">
        <v>6721717.8964533228</v>
      </c>
      <c r="V207" s="691">
        <v>11431459.447149148</v>
      </c>
      <c r="W207" s="692">
        <v>11431459.447149148</v>
      </c>
      <c r="X207" s="260">
        <v>14823661.850106634</v>
      </c>
      <c r="Y207" s="692"/>
      <c r="Z207" s="692"/>
      <c r="AA207" s="692"/>
      <c r="AB207" s="692"/>
      <c r="AC207" s="219"/>
      <c r="AD207" s="182"/>
      <c r="AE207" s="693"/>
      <c r="AF207" s="1084"/>
      <c r="AG207" s="1093"/>
      <c r="AH207" s="1033"/>
      <c r="AI207" s="1033"/>
      <c r="AJ207" s="1036"/>
      <c r="AK207" s="1090"/>
      <c r="AL207" s="1033"/>
      <c r="AM207" s="1033"/>
      <c r="AN207" s="1071"/>
      <c r="AO207" s="1071"/>
      <c r="AP207" s="1071"/>
      <c r="AQ207" s="1033"/>
      <c r="AR207" s="1068"/>
      <c r="AS207" s="1071"/>
      <c r="AT207" s="1068"/>
      <c r="AU207" s="1071"/>
      <c r="AV207" s="1068"/>
      <c r="AW207" s="1071"/>
      <c r="AX207" s="1071"/>
      <c r="AY207" s="1081"/>
    </row>
    <row r="208" spans="1:51" ht="24.75" customHeight="1" thickBot="1" x14ac:dyDescent="0.3">
      <c r="A208" s="1047"/>
      <c r="B208" s="1049"/>
      <c r="C208" s="1051" t="s">
        <v>174</v>
      </c>
      <c r="D208" s="214" t="s">
        <v>106</v>
      </c>
      <c r="E208" s="603">
        <v>270</v>
      </c>
      <c r="F208" s="604"/>
      <c r="G208" s="605">
        <v>270</v>
      </c>
      <c r="H208" s="606">
        <v>270</v>
      </c>
      <c r="I208" s="607">
        <v>270</v>
      </c>
      <c r="J208" s="606">
        <v>270</v>
      </c>
      <c r="K208" s="606">
        <v>270</v>
      </c>
      <c r="L208" s="607"/>
      <c r="M208" s="607"/>
      <c r="N208" s="607"/>
      <c r="O208" s="607"/>
      <c r="P208" s="607"/>
      <c r="Q208" s="607"/>
      <c r="R208" s="608"/>
      <c r="S208" s="1054"/>
      <c r="T208" s="605">
        <v>19</v>
      </c>
      <c r="U208" s="697">
        <v>42</v>
      </c>
      <c r="V208" s="702">
        <v>83</v>
      </c>
      <c r="W208" s="697">
        <v>111</v>
      </c>
      <c r="X208" s="606">
        <v>160</v>
      </c>
      <c r="Y208" s="684"/>
      <c r="Z208" s="684"/>
      <c r="AA208" s="684"/>
      <c r="AB208" s="684"/>
      <c r="AC208" s="606"/>
      <c r="AD208" s="681"/>
      <c r="AE208" s="682"/>
      <c r="AF208" s="1082"/>
      <c r="AG208" s="1091" t="s">
        <v>175</v>
      </c>
      <c r="AH208" s="1031" t="s">
        <v>81</v>
      </c>
      <c r="AI208" s="1031" t="s">
        <v>81</v>
      </c>
      <c r="AJ208" s="1034" t="s">
        <v>355</v>
      </c>
      <c r="AK208" s="1088" t="s">
        <v>175</v>
      </c>
      <c r="AL208" s="1031" t="s">
        <v>81</v>
      </c>
      <c r="AM208" s="1031" t="s">
        <v>161</v>
      </c>
      <c r="AN208" s="1069">
        <v>156268</v>
      </c>
      <c r="AO208" s="1069">
        <v>77967</v>
      </c>
      <c r="AP208" s="1069">
        <v>78301</v>
      </c>
      <c r="AQ208" s="1031" t="s">
        <v>81</v>
      </c>
      <c r="AR208" s="1066" t="s">
        <v>162</v>
      </c>
      <c r="AS208" s="1069">
        <v>156268</v>
      </c>
      <c r="AT208" s="1066" t="s">
        <v>162</v>
      </c>
      <c r="AU208" s="1069">
        <v>156268</v>
      </c>
      <c r="AV208" s="1066" t="s">
        <v>163</v>
      </c>
      <c r="AW208" s="1069">
        <v>156268</v>
      </c>
      <c r="AX208" s="1069">
        <v>156268</v>
      </c>
      <c r="AY208" s="1081"/>
    </row>
    <row r="209" spans="1:51" ht="24.75" customHeight="1" thickBot="1" x14ac:dyDescent="0.3">
      <c r="A209" s="1047"/>
      <c r="B209" s="1049"/>
      <c r="C209" s="1052"/>
      <c r="D209" s="168" t="s">
        <v>107</v>
      </c>
      <c r="E209" s="286">
        <v>74624275</v>
      </c>
      <c r="F209" s="263"/>
      <c r="G209" s="531">
        <v>74624275</v>
      </c>
      <c r="H209" s="216">
        <v>74624275</v>
      </c>
      <c r="I209" s="612">
        <v>74624275</v>
      </c>
      <c r="J209" s="216">
        <v>74624275</v>
      </c>
      <c r="K209" s="216">
        <v>74624275</v>
      </c>
      <c r="L209" s="217"/>
      <c r="M209" s="217"/>
      <c r="N209" s="217"/>
      <c r="O209" s="217"/>
      <c r="P209" s="217"/>
      <c r="Q209" s="217"/>
      <c r="R209" s="217"/>
      <c r="S209" s="1055"/>
      <c r="T209" s="531">
        <v>1708272.7272727273</v>
      </c>
      <c r="U209" s="216">
        <v>11717140.440277211</v>
      </c>
      <c r="V209" s="612">
        <v>20112766.682821944</v>
      </c>
      <c r="W209" s="684">
        <v>30134797.932821944</v>
      </c>
      <c r="X209" s="216">
        <v>34627174.088089965</v>
      </c>
      <c r="Y209" s="684"/>
      <c r="Z209" s="684"/>
      <c r="AA209" s="684"/>
      <c r="AB209" s="684"/>
      <c r="AC209" s="216"/>
      <c r="AD209" s="181"/>
      <c r="AE209" s="682"/>
      <c r="AF209" s="1083"/>
      <c r="AG209" s="1092"/>
      <c r="AH209" s="1032"/>
      <c r="AI209" s="1032"/>
      <c r="AJ209" s="1035"/>
      <c r="AK209" s="1089"/>
      <c r="AL209" s="1032"/>
      <c r="AM209" s="1032"/>
      <c r="AN209" s="1070"/>
      <c r="AO209" s="1070"/>
      <c r="AP209" s="1070"/>
      <c r="AQ209" s="1032"/>
      <c r="AR209" s="1067"/>
      <c r="AS209" s="1070"/>
      <c r="AT209" s="1067"/>
      <c r="AU209" s="1070"/>
      <c r="AV209" s="1067"/>
      <c r="AW209" s="1070"/>
      <c r="AX209" s="1070"/>
      <c r="AY209" s="1081"/>
    </row>
    <row r="210" spans="1:51" ht="24.75" customHeight="1" thickBot="1" x14ac:dyDescent="0.3">
      <c r="A210" s="1047"/>
      <c r="B210" s="1049"/>
      <c r="C210" s="1052"/>
      <c r="D210" s="167" t="s">
        <v>109</v>
      </c>
      <c r="E210" s="615"/>
      <c r="F210" s="616"/>
      <c r="G210" s="617"/>
      <c r="H210" s="613"/>
      <c r="I210" s="614"/>
      <c r="J210" s="613"/>
      <c r="K210" s="613"/>
      <c r="L210" s="613"/>
      <c r="M210" s="613"/>
      <c r="N210" s="613"/>
      <c r="O210" s="613"/>
      <c r="P210" s="613"/>
      <c r="Q210" s="613"/>
      <c r="R210" s="613"/>
      <c r="S210" s="1055"/>
      <c r="T210" s="617"/>
      <c r="U210" s="686">
        <v>0</v>
      </c>
      <c r="V210" s="687">
        <v>0</v>
      </c>
      <c r="W210" s="686">
        <v>0</v>
      </c>
      <c r="X210" s="613">
        <v>0</v>
      </c>
      <c r="Y210" s="686"/>
      <c r="Z210" s="686"/>
      <c r="AA210" s="686"/>
      <c r="AB210" s="686"/>
      <c r="AC210" s="613"/>
      <c r="AD210" s="618"/>
      <c r="AE210" s="688"/>
      <c r="AF210" s="1083"/>
      <c r="AG210" s="1092"/>
      <c r="AH210" s="1032"/>
      <c r="AI210" s="1032"/>
      <c r="AJ210" s="1035"/>
      <c r="AK210" s="1089"/>
      <c r="AL210" s="1032"/>
      <c r="AM210" s="1032"/>
      <c r="AN210" s="1070"/>
      <c r="AO210" s="1070"/>
      <c r="AP210" s="1070"/>
      <c r="AQ210" s="1032"/>
      <c r="AR210" s="1067"/>
      <c r="AS210" s="1070"/>
      <c r="AT210" s="1067"/>
      <c r="AU210" s="1070"/>
      <c r="AV210" s="1067"/>
      <c r="AW210" s="1070"/>
      <c r="AX210" s="1070"/>
      <c r="AY210" s="1081"/>
    </row>
    <row r="211" spans="1:51" ht="24.75" customHeight="1" thickBot="1" x14ac:dyDescent="0.3">
      <c r="A211" s="1047"/>
      <c r="B211" s="1049"/>
      <c r="C211" s="1052"/>
      <c r="D211" s="168" t="s">
        <v>110</v>
      </c>
      <c r="E211" s="615"/>
      <c r="F211" s="616"/>
      <c r="G211" s="617"/>
      <c r="H211" s="613"/>
      <c r="I211" s="614"/>
      <c r="J211" s="613"/>
      <c r="K211" s="613"/>
      <c r="L211" s="613"/>
      <c r="M211" s="613"/>
      <c r="N211" s="613"/>
      <c r="O211" s="613"/>
      <c r="P211" s="613"/>
      <c r="Q211" s="613"/>
      <c r="R211" s="613"/>
      <c r="S211" s="1055"/>
      <c r="T211" s="617"/>
      <c r="U211" s="216">
        <v>0</v>
      </c>
      <c r="V211" s="612">
        <v>0</v>
      </c>
      <c r="W211" s="684">
        <v>0</v>
      </c>
      <c r="X211" s="613">
        <v>0</v>
      </c>
      <c r="Y211" s="684"/>
      <c r="Z211" s="684"/>
      <c r="AA211" s="684"/>
      <c r="AB211" s="684"/>
      <c r="AC211" s="613"/>
      <c r="AD211" s="618"/>
      <c r="AE211" s="682"/>
      <c r="AF211" s="1083"/>
      <c r="AG211" s="1092"/>
      <c r="AH211" s="1032"/>
      <c r="AI211" s="1032"/>
      <c r="AJ211" s="1035"/>
      <c r="AK211" s="1089"/>
      <c r="AL211" s="1032"/>
      <c r="AM211" s="1032"/>
      <c r="AN211" s="1070"/>
      <c r="AO211" s="1070"/>
      <c r="AP211" s="1070"/>
      <c r="AQ211" s="1032"/>
      <c r="AR211" s="1067"/>
      <c r="AS211" s="1070"/>
      <c r="AT211" s="1067"/>
      <c r="AU211" s="1070"/>
      <c r="AV211" s="1067"/>
      <c r="AW211" s="1070"/>
      <c r="AX211" s="1070"/>
      <c r="AY211" s="1081"/>
    </row>
    <row r="212" spans="1:51" ht="24.75" customHeight="1" thickBot="1" x14ac:dyDescent="0.3">
      <c r="A212" s="1047"/>
      <c r="B212" s="1049"/>
      <c r="C212" s="1052"/>
      <c r="D212" s="167" t="s">
        <v>111</v>
      </c>
      <c r="E212" s="615">
        <v>270</v>
      </c>
      <c r="F212" s="616"/>
      <c r="G212" s="617">
        <v>270</v>
      </c>
      <c r="H212" s="613">
        <v>270</v>
      </c>
      <c r="I212" s="614">
        <v>270</v>
      </c>
      <c r="J212" s="613">
        <v>270</v>
      </c>
      <c r="K212" s="613">
        <v>270</v>
      </c>
      <c r="L212" s="613"/>
      <c r="M212" s="613"/>
      <c r="N212" s="613"/>
      <c r="O212" s="613"/>
      <c r="P212" s="613"/>
      <c r="Q212" s="613"/>
      <c r="R212" s="613"/>
      <c r="S212" s="1055"/>
      <c r="T212" s="617">
        <v>19</v>
      </c>
      <c r="U212" s="613">
        <v>42</v>
      </c>
      <c r="V212" s="614">
        <v>83</v>
      </c>
      <c r="W212" s="613">
        <v>111</v>
      </c>
      <c r="X212" s="613">
        <v>160</v>
      </c>
      <c r="Y212" s="613"/>
      <c r="Z212" s="613"/>
      <c r="AA212" s="613"/>
      <c r="AB212" s="613"/>
      <c r="AC212" s="613"/>
      <c r="AD212" s="618"/>
      <c r="AE212" s="627"/>
      <c r="AF212" s="1083"/>
      <c r="AG212" s="1092"/>
      <c r="AH212" s="1032"/>
      <c r="AI212" s="1032"/>
      <c r="AJ212" s="1035"/>
      <c r="AK212" s="1089"/>
      <c r="AL212" s="1032"/>
      <c r="AM212" s="1032"/>
      <c r="AN212" s="1070"/>
      <c r="AO212" s="1070"/>
      <c r="AP212" s="1070"/>
      <c r="AQ212" s="1032"/>
      <c r="AR212" s="1067"/>
      <c r="AS212" s="1070"/>
      <c r="AT212" s="1067"/>
      <c r="AU212" s="1070"/>
      <c r="AV212" s="1067"/>
      <c r="AW212" s="1070"/>
      <c r="AX212" s="1070"/>
      <c r="AY212" s="1081"/>
    </row>
    <row r="213" spans="1:51" ht="24.75" customHeight="1" thickBot="1" x14ac:dyDescent="0.3">
      <c r="A213" s="1047"/>
      <c r="B213" s="1049"/>
      <c r="C213" s="1053"/>
      <c r="D213" s="215" t="s">
        <v>112</v>
      </c>
      <c r="E213" s="287">
        <v>74624275</v>
      </c>
      <c r="F213" s="264"/>
      <c r="G213" s="532">
        <v>74624275</v>
      </c>
      <c r="H213" s="260">
        <v>74624275</v>
      </c>
      <c r="I213" s="620">
        <v>74624275</v>
      </c>
      <c r="J213" s="260">
        <v>74624275</v>
      </c>
      <c r="K213" s="260">
        <v>74624275</v>
      </c>
      <c r="L213" s="261"/>
      <c r="M213" s="261"/>
      <c r="N213" s="261"/>
      <c r="O213" s="261"/>
      <c r="P213" s="261"/>
      <c r="Q213" s="261"/>
      <c r="R213" s="261"/>
      <c r="S213" s="1056"/>
      <c r="T213" s="628">
        <v>1708272.7272727273</v>
      </c>
      <c r="U213" s="690">
        <v>11717140.440277211</v>
      </c>
      <c r="V213" s="691">
        <v>20112766.682821944</v>
      </c>
      <c r="W213" s="692">
        <v>20112766.682821944</v>
      </c>
      <c r="X213" s="260">
        <v>24605142.838089965</v>
      </c>
      <c r="Y213" s="692"/>
      <c r="Z213" s="692"/>
      <c r="AA213" s="692"/>
      <c r="AB213" s="692"/>
      <c r="AC213" s="219"/>
      <c r="AD213" s="182"/>
      <c r="AE213" s="693"/>
      <c r="AF213" s="1084"/>
      <c r="AG213" s="1093"/>
      <c r="AH213" s="1033"/>
      <c r="AI213" s="1033"/>
      <c r="AJ213" s="1036"/>
      <c r="AK213" s="1090"/>
      <c r="AL213" s="1033"/>
      <c r="AM213" s="1033"/>
      <c r="AN213" s="1071"/>
      <c r="AO213" s="1071"/>
      <c r="AP213" s="1071"/>
      <c r="AQ213" s="1033"/>
      <c r="AR213" s="1068"/>
      <c r="AS213" s="1071"/>
      <c r="AT213" s="1068"/>
      <c r="AU213" s="1071"/>
      <c r="AV213" s="1068"/>
      <c r="AW213" s="1071"/>
      <c r="AX213" s="1071"/>
      <c r="AY213" s="1081"/>
    </row>
    <row r="214" spans="1:51" ht="24.75" customHeight="1" thickBot="1" x14ac:dyDescent="0.3">
      <c r="A214" s="1047"/>
      <c r="B214" s="1049"/>
      <c r="C214" s="1051" t="s">
        <v>175</v>
      </c>
      <c r="D214" s="214" t="s">
        <v>106</v>
      </c>
      <c r="E214" s="603">
        <v>57</v>
      </c>
      <c r="F214" s="604"/>
      <c r="G214" s="605">
        <v>57</v>
      </c>
      <c r="H214" s="606">
        <v>57</v>
      </c>
      <c r="I214" s="607">
        <v>57</v>
      </c>
      <c r="J214" s="606">
        <v>57</v>
      </c>
      <c r="K214" s="606">
        <v>57</v>
      </c>
      <c r="L214" s="607"/>
      <c r="M214" s="607"/>
      <c r="N214" s="607"/>
      <c r="O214" s="607"/>
      <c r="P214" s="607"/>
      <c r="Q214" s="607"/>
      <c r="R214" s="608"/>
      <c r="S214" s="1054"/>
      <c r="T214" s="605">
        <v>4</v>
      </c>
      <c r="U214" s="697">
        <v>5</v>
      </c>
      <c r="V214" s="702">
        <v>10</v>
      </c>
      <c r="W214" s="697">
        <v>11</v>
      </c>
      <c r="X214" s="606">
        <v>26</v>
      </c>
      <c r="Y214" s="684"/>
      <c r="Z214" s="684"/>
      <c r="AA214" s="684"/>
      <c r="AB214" s="684"/>
      <c r="AC214" s="606"/>
      <c r="AD214" s="681"/>
      <c r="AE214" s="682"/>
      <c r="AF214" s="1082"/>
      <c r="AG214" s="1091" t="s">
        <v>176</v>
      </c>
      <c r="AH214" s="1031" t="s">
        <v>81</v>
      </c>
      <c r="AI214" s="1031" t="s">
        <v>81</v>
      </c>
      <c r="AJ214" s="1034" t="s">
        <v>355</v>
      </c>
      <c r="AK214" s="1088" t="s">
        <v>176</v>
      </c>
      <c r="AL214" s="1031" t="s">
        <v>81</v>
      </c>
      <c r="AM214" s="1031" t="s">
        <v>161</v>
      </c>
      <c r="AN214" s="1069">
        <v>165438</v>
      </c>
      <c r="AO214" s="1069">
        <v>68105</v>
      </c>
      <c r="AP214" s="1069">
        <v>97333</v>
      </c>
      <c r="AQ214" s="1031" t="s">
        <v>81</v>
      </c>
      <c r="AR214" s="1066" t="s">
        <v>162</v>
      </c>
      <c r="AS214" s="1069">
        <v>165438</v>
      </c>
      <c r="AT214" s="1066" t="s">
        <v>162</v>
      </c>
      <c r="AU214" s="1069">
        <v>165438</v>
      </c>
      <c r="AV214" s="1066" t="s">
        <v>163</v>
      </c>
      <c r="AW214" s="1069">
        <v>165438</v>
      </c>
      <c r="AX214" s="1069">
        <v>165438</v>
      </c>
      <c r="AY214" s="1081"/>
    </row>
    <row r="215" spans="1:51" ht="24.75" customHeight="1" thickBot="1" x14ac:dyDescent="0.3">
      <c r="A215" s="1047"/>
      <c r="B215" s="1049"/>
      <c r="C215" s="1052"/>
      <c r="D215" s="168" t="s">
        <v>107</v>
      </c>
      <c r="E215" s="286">
        <v>15777704</v>
      </c>
      <c r="F215" s="263"/>
      <c r="G215" s="531">
        <v>15777704</v>
      </c>
      <c r="H215" s="216">
        <v>15777704</v>
      </c>
      <c r="I215" s="612">
        <v>15777704</v>
      </c>
      <c r="J215" s="216">
        <v>15777704</v>
      </c>
      <c r="K215" s="216">
        <v>15777704</v>
      </c>
      <c r="L215" s="217"/>
      <c r="M215" s="217"/>
      <c r="N215" s="217"/>
      <c r="O215" s="217"/>
      <c r="P215" s="217"/>
      <c r="Q215" s="217"/>
      <c r="R215" s="217"/>
      <c r="S215" s="1055"/>
      <c r="T215" s="531">
        <v>359636.36363636365</v>
      </c>
      <c r="U215" s="216">
        <v>794804.52507134131</v>
      </c>
      <c r="V215" s="612">
        <v>1818661.3839182598</v>
      </c>
      <c r="W215" s="684">
        <v>2176591.0714182598</v>
      </c>
      <c r="X215" s="216">
        <v>3551808.2618064298</v>
      </c>
      <c r="Y215" s="684"/>
      <c r="Z215" s="684"/>
      <c r="AA215" s="684"/>
      <c r="AB215" s="684"/>
      <c r="AC215" s="216"/>
      <c r="AD215" s="181"/>
      <c r="AE215" s="682"/>
      <c r="AF215" s="1083"/>
      <c r="AG215" s="1092"/>
      <c r="AH215" s="1032"/>
      <c r="AI215" s="1032"/>
      <c r="AJ215" s="1035"/>
      <c r="AK215" s="1089"/>
      <c r="AL215" s="1032"/>
      <c r="AM215" s="1032"/>
      <c r="AN215" s="1070"/>
      <c r="AO215" s="1070"/>
      <c r="AP215" s="1070"/>
      <c r="AQ215" s="1032"/>
      <c r="AR215" s="1067"/>
      <c r="AS215" s="1070"/>
      <c r="AT215" s="1067"/>
      <c r="AU215" s="1070"/>
      <c r="AV215" s="1067"/>
      <c r="AW215" s="1070"/>
      <c r="AX215" s="1070"/>
      <c r="AY215" s="1081"/>
    </row>
    <row r="216" spans="1:51" ht="24.75" customHeight="1" thickBot="1" x14ac:dyDescent="0.3">
      <c r="A216" s="1047"/>
      <c r="B216" s="1049"/>
      <c r="C216" s="1052"/>
      <c r="D216" s="167" t="s">
        <v>109</v>
      </c>
      <c r="E216" s="615"/>
      <c r="F216" s="616"/>
      <c r="G216" s="617"/>
      <c r="H216" s="613"/>
      <c r="I216" s="614"/>
      <c r="J216" s="613"/>
      <c r="K216" s="613"/>
      <c r="L216" s="613"/>
      <c r="M216" s="613"/>
      <c r="N216" s="613"/>
      <c r="O216" s="613"/>
      <c r="P216" s="613"/>
      <c r="Q216" s="613"/>
      <c r="R216" s="613"/>
      <c r="S216" s="1055"/>
      <c r="T216" s="617"/>
      <c r="U216" s="686">
        <v>0</v>
      </c>
      <c r="V216" s="687">
        <v>0</v>
      </c>
      <c r="W216" s="686">
        <v>0</v>
      </c>
      <c r="X216" s="613">
        <v>0</v>
      </c>
      <c r="Y216" s="686"/>
      <c r="Z216" s="686"/>
      <c r="AA216" s="686"/>
      <c r="AB216" s="686"/>
      <c r="AC216" s="613"/>
      <c r="AD216" s="618"/>
      <c r="AE216" s="688"/>
      <c r="AF216" s="1083"/>
      <c r="AG216" s="1092"/>
      <c r="AH216" s="1032"/>
      <c r="AI216" s="1032"/>
      <c r="AJ216" s="1035"/>
      <c r="AK216" s="1089"/>
      <c r="AL216" s="1032"/>
      <c r="AM216" s="1032"/>
      <c r="AN216" s="1070"/>
      <c r="AO216" s="1070"/>
      <c r="AP216" s="1070"/>
      <c r="AQ216" s="1032"/>
      <c r="AR216" s="1067"/>
      <c r="AS216" s="1070"/>
      <c r="AT216" s="1067"/>
      <c r="AU216" s="1070"/>
      <c r="AV216" s="1067"/>
      <c r="AW216" s="1070"/>
      <c r="AX216" s="1070"/>
      <c r="AY216" s="1081"/>
    </row>
    <row r="217" spans="1:51" ht="24.75" customHeight="1" thickBot="1" x14ac:dyDescent="0.3">
      <c r="A217" s="1047"/>
      <c r="B217" s="1049"/>
      <c r="C217" s="1052"/>
      <c r="D217" s="168" t="s">
        <v>110</v>
      </c>
      <c r="E217" s="615"/>
      <c r="F217" s="616"/>
      <c r="G217" s="617"/>
      <c r="H217" s="613"/>
      <c r="I217" s="614"/>
      <c r="J217" s="613"/>
      <c r="K217" s="613"/>
      <c r="L217" s="613"/>
      <c r="M217" s="613"/>
      <c r="N217" s="613"/>
      <c r="O217" s="613"/>
      <c r="P217" s="613"/>
      <c r="Q217" s="613"/>
      <c r="R217" s="613"/>
      <c r="S217" s="1055"/>
      <c r="T217" s="617"/>
      <c r="U217" s="216">
        <v>0</v>
      </c>
      <c r="V217" s="612">
        <v>0</v>
      </c>
      <c r="W217" s="684">
        <v>0</v>
      </c>
      <c r="X217" s="613">
        <v>0</v>
      </c>
      <c r="Y217" s="684"/>
      <c r="Z217" s="684"/>
      <c r="AA217" s="684"/>
      <c r="AB217" s="684"/>
      <c r="AC217" s="613"/>
      <c r="AD217" s="618"/>
      <c r="AE217" s="682"/>
      <c r="AF217" s="1083"/>
      <c r="AG217" s="1092"/>
      <c r="AH217" s="1032"/>
      <c r="AI217" s="1032"/>
      <c r="AJ217" s="1035"/>
      <c r="AK217" s="1089"/>
      <c r="AL217" s="1032"/>
      <c r="AM217" s="1032"/>
      <c r="AN217" s="1070"/>
      <c r="AO217" s="1070"/>
      <c r="AP217" s="1070"/>
      <c r="AQ217" s="1032"/>
      <c r="AR217" s="1067"/>
      <c r="AS217" s="1070"/>
      <c r="AT217" s="1067"/>
      <c r="AU217" s="1070"/>
      <c r="AV217" s="1067"/>
      <c r="AW217" s="1070"/>
      <c r="AX217" s="1070"/>
      <c r="AY217" s="1081"/>
    </row>
    <row r="218" spans="1:51" ht="24.75" customHeight="1" thickBot="1" x14ac:dyDescent="0.3">
      <c r="A218" s="1047"/>
      <c r="B218" s="1049"/>
      <c r="C218" s="1052"/>
      <c r="D218" s="167" t="s">
        <v>111</v>
      </c>
      <c r="E218" s="615">
        <v>57</v>
      </c>
      <c r="F218" s="616"/>
      <c r="G218" s="617">
        <v>57</v>
      </c>
      <c r="H218" s="613">
        <v>57</v>
      </c>
      <c r="I218" s="614">
        <v>57</v>
      </c>
      <c r="J218" s="613">
        <v>57</v>
      </c>
      <c r="K218" s="613">
        <v>57</v>
      </c>
      <c r="L218" s="613"/>
      <c r="M218" s="613"/>
      <c r="N218" s="613"/>
      <c r="O218" s="613"/>
      <c r="P218" s="613"/>
      <c r="Q218" s="613"/>
      <c r="R218" s="613"/>
      <c r="S218" s="1055"/>
      <c r="T218" s="617">
        <v>4</v>
      </c>
      <c r="U218" s="613">
        <v>5</v>
      </c>
      <c r="V218" s="614">
        <v>10</v>
      </c>
      <c r="W218" s="613">
        <v>11</v>
      </c>
      <c r="X218" s="613">
        <v>26</v>
      </c>
      <c r="Y218" s="613"/>
      <c r="Z218" s="613"/>
      <c r="AA218" s="613"/>
      <c r="AB218" s="613"/>
      <c r="AC218" s="613"/>
      <c r="AD218" s="618"/>
      <c r="AE218" s="627"/>
      <c r="AF218" s="1083"/>
      <c r="AG218" s="1092"/>
      <c r="AH218" s="1032"/>
      <c r="AI218" s="1032"/>
      <c r="AJ218" s="1035"/>
      <c r="AK218" s="1089"/>
      <c r="AL218" s="1032"/>
      <c r="AM218" s="1032"/>
      <c r="AN218" s="1070"/>
      <c r="AO218" s="1070"/>
      <c r="AP218" s="1070"/>
      <c r="AQ218" s="1032"/>
      <c r="AR218" s="1067"/>
      <c r="AS218" s="1070"/>
      <c r="AT218" s="1067"/>
      <c r="AU218" s="1070"/>
      <c r="AV218" s="1067"/>
      <c r="AW218" s="1070"/>
      <c r="AX218" s="1070"/>
      <c r="AY218" s="1081"/>
    </row>
    <row r="219" spans="1:51" ht="24.75" customHeight="1" thickBot="1" x14ac:dyDescent="0.3">
      <c r="A219" s="1047"/>
      <c r="B219" s="1049"/>
      <c r="C219" s="1053"/>
      <c r="D219" s="215" t="s">
        <v>112</v>
      </c>
      <c r="E219" s="287">
        <v>15777704</v>
      </c>
      <c r="F219" s="264"/>
      <c r="G219" s="532">
        <v>15777704</v>
      </c>
      <c r="H219" s="260">
        <v>15777704</v>
      </c>
      <c r="I219" s="620">
        <v>15777704</v>
      </c>
      <c r="J219" s="260">
        <v>15777704</v>
      </c>
      <c r="K219" s="260">
        <v>15777704</v>
      </c>
      <c r="L219" s="261"/>
      <c r="M219" s="261"/>
      <c r="N219" s="261"/>
      <c r="O219" s="261"/>
      <c r="P219" s="261"/>
      <c r="Q219" s="261"/>
      <c r="R219" s="261"/>
      <c r="S219" s="1056"/>
      <c r="T219" s="628">
        <v>359636.36363636365</v>
      </c>
      <c r="U219" s="690">
        <v>794804.52507134131</v>
      </c>
      <c r="V219" s="691">
        <v>1818661.3839182598</v>
      </c>
      <c r="W219" s="692">
        <v>1818661.3839182598</v>
      </c>
      <c r="X219" s="260">
        <v>3193878.5743064298</v>
      </c>
      <c r="Y219" s="692"/>
      <c r="Z219" s="692"/>
      <c r="AA219" s="692"/>
      <c r="AB219" s="692"/>
      <c r="AC219" s="219"/>
      <c r="AD219" s="182"/>
      <c r="AE219" s="693"/>
      <c r="AF219" s="1084"/>
      <c r="AG219" s="1093"/>
      <c r="AH219" s="1033"/>
      <c r="AI219" s="1033"/>
      <c r="AJ219" s="1036"/>
      <c r="AK219" s="1090"/>
      <c r="AL219" s="1033"/>
      <c r="AM219" s="1033"/>
      <c r="AN219" s="1071"/>
      <c r="AO219" s="1071"/>
      <c r="AP219" s="1071"/>
      <c r="AQ219" s="1033"/>
      <c r="AR219" s="1068"/>
      <c r="AS219" s="1071"/>
      <c r="AT219" s="1068"/>
      <c r="AU219" s="1071"/>
      <c r="AV219" s="1068"/>
      <c r="AW219" s="1071"/>
      <c r="AX219" s="1071"/>
      <c r="AY219" s="1081"/>
    </row>
    <row r="220" spans="1:51" ht="24.75" customHeight="1" thickBot="1" x14ac:dyDescent="0.3">
      <c r="A220" s="1047"/>
      <c r="B220" s="1049"/>
      <c r="C220" s="1051" t="s">
        <v>176</v>
      </c>
      <c r="D220" s="214" t="s">
        <v>106</v>
      </c>
      <c r="E220" s="603">
        <v>78</v>
      </c>
      <c r="F220" s="604"/>
      <c r="G220" s="605">
        <v>78</v>
      </c>
      <c r="H220" s="606">
        <v>78</v>
      </c>
      <c r="I220" s="607">
        <v>78</v>
      </c>
      <c r="J220" s="606">
        <v>78</v>
      </c>
      <c r="K220" s="606">
        <v>78</v>
      </c>
      <c r="L220" s="607"/>
      <c r="M220" s="607"/>
      <c r="N220" s="607"/>
      <c r="O220" s="607"/>
      <c r="P220" s="607"/>
      <c r="Q220" s="607"/>
      <c r="R220" s="608"/>
      <c r="S220" s="1054"/>
      <c r="T220" s="605">
        <v>10</v>
      </c>
      <c r="U220" s="697">
        <v>14</v>
      </c>
      <c r="V220" s="702">
        <v>33</v>
      </c>
      <c r="W220" s="697">
        <v>48</v>
      </c>
      <c r="X220" s="606">
        <v>68</v>
      </c>
      <c r="Y220" s="684"/>
      <c r="Z220" s="684"/>
      <c r="AA220" s="684"/>
      <c r="AB220" s="684"/>
      <c r="AC220" s="606"/>
      <c r="AD220" s="681"/>
      <c r="AE220" s="682"/>
      <c r="AF220" s="1082"/>
      <c r="AG220" s="1091" t="s">
        <v>177</v>
      </c>
      <c r="AH220" s="1031" t="s">
        <v>81</v>
      </c>
      <c r="AI220" s="1031" t="s">
        <v>81</v>
      </c>
      <c r="AJ220" s="1034" t="s">
        <v>355</v>
      </c>
      <c r="AK220" s="1088" t="s">
        <v>177</v>
      </c>
      <c r="AL220" s="1031" t="s">
        <v>81</v>
      </c>
      <c r="AM220" s="1031" t="s">
        <v>161</v>
      </c>
      <c r="AN220" s="1069">
        <v>83001</v>
      </c>
      <c r="AO220" s="1069">
        <v>33755</v>
      </c>
      <c r="AP220" s="1069">
        <v>49246</v>
      </c>
      <c r="AQ220" s="1031" t="s">
        <v>81</v>
      </c>
      <c r="AR220" s="1066" t="s">
        <v>162</v>
      </c>
      <c r="AS220" s="1069">
        <v>83001</v>
      </c>
      <c r="AT220" s="1066" t="s">
        <v>162</v>
      </c>
      <c r="AU220" s="1069">
        <v>83001</v>
      </c>
      <c r="AV220" s="1066" t="s">
        <v>163</v>
      </c>
      <c r="AW220" s="1069">
        <v>83001</v>
      </c>
      <c r="AX220" s="1069">
        <v>83001</v>
      </c>
      <c r="AY220" s="1081"/>
    </row>
    <row r="221" spans="1:51" ht="24.75" customHeight="1" thickBot="1" x14ac:dyDescent="0.3">
      <c r="A221" s="1047"/>
      <c r="B221" s="1049"/>
      <c r="C221" s="1052"/>
      <c r="D221" s="168" t="s">
        <v>107</v>
      </c>
      <c r="E221" s="286">
        <v>21534434</v>
      </c>
      <c r="F221" s="263"/>
      <c r="G221" s="531">
        <v>21534434</v>
      </c>
      <c r="H221" s="216">
        <v>21534434</v>
      </c>
      <c r="I221" s="612">
        <v>21534434</v>
      </c>
      <c r="J221" s="216">
        <v>21534434</v>
      </c>
      <c r="K221" s="216">
        <v>21534434</v>
      </c>
      <c r="L221" s="217"/>
      <c r="M221" s="217"/>
      <c r="N221" s="217"/>
      <c r="O221" s="217"/>
      <c r="P221" s="217"/>
      <c r="Q221" s="217"/>
      <c r="R221" s="217"/>
      <c r="S221" s="1055"/>
      <c r="T221" s="531">
        <v>899090.90909090906</v>
      </c>
      <c r="U221" s="216">
        <v>2639763.5548308194</v>
      </c>
      <c r="V221" s="612">
        <v>6530419.6184491096</v>
      </c>
      <c r="W221" s="684">
        <v>11899364.930949111</v>
      </c>
      <c r="X221" s="216">
        <v>13732987.851466671</v>
      </c>
      <c r="Y221" s="684"/>
      <c r="Z221" s="684"/>
      <c r="AA221" s="684"/>
      <c r="AB221" s="684"/>
      <c r="AC221" s="216"/>
      <c r="AD221" s="181"/>
      <c r="AE221" s="682"/>
      <c r="AF221" s="1083"/>
      <c r="AG221" s="1092"/>
      <c r="AH221" s="1032"/>
      <c r="AI221" s="1032"/>
      <c r="AJ221" s="1035"/>
      <c r="AK221" s="1089"/>
      <c r="AL221" s="1032"/>
      <c r="AM221" s="1032"/>
      <c r="AN221" s="1070"/>
      <c r="AO221" s="1070"/>
      <c r="AP221" s="1070"/>
      <c r="AQ221" s="1032"/>
      <c r="AR221" s="1067"/>
      <c r="AS221" s="1070"/>
      <c r="AT221" s="1067"/>
      <c r="AU221" s="1070"/>
      <c r="AV221" s="1067"/>
      <c r="AW221" s="1070"/>
      <c r="AX221" s="1070"/>
      <c r="AY221" s="1081"/>
    </row>
    <row r="222" spans="1:51" ht="24.75" customHeight="1" thickBot="1" x14ac:dyDescent="0.3">
      <c r="A222" s="1047"/>
      <c r="B222" s="1049"/>
      <c r="C222" s="1052"/>
      <c r="D222" s="167" t="s">
        <v>109</v>
      </c>
      <c r="E222" s="615"/>
      <c r="F222" s="616"/>
      <c r="G222" s="617"/>
      <c r="H222" s="613"/>
      <c r="I222" s="614"/>
      <c r="J222" s="613"/>
      <c r="K222" s="613"/>
      <c r="L222" s="613"/>
      <c r="M222" s="613"/>
      <c r="N222" s="613"/>
      <c r="O222" s="613"/>
      <c r="P222" s="613"/>
      <c r="Q222" s="613"/>
      <c r="R222" s="613"/>
      <c r="S222" s="1055"/>
      <c r="T222" s="617"/>
      <c r="U222" s="686">
        <v>0</v>
      </c>
      <c r="V222" s="687">
        <v>0</v>
      </c>
      <c r="W222" s="686">
        <v>0</v>
      </c>
      <c r="X222" s="613">
        <v>0</v>
      </c>
      <c r="Y222" s="686"/>
      <c r="Z222" s="686"/>
      <c r="AA222" s="686"/>
      <c r="AB222" s="686"/>
      <c r="AC222" s="613"/>
      <c r="AD222" s="618"/>
      <c r="AE222" s="688"/>
      <c r="AF222" s="1083"/>
      <c r="AG222" s="1092"/>
      <c r="AH222" s="1032"/>
      <c r="AI222" s="1032"/>
      <c r="AJ222" s="1035"/>
      <c r="AK222" s="1089"/>
      <c r="AL222" s="1032"/>
      <c r="AM222" s="1032"/>
      <c r="AN222" s="1070"/>
      <c r="AO222" s="1070"/>
      <c r="AP222" s="1070"/>
      <c r="AQ222" s="1032"/>
      <c r="AR222" s="1067"/>
      <c r="AS222" s="1070"/>
      <c r="AT222" s="1067"/>
      <c r="AU222" s="1070"/>
      <c r="AV222" s="1067"/>
      <c r="AW222" s="1070"/>
      <c r="AX222" s="1070"/>
      <c r="AY222" s="1081"/>
    </row>
    <row r="223" spans="1:51" ht="24.75" customHeight="1" thickBot="1" x14ac:dyDescent="0.3">
      <c r="A223" s="1047"/>
      <c r="B223" s="1049"/>
      <c r="C223" s="1052"/>
      <c r="D223" s="168" t="s">
        <v>110</v>
      </c>
      <c r="E223" s="615"/>
      <c r="F223" s="616"/>
      <c r="G223" s="617"/>
      <c r="H223" s="613"/>
      <c r="I223" s="614"/>
      <c r="J223" s="613"/>
      <c r="K223" s="613"/>
      <c r="L223" s="613"/>
      <c r="M223" s="613"/>
      <c r="N223" s="613"/>
      <c r="O223" s="613"/>
      <c r="P223" s="613"/>
      <c r="Q223" s="613"/>
      <c r="R223" s="613"/>
      <c r="S223" s="1055"/>
      <c r="T223" s="617"/>
      <c r="U223" s="216">
        <v>0</v>
      </c>
      <c r="V223" s="612">
        <v>0</v>
      </c>
      <c r="W223" s="684">
        <v>0</v>
      </c>
      <c r="X223" s="613">
        <v>0</v>
      </c>
      <c r="Y223" s="684"/>
      <c r="Z223" s="684"/>
      <c r="AA223" s="684"/>
      <c r="AB223" s="684"/>
      <c r="AC223" s="613"/>
      <c r="AD223" s="618"/>
      <c r="AE223" s="682"/>
      <c r="AF223" s="1083"/>
      <c r="AG223" s="1092"/>
      <c r="AH223" s="1032"/>
      <c r="AI223" s="1032"/>
      <c r="AJ223" s="1035"/>
      <c r="AK223" s="1089"/>
      <c r="AL223" s="1032"/>
      <c r="AM223" s="1032"/>
      <c r="AN223" s="1070"/>
      <c r="AO223" s="1070"/>
      <c r="AP223" s="1070"/>
      <c r="AQ223" s="1032"/>
      <c r="AR223" s="1067"/>
      <c r="AS223" s="1070"/>
      <c r="AT223" s="1067"/>
      <c r="AU223" s="1070"/>
      <c r="AV223" s="1067"/>
      <c r="AW223" s="1070"/>
      <c r="AX223" s="1070"/>
      <c r="AY223" s="1081"/>
    </row>
    <row r="224" spans="1:51" ht="24.75" customHeight="1" thickBot="1" x14ac:dyDescent="0.3">
      <c r="A224" s="1047"/>
      <c r="B224" s="1049"/>
      <c r="C224" s="1052"/>
      <c r="D224" s="167" t="s">
        <v>111</v>
      </c>
      <c r="E224" s="615">
        <v>78</v>
      </c>
      <c r="F224" s="616"/>
      <c r="G224" s="617">
        <v>78</v>
      </c>
      <c r="H224" s="613">
        <v>78</v>
      </c>
      <c r="I224" s="614">
        <v>78</v>
      </c>
      <c r="J224" s="613">
        <v>78</v>
      </c>
      <c r="K224" s="613">
        <v>78</v>
      </c>
      <c r="L224" s="613"/>
      <c r="M224" s="613"/>
      <c r="N224" s="613"/>
      <c r="O224" s="613"/>
      <c r="P224" s="613"/>
      <c r="Q224" s="613"/>
      <c r="R224" s="613"/>
      <c r="S224" s="1055"/>
      <c r="T224" s="617">
        <v>10</v>
      </c>
      <c r="U224" s="613">
        <v>14</v>
      </c>
      <c r="V224" s="614">
        <v>33</v>
      </c>
      <c r="W224" s="613">
        <v>48</v>
      </c>
      <c r="X224" s="613">
        <v>68</v>
      </c>
      <c r="Y224" s="613"/>
      <c r="Z224" s="613"/>
      <c r="AA224" s="613"/>
      <c r="AB224" s="613"/>
      <c r="AC224" s="613"/>
      <c r="AD224" s="618"/>
      <c r="AE224" s="627"/>
      <c r="AF224" s="1083"/>
      <c r="AG224" s="1092"/>
      <c r="AH224" s="1032"/>
      <c r="AI224" s="1032"/>
      <c r="AJ224" s="1035"/>
      <c r="AK224" s="1089"/>
      <c r="AL224" s="1032"/>
      <c r="AM224" s="1032"/>
      <c r="AN224" s="1070"/>
      <c r="AO224" s="1070"/>
      <c r="AP224" s="1070"/>
      <c r="AQ224" s="1032"/>
      <c r="AR224" s="1067"/>
      <c r="AS224" s="1070"/>
      <c r="AT224" s="1067"/>
      <c r="AU224" s="1070"/>
      <c r="AV224" s="1067"/>
      <c r="AW224" s="1070"/>
      <c r="AX224" s="1070"/>
      <c r="AY224" s="1081"/>
    </row>
    <row r="225" spans="1:51" ht="24.75" customHeight="1" thickBot="1" x14ac:dyDescent="0.3">
      <c r="A225" s="1047"/>
      <c r="B225" s="1049"/>
      <c r="C225" s="1053"/>
      <c r="D225" s="215" t="s">
        <v>112</v>
      </c>
      <c r="E225" s="287">
        <v>21534434</v>
      </c>
      <c r="F225" s="264"/>
      <c r="G225" s="532">
        <v>21534434</v>
      </c>
      <c r="H225" s="260">
        <v>21534434</v>
      </c>
      <c r="I225" s="620">
        <v>21534434</v>
      </c>
      <c r="J225" s="260">
        <v>21534434</v>
      </c>
      <c r="K225" s="260">
        <v>21534434</v>
      </c>
      <c r="L225" s="261"/>
      <c r="M225" s="261"/>
      <c r="N225" s="261"/>
      <c r="O225" s="261"/>
      <c r="P225" s="261"/>
      <c r="Q225" s="261"/>
      <c r="R225" s="261"/>
      <c r="S225" s="1056"/>
      <c r="T225" s="628">
        <v>899090.90909090906</v>
      </c>
      <c r="U225" s="690">
        <v>2639763.5548308194</v>
      </c>
      <c r="V225" s="691">
        <v>6530419.6184491096</v>
      </c>
      <c r="W225" s="692">
        <v>6530419.6184491096</v>
      </c>
      <c r="X225" s="260">
        <v>8364042.5389666697</v>
      </c>
      <c r="Y225" s="692"/>
      <c r="Z225" s="692"/>
      <c r="AA225" s="692"/>
      <c r="AB225" s="692"/>
      <c r="AC225" s="219"/>
      <c r="AD225" s="182"/>
      <c r="AE225" s="693"/>
      <c r="AF225" s="1084"/>
      <c r="AG225" s="1093"/>
      <c r="AH225" s="1033"/>
      <c r="AI225" s="1033"/>
      <c r="AJ225" s="1036"/>
      <c r="AK225" s="1090"/>
      <c r="AL225" s="1033"/>
      <c r="AM225" s="1033"/>
      <c r="AN225" s="1071"/>
      <c r="AO225" s="1071"/>
      <c r="AP225" s="1071"/>
      <c r="AQ225" s="1033"/>
      <c r="AR225" s="1068"/>
      <c r="AS225" s="1071"/>
      <c r="AT225" s="1068"/>
      <c r="AU225" s="1071"/>
      <c r="AV225" s="1068"/>
      <c r="AW225" s="1071"/>
      <c r="AX225" s="1071"/>
      <c r="AY225" s="1081"/>
    </row>
    <row r="226" spans="1:51" ht="24.75" customHeight="1" thickBot="1" x14ac:dyDescent="0.3">
      <c r="A226" s="1047"/>
      <c r="B226" s="1049"/>
      <c r="C226" s="1051" t="s">
        <v>177</v>
      </c>
      <c r="D226" s="214" t="s">
        <v>106</v>
      </c>
      <c r="E226" s="603">
        <v>29</v>
      </c>
      <c r="F226" s="604"/>
      <c r="G226" s="605">
        <v>29</v>
      </c>
      <c r="H226" s="606">
        <v>29</v>
      </c>
      <c r="I226" s="607">
        <v>29</v>
      </c>
      <c r="J226" s="606">
        <v>29</v>
      </c>
      <c r="K226" s="606">
        <v>29</v>
      </c>
      <c r="L226" s="607"/>
      <c r="M226" s="607"/>
      <c r="N226" s="607"/>
      <c r="O226" s="607"/>
      <c r="P226" s="607"/>
      <c r="Q226" s="607"/>
      <c r="R226" s="608"/>
      <c r="S226" s="1054"/>
      <c r="T226" s="605">
        <v>0</v>
      </c>
      <c r="U226" s="697">
        <v>2</v>
      </c>
      <c r="V226" s="702">
        <v>9</v>
      </c>
      <c r="W226" s="697">
        <v>16</v>
      </c>
      <c r="X226" s="606">
        <v>21</v>
      </c>
      <c r="Y226" s="684"/>
      <c r="Z226" s="684"/>
      <c r="AA226" s="684"/>
      <c r="AB226" s="684"/>
      <c r="AC226" s="606"/>
      <c r="AD226" s="681"/>
      <c r="AE226" s="682"/>
      <c r="AF226" s="1082"/>
      <c r="AG226" s="1091" t="s">
        <v>178</v>
      </c>
      <c r="AH226" s="1031" t="s">
        <v>81</v>
      </c>
      <c r="AI226" s="1031" t="s">
        <v>81</v>
      </c>
      <c r="AJ226" s="1034" t="s">
        <v>355</v>
      </c>
      <c r="AK226" s="1088" t="s">
        <v>178</v>
      </c>
      <c r="AL226" s="1031" t="s">
        <v>81</v>
      </c>
      <c r="AM226" s="1031" t="s">
        <v>161</v>
      </c>
      <c r="AN226" s="1069">
        <v>84979</v>
      </c>
      <c r="AO226" s="1069">
        <v>39218</v>
      </c>
      <c r="AP226" s="1069">
        <v>45761</v>
      </c>
      <c r="AQ226" s="1031" t="s">
        <v>81</v>
      </c>
      <c r="AR226" s="1066" t="s">
        <v>162</v>
      </c>
      <c r="AS226" s="1069">
        <v>84979</v>
      </c>
      <c r="AT226" s="1066" t="s">
        <v>162</v>
      </c>
      <c r="AU226" s="1069">
        <v>84979</v>
      </c>
      <c r="AV226" s="1066" t="s">
        <v>163</v>
      </c>
      <c r="AW226" s="1069">
        <v>84979</v>
      </c>
      <c r="AX226" s="1069">
        <v>84979</v>
      </c>
      <c r="AY226" s="1081"/>
    </row>
    <row r="227" spans="1:51" ht="24.75" customHeight="1" thickBot="1" x14ac:dyDescent="0.3">
      <c r="A227" s="1047"/>
      <c r="B227" s="1049"/>
      <c r="C227" s="1052"/>
      <c r="D227" s="168" t="s">
        <v>107</v>
      </c>
      <c r="E227" s="286">
        <v>8102064</v>
      </c>
      <c r="F227" s="263"/>
      <c r="G227" s="531">
        <v>8102064</v>
      </c>
      <c r="H227" s="216">
        <v>8102064</v>
      </c>
      <c r="I227" s="612">
        <v>8102064</v>
      </c>
      <c r="J227" s="216">
        <v>8102064</v>
      </c>
      <c r="K227" s="216">
        <v>8102064</v>
      </c>
      <c r="L227" s="217"/>
      <c r="M227" s="217"/>
      <c r="N227" s="217"/>
      <c r="O227" s="217"/>
      <c r="P227" s="217"/>
      <c r="Q227" s="217"/>
      <c r="R227" s="217"/>
      <c r="S227" s="1055"/>
      <c r="T227" s="531">
        <v>0</v>
      </c>
      <c r="U227" s="216">
        <v>870336.32286995521</v>
      </c>
      <c r="V227" s="612">
        <v>2303735.9252556409</v>
      </c>
      <c r="W227" s="684">
        <v>4809243.7377556413</v>
      </c>
      <c r="X227" s="216">
        <v>5267649.4678850314</v>
      </c>
      <c r="Y227" s="684"/>
      <c r="Z227" s="684"/>
      <c r="AA227" s="684"/>
      <c r="AB227" s="684"/>
      <c r="AC227" s="216"/>
      <c r="AD227" s="181"/>
      <c r="AE227" s="682"/>
      <c r="AF227" s="1083"/>
      <c r="AG227" s="1092"/>
      <c r="AH227" s="1032"/>
      <c r="AI227" s="1032"/>
      <c r="AJ227" s="1035"/>
      <c r="AK227" s="1089"/>
      <c r="AL227" s="1032"/>
      <c r="AM227" s="1032"/>
      <c r="AN227" s="1070"/>
      <c r="AO227" s="1070"/>
      <c r="AP227" s="1070"/>
      <c r="AQ227" s="1032"/>
      <c r="AR227" s="1067"/>
      <c r="AS227" s="1070"/>
      <c r="AT227" s="1067"/>
      <c r="AU227" s="1070"/>
      <c r="AV227" s="1067"/>
      <c r="AW227" s="1070"/>
      <c r="AX227" s="1070"/>
      <c r="AY227" s="1081"/>
    </row>
    <row r="228" spans="1:51" ht="24.75" customHeight="1" thickBot="1" x14ac:dyDescent="0.3">
      <c r="A228" s="1047"/>
      <c r="B228" s="1049"/>
      <c r="C228" s="1052"/>
      <c r="D228" s="167" t="s">
        <v>109</v>
      </c>
      <c r="E228" s="615"/>
      <c r="F228" s="616"/>
      <c r="G228" s="617"/>
      <c r="H228" s="613"/>
      <c r="I228" s="614"/>
      <c r="J228" s="613"/>
      <c r="K228" s="613"/>
      <c r="L228" s="613"/>
      <c r="M228" s="613"/>
      <c r="N228" s="613"/>
      <c r="O228" s="613"/>
      <c r="P228" s="613"/>
      <c r="Q228" s="613"/>
      <c r="R228" s="613"/>
      <c r="S228" s="1055"/>
      <c r="T228" s="617"/>
      <c r="U228" s="686">
        <v>0</v>
      </c>
      <c r="V228" s="687">
        <v>0</v>
      </c>
      <c r="W228" s="686">
        <v>0</v>
      </c>
      <c r="X228" s="613">
        <v>0</v>
      </c>
      <c r="Y228" s="686"/>
      <c r="Z228" s="686"/>
      <c r="AA228" s="686"/>
      <c r="AB228" s="686"/>
      <c r="AC228" s="613"/>
      <c r="AD228" s="618"/>
      <c r="AE228" s="688"/>
      <c r="AF228" s="1083"/>
      <c r="AG228" s="1092"/>
      <c r="AH228" s="1032"/>
      <c r="AI228" s="1032"/>
      <c r="AJ228" s="1035"/>
      <c r="AK228" s="1089"/>
      <c r="AL228" s="1032"/>
      <c r="AM228" s="1032"/>
      <c r="AN228" s="1070"/>
      <c r="AO228" s="1070"/>
      <c r="AP228" s="1070"/>
      <c r="AQ228" s="1032"/>
      <c r="AR228" s="1067"/>
      <c r="AS228" s="1070"/>
      <c r="AT228" s="1067"/>
      <c r="AU228" s="1070"/>
      <c r="AV228" s="1067"/>
      <c r="AW228" s="1070"/>
      <c r="AX228" s="1070"/>
      <c r="AY228" s="1081"/>
    </row>
    <row r="229" spans="1:51" ht="24.75" customHeight="1" thickBot="1" x14ac:dyDescent="0.3">
      <c r="A229" s="1047"/>
      <c r="B229" s="1049"/>
      <c r="C229" s="1052"/>
      <c r="D229" s="168" t="s">
        <v>110</v>
      </c>
      <c r="E229" s="615"/>
      <c r="F229" s="616"/>
      <c r="G229" s="617"/>
      <c r="H229" s="613"/>
      <c r="I229" s="614"/>
      <c r="J229" s="613"/>
      <c r="K229" s="613"/>
      <c r="L229" s="613"/>
      <c r="M229" s="613"/>
      <c r="N229" s="613"/>
      <c r="O229" s="613"/>
      <c r="P229" s="613"/>
      <c r="Q229" s="613"/>
      <c r="R229" s="613"/>
      <c r="S229" s="1055"/>
      <c r="T229" s="617"/>
      <c r="U229" s="216">
        <v>0</v>
      </c>
      <c r="V229" s="612">
        <v>0</v>
      </c>
      <c r="W229" s="684">
        <v>0</v>
      </c>
      <c r="X229" s="613">
        <v>0</v>
      </c>
      <c r="Y229" s="684"/>
      <c r="Z229" s="684"/>
      <c r="AA229" s="684"/>
      <c r="AB229" s="684"/>
      <c r="AC229" s="613"/>
      <c r="AD229" s="618"/>
      <c r="AE229" s="682"/>
      <c r="AF229" s="1083"/>
      <c r="AG229" s="1092"/>
      <c r="AH229" s="1032"/>
      <c r="AI229" s="1032"/>
      <c r="AJ229" s="1035"/>
      <c r="AK229" s="1089"/>
      <c r="AL229" s="1032"/>
      <c r="AM229" s="1032"/>
      <c r="AN229" s="1070"/>
      <c r="AO229" s="1070"/>
      <c r="AP229" s="1070"/>
      <c r="AQ229" s="1032"/>
      <c r="AR229" s="1067"/>
      <c r="AS229" s="1070"/>
      <c r="AT229" s="1067"/>
      <c r="AU229" s="1070"/>
      <c r="AV229" s="1067"/>
      <c r="AW229" s="1070"/>
      <c r="AX229" s="1070"/>
      <c r="AY229" s="1081"/>
    </row>
    <row r="230" spans="1:51" ht="24.75" customHeight="1" thickBot="1" x14ac:dyDescent="0.3">
      <c r="A230" s="1047"/>
      <c r="B230" s="1049"/>
      <c r="C230" s="1052"/>
      <c r="D230" s="167" t="s">
        <v>111</v>
      </c>
      <c r="E230" s="615">
        <v>29</v>
      </c>
      <c r="F230" s="616"/>
      <c r="G230" s="617">
        <v>29</v>
      </c>
      <c r="H230" s="613">
        <v>29</v>
      </c>
      <c r="I230" s="614">
        <v>29</v>
      </c>
      <c r="J230" s="613">
        <v>29</v>
      </c>
      <c r="K230" s="613">
        <v>29</v>
      </c>
      <c r="L230" s="613"/>
      <c r="M230" s="613"/>
      <c r="N230" s="613"/>
      <c r="O230" s="613"/>
      <c r="P230" s="613"/>
      <c r="Q230" s="613"/>
      <c r="R230" s="613"/>
      <c r="S230" s="1055"/>
      <c r="T230" s="617">
        <v>0</v>
      </c>
      <c r="U230" s="613">
        <v>2</v>
      </c>
      <c r="V230" s="614">
        <v>9</v>
      </c>
      <c r="W230" s="613">
        <v>16</v>
      </c>
      <c r="X230" s="613">
        <v>21</v>
      </c>
      <c r="Y230" s="613"/>
      <c r="Z230" s="613"/>
      <c r="AA230" s="613"/>
      <c r="AB230" s="613"/>
      <c r="AC230" s="613"/>
      <c r="AD230" s="618"/>
      <c r="AE230" s="627"/>
      <c r="AF230" s="1083"/>
      <c r="AG230" s="1092"/>
      <c r="AH230" s="1032"/>
      <c r="AI230" s="1032"/>
      <c r="AJ230" s="1035"/>
      <c r="AK230" s="1089"/>
      <c r="AL230" s="1032"/>
      <c r="AM230" s="1032"/>
      <c r="AN230" s="1070"/>
      <c r="AO230" s="1070"/>
      <c r="AP230" s="1070"/>
      <c r="AQ230" s="1032"/>
      <c r="AR230" s="1067"/>
      <c r="AS230" s="1070"/>
      <c r="AT230" s="1067"/>
      <c r="AU230" s="1070"/>
      <c r="AV230" s="1067"/>
      <c r="AW230" s="1070"/>
      <c r="AX230" s="1070"/>
      <c r="AY230" s="1081"/>
    </row>
    <row r="231" spans="1:51" ht="24.75" customHeight="1" thickBot="1" x14ac:dyDescent="0.3">
      <c r="A231" s="1047"/>
      <c r="B231" s="1049"/>
      <c r="C231" s="1053"/>
      <c r="D231" s="215" t="s">
        <v>112</v>
      </c>
      <c r="E231" s="287">
        <v>8102064</v>
      </c>
      <c r="F231" s="264"/>
      <c r="G231" s="532">
        <v>8102064</v>
      </c>
      <c r="H231" s="260">
        <v>8102064</v>
      </c>
      <c r="I231" s="620">
        <v>8102064</v>
      </c>
      <c r="J231" s="260">
        <v>8102064</v>
      </c>
      <c r="K231" s="260">
        <v>8102064</v>
      </c>
      <c r="L231" s="261"/>
      <c r="M231" s="261"/>
      <c r="N231" s="261"/>
      <c r="O231" s="261"/>
      <c r="P231" s="261"/>
      <c r="Q231" s="261"/>
      <c r="R231" s="261"/>
      <c r="S231" s="1056"/>
      <c r="T231" s="628">
        <v>0</v>
      </c>
      <c r="U231" s="690">
        <v>870336.32286995521</v>
      </c>
      <c r="V231" s="691">
        <v>2303735.9252556409</v>
      </c>
      <c r="W231" s="692">
        <v>2303735.9252556409</v>
      </c>
      <c r="X231" s="260">
        <v>2762141.6553850309</v>
      </c>
      <c r="Y231" s="692"/>
      <c r="Z231" s="692"/>
      <c r="AA231" s="692"/>
      <c r="AB231" s="692"/>
      <c r="AC231" s="219"/>
      <c r="AD231" s="182"/>
      <c r="AE231" s="693"/>
      <c r="AF231" s="1084"/>
      <c r="AG231" s="1093"/>
      <c r="AH231" s="1033"/>
      <c r="AI231" s="1033"/>
      <c r="AJ231" s="1036"/>
      <c r="AK231" s="1090"/>
      <c r="AL231" s="1033"/>
      <c r="AM231" s="1033"/>
      <c r="AN231" s="1071"/>
      <c r="AO231" s="1071"/>
      <c r="AP231" s="1071"/>
      <c r="AQ231" s="1033"/>
      <c r="AR231" s="1068"/>
      <c r="AS231" s="1071"/>
      <c r="AT231" s="1068"/>
      <c r="AU231" s="1071"/>
      <c r="AV231" s="1068"/>
      <c r="AW231" s="1071"/>
      <c r="AX231" s="1071"/>
      <c r="AY231" s="1081"/>
    </row>
    <row r="232" spans="1:51" ht="24.75" customHeight="1" thickBot="1" x14ac:dyDescent="0.3">
      <c r="A232" s="1047"/>
      <c r="B232" s="1049"/>
      <c r="C232" s="1051" t="s">
        <v>178</v>
      </c>
      <c r="D232" s="214" t="s">
        <v>106</v>
      </c>
      <c r="E232" s="603">
        <v>133</v>
      </c>
      <c r="F232" s="604"/>
      <c r="G232" s="605">
        <v>133</v>
      </c>
      <c r="H232" s="606">
        <v>133</v>
      </c>
      <c r="I232" s="607">
        <v>133</v>
      </c>
      <c r="J232" s="606">
        <v>133</v>
      </c>
      <c r="K232" s="606">
        <v>133</v>
      </c>
      <c r="L232" s="607"/>
      <c r="M232" s="607"/>
      <c r="N232" s="607"/>
      <c r="O232" s="607"/>
      <c r="P232" s="607"/>
      <c r="Q232" s="607"/>
      <c r="R232" s="608"/>
      <c r="S232" s="1054"/>
      <c r="T232" s="605">
        <v>2</v>
      </c>
      <c r="U232" s="697">
        <v>12</v>
      </c>
      <c r="V232" s="702">
        <v>40</v>
      </c>
      <c r="W232" s="697">
        <v>60</v>
      </c>
      <c r="X232" s="606">
        <v>82</v>
      </c>
      <c r="Y232" s="684"/>
      <c r="Z232" s="684"/>
      <c r="AA232" s="684"/>
      <c r="AB232" s="684"/>
      <c r="AC232" s="606"/>
      <c r="AD232" s="681"/>
      <c r="AE232" s="682"/>
      <c r="AF232" s="1082"/>
      <c r="AG232" s="1091" t="s">
        <v>179</v>
      </c>
      <c r="AH232" s="1031" t="s">
        <v>81</v>
      </c>
      <c r="AI232" s="1031" t="s">
        <v>81</v>
      </c>
      <c r="AJ232" s="1034" t="s">
        <v>355</v>
      </c>
      <c r="AK232" s="1088" t="s">
        <v>179</v>
      </c>
      <c r="AL232" s="1031" t="s">
        <v>81</v>
      </c>
      <c r="AM232" s="1031" t="s">
        <v>161</v>
      </c>
      <c r="AN232" s="1069">
        <v>258034</v>
      </c>
      <c r="AO232" s="1069">
        <v>128107</v>
      </c>
      <c r="AP232" s="1069">
        <v>129927</v>
      </c>
      <c r="AQ232" s="1031" t="s">
        <v>81</v>
      </c>
      <c r="AR232" s="1066" t="s">
        <v>162</v>
      </c>
      <c r="AS232" s="1069">
        <v>258034</v>
      </c>
      <c r="AT232" s="1066" t="s">
        <v>162</v>
      </c>
      <c r="AU232" s="1069">
        <v>258034</v>
      </c>
      <c r="AV232" s="1066" t="s">
        <v>163</v>
      </c>
      <c r="AW232" s="1069">
        <v>258034</v>
      </c>
      <c r="AX232" s="1069">
        <v>258034</v>
      </c>
      <c r="AY232" s="1081"/>
    </row>
    <row r="233" spans="1:51" ht="24.75" customHeight="1" thickBot="1" x14ac:dyDescent="0.3">
      <c r="A233" s="1047"/>
      <c r="B233" s="1049"/>
      <c r="C233" s="1052"/>
      <c r="D233" s="168" t="s">
        <v>107</v>
      </c>
      <c r="E233" s="286">
        <v>36672501</v>
      </c>
      <c r="F233" s="263"/>
      <c r="G233" s="531">
        <v>36672501</v>
      </c>
      <c r="H233" s="216">
        <v>36672501</v>
      </c>
      <c r="I233" s="612">
        <v>36672501</v>
      </c>
      <c r="J233" s="216">
        <v>36672501</v>
      </c>
      <c r="K233" s="216">
        <v>36672501</v>
      </c>
      <c r="L233" s="217"/>
      <c r="M233" s="217"/>
      <c r="N233" s="217"/>
      <c r="O233" s="217"/>
      <c r="P233" s="217"/>
      <c r="Q233" s="217"/>
      <c r="R233" s="217"/>
      <c r="S233" s="1055"/>
      <c r="T233" s="531">
        <v>179818.18181818182</v>
      </c>
      <c r="U233" s="216">
        <v>4531499.7961679576</v>
      </c>
      <c r="V233" s="612">
        <v>10265098.205710702</v>
      </c>
      <c r="W233" s="684">
        <v>17423691.955710702</v>
      </c>
      <c r="X233" s="216">
        <v>19440677.168280017</v>
      </c>
      <c r="Y233" s="684"/>
      <c r="Z233" s="684"/>
      <c r="AA233" s="684"/>
      <c r="AB233" s="684"/>
      <c r="AC233" s="216"/>
      <c r="AD233" s="181"/>
      <c r="AE233" s="682"/>
      <c r="AF233" s="1083"/>
      <c r="AG233" s="1092"/>
      <c r="AH233" s="1032"/>
      <c r="AI233" s="1032"/>
      <c r="AJ233" s="1035"/>
      <c r="AK233" s="1089"/>
      <c r="AL233" s="1032"/>
      <c r="AM233" s="1032"/>
      <c r="AN233" s="1070"/>
      <c r="AO233" s="1070"/>
      <c r="AP233" s="1070"/>
      <c r="AQ233" s="1032"/>
      <c r="AR233" s="1067"/>
      <c r="AS233" s="1070"/>
      <c r="AT233" s="1067"/>
      <c r="AU233" s="1070"/>
      <c r="AV233" s="1067"/>
      <c r="AW233" s="1070"/>
      <c r="AX233" s="1070"/>
      <c r="AY233" s="1081"/>
    </row>
    <row r="234" spans="1:51" ht="24.75" customHeight="1" thickBot="1" x14ac:dyDescent="0.3">
      <c r="A234" s="1047"/>
      <c r="B234" s="1049"/>
      <c r="C234" s="1052"/>
      <c r="D234" s="167" t="s">
        <v>109</v>
      </c>
      <c r="E234" s="615"/>
      <c r="F234" s="616"/>
      <c r="G234" s="617"/>
      <c r="H234" s="613"/>
      <c r="I234" s="614"/>
      <c r="J234" s="613"/>
      <c r="K234" s="613"/>
      <c r="L234" s="613"/>
      <c r="M234" s="613"/>
      <c r="N234" s="613"/>
      <c r="O234" s="613"/>
      <c r="P234" s="613"/>
      <c r="Q234" s="613"/>
      <c r="R234" s="613"/>
      <c r="S234" s="1055"/>
      <c r="T234" s="617"/>
      <c r="U234" s="686">
        <v>0</v>
      </c>
      <c r="V234" s="687">
        <v>0</v>
      </c>
      <c r="W234" s="686">
        <v>0</v>
      </c>
      <c r="X234" s="613">
        <v>0</v>
      </c>
      <c r="Y234" s="686"/>
      <c r="Z234" s="686"/>
      <c r="AA234" s="686"/>
      <c r="AB234" s="686"/>
      <c r="AC234" s="613"/>
      <c r="AD234" s="618"/>
      <c r="AE234" s="688"/>
      <c r="AF234" s="1083"/>
      <c r="AG234" s="1092"/>
      <c r="AH234" s="1032"/>
      <c r="AI234" s="1032"/>
      <c r="AJ234" s="1035"/>
      <c r="AK234" s="1089"/>
      <c r="AL234" s="1032"/>
      <c r="AM234" s="1032"/>
      <c r="AN234" s="1070"/>
      <c r="AO234" s="1070"/>
      <c r="AP234" s="1070"/>
      <c r="AQ234" s="1032"/>
      <c r="AR234" s="1067"/>
      <c r="AS234" s="1070"/>
      <c r="AT234" s="1067"/>
      <c r="AU234" s="1070"/>
      <c r="AV234" s="1067"/>
      <c r="AW234" s="1070"/>
      <c r="AX234" s="1070"/>
      <c r="AY234" s="1081"/>
    </row>
    <row r="235" spans="1:51" ht="24.75" customHeight="1" thickBot="1" x14ac:dyDescent="0.3">
      <c r="A235" s="1047"/>
      <c r="B235" s="1049"/>
      <c r="C235" s="1052"/>
      <c r="D235" s="168" t="s">
        <v>110</v>
      </c>
      <c r="E235" s="615"/>
      <c r="F235" s="616"/>
      <c r="G235" s="617"/>
      <c r="H235" s="613"/>
      <c r="I235" s="614"/>
      <c r="J235" s="613"/>
      <c r="K235" s="613"/>
      <c r="L235" s="613"/>
      <c r="M235" s="613"/>
      <c r="N235" s="613"/>
      <c r="O235" s="613"/>
      <c r="P235" s="613"/>
      <c r="Q235" s="613"/>
      <c r="R235" s="613"/>
      <c r="S235" s="1055"/>
      <c r="T235" s="617"/>
      <c r="U235" s="216">
        <v>0</v>
      </c>
      <c r="V235" s="612">
        <v>0</v>
      </c>
      <c r="W235" s="684">
        <v>0</v>
      </c>
      <c r="X235" s="613">
        <v>0</v>
      </c>
      <c r="Y235" s="684"/>
      <c r="Z235" s="684"/>
      <c r="AA235" s="684"/>
      <c r="AB235" s="684"/>
      <c r="AC235" s="613"/>
      <c r="AD235" s="618"/>
      <c r="AE235" s="682"/>
      <c r="AF235" s="1083"/>
      <c r="AG235" s="1092"/>
      <c r="AH235" s="1032"/>
      <c r="AI235" s="1032"/>
      <c r="AJ235" s="1035"/>
      <c r="AK235" s="1089"/>
      <c r="AL235" s="1032"/>
      <c r="AM235" s="1032"/>
      <c r="AN235" s="1070"/>
      <c r="AO235" s="1070"/>
      <c r="AP235" s="1070"/>
      <c r="AQ235" s="1032"/>
      <c r="AR235" s="1067"/>
      <c r="AS235" s="1070"/>
      <c r="AT235" s="1067"/>
      <c r="AU235" s="1070"/>
      <c r="AV235" s="1067"/>
      <c r="AW235" s="1070"/>
      <c r="AX235" s="1070"/>
      <c r="AY235" s="1081"/>
    </row>
    <row r="236" spans="1:51" ht="24.75" customHeight="1" thickBot="1" x14ac:dyDescent="0.3">
      <c r="A236" s="1047"/>
      <c r="B236" s="1049"/>
      <c r="C236" s="1052"/>
      <c r="D236" s="167" t="s">
        <v>111</v>
      </c>
      <c r="E236" s="615">
        <v>133</v>
      </c>
      <c r="F236" s="616"/>
      <c r="G236" s="617">
        <v>133</v>
      </c>
      <c r="H236" s="613">
        <v>133</v>
      </c>
      <c r="I236" s="614">
        <v>133</v>
      </c>
      <c r="J236" s="613">
        <v>133</v>
      </c>
      <c r="K236" s="613">
        <v>133</v>
      </c>
      <c r="L236" s="613"/>
      <c r="M236" s="613"/>
      <c r="N236" s="613"/>
      <c r="O236" s="613"/>
      <c r="P236" s="613"/>
      <c r="Q236" s="613"/>
      <c r="R236" s="613"/>
      <c r="S236" s="1055"/>
      <c r="T236" s="617">
        <v>2</v>
      </c>
      <c r="U236" s="613">
        <v>12</v>
      </c>
      <c r="V236" s="614">
        <v>40</v>
      </c>
      <c r="W236" s="613">
        <v>60</v>
      </c>
      <c r="X236" s="613">
        <v>82</v>
      </c>
      <c r="Y236" s="613"/>
      <c r="Z236" s="613"/>
      <c r="AA236" s="613"/>
      <c r="AB236" s="613"/>
      <c r="AC236" s="613"/>
      <c r="AD236" s="618"/>
      <c r="AE236" s="627"/>
      <c r="AF236" s="1083"/>
      <c r="AG236" s="1092"/>
      <c r="AH236" s="1032"/>
      <c r="AI236" s="1032"/>
      <c r="AJ236" s="1035"/>
      <c r="AK236" s="1089"/>
      <c r="AL236" s="1032"/>
      <c r="AM236" s="1032"/>
      <c r="AN236" s="1070"/>
      <c r="AO236" s="1070"/>
      <c r="AP236" s="1070"/>
      <c r="AQ236" s="1032"/>
      <c r="AR236" s="1067"/>
      <c r="AS236" s="1070"/>
      <c r="AT236" s="1067"/>
      <c r="AU236" s="1070"/>
      <c r="AV236" s="1067"/>
      <c r="AW236" s="1070"/>
      <c r="AX236" s="1070"/>
      <c r="AY236" s="1081"/>
    </row>
    <row r="237" spans="1:51" ht="24.75" customHeight="1" thickBot="1" x14ac:dyDescent="0.3">
      <c r="A237" s="1047"/>
      <c r="B237" s="1049"/>
      <c r="C237" s="1053"/>
      <c r="D237" s="215" t="s">
        <v>112</v>
      </c>
      <c r="E237" s="287">
        <v>36672501</v>
      </c>
      <c r="F237" s="264"/>
      <c r="G237" s="532">
        <v>36672501</v>
      </c>
      <c r="H237" s="260">
        <v>36672501</v>
      </c>
      <c r="I237" s="620">
        <v>36672501</v>
      </c>
      <c r="J237" s="260">
        <v>36672501</v>
      </c>
      <c r="K237" s="260">
        <v>36672501</v>
      </c>
      <c r="L237" s="261"/>
      <c r="M237" s="261"/>
      <c r="N237" s="261"/>
      <c r="O237" s="261"/>
      <c r="P237" s="261"/>
      <c r="Q237" s="261"/>
      <c r="R237" s="261"/>
      <c r="S237" s="1056"/>
      <c r="T237" s="628">
        <v>179818.18181818182</v>
      </c>
      <c r="U237" s="690">
        <v>4531499.7961679576</v>
      </c>
      <c r="V237" s="691">
        <v>10265098.205710702</v>
      </c>
      <c r="W237" s="692">
        <v>10265098.205710702</v>
      </c>
      <c r="X237" s="260">
        <v>12282083.418280018</v>
      </c>
      <c r="Y237" s="692"/>
      <c r="Z237" s="692"/>
      <c r="AA237" s="692"/>
      <c r="AB237" s="692"/>
      <c r="AC237" s="219"/>
      <c r="AD237" s="182"/>
      <c r="AE237" s="693"/>
      <c r="AF237" s="1084"/>
      <c r="AG237" s="1093"/>
      <c r="AH237" s="1033"/>
      <c r="AI237" s="1033"/>
      <c r="AJ237" s="1036"/>
      <c r="AK237" s="1090"/>
      <c r="AL237" s="1033"/>
      <c r="AM237" s="1033"/>
      <c r="AN237" s="1071"/>
      <c r="AO237" s="1071"/>
      <c r="AP237" s="1071"/>
      <c r="AQ237" s="1033"/>
      <c r="AR237" s="1068"/>
      <c r="AS237" s="1071"/>
      <c r="AT237" s="1068"/>
      <c r="AU237" s="1071"/>
      <c r="AV237" s="1068"/>
      <c r="AW237" s="1071"/>
      <c r="AX237" s="1071"/>
      <c r="AY237" s="1081"/>
    </row>
    <row r="238" spans="1:51" ht="24.75" customHeight="1" thickBot="1" x14ac:dyDescent="0.3">
      <c r="A238" s="1047"/>
      <c r="B238" s="1049"/>
      <c r="C238" s="1051" t="s">
        <v>179</v>
      </c>
      <c r="D238" s="214" t="s">
        <v>106</v>
      </c>
      <c r="E238" s="603">
        <v>22</v>
      </c>
      <c r="F238" s="604"/>
      <c r="G238" s="605">
        <v>22</v>
      </c>
      <c r="H238" s="606">
        <v>22</v>
      </c>
      <c r="I238" s="607">
        <v>22</v>
      </c>
      <c r="J238" s="606">
        <v>22</v>
      </c>
      <c r="K238" s="606">
        <v>22</v>
      </c>
      <c r="L238" s="607"/>
      <c r="M238" s="607"/>
      <c r="N238" s="607"/>
      <c r="O238" s="607"/>
      <c r="P238" s="607"/>
      <c r="Q238" s="607"/>
      <c r="R238" s="608"/>
      <c r="S238" s="1054"/>
      <c r="T238" s="605">
        <v>0</v>
      </c>
      <c r="U238" s="697">
        <v>0</v>
      </c>
      <c r="V238" s="702">
        <v>4</v>
      </c>
      <c r="W238" s="697">
        <v>7</v>
      </c>
      <c r="X238" s="606">
        <v>7</v>
      </c>
      <c r="Y238" s="684"/>
      <c r="Z238" s="684"/>
      <c r="AA238" s="684"/>
      <c r="AB238" s="684"/>
      <c r="AC238" s="606"/>
      <c r="AD238" s="681"/>
      <c r="AE238" s="682"/>
      <c r="AF238" s="1082"/>
      <c r="AG238" s="1091" t="s">
        <v>180</v>
      </c>
      <c r="AH238" s="1031" t="s">
        <v>81</v>
      </c>
      <c r="AI238" s="1031" t="s">
        <v>81</v>
      </c>
      <c r="AJ238" s="1034" t="s">
        <v>355</v>
      </c>
      <c r="AK238" s="1088" t="s">
        <v>180</v>
      </c>
      <c r="AL238" s="1031" t="s">
        <v>81</v>
      </c>
      <c r="AM238" s="1031" t="s">
        <v>161</v>
      </c>
      <c r="AN238" s="1069">
        <v>18675</v>
      </c>
      <c r="AO238" s="1069">
        <v>9430</v>
      </c>
      <c r="AP238" s="1069">
        <v>9245</v>
      </c>
      <c r="AQ238" s="1031" t="s">
        <v>81</v>
      </c>
      <c r="AR238" s="1066" t="s">
        <v>162</v>
      </c>
      <c r="AS238" s="1069">
        <v>18675</v>
      </c>
      <c r="AT238" s="1066" t="s">
        <v>162</v>
      </c>
      <c r="AU238" s="1069">
        <v>18675</v>
      </c>
      <c r="AV238" s="1066" t="s">
        <v>163</v>
      </c>
      <c r="AW238" s="1069">
        <v>18675</v>
      </c>
      <c r="AX238" s="1069">
        <v>18675</v>
      </c>
      <c r="AY238" s="1081"/>
    </row>
    <row r="239" spans="1:51" ht="24.75" customHeight="1" thickBot="1" x14ac:dyDescent="0.3">
      <c r="A239" s="1047"/>
      <c r="B239" s="1049"/>
      <c r="C239" s="1052"/>
      <c r="D239" s="168" t="s">
        <v>107</v>
      </c>
      <c r="E239" s="286">
        <v>6183154</v>
      </c>
      <c r="F239" s="263"/>
      <c r="G239" s="531">
        <v>6183154</v>
      </c>
      <c r="H239" s="216">
        <v>6183154</v>
      </c>
      <c r="I239" s="612">
        <v>6183154</v>
      </c>
      <c r="J239" s="216">
        <v>6183154</v>
      </c>
      <c r="K239" s="216">
        <v>6183154</v>
      </c>
      <c r="L239" s="217"/>
      <c r="M239" s="217"/>
      <c r="N239" s="217"/>
      <c r="O239" s="217"/>
      <c r="P239" s="217"/>
      <c r="Q239" s="217"/>
      <c r="R239" s="217"/>
      <c r="S239" s="1055"/>
      <c r="T239" s="531">
        <v>0</v>
      </c>
      <c r="U239" s="216">
        <v>0</v>
      </c>
      <c r="V239" s="612">
        <v>819085.48707753478</v>
      </c>
      <c r="W239" s="684">
        <v>1892874.5495775347</v>
      </c>
      <c r="X239" s="216">
        <v>1892874.5495775347</v>
      </c>
      <c r="Y239" s="684"/>
      <c r="Z239" s="684"/>
      <c r="AA239" s="684"/>
      <c r="AB239" s="684"/>
      <c r="AC239" s="216"/>
      <c r="AD239" s="181"/>
      <c r="AE239" s="682"/>
      <c r="AF239" s="1083"/>
      <c r="AG239" s="1092"/>
      <c r="AH239" s="1032"/>
      <c r="AI239" s="1032"/>
      <c r="AJ239" s="1035"/>
      <c r="AK239" s="1089"/>
      <c r="AL239" s="1032"/>
      <c r="AM239" s="1032"/>
      <c r="AN239" s="1070"/>
      <c r="AO239" s="1070"/>
      <c r="AP239" s="1070"/>
      <c r="AQ239" s="1032"/>
      <c r="AR239" s="1067"/>
      <c r="AS239" s="1070"/>
      <c r="AT239" s="1067"/>
      <c r="AU239" s="1070"/>
      <c r="AV239" s="1067"/>
      <c r="AW239" s="1070"/>
      <c r="AX239" s="1070"/>
      <c r="AY239" s="1081"/>
    </row>
    <row r="240" spans="1:51" ht="24.75" customHeight="1" thickBot="1" x14ac:dyDescent="0.3">
      <c r="A240" s="1047"/>
      <c r="B240" s="1049"/>
      <c r="C240" s="1052"/>
      <c r="D240" s="167" t="s">
        <v>109</v>
      </c>
      <c r="E240" s="615"/>
      <c r="F240" s="616"/>
      <c r="G240" s="617"/>
      <c r="H240" s="613"/>
      <c r="I240" s="614"/>
      <c r="J240" s="613"/>
      <c r="K240" s="613"/>
      <c r="L240" s="613"/>
      <c r="M240" s="613"/>
      <c r="N240" s="613"/>
      <c r="O240" s="613"/>
      <c r="P240" s="613"/>
      <c r="Q240" s="613"/>
      <c r="R240" s="613"/>
      <c r="S240" s="1055"/>
      <c r="T240" s="617"/>
      <c r="U240" s="686">
        <v>0</v>
      </c>
      <c r="V240" s="687">
        <v>0</v>
      </c>
      <c r="W240" s="686">
        <v>0</v>
      </c>
      <c r="X240" s="613">
        <v>0</v>
      </c>
      <c r="Y240" s="686"/>
      <c r="Z240" s="686"/>
      <c r="AA240" s="686"/>
      <c r="AB240" s="686"/>
      <c r="AC240" s="613"/>
      <c r="AD240" s="618"/>
      <c r="AE240" s="688"/>
      <c r="AF240" s="1083"/>
      <c r="AG240" s="1092"/>
      <c r="AH240" s="1032"/>
      <c r="AI240" s="1032"/>
      <c r="AJ240" s="1035"/>
      <c r="AK240" s="1089"/>
      <c r="AL240" s="1032"/>
      <c r="AM240" s="1032"/>
      <c r="AN240" s="1070"/>
      <c r="AO240" s="1070"/>
      <c r="AP240" s="1070"/>
      <c r="AQ240" s="1032"/>
      <c r="AR240" s="1067"/>
      <c r="AS240" s="1070"/>
      <c r="AT240" s="1067"/>
      <c r="AU240" s="1070"/>
      <c r="AV240" s="1067"/>
      <c r="AW240" s="1070"/>
      <c r="AX240" s="1070"/>
      <c r="AY240" s="1081"/>
    </row>
    <row r="241" spans="1:51" ht="24.75" customHeight="1" thickBot="1" x14ac:dyDescent="0.3">
      <c r="A241" s="1047"/>
      <c r="B241" s="1049"/>
      <c r="C241" s="1052"/>
      <c r="D241" s="168" t="s">
        <v>110</v>
      </c>
      <c r="E241" s="615"/>
      <c r="F241" s="616"/>
      <c r="G241" s="617"/>
      <c r="H241" s="613"/>
      <c r="I241" s="614"/>
      <c r="J241" s="613"/>
      <c r="K241" s="613"/>
      <c r="L241" s="613"/>
      <c r="M241" s="613"/>
      <c r="N241" s="613"/>
      <c r="O241" s="613"/>
      <c r="P241" s="613"/>
      <c r="Q241" s="613"/>
      <c r="R241" s="613"/>
      <c r="S241" s="1055"/>
      <c r="T241" s="617"/>
      <c r="U241" s="216">
        <v>0</v>
      </c>
      <c r="V241" s="612">
        <v>0</v>
      </c>
      <c r="W241" s="684">
        <v>0</v>
      </c>
      <c r="X241" s="613">
        <v>0</v>
      </c>
      <c r="Y241" s="684"/>
      <c r="Z241" s="684"/>
      <c r="AA241" s="684"/>
      <c r="AB241" s="684"/>
      <c r="AC241" s="613"/>
      <c r="AD241" s="618"/>
      <c r="AE241" s="682"/>
      <c r="AF241" s="1083"/>
      <c r="AG241" s="1092"/>
      <c r="AH241" s="1032"/>
      <c r="AI241" s="1032"/>
      <c r="AJ241" s="1035"/>
      <c r="AK241" s="1089"/>
      <c r="AL241" s="1032"/>
      <c r="AM241" s="1032"/>
      <c r="AN241" s="1070"/>
      <c r="AO241" s="1070"/>
      <c r="AP241" s="1070"/>
      <c r="AQ241" s="1032"/>
      <c r="AR241" s="1067"/>
      <c r="AS241" s="1070"/>
      <c r="AT241" s="1067"/>
      <c r="AU241" s="1070"/>
      <c r="AV241" s="1067"/>
      <c r="AW241" s="1070"/>
      <c r="AX241" s="1070"/>
      <c r="AY241" s="1081"/>
    </row>
    <row r="242" spans="1:51" ht="24.75" customHeight="1" thickBot="1" x14ac:dyDescent="0.3">
      <c r="A242" s="1047"/>
      <c r="B242" s="1049"/>
      <c r="C242" s="1052"/>
      <c r="D242" s="167" t="s">
        <v>111</v>
      </c>
      <c r="E242" s="615">
        <v>22</v>
      </c>
      <c r="F242" s="616"/>
      <c r="G242" s="617">
        <v>22</v>
      </c>
      <c r="H242" s="613">
        <v>22</v>
      </c>
      <c r="I242" s="614">
        <v>22</v>
      </c>
      <c r="J242" s="613">
        <v>22</v>
      </c>
      <c r="K242" s="613">
        <v>22</v>
      </c>
      <c r="L242" s="613"/>
      <c r="M242" s="613"/>
      <c r="N242" s="613"/>
      <c r="O242" s="613"/>
      <c r="P242" s="613"/>
      <c r="Q242" s="613"/>
      <c r="R242" s="613"/>
      <c r="S242" s="1055"/>
      <c r="T242" s="617">
        <v>0</v>
      </c>
      <c r="U242" s="613">
        <v>0</v>
      </c>
      <c r="V242" s="614">
        <v>4</v>
      </c>
      <c r="W242" s="613">
        <v>7</v>
      </c>
      <c r="X242" s="613">
        <v>7</v>
      </c>
      <c r="Y242" s="613"/>
      <c r="Z242" s="613"/>
      <c r="AA242" s="613"/>
      <c r="AB242" s="613"/>
      <c r="AC242" s="613"/>
      <c r="AD242" s="618"/>
      <c r="AE242" s="627"/>
      <c r="AF242" s="1083"/>
      <c r="AG242" s="1092"/>
      <c r="AH242" s="1032"/>
      <c r="AI242" s="1032"/>
      <c r="AJ242" s="1035"/>
      <c r="AK242" s="1089"/>
      <c r="AL242" s="1032"/>
      <c r="AM242" s="1032"/>
      <c r="AN242" s="1070"/>
      <c r="AO242" s="1070"/>
      <c r="AP242" s="1070"/>
      <c r="AQ242" s="1032"/>
      <c r="AR242" s="1067"/>
      <c r="AS242" s="1070"/>
      <c r="AT242" s="1067"/>
      <c r="AU242" s="1070"/>
      <c r="AV242" s="1067"/>
      <c r="AW242" s="1070"/>
      <c r="AX242" s="1070"/>
      <c r="AY242" s="1081"/>
    </row>
    <row r="243" spans="1:51" ht="24.75" customHeight="1" thickBot="1" x14ac:dyDescent="0.3">
      <c r="A243" s="1047"/>
      <c r="B243" s="1049"/>
      <c r="C243" s="1053"/>
      <c r="D243" s="215" t="s">
        <v>112</v>
      </c>
      <c r="E243" s="287">
        <v>6183154</v>
      </c>
      <c r="F243" s="264"/>
      <c r="G243" s="532">
        <v>6183154</v>
      </c>
      <c r="H243" s="260">
        <v>6183154</v>
      </c>
      <c r="I243" s="620">
        <v>6183154</v>
      </c>
      <c r="J243" s="260">
        <v>6183154</v>
      </c>
      <c r="K243" s="260">
        <v>6183154</v>
      </c>
      <c r="L243" s="261"/>
      <c r="M243" s="261"/>
      <c r="N243" s="261"/>
      <c r="O243" s="261"/>
      <c r="P243" s="261"/>
      <c r="Q243" s="261"/>
      <c r="R243" s="261"/>
      <c r="S243" s="1056"/>
      <c r="T243" s="628">
        <v>0</v>
      </c>
      <c r="U243" s="690">
        <v>0</v>
      </c>
      <c r="V243" s="691">
        <v>819085.48707753478</v>
      </c>
      <c r="W243" s="692">
        <v>819085.48707753478</v>
      </c>
      <c r="X243" s="260">
        <v>819085.48707753478</v>
      </c>
      <c r="Y243" s="692"/>
      <c r="Z243" s="692"/>
      <c r="AA243" s="692"/>
      <c r="AB243" s="692"/>
      <c r="AC243" s="219"/>
      <c r="AD243" s="182"/>
      <c r="AE243" s="693"/>
      <c r="AF243" s="1084"/>
      <c r="AG243" s="1093"/>
      <c r="AH243" s="1033"/>
      <c r="AI243" s="1033"/>
      <c r="AJ243" s="1036"/>
      <c r="AK243" s="1090"/>
      <c r="AL243" s="1033"/>
      <c r="AM243" s="1033"/>
      <c r="AN243" s="1071"/>
      <c r="AO243" s="1071"/>
      <c r="AP243" s="1071"/>
      <c r="AQ243" s="1033"/>
      <c r="AR243" s="1068"/>
      <c r="AS243" s="1071"/>
      <c r="AT243" s="1068"/>
      <c r="AU243" s="1071"/>
      <c r="AV243" s="1068"/>
      <c r="AW243" s="1071"/>
      <c r="AX243" s="1071"/>
      <c r="AY243" s="1081"/>
    </row>
    <row r="244" spans="1:51" ht="24.75" customHeight="1" thickBot="1" x14ac:dyDescent="0.3">
      <c r="A244" s="1047"/>
      <c r="B244" s="1049"/>
      <c r="C244" s="1051" t="s">
        <v>180</v>
      </c>
      <c r="D244" s="214" t="s">
        <v>106</v>
      </c>
      <c r="E244" s="603">
        <v>108</v>
      </c>
      <c r="F244" s="604"/>
      <c r="G244" s="605">
        <v>108</v>
      </c>
      <c r="H244" s="606">
        <v>108</v>
      </c>
      <c r="I244" s="607">
        <v>108</v>
      </c>
      <c r="J244" s="606">
        <v>108</v>
      </c>
      <c r="K244" s="606">
        <v>108</v>
      </c>
      <c r="L244" s="607"/>
      <c r="M244" s="607"/>
      <c r="N244" s="607"/>
      <c r="O244" s="607"/>
      <c r="P244" s="607"/>
      <c r="Q244" s="607"/>
      <c r="R244" s="608"/>
      <c r="S244" s="1054"/>
      <c r="T244" s="605">
        <v>2</v>
      </c>
      <c r="U244" s="697">
        <v>17</v>
      </c>
      <c r="V244" s="702">
        <v>36</v>
      </c>
      <c r="W244" s="697">
        <v>46</v>
      </c>
      <c r="X244" s="606">
        <v>69</v>
      </c>
      <c r="Y244" s="684"/>
      <c r="Z244" s="684"/>
      <c r="AA244" s="684"/>
      <c r="AB244" s="684"/>
      <c r="AC244" s="606"/>
      <c r="AD244" s="681"/>
      <c r="AE244" s="682"/>
      <c r="AF244" s="1082"/>
      <c r="AG244" s="1091" t="s">
        <v>181</v>
      </c>
      <c r="AH244" s="1031" t="s">
        <v>81</v>
      </c>
      <c r="AI244" s="1031" t="s">
        <v>81</v>
      </c>
      <c r="AJ244" s="1034" t="s">
        <v>355</v>
      </c>
      <c r="AK244" s="1088" t="s">
        <v>181</v>
      </c>
      <c r="AL244" s="1031" t="s">
        <v>81</v>
      </c>
      <c r="AM244" s="1031" t="s">
        <v>161</v>
      </c>
      <c r="AN244" s="1069">
        <v>391588</v>
      </c>
      <c r="AO244" s="1069">
        <v>192276</v>
      </c>
      <c r="AP244" s="1069">
        <v>199312</v>
      </c>
      <c r="AQ244" s="1031" t="s">
        <v>81</v>
      </c>
      <c r="AR244" s="1066" t="s">
        <v>162</v>
      </c>
      <c r="AS244" s="1069">
        <v>391588</v>
      </c>
      <c r="AT244" s="1066" t="s">
        <v>162</v>
      </c>
      <c r="AU244" s="1069">
        <v>391588</v>
      </c>
      <c r="AV244" s="1066" t="s">
        <v>163</v>
      </c>
      <c r="AW244" s="1069">
        <v>391588</v>
      </c>
      <c r="AX244" s="1069">
        <v>391588</v>
      </c>
      <c r="AY244" s="1081"/>
    </row>
    <row r="245" spans="1:51" ht="24.75" customHeight="1" thickBot="1" x14ac:dyDescent="0.3">
      <c r="A245" s="1047"/>
      <c r="B245" s="1049"/>
      <c r="C245" s="1052"/>
      <c r="D245" s="168" t="s">
        <v>107</v>
      </c>
      <c r="E245" s="286">
        <v>29849710</v>
      </c>
      <c r="F245" s="263"/>
      <c r="G245" s="531">
        <v>29849710</v>
      </c>
      <c r="H245" s="216">
        <v>29849710</v>
      </c>
      <c r="I245" s="612">
        <v>29849710</v>
      </c>
      <c r="J245" s="216">
        <v>29849710</v>
      </c>
      <c r="K245" s="216">
        <v>29849710</v>
      </c>
      <c r="L245" s="217"/>
      <c r="M245" s="217"/>
      <c r="N245" s="217"/>
      <c r="O245" s="217"/>
      <c r="P245" s="217"/>
      <c r="Q245" s="217"/>
      <c r="R245" s="217"/>
      <c r="S245" s="1055"/>
      <c r="T245" s="531">
        <v>179818.18181818182</v>
      </c>
      <c r="U245" s="216">
        <v>6707340.6033428451</v>
      </c>
      <c r="V245" s="612">
        <v>10597996.666961135</v>
      </c>
      <c r="W245" s="684">
        <v>14177293.541961135</v>
      </c>
      <c r="X245" s="216">
        <v>16285959.90055633</v>
      </c>
      <c r="Y245" s="684"/>
      <c r="Z245" s="684"/>
      <c r="AA245" s="684"/>
      <c r="AB245" s="684"/>
      <c r="AC245" s="216"/>
      <c r="AD245" s="181"/>
      <c r="AE245" s="682"/>
      <c r="AF245" s="1083"/>
      <c r="AG245" s="1092"/>
      <c r="AH245" s="1032"/>
      <c r="AI245" s="1032"/>
      <c r="AJ245" s="1035"/>
      <c r="AK245" s="1089"/>
      <c r="AL245" s="1032"/>
      <c r="AM245" s="1032"/>
      <c r="AN245" s="1070"/>
      <c r="AO245" s="1070"/>
      <c r="AP245" s="1070"/>
      <c r="AQ245" s="1032"/>
      <c r="AR245" s="1067"/>
      <c r="AS245" s="1070"/>
      <c r="AT245" s="1067"/>
      <c r="AU245" s="1070"/>
      <c r="AV245" s="1067"/>
      <c r="AW245" s="1070"/>
      <c r="AX245" s="1070"/>
      <c r="AY245" s="1081"/>
    </row>
    <row r="246" spans="1:51" ht="24.75" customHeight="1" thickBot="1" x14ac:dyDescent="0.3">
      <c r="A246" s="1047"/>
      <c r="B246" s="1049"/>
      <c r="C246" s="1052"/>
      <c r="D246" s="167" t="s">
        <v>109</v>
      </c>
      <c r="E246" s="615"/>
      <c r="F246" s="616"/>
      <c r="G246" s="617"/>
      <c r="H246" s="613"/>
      <c r="I246" s="614"/>
      <c r="J246" s="613"/>
      <c r="K246" s="613"/>
      <c r="L246" s="613"/>
      <c r="M246" s="613"/>
      <c r="N246" s="613"/>
      <c r="O246" s="613"/>
      <c r="P246" s="613"/>
      <c r="Q246" s="613"/>
      <c r="R246" s="613"/>
      <c r="S246" s="1055"/>
      <c r="T246" s="617"/>
      <c r="U246" s="686">
        <v>0</v>
      </c>
      <c r="V246" s="687">
        <v>0</v>
      </c>
      <c r="W246" s="686">
        <v>0</v>
      </c>
      <c r="X246" s="613">
        <v>0</v>
      </c>
      <c r="Y246" s="686"/>
      <c r="Z246" s="686"/>
      <c r="AA246" s="686"/>
      <c r="AB246" s="686"/>
      <c r="AC246" s="613"/>
      <c r="AD246" s="618"/>
      <c r="AE246" s="688"/>
      <c r="AF246" s="1083"/>
      <c r="AG246" s="1092"/>
      <c r="AH246" s="1032"/>
      <c r="AI246" s="1032"/>
      <c r="AJ246" s="1035"/>
      <c r="AK246" s="1089"/>
      <c r="AL246" s="1032"/>
      <c r="AM246" s="1032"/>
      <c r="AN246" s="1070"/>
      <c r="AO246" s="1070"/>
      <c r="AP246" s="1070"/>
      <c r="AQ246" s="1032"/>
      <c r="AR246" s="1067"/>
      <c r="AS246" s="1070"/>
      <c r="AT246" s="1067"/>
      <c r="AU246" s="1070"/>
      <c r="AV246" s="1067"/>
      <c r="AW246" s="1070"/>
      <c r="AX246" s="1070"/>
      <c r="AY246" s="1081"/>
    </row>
    <row r="247" spans="1:51" ht="24.75" customHeight="1" thickBot="1" x14ac:dyDescent="0.3">
      <c r="A247" s="1047"/>
      <c r="B247" s="1049"/>
      <c r="C247" s="1052"/>
      <c r="D247" s="168" t="s">
        <v>110</v>
      </c>
      <c r="E247" s="615"/>
      <c r="F247" s="616"/>
      <c r="G247" s="617"/>
      <c r="H247" s="613"/>
      <c r="I247" s="614"/>
      <c r="J247" s="613"/>
      <c r="K247" s="613"/>
      <c r="L247" s="613"/>
      <c r="M247" s="613"/>
      <c r="N247" s="613"/>
      <c r="O247" s="613"/>
      <c r="P247" s="613"/>
      <c r="Q247" s="613"/>
      <c r="R247" s="613"/>
      <c r="S247" s="1055"/>
      <c r="T247" s="617"/>
      <c r="U247" s="216">
        <v>0</v>
      </c>
      <c r="V247" s="612">
        <v>0</v>
      </c>
      <c r="W247" s="684">
        <v>0</v>
      </c>
      <c r="X247" s="613">
        <v>0</v>
      </c>
      <c r="Y247" s="684"/>
      <c r="Z247" s="684"/>
      <c r="AA247" s="684"/>
      <c r="AB247" s="684"/>
      <c r="AC247" s="613"/>
      <c r="AD247" s="618"/>
      <c r="AE247" s="682"/>
      <c r="AF247" s="1083"/>
      <c r="AG247" s="1092"/>
      <c r="AH247" s="1032"/>
      <c r="AI247" s="1032"/>
      <c r="AJ247" s="1035"/>
      <c r="AK247" s="1089"/>
      <c r="AL247" s="1032"/>
      <c r="AM247" s="1032"/>
      <c r="AN247" s="1070"/>
      <c r="AO247" s="1070"/>
      <c r="AP247" s="1070"/>
      <c r="AQ247" s="1032"/>
      <c r="AR247" s="1067"/>
      <c r="AS247" s="1070"/>
      <c r="AT247" s="1067"/>
      <c r="AU247" s="1070"/>
      <c r="AV247" s="1067"/>
      <c r="AW247" s="1070"/>
      <c r="AX247" s="1070"/>
      <c r="AY247" s="1081"/>
    </row>
    <row r="248" spans="1:51" ht="24.75" customHeight="1" thickBot="1" x14ac:dyDescent="0.3">
      <c r="A248" s="1047"/>
      <c r="B248" s="1049"/>
      <c r="C248" s="1052"/>
      <c r="D248" s="167" t="s">
        <v>111</v>
      </c>
      <c r="E248" s="615">
        <v>108</v>
      </c>
      <c r="F248" s="616"/>
      <c r="G248" s="617">
        <v>108</v>
      </c>
      <c r="H248" s="613">
        <v>108</v>
      </c>
      <c r="I248" s="614">
        <v>108</v>
      </c>
      <c r="J248" s="613">
        <v>108</v>
      </c>
      <c r="K248" s="613">
        <v>108</v>
      </c>
      <c r="L248" s="613"/>
      <c r="M248" s="613"/>
      <c r="N248" s="613"/>
      <c r="O248" s="613"/>
      <c r="P248" s="613"/>
      <c r="Q248" s="613"/>
      <c r="R248" s="613"/>
      <c r="S248" s="1055"/>
      <c r="T248" s="617">
        <v>2</v>
      </c>
      <c r="U248" s="686">
        <v>17</v>
      </c>
      <c r="V248" s="614">
        <v>36</v>
      </c>
      <c r="W248" s="613">
        <v>46</v>
      </c>
      <c r="X248" s="613">
        <v>69</v>
      </c>
      <c r="Y248" s="613"/>
      <c r="Z248" s="613"/>
      <c r="AA248" s="613"/>
      <c r="AB248" s="613"/>
      <c r="AC248" s="613"/>
      <c r="AD248" s="618"/>
      <c r="AE248" s="627"/>
      <c r="AF248" s="1083"/>
      <c r="AG248" s="1092"/>
      <c r="AH248" s="1032"/>
      <c r="AI248" s="1032"/>
      <c r="AJ248" s="1035"/>
      <c r="AK248" s="1089"/>
      <c r="AL248" s="1032"/>
      <c r="AM248" s="1032"/>
      <c r="AN248" s="1070"/>
      <c r="AO248" s="1070"/>
      <c r="AP248" s="1070"/>
      <c r="AQ248" s="1032"/>
      <c r="AR248" s="1067"/>
      <c r="AS248" s="1070"/>
      <c r="AT248" s="1067"/>
      <c r="AU248" s="1070"/>
      <c r="AV248" s="1067"/>
      <c r="AW248" s="1070"/>
      <c r="AX248" s="1070"/>
      <c r="AY248" s="1081"/>
    </row>
    <row r="249" spans="1:51" ht="24.75" customHeight="1" thickBot="1" x14ac:dyDescent="0.3">
      <c r="A249" s="1047"/>
      <c r="B249" s="1049"/>
      <c r="C249" s="1053"/>
      <c r="D249" s="215" t="s">
        <v>112</v>
      </c>
      <c r="E249" s="287">
        <v>29849710</v>
      </c>
      <c r="F249" s="264"/>
      <c r="G249" s="532">
        <v>29849710</v>
      </c>
      <c r="H249" s="260">
        <v>29849710</v>
      </c>
      <c r="I249" s="620">
        <v>29849710</v>
      </c>
      <c r="J249" s="260">
        <v>29849710</v>
      </c>
      <c r="K249" s="260">
        <v>29849710</v>
      </c>
      <c r="L249" s="261"/>
      <c r="M249" s="261"/>
      <c r="N249" s="261"/>
      <c r="O249" s="261"/>
      <c r="P249" s="261"/>
      <c r="Q249" s="261"/>
      <c r="R249" s="261"/>
      <c r="S249" s="1056"/>
      <c r="T249" s="628">
        <v>179818.18181818182</v>
      </c>
      <c r="U249" s="690">
        <v>6707340.6033428451</v>
      </c>
      <c r="V249" s="691">
        <v>10597996.666961135</v>
      </c>
      <c r="W249" s="692">
        <v>10597996.666961135</v>
      </c>
      <c r="X249" s="260">
        <v>12706663.02555633</v>
      </c>
      <c r="Y249" s="692"/>
      <c r="Z249" s="692"/>
      <c r="AA249" s="692"/>
      <c r="AB249" s="692"/>
      <c r="AC249" s="219"/>
      <c r="AD249" s="182"/>
      <c r="AE249" s="693"/>
      <c r="AF249" s="1084"/>
      <c r="AG249" s="1093"/>
      <c r="AH249" s="1033"/>
      <c r="AI249" s="1033"/>
      <c r="AJ249" s="1036"/>
      <c r="AK249" s="1090"/>
      <c r="AL249" s="1033"/>
      <c r="AM249" s="1033"/>
      <c r="AN249" s="1071"/>
      <c r="AO249" s="1071"/>
      <c r="AP249" s="1071"/>
      <c r="AQ249" s="1033"/>
      <c r="AR249" s="1068"/>
      <c r="AS249" s="1071"/>
      <c r="AT249" s="1068"/>
      <c r="AU249" s="1071"/>
      <c r="AV249" s="1068"/>
      <c r="AW249" s="1071"/>
      <c r="AX249" s="1071"/>
      <c r="AY249" s="1081"/>
    </row>
    <row r="250" spans="1:51" ht="24.75" customHeight="1" thickBot="1" x14ac:dyDescent="0.3">
      <c r="A250" s="1047"/>
      <c r="B250" s="1049"/>
      <c r="C250" s="1051" t="s">
        <v>181</v>
      </c>
      <c r="D250" s="214" t="s">
        <v>106</v>
      </c>
      <c r="E250" s="603">
        <v>35</v>
      </c>
      <c r="F250" s="604"/>
      <c r="G250" s="605">
        <v>35</v>
      </c>
      <c r="H250" s="606">
        <v>35</v>
      </c>
      <c r="I250" s="607">
        <v>35</v>
      </c>
      <c r="J250" s="606">
        <v>35</v>
      </c>
      <c r="K250" s="606">
        <v>35</v>
      </c>
      <c r="L250" s="607"/>
      <c r="M250" s="607"/>
      <c r="N250" s="607"/>
      <c r="O250" s="607"/>
      <c r="P250" s="607"/>
      <c r="Q250" s="607"/>
      <c r="R250" s="608"/>
      <c r="S250" s="1054"/>
      <c r="T250" s="605">
        <v>1</v>
      </c>
      <c r="U250" s="697">
        <v>4</v>
      </c>
      <c r="V250" s="702">
        <v>11</v>
      </c>
      <c r="W250" s="697">
        <v>14</v>
      </c>
      <c r="X250" s="606">
        <v>19</v>
      </c>
      <c r="Y250" s="684"/>
      <c r="Z250" s="684"/>
      <c r="AA250" s="684"/>
      <c r="AB250" s="684"/>
      <c r="AC250" s="606"/>
      <c r="AD250" s="681"/>
      <c r="AE250" s="682"/>
      <c r="AF250" s="1082"/>
      <c r="AG250" s="1091" t="s">
        <v>356</v>
      </c>
      <c r="AH250" s="1031" t="s">
        <v>81</v>
      </c>
      <c r="AI250" s="1031" t="s">
        <v>81</v>
      </c>
      <c r="AJ250" s="1034" t="s">
        <v>355</v>
      </c>
      <c r="AK250" s="1088" t="s">
        <v>182</v>
      </c>
      <c r="AL250" s="1031" t="s">
        <v>81</v>
      </c>
      <c r="AM250" s="1031" t="s">
        <v>161</v>
      </c>
      <c r="AN250" s="1069">
        <v>655881</v>
      </c>
      <c r="AO250" s="1069">
        <v>327558</v>
      </c>
      <c r="AP250" s="1069">
        <v>328323</v>
      </c>
      <c r="AQ250" s="1031" t="s">
        <v>81</v>
      </c>
      <c r="AR250" s="1066" t="s">
        <v>162</v>
      </c>
      <c r="AS250" s="1069">
        <v>655881</v>
      </c>
      <c r="AT250" s="1066" t="s">
        <v>162</v>
      </c>
      <c r="AU250" s="1069">
        <v>655881</v>
      </c>
      <c r="AV250" s="1066" t="s">
        <v>163</v>
      </c>
      <c r="AW250" s="1069">
        <v>655881</v>
      </c>
      <c r="AX250" s="1069">
        <v>655881</v>
      </c>
      <c r="AY250" s="1081"/>
    </row>
    <row r="251" spans="1:51" ht="24.75" customHeight="1" thickBot="1" x14ac:dyDescent="0.3">
      <c r="A251" s="1047"/>
      <c r="B251" s="1049"/>
      <c r="C251" s="1052"/>
      <c r="D251" s="168" t="s">
        <v>107</v>
      </c>
      <c r="E251" s="286">
        <v>9807762</v>
      </c>
      <c r="F251" s="263"/>
      <c r="G251" s="531">
        <v>9807762</v>
      </c>
      <c r="H251" s="216">
        <v>9807762</v>
      </c>
      <c r="I251" s="612">
        <v>9807762</v>
      </c>
      <c r="J251" s="216">
        <v>9807762</v>
      </c>
      <c r="K251" s="216">
        <v>9807762</v>
      </c>
      <c r="L251" s="217"/>
      <c r="M251" s="217"/>
      <c r="N251" s="217"/>
      <c r="O251" s="217"/>
      <c r="P251" s="217"/>
      <c r="Q251" s="217"/>
      <c r="R251" s="217"/>
      <c r="S251" s="1055"/>
      <c r="T251" s="531">
        <v>89909.090909090912</v>
      </c>
      <c r="U251" s="216">
        <v>1395413.5752140235</v>
      </c>
      <c r="V251" s="612">
        <v>2828813.1775997095</v>
      </c>
      <c r="W251" s="684">
        <v>3902602.2400997095</v>
      </c>
      <c r="X251" s="216">
        <v>4361007.9702290995</v>
      </c>
      <c r="Y251" s="684"/>
      <c r="Z251" s="684"/>
      <c r="AA251" s="684"/>
      <c r="AB251" s="684"/>
      <c r="AC251" s="216"/>
      <c r="AD251" s="181"/>
      <c r="AE251" s="682"/>
      <c r="AF251" s="1083"/>
      <c r="AG251" s="1092"/>
      <c r="AH251" s="1032"/>
      <c r="AI251" s="1032"/>
      <c r="AJ251" s="1035"/>
      <c r="AK251" s="1089"/>
      <c r="AL251" s="1032"/>
      <c r="AM251" s="1032"/>
      <c r="AN251" s="1070"/>
      <c r="AO251" s="1070"/>
      <c r="AP251" s="1070"/>
      <c r="AQ251" s="1032"/>
      <c r="AR251" s="1067"/>
      <c r="AS251" s="1070"/>
      <c r="AT251" s="1067"/>
      <c r="AU251" s="1070"/>
      <c r="AV251" s="1067"/>
      <c r="AW251" s="1070"/>
      <c r="AX251" s="1070"/>
      <c r="AY251" s="1081"/>
    </row>
    <row r="252" spans="1:51" ht="24.75" customHeight="1" thickBot="1" x14ac:dyDescent="0.3">
      <c r="A252" s="1047"/>
      <c r="B252" s="1049"/>
      <c r="C252" s="1052"/>
      <c r="D252" s="167" t="s">
        <v>109</v>
      </c>
      <c r="E252" s="615"/>
      <c r="F252" s="616"/>
      <c r="G252" s="617"/>
      <c r="H252" s="613"/>
      <c r="I252" s="614"/>
      <c r="J252" s="613"/>
      <c r="K252" s="613"/>
      <c r="L252" s="613"/>
      <c r="M252" s="613"/>
      <c r="N252" s="613"/>
      <c r="O252" s="613"/>
      <c r="P252" s="613"/>
      <c r="Q252" s="613"/>
      <c r="R252" s="613"/>
      <c r="S252" s="1055"/>
      <c r="T252" s="617"/>
      <c r="U252" s="686">
        <v>0</v>
      </c>
      <c r="V252" s="687">
        <v>0</v>
      </c>
      <c r="W252" s="686">
        <v>0</v>
      </c>
      <c r="X252" s="613">
        <v>0</v>
      </c>
      <c r="Y252" s="686"/>
      <c r="Z252" s="686"/>
      <c r="AA252" s="686"/>
      <c r="AB252" s="686"/>
      <c r="AC252" s="613"/>
      <c r="AD252" s="618"/>
      <c r="AE252" s="688"/>
      <c r="AF252" s="1083"/>
      <c r="AG252" s="1092"/>
      <c r="AH252" s="1032"/>
      <c r="AI252" s="1032"/>
      <c r="AJ252" s="1035"/>
      <c r="AK252" s="1089"/>
      <c r="AL252" s="1032"/>
      <c r="AM252" s="1032"/>
      <c r="AN252" s="1070"/>
      <c r="AO252" s="1070"/>
      <c r="AP252" s="1070"/>
      <c r="AQ252" s="1032"/>
      <c r="AR252" s="1067"/>
      <c r="AS252" s="1070"/>
      <c r="AT252" s="1067"/>
      <c r="AU252" s="1070"/>
      <c r="AV252" s="1067"/>
      <c r="AW252" s="1070"/>
      <c r="AX252" s="1070"/>
      <c r="AY252" s="1081"/>
    </row>
    <row r="253" spans="1:51" ht="24.75" customHeight="1" thickBot="1" x14ac:dyDescent="0.3">
      <c r="A253" s="1047"/>
      <c r="B253" s="1049"/>
      <c r="C253" s="1052"/>
      <c r="D253" s="168" t="s">
        <v>110</v>
      </c>
      <c r="E253" s="615"/>
      <c r="F253" s="616"/>
      <c r="G253" s="617"/>
      <c r="H253" s="613"/>
      <c r="I253" s="614"/>
      <c r="J253" s="613"/>
      <c r="K253" s="613"/>
      <c r="L253" s="613"/>
      <c r="M253" s="613"/>
      <c r="N253" s="613"/>
      <c r="O253" s="613"/>
      <c r="P253" s="613"/>
      <c r="Q253" s="613"/>
      <c r="R253" s="613"/>
      <c r="S253" s="1055"/>
      <c r="T253" s="617"/>
      <c r="U253" s="216">
        <v>0</v>
      </c>
      <c r="V253" s="612">
        <v>0</v>
      </c>
      <c r="W253" s="684">
        <v>0</v>
      </c>
      <c r="X253" s="613">
        <v>0</v>
      </c>
      <c r="Y253" s="684"/>
      <c r="Z253" s="684"/>
      <c r="AA253" s="684"/>
      <c r="AB253" s="684"/>
      <c r="AC253" s="613"/>
      <c r="AD253" s="618"/>
      <c r="AE253" s="682"/>
      <c r="AF253" s="1083"/>
      <c r="AG253" s="1092"/>
      <c r="AH253" s="1032"/>
      <c r="AI253" s="1032"/>
      <c r="AJ253" s="1035"/>
      <c r="AK253" s="1089"/>
      <c r="AL253" s="1032"/>
      <c r="AM253" s="1032"/>
      <c r="AN253" s="1070"/>
      <c r="AO253" s="1070"/>
      <c r="AP253" s="1070"/>
      <c r="AQ253" s="1032"/>
      <c r="AR253" s="1067"/>
      <c r="AS253" s="1070"/>
      <c r="AT253" s="1067"/>
      <c r="AU253" s="1070"/>
      <c r="AV253" s="1067"/>
      <c r="AW253" s="1070"/>
      <c r="AX253" s="1070"/>
      <c r="AY253" s="1081"/>
    </row>
    <row r="254" spans="1:51" ht="24.75" customHeight="1" thickBot="1" x14ac:dyDescent="0.3">
      <c r="A254" s="1047"/>
      <c r="B254" s="1049"/>
      <c r="C254" s="1052"/>
      <c r="D254" s="167" t="s">
        <v>111</v>
      </c>
      <c r="E254" s="615">
        <v>35</v>
      </c>
      <c r="F254" s="616"/>
      <c r="G254" s="617">
        <v>35</v>
      </c>
      <c r="H254" s="613">
        <v>35</v>
      </c>
      <c r="I254" s="614">
        <v>35</v>
      </c>
      <c r="J254" s="613">
        <v>35</v>
      </c>
      <c r="K254" s="613">
        <v>35</v>
      </c>
      <c r="L254" s="613"/>
      <c r="M254" s="613"/>
      <c r="N254" s="613"/>
      <c r="O254" s="613"/>
      <c r="P254" s="613"/>
      <c r="Q254" s="613"/>
      <c r="R254" s="613"/>
      <c r="S254" s="1055"/>
      <c r="T254" s="617">
        <v>1</v>
      </c>
      <c r="U254" s="686">
        <v>4</v>
      </c>
      <c r="V254" s="614">
        <v>11</v>
      </c>
      <c r="W254" s="613">
        <v>14</v>
      </c>
      <c r="X254" s="613">
        <v>19</v>
      </c>
      <c r="Y254" s="613"/>
      <c r="Z254" s="613"/>
      <c r="AA254" s="613"/>
      <c r="AB254" s="613"/>
      <c r="AC254" s="613"/>
      <c r="AD254" s="618"/>
      <c r="AE254" s="627"/>
      <c r="AF254" s="1083"/>
      <c r="AG254" s="1092"/>
      <c r="AH254" s="1032"/>
      <c r="AI254" s="1032"/>
      <c r="AJ254" s="1035"/>
      <c r="AK254" s="1089"/>
      <c r="AL254" s="1032"/>
      <c r="AM254" s="1032"/>
      <c r="AN254" s="1070"/>
      <c r="AO254" s="1070"/>
      <c r="AP254" s="1070"/>
      <c r="AQ254" s="1032"/>
      <c r="AR254" s="1067"/>
      <c r="AS254" s="1070"/>
      <c r="AT254" s="1067"/>
      <c r="AU254" s="1070"/>
      <c r="AV254" s="1067"/>
      <c r="AW254" s="1070"/>
      <c r="AX254" s="1070"/>
      <c r="AY254" s="1081"/>
    </row>
    <row r="255" spans="1:51" ht="24.75" customHeight="1" thickBot="1" x14ac:dyDescent="0.3">
      <c r="A255" s="1047"/>
      <c r="B255" s="1049"/>
      <c r="C255" s="1053"/>
      <c r="D255" s="215" t="s">
        <v>112</v>
      </c>
      <c r="E255" s="287">
        <v>9807762</v>
      </c>
      <c r="F255" s="264"/>
      <c r="G255" s="532">
        <v>9807762</v>
      </c>
      <c r="H255" s="260">
        <v>9807762</v>
      </c>
      <c r="I255" s="620">
        <v>9807762</v>
      </c>
      <c r="J255" s="260">
        <v>9807762</v>
      </c>
      <c r="K255" s="260">
        <v>9807762</v>
      </c>
      <c r="L255" s="261"/>
      <c r="M255" s="261"/>
      <c r="N255" s="261"/>
      <c r="O255" s="261"/>
      <c r="P255" s="261"/>
      <c r="Q255" s="261"/>
      <c r="R255" s="261"/>
      <c r="S255" s="1056"/>
      <c r="T255" s="628">
        <v>89909.090909090912</v>
      </c>
      <c r="U255" s="690">
        <v>1395413.5752140235</v>
      </c>
      <c r="V255" s="691">
        <v>2828813.1775997095</v>
      </c>
      <c r="W255" s="692">
        <v>2828813.1775997095</v>
      </c>
      <c r="X255" s="260">
        <v>3287218.9077290995</v>
      </c>
      <c r="Y255" s="692"/>
      <c r="Z255" s="692"/>
      <c r="AA255" s="692"/>
      <c r="AB255" s="692"/>
      <c r="AC255" s="219"/>
      <c r="AD255" s="182"/>
      <c r="AE255" s="693"/>
      <c r="AF255" s="1084"/>
      <c r="AG255" s="1093"/>
      <c r="AH255" s="1033"/>
      <c r="AI255" s="1033"/>
      <c r="AJ255" s="1036"/>
      <c r="AK255" s="1090"/>
      <c r="AL255" s="1033"/>
      <c r="AM255" s="1033"/>
      <c r="AN255" s="1071"/>
      <c r="AO255" s="1071"/>
      <c r="AP255" s="1071"/>
      <c r="AQ255" s="1033"/>
      <c r="AR255" s="1068"/>
      <c r="AS255" s="1071"/>
      <c r="AT255" s="1068"/>
      <c r="AU255" s="1071"/>
      <c r="AV255" s="1068"/>
      <c r="AW255" s="1071"/>
      <c r="AX255" s="1071"/>
      <c r="AY255" s="1081"/>
    </row>
    <row r="256" spans="1:51" ht="24.75" customHeight="1" x14ac:dyDescent="0.25">
      <c r="A256" s="1047"/>
      <c r="B256" s="1049"/>
      <c r="C256" s="1051" t="s">
        <v>185</v>
      </c>
      <c r="D256" s="214" t="s">
        <v>106</v>
      </c>
      <c r="E256" s="603">
        <v>272</v>
      </c>
      <c r="F256" s="604"/>
      <c r="G256" s="605">
        <v>272</v>
      </c>
      <c r="H256" s="606">
        <v>272</v>
      </c>
      <c r="I256" s="607">
        <v>272</v>
      </c>
      <c r="J256" s="606">
        <v>272</v>
      </c>
      <c r="K256" s="606">
        <v>272</v>
      </c>
      <c r="L256" s="607"/>
      <c r="M256" s="607"/>
      <c r="N256" s="607"/>
      <c r="O256" s="607"/>
      <c r="P256" s="607"/>
      <c r="Q256" s="607"/>
      <c r="R256" s="608"/>
      <c r="S256" s="1054"/>
      <c r="T256" s="605">
        <v>69</v>
      </c>
      <c r="U256" s="697">
        <v>69</v>
      </c>
      <c r="V256" s="702">
        <v>69</v>
      </c>
      <c r="W256" s="697">
        <v>69</v>
      </c>
      <c r="X256" s="606">
        <v>69</v>
      </c>
      <c r="Y256" s="684"/>
      <c r="Z256" s="684"/>
      <c r="AA256" s="684"/>
      <c r="AB256" s="684"/>
      <c r="AC256" s="608"/>
      <c r="AD256" s="630"/>
      <c r="AE256" s="682"/>
      <c r="AF256" s="1082"/>
      <c r="AG256" s="1085" t="s">
        <v>182</v>
      </c>
      <c r="AH256" s="1063" t="s">
        <v>81</v>
      </c>
      <c r="AI256" s="1063" t="s">
        <v>81</v>
      </c>
      <c r="AJ256" s="1063" t="s">
        <v>81</v>
      </c>
      <c r="AK256" s="1063" t="s">
        <v>182</v>
      </c>
      <c r="AL256" s="1063" t="s">
        <v>81</v>
      </c>
      <c r="AM256" s="1031" t="s">
        <v>161</v>
      </c>
      <c r="AN256" s="1069">
        <v>8002180</v>
      </c>
      <c r="AO256" s="1069">
        <v>3831130</v>
      </c>
      <c r="AP256" s="1069">
        <v>4171050</v>
      </c>
      <c r="AQ256" s="1031" t="s">
        <v>81</v>
      </c>
      <c r="AR256" s="1066" t="s">
        <v>162</v>
      </c>
      <c r="AS256" s="1069">
        <v>8002180</v>
      </c>
      <c r="AT256" s="1066" t="s">
        <v>162</v>
      </c>
      <c r="AU256" s="1069">
        <v>8002180</v>
      </c>
      <c r="AV256" s="1066" t="s">
        <v>163</v>
      </c>
      <c r="AW256" s="1069">
        <v>8002180</v>
      </c>
      <c r="AX256" s="1069">
        <v>8002180</v>
      </c>
      <c r="AY256" s="1072"/>
    </row>
    <row r="257" spans="1:51" ht="24.75" customHeight="1" x14ac:dyDescent="0.25">
      <c r="A257" s="1047"/>
      <c r="B257" s="1049"/>
      <c r="C257" s="1052"/>
      <c r="D257" s="168" t="s">
        <v>107</v>
      </c>
      <c r="E257" s="286">
        <v>146476791</v>
      </c>
      <c r="F257" s="263"/>
      <c r="G257" s="531">
        <v>146476791</v>
      </c>
      <c r="H257" s="216">
        <v>146476791</v>
      </c>
      <c r="I257" s="612">
        <v>146476791</v>
      </c>
      <c r="J257" s="216">
        <v>146476791</v>
      </c>
      <c r="K257" s="216">
        <v>146476791</v>
      </c>
      <c r="L257" s="217"/>
      <c r="M257" s="217"/>
      <c r="N257" s="217"/>
      <c r="O257" s="217"/>
      <c r="P257" s="217"/>
      <c r="Q257" s="217"/>
      <c r="R257" s="217"/>
      <c r="S257" s="1055"/>
      <c r="T257" s="531">
        <v>6203727.2727272725</v>
      </c>
      <c r="U257" s="216">
        <v>6203727.2727272725</v>
      </c>
      <c r="V257" s="612">
        <v>6203727.2727272725</v>
      </c>
      <c r="W257" s="684">
        <v>6203727.2727272725</v>
      </c>
      <c r="X257" s="216">
        <v>6203727.2727272725</v>
      </c>
      <c r="Y257" s="684"/>
      <c r="Z257" s="684"/>
      <c r="AA257" s="684"/>
      <c r="AB257" s="684"/>
      <c r="AC257" s="217"/>
      <c r="AD257" s="218"/>
      <c r="AE257" s="682"/>
      <c r="AF257" s="1083"/>
      <c r="AG257" s="1086"/>
      <c r="AH257" s="1064"/>
      <c r="AI257" s="1064"/>
      <c r="AJ257" s="1064"/>
      <c r="AK257" s="1064"/>
      <c r="AL257" s="1064"/>
      <c r="AM257" s="1032"/>
      <c r="AN257" s="1070"/>
      <c r="AO257" s="1070"/>
      <c r="AP257" s="1070"/>
      <c r="AQ257" s="1032"/>
      <c r="AR257" s="1067"/>
      <c r="AS257" s="1070"/>
      <c r="AT257" s="1067"/>
      <c r="AU257" s="1070"/>
      <c r="AV257" s="1067"/>
      <c r="AW257" s="1070"/>
      <c r="AX257" s="1070"/>
      <c r="AY257" s="1073"/>
    </row>
    <row r="258" spans="1:51" ht="24.75" customHeight="1" x14ac:dyDescent="0.25">
      <c r="A258" s="1047"/>
      <c r="B258" s="1049"/>
      <c r="C258" s="1052"/>
      <c r="D258" s="167" t="s">
        <v>109</v>
      </c>
      <c r="E258" s="615">
        <v>0</v>
      </c>
      <c r="F258" s="616"/>
      <c r="G258" s="617">
        <v>0</v>
      </c>
      <c r="H258" s="613">
        <v>0</v>
      </c>
      <c r="I258" s="614">
        <v>0</v>
      </c>
      <c r="J258" s="613">
        <v>0</v>
      </c>
      <c r="K258" s="613">
        <v>0</v>
      </c>
      <c r="L258" s="613"/>
      <c r="M258" s="613"/>
      <c r="N258" s="613"/>
      <c r="O258" s="613"/>
      <c r="P258" s="613"/>
      <c r="Q258" s="613"/>
      <c r="R258" s="613"/>
      <c r="S258" s="1055"/>
      <c r="T258" s="617"/>
      <c r="U258" s="704">
        <v>0</v>
      </c>
      <c r="V258" s="705">
        <v>0</v>
      </c>
      <c r="W258" s="686">
        <v>0</v>
      </c>
      <c r="X258" s="613">
        <v>0</v>
      </c>
      <c r="Y258" s="686"/>
      <c r="Z258" s="686"/>
      <c r="AA258" s="686"/>
      <c r="AB258" s="686"/>
      <c r="AC258" s="613"/>
      <c r="AD258" s="618"/>
      <c r="AE258" s="688"/>
      <c r="AF258" s="1083"/>
      <c r="AG258" s="1086"/>
      <c r="AH258" s="1064"/>
      <c r="AI258" s="1064"/>
      <c r="AJ258" s="1064"/>
      <c r="AK258" s="1064"/>
      <c r="AL258" s="1064"/>
      <c r="AM258" s="1032"/>
      <c r="AN258" s="1070"/>
      <c r="AO258" s="1070"/>
      <c r="AP258" s="1070"/>
      <c r="AQ258" s="1032"/>
      <c r="AR258" s="1067"/>
      <c r="AS258" s="1070"/>
      <c r="AT258" s="1067"/>
      <c r="AU258" s="1070"/>
      <c r="AV258" s="1067"/>
      <c r="AW258" s="1070"/>
      <c r="AX258" s="1070"/>
      <c r="AY258" s="1073"/>
    </row>
    <row r="259" spans="1:51" ht="24.75" customHeight="1" x14ac:dyDescent="0.25">
      <c r="A259" s="1047"/>
      <c r="B259" s="1049"/>
      <c r="C259" s="1052"/>
      <c r="D259" s="168" t="s">
        <v>110</v>
      </c>
      <c r="E259" s="615">
        <v>83497658</v>
      </c>
      <c r="F259" s="616"/>
      <c r="G259" s="617">
        <v>83497658</v>
      </c>
      <c r="H259" s="613">
        <v>83497658</v>
      </c>
      <c r="I259" s="614">
        <v>83497658</v>
      </c>
      <c r="J259" s="613">
        <v>83497658</v>
      </c>
      <c r="K259" s="613">
        <v>83497658</v>
      </c>
      <c r="L259" s="613"/>
      <c r="M259" s="613"/>
      <c r="N259" s="613"/>
      <c r="O259" s="613"/>
      <c r="P259" s="613"/>
      <c r="Q259" s="613"/>
      <c r="R259" s="613"/>
      <c r="S259" s="1055"/>
      <c r="T259" s="706">
        <v>10825967</v>
      </c>
      <c r="U259" s="704">
        <v>46272938.298041716</v>
      </c>
      <c r="V259" s="612">
        <v>57098905.298041716</v>
      </c>
      <c r="W259" s="684">
        <v>57098905.298041716</v>
      </c>
      <c r="X259" s="613">
        <v>57098905.298041716</v>
      </c>
      <c r="Y259" s="684"/>
      <c r="Z259" s="684"/>
      <c r="AA259" s="684"/>
      <c r="AB259" s="684"/>
      <c r="AC259" s="613"/>
      <c r="AD259" s="618"/>
      <c r="AE259" s="682"/>
      <c r="AF259" s="1083"/>
      <c r="AG259" s="1086"/>
      <c r="AH259" s="1064"/>
      <c r="AI259" s="1064"/>
      <c r="AJ259" s="1064"/>
      <c r="AK259" s="1064"/>
      <c r="AL259" s="1064"/>
      <c r="AM259" s="1032"/>
      <c r="AN259" s="1070"/>
      <c r="AO259" s="1070"/>
      <c r="AP259" s="1070"/>
      <c r="AQ259" s="1032"/>
      <c r="AR259" s="1067"/>
      <c r="AS259" s="1070"/>
      <c r="AT259" s="1067"/>
      <c r="AU259" s="1070"/>
      <c r="AV259" s="1067"/>
      <c r="AW259" s="1070"/>
      <c r="AX259" s="1070"/>
      <c r="AY259" s="1073"/>
    </row>
    <row r="260" spans="1:51" ht="24.75" customHeight="1" x14ac:dyDescent="0.25">
      <c r="A260" s="1047"/>
      <c r="B260" s="1049"/>
      <c r="C260" s="1052"/>
      <c r="D260" s="167" t="s">
        <v>111</v>
      </c>
      <c r="E260" s="615">
        <v>272</v>
      </c>
      <c r="F260" s="616"/>
      <c r="G260" s="617">
        <v>272</v>
      </c>
      <c r="H260" s="613">
        <v>272</v>
      </c>
      <c r="I260" s="614">
        <v>272</v>
      </c>
      <c r="J260" s="613">
        <v>272</v>
      </c>
      <c r="K260" s="613">
        <v>272</v>
      </c>
      <c r="L260" s="613"/>
      <c r="M260" s="613"/>
      <c r="N260" s="613"/>
      <c r="O260" s="613"/>
      <c r="P260" s="613"/>
      <c r="Q260" s="613"/>
      <c r="R260" s="613"/>
      <c r="S260" s="1055"/>
      <c r="T260" s="617">
        <v>69</v>
      </c>
      <c r="U260" s="704">
        <v>69</v>
      </c>
      <c r="V260" s="705">
        <v>69</v>
      </c>
      <c r="W260" s="613">
        <v>69</v>
      </c>
      <c r="X260" s="613">
        <v>69</v>
      </c>
      <c r="Y260" s="613"/>
      <c r="Z260" s="613"/>
      <c r="AA260" s="613"/>
      <c r="AB260" s="613"/>
      <c r="AC260" s="613"/>
      <c r="AD260" s="618"/>
      <c r="AE260" s="627"/>
      <c r="AF260" s="1083"/>
      <c r="AG260" s="1086"/>
      <c r="AH260" s="1064"/>
      <c r="AI260" s="1064"/>
      <c r="AJ260" s="1064"/>
      <c r="AK260" s="1064"/>
      <c r="AL260" s="1064"/>
      <c r="AM260" s="1032"/>
      <c r="AN260" s="1070"/>
      <c r="AO260" s="1070"/>
      <c r="AP260" s="1070"/>
      <c r="AQ260" s="1032"/>
      <c r="AR260" s="1067"/>
      <c r="AS260" s="1070"/>
      <c r="AT260" s="1067"/>
      <c r="AU260" s="1070"/>
      <c r="AV260" s="1067"/>
      <c r="AW260" s="1070"/>
      <c r="AX260" s="1070"/>
      <c r="AY260" s="1073"/>
    </row>
    <row r="261" spans="1:51" ht="24.75" customHeight="1" thickBot="1" x14ac:dyDescent="0.3">
      <c r="A261" s="1047"/>
      <c r="B261" s="1049"/>
      <c r="C261" s="1053"/>
      <c r="D261" s="215" t="s">
        <v>112</v>
      </c>
      <c r="E261" s="287">
        <v>146476791</v>
      </c>
      <c r="F261" s="264"/>
      <c r="G261" s="532">
        <v>146476791</v>
      </c>
      <c r="H261" s="260">
        <v>146476791</v>
      </c>
      <c r="I261" s="620">
        <v>146476791</v>
      </c>
      <c r="J261" s="260">
        <v>146476791</v>
      </c>
      <c r="K261" s="260">
        <v>146476791</v>
      </c>
      <c r="L261" s="261"/>
      <c r="M261" s="261"/>
      <c r="N261" s="261"/>
      <c r="O261" s="261"/>
      <c r="P261" s="261"/>
      <c r="Q261" s="261"/>
      <c r="R261" s="261"/>
      <c r="S261" s="1056"/>
      <c r="T261" s="628">
        <v>6203727.2727272725</v>
      </c>
      <c r="U261" s="692">
        <v>6203727.2727272725</v>
      </c>
      <c r="V261" s="691">
        <v>6203727.2727272725</v>
      </c>
      <c r="W261" s="692">
        <v>6203727.2727272725</v>
      </c>
      <c r="X261" s="260">
        <v>6203727.2727272725</v>
      </c>
      <c r="Y261" s="692"/>
      <c r="Z261" s="692"/>
      <c r="AA261" s="692"/>
      <c r="AB261" s="692"/>
      <c r="AC261" s="220"/>
      <c r="AD261" s="221"/>
      <c r="AE261" s="693"/>
      <c r="AF261" s="1084"/>
      <c r="AG261" s="1087"/>
      <c r="AH261" s="1065"/>
      <c r="AI261" s="1065"/>
      <c r="AJ261" s="1065"/>
      <c r="AK261" s="1065"/>
      <c r="AL261" s="1065"/>
      <c r="AM261" s="1033"/>
      <c r="AN261" s="1071"/>
      <c r="AO261" s="1071"/>
      <c r="AP261" s="1071"/>
      <c r="AQ261" s="1033"/>
      <c r="AR261" s="1068"/>
      <c r="AS261" s="1071"/>
      <c r="AT261" s="1068"/>
      <c r="AU261" s="1071"/>
      <c r="AV261" s="1068"/>
      <c r="AW261" s="1071"/>
      <c r="AX261" s="1071"/>
      <c r="AY261" s="1074"/>
    </row>
    <row r="262" spans="1:51" ht="24.75" customHeight="1" x14ac:dyDescent="0.25">
      <c r="A262" s="1047"/>
      <c r="B262" s="1049"/>
      <c r="C262" s="1051" t="s">
        <v>183</v>
      </c>
      <c r="D262" s="214" t="s">
        <v>106</v>
      </c>
      <c r="E262" s="636">
        <f>+E142+E148+E154+E160+E166+E172+E178+E184+E190+E196+E202+E208+E214+E220+E226+E232+E238+E244+E250+E256-242</f>
        <v>2751</v>
      </c>
      <c r="F262" s="604"/>
      <c r="G262" s="636">
        <v>2751</v>
      </c>
      <c r="H262" s="707">
        <v>2751</v>
      </c>
      <c r="I262" s="659">
        <v>2751</v>
      </c>
      <c r="J262" s="606">
        <v>2751</v>
      </c>
      <c r="K262" s="606">
        <v>2751</v>
      </c>
      <c r="L262" s="607"/>
      <c r="M262" s="607"/>
      <c r="N262" s="607"/>
      <c r="O262" s="607"/>
      <c r="P262" s="607"/>
      <c r="Q262" s="607"/>
      <c r="R262" s="608"/>
      <c r="S262" s="1054"/>
      <c r="T262" s="638">
        <v>308</v>
      </c>
      <c r="U262" s="708">
        <v>531</v>
      </c>
      <c r="V262" s="709">
        <v>1034</v>
      </c>
      <c r="W262" s="644">
        <v>1354</v>
      </c>
      <c r="X262" s="606">
        <f>+[4]INVERSIÓN!EQ24</f>
        <v>1895</v>
      </c>
      <c r="Y262" s="644"/>
      <c r="Z262" s="644"/>
      <c r="AA262" s="644"/>
      <c r="AB262" s="644"/>
      <c r="AC262" s="644"/>
      <c r="AD262" s="645"/>
      <c r="AE262" s="646"/>
      <c r="AF262" s="1075"/>
      <c r="AG262" s="1078" t="s">
        <v>182</v>
      </c>
      <c r="AH262" s="1063"/>
      <c r="AI262" s="1063"/>
      <c r="AJ262" s="1063"/>
      <c r="AK262" s="1037" t="s">
        <v>182</v>
      </c>
      <c r="AL262" s="1031" t="s">
        <v>81</v>
      </c>
      <c r="AM262" s="1031" t="s">
        <v>161</v>
      </c>
      <c r="AN262" s="1040">
        <v>8002180</v>
      </c>
      <c r="AO262" s="1040">
        <v>3831130</v>
      </c>
      <c r="AP262" s="1040">
        <v>4171050</v>
      </c>
      <c r="AQ262" s="1063" t="s">
        <v>81</v>
      </c>
      <c r="AR262" s="1063" t="s">
        <v>162</v>
      </c>
      <c r="AS262" s="1040">
        <v>8002180</v>
      </c>
      <c r="AT262" s="1063" t="s">
        <v>162</v>
      </c>
      <c r="AU262" s="1040">
        <v>8002180</v>
      </c>
      <c r="AV262" s="1025" t="s">
        <v>163</v>
      </c>
      <c r="AW262" s="1040">
        <v>8002180</v>
      </c>
      <c r="AX262" s="1040">
        <v>8002180</v>
      </c>
      <c r="AY262" s="1043"/>
    </row>
    <row r="263" spans="1:51" ht="24.75" customHeight="1" x14ac:dyDescent="0.25">
      <c r="A263" s="1047"/>
      <c r="B263" s="1049"/>
      <c r="C263" s="1052"/>
      <c r="D263" s="168" t="s">
        <v>107</v>
      </c>
      <c r="E263" s="288">
        <f t="shared" ref="E263:E266" si="1">+E143+E149+E155+E161+E167+E173+E179+E185+E191+E197+E203+E209+E215+E221+E227+E233+E239+E245+E251+E257</f>
        <v>970542000</v>
      </c>
      <c r="F263" s="263"/>
      <c r="G263" s="533">
        <v>970542000</v>
      </c>
      <c r="H263" s="228">
        <v>970542000</v>
      </c>
      <c r="I263" s="665">
        <v>970542000</v>
      </c>
      <c r="J263" s="216">
        <v>970542000</v>
      </c>
      <c r="K263" s="216">
        <v>970542000</v>
      </c>
      <c r="L263" s="217"/>
      <c r="M263" s="217"/>
      <c r="N263" s="217"/>
      <c r="O263" s="217"/>
      <c r="P263" s="217"/>
      <c r="Q263" s="217"/>
      <c r="R263" s="217"/>
      <c r="S263" s="1055"/>
      <c r="T263" s="710">
        <v>27692000</v>
      </c>
      <c r="U263" s="228">
        <v>124734500.00000001</v>
      </c>
      <c r="V263" s="711">
        <v>227734499.99999997</v>
      </c>
      <c r="W263" s="222">
        <v>342272000</v>
      </c>
      <c r="X263" s="216">
        <f>+[4]INVERSIÓN!EQ25</f>
        <v>391871500</v>
      </c>
      <c r="Y263" s="222"/>
      <c r="Z263" s="222"/>
      <c r="AA263" s="222"/>
      <c r="AB263" s="222"/>
      <c r="AC263" s="222"/>
      <c r="AD263" s="223"/>
      <c r="AE263" s="183"/>
      <c r="AF263" s="1076"/>
      <c r="AG263" s="1079"/>
      <c r="AH263" s="1064"/>
      <c r="AI263" s="1064"/>
      <c r="AJ263" s="1064"/>
      <c r="AK263" s="1038"/>
      <c r="AL263" s="1032"/>
      <c r="AM263" s="1032"/>
      <c r="AN263" s="1041"/>
      <c r="AO263" s="1041"/>
      <c r="AP263" s="1041"/>
      <c r="AQ263" s="1064"/>
      <c r="AR263" s="1064"/>
      <c r="AS263" s="1041"/>
      <c r="AT263" s="1064"/>
      <c r="AU263" s="1041"/>
      <c r="AV263" s="1026"/>
      <c r="AW263" s="1041"/>
      <c r="AX263" s="1041"/>
      <c r="AY263" s="1044"/>
    </row>
    <row r="264" spans="1:51" ht="24.75" customHeight="1" x14ac:dyDescent="0.25">
      <c r="A264" s="1047"/>
      <c r="B264" s="1049"/>
      <c r="C264" s="1052"/>
      <c r="D264" s="167" t="s">
        <v>109</v>
      </c>
      <c r="E264" s="651">
        <v>0</v>
      </c>
      <c r="F264" s="616"/>
      <c r="G264" s="653">
        <v>0</v>
      </c>
      <c r="H264" s="648">
        <v>0</v>
      </c>
      <c r="I264" s="654">
        <v>0</v>
      </c>
      <c r="J264" s="613">
        <v>0</v>
      </c>
      <c r="K264" s="613">
        <v>0</v>
      </c>
      <c r="L264" s="613"/>
      <c r="M264" s="613"/>
      <c r="N264" s="613"/>
      <c r="O264" s="613"/>
      <c r="P264" s="613"/>
      <c r="Q264" s="613"/>
      <c r="R264" s="613"/>
      <c r="S264" s="1055"/>
      <c r="T264" s="712">
        <v>0</v>
      </c>
      <c r="U264" s="708">
        <v>0</v>
      </c>
      <c r="V264" s="713"/>
      <c r="W264" s="224">
        <v>0</v>
      </c>
      <c r="X264" s="613">
        <f>+[4]INVERSIÓN!EQ27</f>
        <v>0</v>
      </c>
      <c r="Y264" s="224"/>
      <c r="Z264" s="224"/>
      <c r="AA264" s="224"/>
      <c r="AB264" s="224"/>
      <c r="AC264" s="224"/>
      <c r="AD264" s="225"/>
      <c r="AE264" s="184"/>
      <c r="AF264" s="1076"/>
      <c r="AG264" s="1079"/>
      <c r="AH264" s="1064"/>
      <c r="AI264" s="1064"/>
      <c r="AJ264" s="1064"/>
      <c r="AK264" s="1038"/>
      <c r="AL264" s="1032"/>
      <c r="AM264" s="1032"/>
      <c r="AN264" s="1041"/>
      <c r="AO264" s="1041"/>
      <c r="AP264" s="1041"/>
      <c r="AQ264" s="1064"/>
      <c r="AR264" s="1064"/>
      <c r="AS264" s="1041"/>
      <c r="AT264" s="1064"/>
      <c r="AU264" s="1041"/>
      <c r="AV264" s="1026"/>
      <c r="AW264" s="1041"/>
      <c r="AX264" s="1041"/>
      <c r="AY264" s="1044"/>
    </row>
    <row r="265" spans="1:51" ht="24.75" customHeight="1" x14ac:dyDescent="0.25">
      <c r="A265" s="1047"/>
      <c r="B265" s="1049"/>
      <c r="C265" s="1052"/>
      <c r="D265" s="168" t="s">
        <v>110</v>
      </c>
      <c r="E265" s="651">
        <v>83497658</v>
      </c>
      <c r="F265" s="616"/>
      <c r="G265" s="653">
        <v>83497658</v>
      </c>
      <c r="H265" s="648">
        <v>83497658</v>
      </c>
      <c r="I265" s="654">
        <v>83497658</v>
      </c>
      <c r="J265" s="613">
        <v>83497658</v>
      </c>
      <c r="K265" s="613">
        <v>83497658</v>
      </c>
      <c r="L265" s="613"/>
      <c r="M265" s="613"/>
      <c r="N265" s="613"/>
      <c r="O265" s="613"/>
      <c r="P265" s="613"/>
      <c r="Q265" s="613"/>
      <c r="R265" s="613"/>
      <c r="S265" s="1055"/>
      <c r="T265" s="712">
        <v>10825967</v>
      </c>
      <c r="U265" s="667">
        <v>46272938.298041716</v>
      </c>
      <c r="V265" s="714">
        <v>66005481.150658101</v>
      </c>
      <c r="W265" s="224">
        <v>81284857.999999955</v>
      </c>
      <c r="X265" s="613">
        <f>+[4]INVERSIÓN!EQ28</f>
        <v>82594657.99999997</v>
      </c>
      <c r="Y265" s="224"/>
      <c r="Z265" s="224"/>
      <c r="AA265" s="224"/>
      <c r="AB265" s="224"/>
      <c r="AC265" s="224"/>
      <c r="AD265" s="225"/>
      <c r="AE265" s="184"/>
      <c r="AF265" s="1076"/>
      <c r="AG265" s="1079"/>
      <c r="AH265" s="1064"/>
      <c r="AI265" s="1064"/>
      <c r="AJ265" s="1064"/>
      <c r="AK265" s="1038"/>
      <c r="AL265" s="1032"/>
      <c r="AM265" s="1032"/>
      <c r="AN265" s="1041"/>
      <c r="AO265" s="1041"/>
      <c r="AP265" s="1041"/>
      <c r="AQ265" s="1064"/>
      <c r="AR265" s="1064"/>
      <c r="AS265" s="1041"/>
      <c r="AT265" s="1064"/>
      <c r="AU265" s="1041"/>
      <c r="AV265" s="1026"/>
      <c r="AW265" s="1041"/>
      <c r="AX265" s="1041"/>
      <c r="AY265" s="1044"/>
    </row>
    <row r="266" spans="1:51" ht="24.75" customHeight="1" x14ac:dyDescent="0.25">
      <c r="A266" s="1047"/>
      <c r="B266" s="1049"/>
      <c r="C266" s="1052"/>
      <c r="D266" s="167" t="s">
        <v>111</v>
      </c>
      <c r="E266" s="651">
        <f t="shared" si="1"/>
        <v>2993</v>
      </c>
      <c r="F266" s="616"/>
      <c r="G266" s="653">
        <v>2751</v>
      </c>
      <c r="H266" s="648">
        <v>2751</v>
      </c>
      <c r="I266" s="654">
        <v>2751</v>
      </c>
      <c r="J266" s="613">
        <v>2751</v>
      </c>
      <c r="K266" s="613">
        <v>2751</v>
      </c>
      <c r="L266" s="613"/>
      <c r="M266" s="613"/>
      <c r="N266" s="613"/>
      <c r="O266" s="613"/>
      <c r="P266" s="613"/>
      <c r="Q266" s="613"/>
      <c r="R266" s="613"/>
      <c r="S266" s="1055"/>
      <c r="T266" s="712">
        <v>308</v>
      </c>
      <c r="U266" s="708">
        <v>531</v>
      </c>
      <c r="V266" s="713">
        <v>1034</v>
      </c>
      <c r="W266" s="224">
        <v>1354</v>
      </c>
      <c r="X266" s="613">
        <f>+[4]INVERSIÓN!EQ29</f>
        <v>1895</v>
      </c>
      <c r="Y266" s="224"/>
      <c r="Z266" s="224"/>
      <c r="AA266" s="224"/>
      <c r="AB266" s="224"/>
      <c r="AC266" s="224"/>
      <c r="AD266" s="225"/>
      <c r="AE266" s="184"/>
      <c r="AF266" s="1076"/>
      <c r="AG266" s="1079"/>
      <c r="AH266" s="1064"/>
      <c r="AI266" s="1064"/>
      <c r="AJ266" s="1064"/>
      <c r="AK266" s="1038"/>
      <c r="AL266" s="1032"/>
      <c r="AM266" s="1032"/>
      <c r="AN266" s="1041"/>
      <c r="AO266" s="1041"/>
      <c r="AP266" s="1041"/>
      <c r="AQ266" s="1064"/>
      <c r="AR266" s="1064"/>
      <c r="AS266" s="1041"/>
      <c r="AT266" s="1064"/>
      <c r="AU266" s="1041"/>
      <c r="AV266" s="1026"/>
      <c r="AW266" s="1041"/>
      <c r="AX266" s="1041"/>
      <c r="AY266" s="1044"/>
    </row>
    <row r="267" spans="1:51" ht="24.75" customHeight="1" thickBot="1" x14ac:dyDescent="0.3">
      <c r="A267" s="1094"/>
      <c r="B267" s="1050"/>
      <c r="C267" s="1053"/>
      <c r="D267" s="215" t="s">
        <v>112</v>
      </c>
      <c r="E267" s="289">
        <v>1054039658</v>
      </c>
      <c r="F267" s="264"/>
      <c r="G267" s="534">
        <v>1054039658</v>
      </c>
      <c r="H267" s="230">
        <v>1054039658</v>
      </c>
      <c r="I267" s="676">
        <v>1054039658</v>
      </c>
      <c r="J267" s="260">
        <v>1054039658</v>
      </c>
      <c r="K267" s="260">
        <v>1054039658</v>
      </c>
      <c r="L267" s="261"/>
      <c r="M267" s="261"/>
      <c r="N267" s="261"/>
      <c r="O267" s="261"/>
      <c r="P267" s="261"/>
      <c r="Q267" s="261"/>
      <c r="R267" s="261"/>
      <c r="S267" s="1056"/>
      <c r="T267" s="715">
        <v>38517967</v>
      </c>
      <c r="U267" s="716">
        <v>171007438.29804173</v>
      </c>
      <c r="V267" s="717">
        <v>293739981.15065813</v>
      </c>
      <c r="W267" s="226">
        <v>423556857.99999994</v>
      </c>
      <c r="X267" s="260">
        <f>+[4]INVERSIÓN!EQ30</f>
        <v>474466158</v>
      </c>
      <c r="Y267" s="226"/>
      <c r="Z267" s="226"/>
      <c r="AA267" s="226"/>
      <c r="AB267" s="226"/>
      <c r="AC267" s="226"/>
      <c r="AD267" s="227"/>
      <c r="AE267" s="185"/>
      <c r="AF267" s="1077"/>
      <c r="AG267" s="1080"/>
      <c r="AH267" s="1065"/>
      <c r="AI267" s="1065"/>
      <c r="AJ267" s="1065"/>
      <c r="AK267" s="1039"/>
      <c r="AL267" s="1033"/>
      <c r="AM267" s="1033"/>
      <c r="AN267" s="1042"/>
      <c r="AO267" s="1042"/>
      <c r="AP267" s="1042"/>
      <c r="AQ267" s="1065"/>
      <c r="AR267" s="1065"/>
      <c r="AS267" s="1042"/>
      <c r="AT267" s="1065"/>
      <c r="AU267" s="1042"/>
      <c r="AV267" s="1027"/>
      <c r="AW267" s="1042"/>
      <c r="AX267" s="1042"/>
      <c r="AY267" s="1045"/>
    </row>
    <row r="268" spans="1:51" ht="24.75" customHeight="1" x14ac:dyDescent="0.25">
      <c r="A268" s="1046">
        <v>4</v>
      </c>
      <c r="B268" s="1048" t="s">
        <v>115</v>
      </c>
      <c r="C268" s="1051" t="s">
        <v>184</v>
      </c>
      <c r="D268" s="214" t="s">
        <v>106</v>
      </c>
      <c r="E268" s="636">
        <v>0.125</v>
      </c>
      <c r="F268" s="604"/>
      <c r="G268" s="638">
        <v>0.125</v>
      </c>
      <c r="H268" s="639">
        <v>0.125</v>
      </c>
      <c r="I268" s="659">
        <v>0.125</v>
      </c>
      <c r="J268" s="606">
        <v>0.125</v>
      </c>
      <c r="K268" s="606">
        <v>0.125</v>
      </c>
      <c r="L268" s="607"/>
      <c r="M268" s="607"/>
      <c r="N268" s="607"/>
      <c r="O268" s="607"/>
      <c r="P268" s="607"/>
      <c r="Q268" s="607"/>
      <c r="R268" s="608"/>
      <c r="S268" s="1054"/>
      <c r="T268" s="718">
        <v>0</v>
      </c>
      <c r="U268" s="707">
        <v>1.4999999999999999E-2</v>
      </c>
      <c r="V268" s="719">
        <v>5.5E-2</v>
      </c>
      <c r="W268" s="720">
        <v>7.6999999999999999E-2</v>
      </c>
      <c r="X268" s="606">
        <f>+[4]INVERSIÓN!EQ31</f>
        <v>0.125</v>
      </c>
      <c r="Y268" s="232"/>
      <c r="Z268" s="232"/>
      <c r="AA268" s="232"/>
      <c r="AB268" s="232"/>
      <c r="AC268" s="232"/>
      <c r="AD268" s="233"/>
      <c r="AE268" s="193"/>
      <c r="AF268" s="1057"/>
      <c r="AG268" s="1060" t="s">
        <v>185</v>
      </c>
      <c r="AH268" s="1031"/>
      <c r="AI268" s="1031"/>
      <c r="AJ268" s="1034"/>
      <c r="AK268" s="1037" t="s">
        <v>185</v>
      </c>
      <c r="AL268" s="1031" t="s">
        <v>81</v>
      </c>
      <c r="AM268" s="1031" t="s">
        <v>81</v>
      </c>
      <c r="AN268" s="1025">
        <v>8002180</v>
      </c>
      <c r="AO268" s="1025">
        <v>3831130</v>
      </c>
      <c r="AP268" s="1025">
        <v>4171050</v>
      </c>
      <c r="AQ268" s="1025" t="s">
        <v>81</v>
      </c>
      <c r="AR268" s="1025" t="s">
        <v>162</v>
      </c>
      <c r="AS268" s="1025">
        <v>8002180</v>
      </c>
      <c r="AT268" s="1025" t="s">
        <v>162</v>
      </c>
      <c r="AU268" s="1025">
        <v>8002180</v>
      </c>
      <c r="AV268" s="1025" t="s">
        <v>163</v>
      </c>
      <c r="AW268" s="1025">
        <v>8002180</v>
      </c>
      <c r="AX268" s="1025">
        <v>8002180</v>
      </c>
      <c r="AY268" s="1028"/>
    </row>
    <row r="269" spans="1:51" ht="24.75" customHeight="1" x14ac:dyDescent="0.25">
      <c r="A269" s="1047"/>
      <c r="B269" s="1049"/>
      <c r="C269" s="1052"/>
      <c r="D269" s="168" t="s">
        <v>107</v>
      </c>
      <c r="E269" s="288">
        <v>259248000</v>
      </c>
      <c r="F269" s="263"/>
      <c r="G269" s="533">
        <v>259248000</v>
      </c>
      <c r="H269" s="228">
        <v>259248000</v>
      </c>
      <c r="I269" s="665">
        <v>259248000</v>
      </c>
      <c r="J269" s="216">
        <v>259248000</v>
      </c>
      <c r="K269" s="216">
        <v>259248000</v>
      </c>
      <c r="L269" s="217"/>
      <c r="M269" s="217"/>
      <c r="N269" s="217"/>
      <c r="O269" s="217"/>
      <c r="P269" s="217"/>
      <c r="Q269" s="217"/>
      <c r="R269" s="217"/>
      <c r="S269" s="1055"/>
      <c r="T269" s="710">
        <v>0</v>
      </c>
      <c r="U269" s="228">
        <v>37170000</v>
      </c>
      <c r="V269" s="721">
        <v>61210000</v>
      </c>
      <c r="W269" s="633">
        <v>61210000</v>
      </c>
      <c r="X269" s="216">
        <f>+[4]INVERSIÓN!EQ32</f>
        <v>104447000</v>
      </c>
      <c r="Y269" s="613"/>
      <c r="Z269" s="613"/>
      <c r="AA269" s="613"/>
      <c r="AB269" s="613"/>
      <c r="AC269" s="613"/>
      <c r="AD269" s="618"/>
      <c r="AE269" s="627"/>
      <c r="AF269" s="1058"/>
      <c r="AG269" s="1061"/>
      <c r="AH269" s="1032"/>
      <c r="AI269" s="1032"/>
      <c r="AJ269" s="1035"/>
      <c r="AK269" s="1038"/>
      <c r="AL269" s="1032"/>
      <c r="AM269" s="1032"/>
      <c r="AN269" s="1026"/>
      <c r="AO269" s="1026"/>
      <c r="AP269" s="1026"/>
      <c r="AQ269" s="1026"/>
      <c r="AR269" s="1026"/>
      <c r="AS269" s="1026"/>
      <c r="AT269" s="1026"/>
      <c r="AU269" s="1026"/>
      <c r="AV269" s="1026"/>
      <c r="AW269" s="1026"/>
      <c r="AX269" s="1026"/>
      <c r="AY269" s="1029"/>
    </row>
    <row r="270" spans="1:51" ht="24.75" customHeight="1" x14ac:dyDescent="0.25">
      <c r="A270" s="1047"/>
      <c r="B270" s="1049"/>
      <c r="C270" s="1052"/>
      <c r="D270" s="167" t="s">
        <v>109</v>
      </c>
      <c r="E270" s="651"/>
      <c r="F270" s="616"/>
      <c r="G270" s="653"/>
      <c r="H270" s="648"/>
      <c r="I270" s="654"/>
      <c r="J270" s="613"/>
      <c r="K270" s="613"/>
      <c r="L270" s="613"/>
      <c r="M270" s="613"/>
      <c r="N270" s="613"/>
      <c r="O270" s="613"/>
      <c r="P270" s="613"/>
      <c r="Q270" s="613"/>
      <c r="R270" s="613"/>
      <c r="S270" s="1055"/>
      <c r="T270" s="712">
        <v>0</v>
      </c>
      <c r="U270" s="708">
        <v>0</v>
      </c>
      <c r="V270" s="722">
        <v>0</v>
      </c>
      <c r="W270" s="234">
        <v>0</v>
      </c>
      <c r="X270" s="613">
        <f>+[4]INVERSIÓN!EQ34</f>
        <v>0</v>
      </c>
      <c r="Y270" s="234"/>
      <c r="Z270" s="234"/>
      <c r="AA270" s="234"/>
      <c r="AB270" s="234"/>
      <c r="AC270" s="234"/>
      <c r="AD270" s="235"/>
      <c r="AE270" s="191"/>
      <c r="AF270" s="1058"/>
      <c r="AG270" s="1061"/>
      <c r="AH270" s="1032"/>
      <c r="AI270" s="1032"/>
      <c r="AJ270" s="1035"/>
      <c r="AK270" s="1038"/>
      <c r="AL270" s="1032"/>
      <c r="AM270" s="1032"/>
      <c r="AN270" s="1026"/>
      <c r="AO270" s="1026"/>
      <c r="AP270" s="1026"/>
      <c r="AQ270" s="1026"/>
      <c r="AR270" s="1026"/>
      <c r="AS270" s="1026"/>
      <c r="AT270" s="1026"/>
      <c r="AU270" s="1026"/>
      <c r="AV270" s="1026"/>
      <c r="AW270" s="1026"/>
      <c r="AX270" s="1026"/>
      <c r="AY270" s="1029"/>
    </row>
    <row r="271" spans="1:51" ht="24.75" customHeight="1" x14ac:dyDescent="0.25">
      <c r="A271" s="1047"/>
      <c r="B271" s="1049"/>
      <c r="C271" s="1052"/>
      <c r="D271" s="168" t="s">
        <v>110</v>
      </c>
      <c r="E271" s="651">
        <v>9968633</v>
      </c>
      <c r="F271" s="616"/>
      <c r="G271" s="653">
        <v>9968633</v>
      </c>
      <c r="H271" s="648">
        <v>9968633</v>
      </c>
      <c r="I271" s="654">
        <v>9968633</v>
      </c>
      <c r="J271" s="613">
        <v>9968633</v>
      </c>
      <c r="K271" s="613">
        <v>9968633</v>
      </c>
      <c r="L271" s="613"/>
      <c r="M271" s="613"/>
      <c r="N271" s="613"/>
      <c r="O271" s="613"/>
      <c r="P271" s="613"/>
      <c r="Q271" s="613"/>
      <c r="R271" s="613"/>
      <c r="S271" s="1055"/>
      <c r="T271" s="712">
        <v>9156233</v>
      </c>
      <c r="U271" s="667">
        <v>9156233</v>
      </c>
      <c r="V271" s="723">
        <v>9156233</v>
      </c>
      <c r="W271" s="613">
        <v>9156233</v>
      </c>
      <c r="X271" s="613">
        <f>+[4]INVERSIÓN!EQ35</f>
        <v>9968633</v>
      </c>
      <c r="Y271" s="613"/>
      <c r="Z271" s="613"/>
      <c r="AA271" s="613"/>
      <c r="AB271" s="613"/>
      <c r="AC271" s="613"/>
      <c r="AD271" s="618"/>
      <c r="AE271" s="627"/>
      <c r="AF271" s="1058"/>
      <c r="AG271" s="1061"/>
      <c r="AH271" s="1032"/>
      <c r="AI271" s="1032"/>
      <c r="AJ271" s="1035"/>
      <c r="AK271" s="1038"/>
      <c r="AL271" s="1032"/>
      <c r="AM271" s="1032"/>
      <c r="AN271" s="1026"/>
      <c r="AO271" s="1026"/>
      <c r="AP271" s="1026"/>
      <c r="AQ271" s="1026"/>
      <c r="AR271" s="1026"/>
      <c r="AS271" s="1026"/>
      <c r="AT271" s="1026"/>
      <c r="AU271" s="1026"/>
      <c r="AV271" s="1026"/>
      <c r="AW271" s="1026"/>
      <c r="AX271" s="1026"/>
      <c r="AY271" s="1029"/>
    </row>
    <row r="272" spans="1:51" ht="24.75" customHeight="1" x14ac:dyDescent="0.25">
      <c r="A272" s="1047"/>
      <c r="B272" s="1049"/>
      <c r="C272" s="1052"/>
      <c r="D272" s="167" t="s">
        <v>111</v>
      </c>
      <c r="E272" s="651">
        <v>0.125</v>
      </c>
      <c r="F272" s="616"/>
      <c r="G272" s="653">
        <v>0.125</v>
      </c>
      <c r="H272" s="648">
        <v>0.125</v>
      </c>
      <c r="I272" s="654">
        <v>0.125</v>
      </c>
      <c r="J272" s="613">
        <v>0.125</v>
      </c>
      <c r="K272" s="613">
        <v>0.125</v>
      </c>
      <c r="L272" s="613"/>
      <c r="M272" s="613"/>
      <c r="N272" s="613"/>
      <c r="O272" s="613"/>
      <c r="P272" s="613"/>
      <c r="Q272" s="613"/>
      <c r="R272" s="613"/>
      <c r="S272" s="1055"/>
      <c r="T272" s="712">
        <v>0</v>
      </c>
      <c r="U272" s="708">
        <v>1.4999999999999999E-2</v>
      </c>
      <c r="V272" s="722">
        <v>5.5E-2</v>
      </c>
      <c r="W272" s="236">
        <v>7.6999999999999999E-2</v>
      </c>
      <c r="X272" s="613">
        <f>+[4]INVERSIÓN!EQ36</f>
        <v>0.125</v>
      </c>
      <c r="Y272" s="236"/>
      <c r="Z272" s="236"/>
      <c r="AA272" s="236"/>
      <c r="AB272" s="236"/>
      <c r="AC272" s="236"/>
      <c r="AD272" s="237"/>
      <c r="AE272" s="192"/>
      <c r="AF272" s="1058"/>
      <c r="AG272" s="1061"/>
      <c r="AH272" s="1032"/>
      <c r="AI272" s="1032"/>
      <c r="AJ272" s="1035"/>
      <c r="AK272" s="1038"/>
      <c r="AL272" s="1032"/>
      <c r="AM272" s="1032"/>
      <c r="AN272" s="1026"/>
      <c r="AO272" s="1026"/>
      <c r="AP272" s="1026"/>
      <c r="AQ272" s="1026"/>
      <c r="AR272" s="1026"/>
      <c r="AS272" s="1026"/>
      <c r="AT272" s="1026"/>
      <c r="AU272" s="1026"/>
      <c r="AV272" s="1026"/>
      <c r="AW272" s="1026"/>
      <c r="AX272" s="1026"/>
      <c r="AY272" s="1029"/>
    </row>
    <row r="273" spans="1:51" ht="24.75" customHeight="1" thickBot="1" x14ac:dyDescent="0.3">
      <c r="A273" s="1047"/>
      <c r="B273" s="1050"/>
      <c r="C273" s="1053"/>
      <c r="D273" s="215" t="s">
        <v>112</v>
      </c>
      <c r="E273" s="289">
        <v>269216633</v>
      </c>
      <c r="F273" s="264"/>
      <c r="G273" s="534">
        <v>269216633</v>
      </c>
      <c r="H273" s="230">
        <v>269216633</v>
      </c>
      <c r="I273" s="676">
        <v>269216633</v>
      </c>
      <c r="J273" s="260">
        <v>269216633</v>
      </c>
      <c r="K273" s="260">
        <v>269216633</v>
      </c>
      <c r="L273" s="261"/>
      <c r="M273" s="261"/>
      <c r="N273" s="261"/>
      <c r="O273" s="261"/>
      <c r="P273" s="261"/>
      <c r="Q273" s="261"/>
      <c r="R273" s="261"/>
      <c r="S273" s="1056"/>
      <c r="T273" s="715">
        <v>9156233</v>
      </c>
      <c r="U273" s="716">
        <v>46326233</v>
      </c>
      <c r="V273" s="658">
        <v>70366233</v>
      </c>
      <c r="W273" s="230">
        <v>70366233</v>
      </c>
      <c r="X273" s="260">
        <f>+[4]INVERSIÓN!EQ37</f>
        <v>114415633</v>
      </c>
      <c r="Y273" s="230"/>
      <c r="Z273" s="230"/>
      <c r="AA273" s="230"/>
      <c r="AB273" s="230"/>
      <c r="AC273" s="230"/>
      <c r="AD273" s="231"/>
      <c r="AE273" s="187"/>
      <c r="AF273" s="1059"/>
      <c r="AG273" s="1062"/>
      <c r="AH273" s="1033"/>
      <c r="AI273" s="1033"/>
      <c r="AJ273" s="1036"/>
      <c r="AK273" s="1039"/>
      <c r="AL273" s="1033"/>
      <c r="AM273" s="1033"/>
      <c r="AN273" s="1027"/>
      <c r="AO273" s="1027"/>
      <c r="AP273" s="1027"/>
      <c r="AQ273" s="1027"/>
      <c r="AR273" s="1027"/>
      <c r="AS273" s="1027"/>
      <c r="AT273" s="1027"/>
      <c r="AU273" s="1027"/>
      <c r="AV273" s="1027"/>
      <c r="AW273" s="1027"/>
      <c r="AX273" s="1027"/>
      <c r="AY273" s="1030"/>
    </row>
    <row r="274" spans="1:51" ht="36" customHeight="1" x14ac:dyDescent="0.25">
      <c r="A274" s="1013" t="s">
        <v>186</v>
      </c>
      <c r="B274" s="1014"/>
      <c r="C274" s="1015"/>
      <c r="D274" s="211" t="s">
        <v>187</v>
      </c>
      <c r="E274" s="290">
        <f>+E131+E137+E263+E269</f>
        <v>7569622000</v>
      </c>
      <c r="F274" s="290">
        <f t="shared" ref="F274:J274" si="2">+F131+F137+F263+F269</f>
        <v>0</v>
      </c>
      <c r="G274" s="290">
        <f>+G131+G137+G263+G269</f>
        <v>7569622000</v>
      </c>
      <c r="H274" s="290">
        <f t="shared" si="2"/>
        <v>7569622000</v>
      </c>
      <c r="I274" s="290">
        <f t="shared" si="2"/>
        <v>7569622000</v>
      </c>
      <c r="J274" s="290">
        <f t="shared" si="2"/>
        <v>7569622000</v>
      </c>
      <c r="K274" s="290">
        <f>+K131+K137+K263+K269</f>
        <v>7569622000</v>
      </c>
      <c r="L274" s="290"/>
      <c r="M274" s="290"/>
      <c r="N274" s="290"/>
      <c r="O274" s="290"/>
      <c r="P274" s="290"/>
      <c r="Q274" s="290"/>
      <c r="R274" s="290"/>
      <c r="S274" s="290"/>
      <c r="T274" s="290">
        <f>+T131+T137+T263+T269</f>
        <v>338172000</v>
      </c>
      <c r="U274" s="290">
        <f t="shared" ref="U274:X274" si="3">+U131+U137+U263+U269</f>
        <v>1390182999.9999993</v>
      </c>
      <c r="V274" s="290">
        <f t="shared" si="3"/>
        <v>1900904999.9999993</v>
      </c>
      <c r="W274" s="290">
        <f t="shared" si="3"/>
        <v>2698640999.999999</v>
      </c>
      <c r="X274" s="290">
        <f t="shared" si="3"/>
        <v>3179973073</v>
      </c>
      <c r="Y274" s="290"/>
      <c r="Z274" s="290"/>
      <c r="AA274" s="290"/>
      <c r="AB274" s="290"/>
      <c r="AC274" s="290"/>
      <c r="AD274" s="290"/>
      <c r="AE274" s="291"/>
      <c r="AF274" s="292"/>
      <c r="AG274" s="1022" t="s">
        <v>182</v>
      </c>
      <c r="AH274" s="1010"/>
      <c r="AI274" s="1010"/>
      <c r="AJ274" s="1010"/>
      <c r="AK274" s="1010" t="s">
        <v>182</v>
      </c>
      <c r="AL274" s="1010" t="s">
        <v>81</v>
      </c>
      <c r="AM274" s="1010" t="s">
        <v>81</v>
      </c>
      <c r="AN274" s="1000">
        <v>8002180</v>
      </c>
      <c r="AO274" s="1000">
        <v>3831130</v>
      </c>
      <c r="AP274" s="1000">
        <v>4171050</v>
      </c>
      <c r="AQ274" s="1000" t="s">
        <v>81</v>
      </c>
      <c r="AR274" s="1000" t="s">
        <v>162</v>
      </c>
      <c r="AS274" s="1000">
        <v>8002180</v>
      </c>
      <c r="AT274" s="1000" t="s">
        <v>162</v>
      </c>
      <c r="AU274" s="1000">
        <v>8002180</v>
      </c>
      <c r="AV274" s="1000" t="s">
        <v>163</v>
      </c>
      <c r="AW274" s="1000">
        <v>8002180</v>
      </c>
      <c r="AX274" s="1000">
        <v>8002180</v>
      </c>
      <c r="AY274" s="1003"/>
    </row>
    <row r="275" spans="1:51" ht="36" x14ac:dyDescent="0.25">
      <c r="A275" s="1016"/>
      <c r="B275" s="1017"/>
      <c r="C275" s="1018"/>
      <c r="D275" s="212" t="s">
        <v>188</v>
      </c>
      <c r="E275" s="293">
        <f>+E271+E265+E139+E133</f>
        <v>597790929</v>
      </c>
      <c r="F275" s="293">
        <v>0</v>
      </c>
      <c r="G275" s="293">
        <f>+G271+G265+G139+G133</f>
        <v>597790929</v>
      </c>
      <c r="H275" s="293">
        <f>+H271+H265+H139+H133</f>
        <v>597790929</v>
      </c>
      <c r="I275" s="293">
        <f>+I271+I265+I139+I133</f>
        <v>597790929</v>
      </c>
      <c r="J275" s="293">
        <f>+J271+J265+J139+J133</f>
        <v>597790929</v>
      </c>
      <c r="K275" s="293">
        <f>+K271+K265+K139+K133</f>
        <v>597790929</v>
      </c>
      <c r="L275" s="293"/>
      <c r="M275" s="293"/>
      <c r="N275" s="293"/>
      <c r="O275" s="293"/>
      <c r="P275" s="293"/>
      <c r="Q275" s="293"/>
      <c r="R275" s="293"/>
      <c r="S275" s="293"/>
      <c r="T275" s="293">
        <f>+T271+T265+T139+T133</f>
        <v>90387299</v>
      </c>
      <c r="U275" s="293">
        <f>+U271+U265+U139+U133</f>
        <v>352610588</v>
      </c>
      <c r="V275" s="293">
        <f>+V271+V265+V139+V133</f>
        <v>502588589</v>
      </c>
      <c r="W275" s="293">
        <f>+W271+W265+W139+W133</f>
        <v>570022728</v>
      </c>
      <c r="X275" s="293">
        <f>X271+X139+X133+X265</f>
        <v>572144928</v>
      </c>
      <c r="Y275" s="293"/>
      <c r="Z275" s="293"/>
      <c r="AA275" s="293"/>
      <c r="AB275" s="293"/>
      <c r="AC275" s="293"/>
      <c r="AD275" s="293"/>
      <c r="AE275" s="294"/>
      <c r="AF275" s="295"/>
      <c r="AG275" s="1023"/>
      <c r="AH275" s="1011"/>
      <c r="AI275" s="1011"/>
      <c r="AJ275" s="1011"/>
      <c r="AK275" s="1011"/>
      <c r="AL275" s="1011"/>
      <c r="AM275" s="1011"/>
      <c r="AN275" s="1001"/>
      <c r="AO275" s="1001"/>
      <c r="AP275" s="1001"/>
      <c r="AQ275" s="1001"/>
      <c r="AR275" s="1001"/>
      <c r="AS275" s="1001"/>
      <c r="AT275" s="1001"/>
      <c r="AU275" s="1001"/>
      <c r="AV275" s="1001"/>
      <c r="AW275" s="1001"/>
      <c r="AX275" s="1001"/>
      <c r="AY275" s="1004"/>
    </row>
    <row r="276" spans="1:51" ht="36.75" thickBot="1" x14ac:dyDescent="0.3">
      <c r="A276" s="1019"/>
      <c r="B276" s="1020"/>
      <c r="C276" s="1021"/>
      <c r="D276" s="213" t="s">
        <v>189</v>
      </c>
      <c r="E276" s="296">
        <f>+E274+E275</f>
        <v>8167412929</v>
      </c>
      <c r="F276" s="296">
        <f t="shared" ref="F276:K276" si="4">+F274+F275</f>
        <v>0</v>
      </c>
      <c r="G276" s="296">
        <f t="shared" si="4"/>
        <v>8167412929</v>
      </c>
      <c r="H276" s="296">
        <f t="shared" si="4"/>
        <v>8167412929</v>
      </c>
      <c r="I276" s="296">
        <f t="shared" si="4"/>
        <v>8167412929</v>
      </c>
      <c r="J276" s="296">
        <f t="shared" si="4"/>
        <v>8167412929</v>
      </c>
      <c r="K276" s="296">
        <f t="shared" si="4"/>
        <v>8167412929</v>
      </c>
      <c r="L276" s="296"/>
      <c r="M276" s="296"/>
      <c r="N276" s="296"/>
      <c r="O276" s="296"/>
      <c r="P276" s="296"/>
      <c r="Q276" s="296"/>
      <c r="R276" s="296"/>
      <c r="S276" s="296"/>
      <c r="T276" s="296">
        <f t="shared" ref="T276:V276" si="5">+T274+T275</f>
        <v>428559299</v>
      </c>
      <c r="U276" s="296">
        <f t="shared" si="5"/>
        <v>1742793587.9999993</v>
      </c>
      <c r="V276" s="296">
        <f t="shared" si="5"/>
        <v>2403493588.999999</v>
      </c>
      <c r="W276" s="296">
        <f>+W274+W275</f>
        <v>3268663727.999999</v>
      </c>
      <c r="X276" s="296">
        <f t="shared" ref="X276" si="6">+X274+X275</f>
        <v>3752118001</v>
      </c>
      <c r="Y276" s="296"/>
      <c r="Z276" s="296"/>
      <c r="AA276" s="296"/>
      <c r="AB276" s="296"/>
      <c r="AC276" s="296"/>
      <c r="AD276" s="296"/>
      <c r="AE276" s="297"/>
      <c r="AF276" s="298"/>
      <c r="AG276" s="1024"/>
      <c r="AH276" s="1012"/>
      <c r="AI276" s="1012"/>
      <c r="AJ276" s="1012"/>
      <c r="AK276" s="1012"/>
      <c r="AL276" s="1012"/>
      <c r="AM276" s="1012"/>
      <c r="AN276" s="1002"/>
      <c r="AO276" s="1002"/>
      <c r="AP276" s="1002"/>
      <c r="AQ276" s="1002"/>
      <c r="AR276" s="1002"/>
      <c r="AS276" s="1002"/>
      <c r="AT276" s="1002"/>
      <c r="AU276" s="1002"/>
      <c r="AV276" s="1002"/>
      <c r="AW276" s="1002"/>
      <c r="AX276" s="1002"/>
      <c r="AY276" s="1005"/>
    </row>
    <row r="277" spans="1:51" x14ac:dyDescent="0.25">
      <c r="A277" s="23"/>
      <c r="B277" s="23"/>
      <c r="C277" s="23"/>
      <c r="D277" s="23"/>
      <c r="E277" s="24"/>
      <c r="F277" s="24"/>
      <c r="G277" s="24"/>
      <c r="H277" s="24"/>
      <c r="I277" s="24"/>
      <c r="J277" s="24"/>
      <c r="K277" s="24"/>
      <c r="L277" s="24"/>
      <c r="M277" s="24"/>
      <c r="N277" s="24"/>
      <c r="O277" s="24"/>
      <c r="P277" s="24"/>
      <c r="Q277" s="24"/>
      <c r="R277" s="169"/>
      <c r="S277" s="24"/>
      <c r="T277" s="24"/>
      <c r="U277" s="24"/>
      <c r="V277" s="24"/>
      <c r="W277" s="24"/>
      <c r="X277" s="24"/>
      <c r="Y277" s="24"/>
      <c r="Z277" s="24"/>
      <c r="AA277" s="24"/>
      <c r="AB277" s="24"/>
      <c r="AC277" s="24"/>
      <c r="AD277" s="24"/>
      <c r="AE277" s="23"/>
      <c r="AF277" s="23"/>
      <c r="AG277" s="239"/>
      <c r="AH277" s="23"/>
      <c r="AI277" s="23"/>
      <c r="AJ277" s="23"/>
      <c r="AK277" s="23"/>
      <c r="AL277" s="23"/>
      <c r="AM277" s="23"/>
      <c r="AN277" s="25"/>
      <c r="AO277" s="25"/>
      <c r="AP277" s="25"/>
      <c r="AQ277" s="25"/>
      <c r="AR277" s="25"/>
      <c r="AS277" s="25"/>
      <c r="AT277" s="25"/>
      <c r="AU277" s="25"/>
      <c r="AV277" s="25"/>
      <c r="AW277" s="25"/>
      <c r="AX277" s="25"/>
    </row>
    <row r="278" spans="1:51" ht="18" x14ac:dyDescent="0.25">
      <c r="A278" s="26" t="s">
        <v>82</v>
      </c>
      <c r="B278" s="23"/>
      <c r="C278" s="23"/>
      <c r="D278" s="23"/>
      <c r="E278" s="24"/>
      <c r="F278" s="170"/>
      <c r="G278" s="24"/>
      <c r="H278" s="24"/>
      <c r="I278" s="24"/>
      <c r="J278" s="24"/>
      <c r="K278" s="24"/>
      <c r="L278" s="24"/>
      <c r="M278" s="24"/>
      <c r="N278" s="24"/>
      <c r="O278" s="24"/>
      <c r="P278" s="24"/>
      <c r="Q278" s="24"/>
      <c r="R278" s="24"/>
      <c r="S278" s="24"/>
      <c r="T278" s="24"/>
      <c r="U278" s="24"/>
      <c r="V278" s="169"/>
      <c r="W278" s="169"/>
      <c r="X278" s="169"/>
      <c r="Y278" s="24"/>
      <c r="Z278" s="24"/>
      <c r="AA278" s="24"/>
      <c r="AB278" s="24"/>
      <c r="AC278" s="24"/>
      <c r="AD278" s="24"/>
      <c r="AE278" s="23"/>
      <c r="AF278" s="23"/>
      <c r="AG278" s="239"/>
      <c r="AH278" s="23"/>
      <c r="AI278" s="23"/>
      <c r="AJ278" s="171"/>
      <c r="AK278" s="171"/>
      <c r="AL278" s="171"/>
      <c r="AM278" s="171"/>
      <c r="AN278" s="172"/>
      <c r="AO278" s="172"/>
      <c r="AP278" s="172"/>
      <c r="AQ278" s="172"/>
      <c r="AR278" s="173"/>
      <c r="AS278" s="173"/>
      <c r="AT278" s="173"/>
      <c r="AU278" s="173"/>
      <c r="AV278" s="173"/>
      <c r="AW278" s="173"/>
      <c r="AX278" s="173"/>
    </row>
    <row r="279" spans="1:51" ht="18" x14ac:dyDescent="0.25">
      <c r="A279" s="27" t="s">
        <v>83</v>
      </c>
      <c r="B279" s="1006" t="s">
        <v>84</v>
      </c>
      <c r="C279" s="1007"/>
      <c r="D279" s="1008"/>
      <c r="E279" s="1009" t="s">
        <v>85</v>
      </c>
      <c r="F279" s="1009"/>
      <c r="G279" s="1009"/>
      <c r="H279" s="1009"/>
      <c r="I279" s="1009"/>
      <c r="J279" s="1009"/>
      <c r="K279" s="1009"/>
      <c r="L279" s="1009"/>
      <c r="M279" s="1009"/>
      <c r="N279" s="1009"/>
      <c r="O279" s="1009"/>
      <c r="P279" s="1009"/>
      <c r="Q279" s="1009"/>
      <c r="R279" s="1009"/>
      <c r="S279" s="23"/>
      <c r="T279" s="23"/>
      <c r="U279" s="169"/>
      <c r="Y279" s="174"/>
      <c r="Z279" s="23"/>
      <c r="AA279" s="174"/>
      <c r="AB279" s="23"/>
      <c r="AC279" s="23"/>
      <c r="AD279" s="24"/>
      <c r="AE279" s="23"/>
      <c r="AF279" s="23"/>
      <c r="AG279" s="239"/>
      <c r="AH279" s="23"/>
      <c r="AI279" s="23"/>
      <c r="AJ279" s="171"/>
      <c r="AK279" s="171"/>
      <c r="AL279" s="171"/>
      <c r="AM279" s="171"/>
      <c r="AN279" s="172"/>
      <c r="AO279" s="172"/>
      <c r="AP279" s="172"/>
      <c r="AQ279" s="172"/>
      <c r="AR279" s="172"/>
      <c r="AS279" s="172"/>
      <c r="AT279" s="172"/>
      <c r="AU279" s="172"/>
      <c r="AV279" s="172"/>
      <c r="AW279" s="172"/>
      <c r="AX279" s="172"/>
    </row>
    <row r="280" spans="1:51" ht="18" x14ac:dyDescent="0.25">
      <c r="A280" s="535">
        <v>13</v>
      </c>
      <c r="B280" s="996" t="s">
        <v>120</v>
      </c>
      <c r="C280" s="997"/>
      <c r="D280" s="998"/>
      <c r="E280" s="999" t="s">
        <v>87</v>
      </c>
      <c r="F280" s="999"/>
      <c r="G280" s="999"/>
      <c r="H280" s="999"/>
      <c r="I280" s="999"/>
      <c r="J280" s="999"/>
      <c r="K280" s="999"/>
      <c r="L280" s="999"/>
      <c r="M280" s="999"/>
      <c r="N280" s="999"/>
      <c r="O280" s="999"/>
      <c r="P280" s="999"/>
      <c r="Q280" s="999"/>
      <c r="R280" s="999"/>
      <c r="S280" s="23"/>
      <c r="T280" s="23"/>
      <c r="U280" s="23"/>
      <c r="V280" s="23"/>
      <c r="W280" s="24"/>
      <c r="X280" s="24"/>
      <c r="Y280" s="174"/>
      <c r="Z280" s="23"/>
      <c r="AA280" s="174"/>
      <c r="AB280" s="23"/>
      <c r="AC280" s="23"/>
      <c r="AD280" s="24"/>
      <c r="AE280" s="23"/>
      <c r="AF280" s="23"/>
      <c r="AG280" s="239"/>
      <c r="AH280" s="23"/>
      <c r="AI280" s="23"/>
      <c r="AJ280" s="171"/>
      <c r="AK280" s="171"/>
      <c r="AL280" s="171"/>
      <c r="AM280" s="171"/>
      <c r="AN280" s="172"/>
      <c r="AO280" s="172"/>
      <c r="AP280" s="172"/>
      <c r="AQ280" s="172"/>
      <c r="AR280" s="172"/>
      <c r="AS280" s="172"/>
      <c r="AT280" s="172"/>
      <c r="AU280" s="172"/>
      <c r="AV280" s="172"/>
      <c r="AW280" s="172"/>
      <c r="AX280" s="172"/>
    </row>
    <row r="281" spans="1:51" x14ac:dyDescent="0.25">
      <c r="A281" s="535">
        <v>14</v>
      </c>
      <c r="B281" s="996" t="s">
        <v>88</v>
      </c>
      <c r="C281" s="997"/>
      <c r="D281" s="998"/>
      <c r="E281" s="999" t="s">
        <v>89</v>
      </c>
      <c r="F281" s="999"/>
      <c r="G281" s="999"/>
      <c r="H281" s="999"/>
      <c r="I281" s="999"/>
      <c r="J281" s="999"/>
      <c r="K281" s="999"/>
      <c r="L281" s="999"/>
      <c r="M281" s="999"/>
      <c r="N281" s="999"/>
      <c r="O281" s="999"/>
      <c r="P281" s="999"/>
      <c r="Q281" s="999"/>
      <c r="R281" s="999"/>
      <c r="S281" s="23"/>
      <c r="T281" s="23"/>
      <c r="U281" s="23"/>
      <c r="V281" s="23"/>
      <c r="W281" s="24"/>
      <c r="X281" s="24"/>
      <c r="Y281" s="174"/>
      <c r="Z281" s="174"/>
      <c r="AA281" s="174"/>
      <c r="AB281" s="23"/>
      <c r="AC281" s="23"/>
      <c r="AD281" s="24"/>
      <c r="AE281" s="23"/>
      <c r="AF281" s="23"/>
      <c r="AG281" s="239"/>
      <c r="AH281" s="23"/>
      <c r="AI281" s="23"/>
      <c r="AJ281" s="23"/>
      <c r="AK281" s="23"/>
      <c r="AL281" s="23"/>
      <c r="AM281" s="23"/>
      <c r="AN281" s="25"/>
      <c r="AO281" s="25"/>
      <c r="AP281" s="25"/>
      <c r="AQ281" s="25"/>
      <c r="AR281" s="25"/>
      <c r="AS281" s="25"/>
      <c r="AT281" s="25"/>
      <c r="AU281" s="25"/>
      <c r="AV281" s="25"/>
      <c r="AW281" s="25"/>
      <c r="AX281" s="25"/>
    </row>
    <row r="282" spans="1:51" x14ac:dyDescent="0.25">
      <c r="A282" s="175"/>
      <c r="B282" s="175"/>
      <c r="C282" s="175"/>
      <c r="D282" s="175"/>
      <c r="E282" s="175"/>
      <c r="F282" s="175"/>
      <c r="G282" s="175"/>
      <c r="H282" s="175"/>
      <c r="I282" s="175"/>
      <c r="J282" s="175"/>
      <c r="K282" s="175"/>
      <c r="L282" s="175"/>
      <c r="M282" s="175"/>
      <c r="N282" s="175"/>
      <c r="O282" s="175"/>
      <c r="P282" s="175"/>
      <c r="Q282" s="175"/>
      <c r="R282" s="176"/>
      <c r="S282" s="175"/>
      <c r="T282" s="176"/>
      <c r="U282" s="177"/>
      <c r="V282" s="175"/>
      <c r="W282" s="24"/>
      <c r="X282" s="24"/>
      <c r="Y282" s="174"/>
      <c r="Z282" s="174"/>
      <c r="AA282" s="175"/>
      <c r="AB282" s="175"/>
      <c r="AC282" s="175"/>
      <c r="AD282" s="175"/>
      <c r="AE282" s="175"/>
      <c r="AF282" s="175"/>
      <c r="AG282" s="240"/>
      <c r="AH282" s="175"/>
      <c r="AI282" s="175"/>
      <c r="AJ282" s="175"/>
      <c r="AK282" s="175"/>
      <c r="AL282" s="175"/>
      <c r="AM282" s="175"/>
      <c r="AN282" s="178"/>
      <c r="AO282" s="178"/>
      <c r="AP282" s="178"/>
      <c r="AQ282" s="178"/>
      <c r="AR282" s="178"/>
      <c r="AS282" s="178"/>
      <c r="AT282" s="178"/>
      <c r="AU282" s="178"/>
      <c r="AV282" s="178"/>
      <c r="AW282" s="178"/>
      <c r="AX282" s="178"/>
    </row>
    <row r="283" spans="1:51" x14ac:dyDescent="0.25">
      <c r="A283" s="175"/>
      <c r="B283" s="175"/>
      <c r="C283" s="175"/>
      <c r="D283" s="175"/>
      <c r="E283" s="175"/>
      <c r="F283" s="175"/>
      <c r="G283" s="175"/>
      <c r="H283" s="175"/>
      <c r="I283" s="175"/>
      <c r="J283" s="175"/>
      <c r="K283" s="175"/>
      <c r="L283" s="175"/>
      <c r="M283" s="175"/>
      <c r="N283" s="175"/>
      <c r="O283" s="175"/>
      <c r="P283" s="175"/>
      <c r="Q283" s="175"/>
      <c r="R283" s="176"/>
      <c r="S283" s="175"/>
      <c r="T283" s="175"/>
      <c r="U283" s="177"/>
      <c r="V283" s="175"/>
      <c r="W283" s="175"/>
      <c r="X283" s="175"/>
      <c r="Y283" s="174"/>
      <c r="Z283" s="174"/>
      <c r="AA283" s="175"/>
      <c r="AB283" s="175"/>
      <c r="AC283" s="175"/>
      <c r="AD283" s="175"/>
      <c r="AE283" s="175"/>
      <c r="AF283" s="175"/>
      <c r="AG283" s="240"/>
      <c r="AH283" s="175"/>
      <c r="AI283" s="175"/>
      <c r="AJ283" s="175"/>
      <c r="AK283" s="175"/>
      <c r="AL283" s="175"/>
      <c r="AM283" s="175"/>
      <c r="AN283" s="178"/>
      <c r="AO283" s="178"/>
      <c r="AP283" s="178"/>
      <c r="AQ283" s="178"/>
      <c r="AR283" s="178"/>
      <c r="AS283" s="178"/>
      <c r="AT283" s="178"/>
      <c r="AU283" s="178"/>
      <c r="AV283" s="178"/>
      <c r="AW283" s="178"/>
      <c r="AX283" s="178"/>
    </row>
    <row r="284" spans="1:51" x14ac:dyDescent="0.25">
      <c r="A284" s="175"/>
      <c r="B284" s="175"/>
      <c r="C284" s="175"/>
      <c r="D284" s="175"/>
      <c r="E284" s="179"/>
      <c r="F284" s="179"/>
      <c r="G284" s="179"/>
      <c r="H284" s="179"/>
      <c r="I284" s="179"/>
      <c r="J284" s="179"/>
      <c r="K284" s="179"/>
      <c r="L284" s="179"/>
      <c r="M284" s="179"/>
      <c r="N284" s="179"/>
      <c r="O284" s="179"/>
      <c r="P284" s="179"/>
      <c r="Q284" s="179"/>
      <c r="R284" s="176"/>
      <c r="S284" s="179"/>
      <c r="T284" s="179"/>
      <c r="U284" s="177"/>
      <c r="V284" s="179"/>
      <c r="W284" s="179"/>
      <c r="X284" s="179"/>
      <c r="Y284" s="179"/>
      <c r="Z284" s="179"/>
      <c r="AA284" s="179"/>
      <c r="AB284" s="179"/>
      <c r="AC284" s="179"/>
      <c r="AD284" s="179"/>
      <c r="AE284" s="175"/>
      <c r="AF284" s="175"/>
      <c r="AG284" s="240"/>
      <c r="AH284" s="175"/>
      <c r="AI284" s="175"/>
      <c r="AJ284" s="175"/>
      <c r="AK284" s="175"/>
      <c r="AL284" s="175"/>
      <c r="AM284" s="175"/>
      <c r="AN284" s="178"/>
      <c r="AO284" s="178"/>
      <c r="AP284" s="178"/>
      <c r="AQ284" s="178"/>
      <c r="AR284" s="178"/>
      <c r="AS284" s="178"/>
      <c r="AT284" s="178"/>
      <c r="AU284" s="178"/>
      <c r="AV284" s="178"/>
      <c r="AW284" s="178"/>
      <c r="AX284" s="178"/>
    </row>
    <row r="285" spans="1:51" ht="15.75" x14ac:dyDescent="0.25">
      <c r="A285" s="175"/>
      <c r="B285" s="175"/>
      <c r="C285" s="175"/>
      <c r="D285" s="175"/>
      <c r="E285" s="180"/>
      <c r="F285" s="180"/>
      <c r="G285" s="180"/>
      <c r="H285" s="180"/>
      <c r="I285" s="180"/>
      <c r="J285" s="180"/>
      <c r="K285" s="180"/>
      <c r="L285" s="180"/>
      <c r="M285" s="180"/>
      <c r="N285" s="180"/>
      <c r="O285" s="180"/>
      <c r="P285" s="180"/>
      <c r="Q285" s="180"/>
      <c r="R285" s="176"/>
      <c r="S285" s="175"/>
      <c r="T285" s="175"/>
      <c r="U285" s="175"/>
      <c r="V285" s="175"/>
      <c r="W285" s="175"/>
      <c r="X285" s="175"/>
      <c r="Y285" s="175"/>
      <c r="Z285" s="175"/>
      <c r="AA285" s="175"/>
      <c r="AB285" s="175"/>
      <c r="AC285" s="175"/>
      <c r="AD285" s="175"/>
      <c r="AE285" s="175"/>
      <c r="AF285" s="175"/>
      <c r="AG285" s="240"/>
      <c r="AH285" s="175"/>
      <c r="AI285" s="175"/>
      <c r="AJ285" s="175"/>
      <c r="AK285" s="175"/>
      <c r="AL285" s="175"/>
      <c r="AM285" s="175"/>
      <c r="AN285" s="178"/>
      <c r="AO285" s="178"/>
      <c r="AP285" s="178"/>
      <c r="AQ285" s="178"/>
      <c r="AR285" s="178"/>
      <c r="AS285" s="178"/>
      <c r="AT285" s="178"/>
      <c r="AU285" s="178"/>
      <c r="AV285" s="178"/>
      <c r="AW285" s="178"/>
      <c r="AX285" s="178"/>
    </row>
    <row r="286" spans="1:51" x14ac:dyDescent="0.25">
      <c r="A286" s="175"/>
      <c r="B286" s="175"/>
      <c r="C286" s="175"/>
      <c r="D286" s="175"/>
      <c r="E286" s="175"/>
      <c r="F286" s="175"/>
      <c r="G286" s="175"/>
      <c r="H286" s="175"/>
      <c r="I286" s="175"/>
      <c r="J286" s="175"/>
      <c r="K286" s="177"/>
      <c r="L286" s="175"/>
      <c r="M286" s="175"/>
      <c r="N286" s="175"/>
      <c r="O286" s="175"/>
      <c r="P286" s="175"/>
      <c r="Q286" s="175"/>
      <c r="R286" s="176"/>
      <c r="S286" s="175"/>
      <c r="T286" s="175"/>
      <c r="U286" s="175"/>
      <c r="V286" s="175"/>
      <c r="W286" s="175"/>
      <c r="X286" s="175"/>
      <c r="Y286" s="175"/>
      <c r="Z286" s="175"/>
      <c r="AA286" s="175"/>
      <c r="AB286" s="175"/>
      <c r="AC286" s="175"/>
      <c r="AD286" s="175"/>
      <c r="AE286" s="175"/>
      <c r="AF286" s="175"/>
      <c r="AG286" s="240"/>
      <c r="AH286" s="175"/>
      <c r="AI286" s="175"/>
      <c r="AJ286" s="175"/>
      <c r="AK286" s="175"/>
      <c r="AL286" s="175"/>
      <c r="AM286" s="175"/>
      <c r="AN286" s="178"/>
      <c r="AO286" s="178"/>
      <c r="AP286" s="178"/>
      <c r="AQ286" s="178"/>
      <c r="AR286" s="178"/>
      <c r="AS286" s="178"/>
      <c r="AT286" s="178"/>
      <c r="AU286" s="178"/>
      <c r="AV286" s="178"/>
      <c r="AW286" s="178"/>
      <c r="AX286" s="178"/>
    </row>
    <row r="287" spans="1:51" x14ac:dyDescent="0.25">
      <c r="A287" s="175"/>
      <c r="B287" s="175"/>
      <c r="C287" s="175"/>
      <c r="D287" s="175"/>
      <c r="E287" s="179"/>
      <c r="F287" s="179"/>
      <c r="G287" s="179"/>
      <c r="H287" s="179"/>
      <c r="I287" s="179"/>
      <c r="J287" s="179"/>
      <c r="K287" s="179"/>
      <c r="L287" s="179"/>
      <c r="M287" s="179"/>
      <c r="N287" s="179"/>
      <c r="O287" s="179"/>
      <c r="P287" s="179"/>
      <c r="Q287" s="179"/>
      <c r="R287" s="176"/>
      <c r="S287" s="179"/>
      <c r="T287" s="179"/>
      <c r="U287" s="179"/>
      <c r="V287" s="179"/>
      <c r="W287" s="179"/>
      <c r="X287" s="179"/>
      <c r="Y287" s="179"/>
      <c r="Z287" s="179"/>
      <c r="AA287" s="179"/>
      <c r="AB287" s="179"/>
      <c r="AC287" s="179"/>
      <c r="AD287" s="179"/>
      <c r="AE287" s="175"/>
      <c r="AF287" s="175"/>
      <c r="AG287" s="240"/>
      <c r="AH287" s="175"/>
      <c r="AI287" s="175"/>
      <c r="AJ287" s="175"/>
      <c r="AK287" s="175"/>
      <c r="AL287" s="175"/>
      <c r="AM287" s="175"/>
      <c r="AN287" s="178"/>
      <c r="AO287" s="178"/>
      <c r="AP287" s="178"/>
      <c r="AQ287" s="178"/>
      <c r="AR287" s="178"/>
      <c r="AS287" s="178"/>
      <c r="AT287" s="178"/>
      <c r="AU287" s="178"/>
      <c r="AV287" s="178"/>
      <c r="AW287" s="178"/>
      <c r="AX287" s="178"/>
    </row>
    <row r="288" spans="1:51" x14ac:dyDescent="0.25">
      <c r="A288" s="175"/>
      <c r="B288" s="175"/>
      <c r="C288" s="175"/>
      <c r="D288" s="175"/>
      <c r="E288" s="175"/>
      <c r="F288" s="175"/>
      <c r="G288" s="175"/>
      <c r="H288" s="175"/>
      <c r="I288" s="175"/>
      <c r="J288" s="175"/>
      <c r="K288" s="175"/>
      <c r="L288" s="175"/>
      <c r="M288" s="175"/>
      <c r="N288" s="175"/>
      <c r="O288" s="175"/>
      <c r="P288" s="175"/>
      <c r="Q288" s="175"/>
      <c r="R288" s="176"/>
      <c r="S288" s="175"/>
      <c r="T288" s="175"/>
      <c r="U288" s="175"/>
      <c r="V288" s="175"/>
      <c r="W288" s="175"/>
      <c r="X288" s="175"/>
      <c r="Y288" s="175"/>
      <c r="Z288" s="175"/>
      <c r="AA288" s="175"/>
      <c r="AB288" s="175"/>
      <c r="AC288" s="179"/>
      <c r="AD288" s="175"/>
      <c r="AE288" s="175"/>
      <c r="AF288" s="175"/>
      <c r="AG288" s="240"/>
      <c r="AH288" s="175"/>
      <c r="AI288" s="175"/>
      <c r="AJ288" s="175"/>
      <c r="AK288" s="175"/>
      <c r="AL288" s="175"/>
      <c r="AM288" s="175"/>
      <c r="AN288" s="178"/>
      <c r="AO288" s="178"/>
      <c r="AP288" s="178"/>
      <c r="AQ288" s="178"/>
      <c r="AR288" s="178"/>
      <c r="AS288" s="178"/>
      <c r="AT288" s="178"/>
      <c r="AU288" s="178"/>
      <c r="AV288" s="178"/>
      <c r="AW288" s="178"/>
      <c r="AX288" s="178"/>
    </row>
    <row r="289" spans="1:50" x14ac:dyDescent="0.25">
      <c r="A289" s="175"/>
      <c r="B289" s="175"/>
      <c r="C289" s="175"/>
      <c r="D289" s="175"/>
      <c r="E289" s="175"/>
      <c r="F289" s="175"/>
      <c r="G289" s="175"/>
      <c r="H289" s="175"/>
      <c r="I289" s="175"/>
      <c r="J289" s="175"/>
      <c r="K289" s="175"/>
      <c r="L289" s="175"/>
      <c r="M289" s="175"/>
      <c r="N289" s="175"/>
      <c r="O289" s="175"/>
      <c r="P289" s="175"/>
      <c r="Q289" s="175"/>
      <c r="R289" s="176"/>
      <c r="S289" s="175"/>
      <c r="T289" s="175"/>
      <c r="U289" s="175"/>
      <c r="V289" s="175"/>
      <c r="W289" s="175"/>
      <c r="X289" s="175"/>
      <c r="Y289" s="175"/>
      <c r="Z289" s="175"/>
      <c r="AA289" s="175"/>
      <c r="AB289" s="175"/>
      <c r="AC289" s="179"/>
      <c r="AD289" s="175"/>
      <c r="AE289" s="175"/>
      <c r="AF289" s="175"/>
      <c r="AG289" s="240"/>
      <c r="AH289" s="175"/>
      <c r="AI289" s="175"/>
      <c r="AJ289" s="175"/>
      <c r="AK289" s="175"/>
      <c r="AL289" s="175"/>
      <c r="AM289" s="175"/>
      <c r="AN289" s="178"/>
      <c r="AO289" s="178"/>
      <c r="AP289" s="178"/>
      <c r="AQ289" s="178"/>
      <c r="AR289" s="178"/>
      <c r="AS289" s="178"/>
      <c r="AT289" s="178"/>
      <c r="AU289" s="178"/>
      <c r="AV289" s="178"/>
      <c r="AW289" s="178"/>
      <c r="AX289" s="178"/>
    </row>
    <row r="290" spans="1:50" x14ac:dyDescent="0.25">
      <c r="A290" s="175"/>
      <c r="B290" s="175"/>
      <c r="C290" s="175"/>
      <c r="D290" s="175"/>
      <c r="E290" s="175"/>
      <c r="F290" s="175"/>
      <c r="G290" s="175"/>
      <c r="H290" s="175"/>
      <c r="I290" s="175"/>
      <c r="J290" s="175"/>
      <c r="K290" s="175"/>
      <c r="L290" s="175"/>
      <c r="M290" s="175"/>
      <c r="N290" s="175"/>
      <c r="O290" s="175"/>
      <c r="P290" s="175"/>
      <c r="Q290" s="175"/>
      <c r="R290" s="176"/>
      <c r="S290" s="175"/>
      <c r="T290" s="175"/>
      <c r="U290" s="175"/>
      <c r="V290" s="175"/>
      <c r="W290" s="175"/>
      <c r="X290" s="175"/>
      <c r="Y290" s="175"/>
      <c r="Z290" s="175"/>
      <c r="AA290" s="175"/>
      <c r="AB290" s="175"/>
      <c r="AC290" s="175"/>
      <c r="AD290" s="175"/>
      <c r="AE290" s="175"/>
      <c r="AF290" s="175"/>
      <c r="AG290" s="240"/>
      <c r="AH290" s="175"/>
      <c r="AI290" s="175"/>
      <c r="AJ290" s="175"/>
      <c r="AK290" s="175"/>
      <c r="AL290" s="175"/>
      <c r="AM290" s="175"/>
      <c r="AN290" s="178"/>
      <c r="AO290" s="178"/>
      <c r="AP290" s="178"/>
      <c r="AQ290" s="178"/>
      <c r="AR290" s="178"/>
      <c r="AS290" s="178"/>
      <c r="AT290" s="178"/>
      <c r="AU290" s="178"/>
      <c r="AV290" s="178"/>
      <c r="AW290" s="178"/>
      <c r="AX290" s="178"/>
    </row>
    <row r="291" spans="1:50" x14ac:dyDescent="0.25">
      <c r="A291" s="175"/>
      <c r="B291" s="175"/>
      <c r="C291" s="175"/>
      <c r="D291" s="175"/>
      <c r="E291" s="175"/>
      <c r="F291" s="175"/>
      <c r="G291" s="175"/>
      <c r="H291" s="175"/>
      <c r="I291" s="175"/>
      <c r="J291" s="175"/>
      <c r="K291" s="175"/>
      <c r="L291" s="175"/>
      <c r="M291" s="175"/>
      <c r="N291" s="175"/>
      <c r="O291" s="175"/>
      <c r="P291" s="175"/>
      <c r="Q291" s="175"/>
      <c r="R291" s="176"/>
      <c r="S291" s="175"/>
      <c r="T291" s="175"/>
      <c r="U291" s="175"/>
      <c r="V291" s="175"/>
      <c r="W291" s="175"/>
      <c r="X291" s="175"/>
      <c r="Y291" s="175"/>
      <c r="Z291" s="175"/>
      <c r="AA291" s="175"/>
      <c r="AB291" s="175"/>
      <c r="AC291" s="175"/>
      <c r="AD291" s="175"/>
      <c r="AE291" s="175"/>
      <c r="AF291" s="175"/>
      <c r="AG291" s="240"/>
      <c r="AH291" s="175"/>
      <c r="AI291" s="175"/>
      <c r="AJ291" s="175"/>
      <c r="AK291" s="175"/>
      <c r="AL291" s="175"/>
      <c r="AM291" s="175"/>
      <c r="AN291" s="178"/>
      <c r="AO291" s="178"/>
      <c r="AP291" s="178"/>
      <c r="AQ291" s="178"/>
      <c r="AR291" s="178"/>
      <c r="AS291" s="178"/>
      <c r="AT291" s="178"/>
      <c r="AU291" s="178"/>
      <c r="AV291" s="178"/>
      <c r="AW291" s="178"/>
      <c r="AX291" s="178"/>
    </row>
    <row r="292" spans="1:50" x14ac:dyDescent="0.25">
      <c r="A292" s="175"/>
      <c r="B292" s="175"/>
      <c r="C292" s="175"/>
      <c r="D292" s="175"/>
      <c r="E292" s="175"/>
      <c r="F292" s="175"/>
      <c r="G292" s="175"/>
      <c r="H292" s="175"/>
      <c r="I292" s="175"/>
      <c r="J292" s="175"/>
      <c r="K292" s="175"/>
      <c r="L292" s="175"/>
      <c r="M292" s="175"/>
      <c r="N292" s="175"/>
      <c r="O292" s="175"/>
      <c r="P292" s="175"/>
      <c r="Q292" s="175"/>
      <c r="R292" s="176"/>
      <c r="S292" s="175"/>
      <c r="T292" s="175"/>
      <c r="U292" s="175"/>
      <c r="V292" s="175"/>
      <c r="W292" s="175"/>
      <c r="X292" s="175"/>
      <c r="Y292" s="175"/>
      <c r="Z292" s="175"/>
      <c r="AA292" s="175"/>
      <c r="AB292" s="175"/>
      <c r="AC292" s="175"/>
      <c r="AD292" s="175"/>
      <c r="AE292" s="175"/>
      <c r="AF292" s="175"/>
      <c r="AG292" s="240"/>
      <c r="AH292" s="175"/>
      <c r="AI292" s="175"/>
      <c r="AJ292" s="175"/>
      <c r="AK292" s="175"/>
      <c r="AL292" s="175"/>
      <c r="AM292" s="175"/>
      <c r="AN292" s="178"/>
      <c r="AO292" s="178"/>
      <c r="AP292" s="178"/>
      <c r="AQ292" s="178"/>
      <c r="AR292" s="178"/>
      <c r="AS292" s="178"/>
      <c r="AT292" s="178"/>
      <c r="AU292" s="178"/>
      <c r="AV292" s="178"/>
      <c r="AW292" s="178"/>
      <c r="AX292" s="178"/>
    </row>
    <row r="293" spans="1:50" x14ac:dyDescent="0.25">
      <c r="A293" s="175"/>
      <c r="B293" s="175"/>
      <c r="C293" s="175"/>
      <c r="D293" s="175"/>
      <c r="E293" s="175"/>
      <c r="F293" s="175"/>
      <c r="G293" s="175"/>
      <c r="H293" s="175"/>
      <c r="I293" s="175"/>
      <c r="J293" s="175"/>
      <c r="K293" s="175"/>
      <c r="L293" s="175"/>
      <c r="M293" s="175"/>
      <c r="N293" s="175"/>
      <c r="O293" s="175"/>
      <c r="P293" s="175"/>
      <c r="Q293" s="175"/>
      <c r="R293" s="176"/>
      <c r="S293" s="175"/>
      <c r="T293" s="175"/>
      <c r="U293" s="175"/>
      <c r="V293" s="175"/>
      <c r="W293" s="175"/>
      <c r="X293" s="175"/>
      <c r="Y293" s="175"/>
      <c r="Z293" s="175"/>
      <c r="AA293" s="175"/>
      <c r="AB293" s="175"/>
      <c r="AC293" s="175"/>
      <c r="AD293" s="175"/>
      <c r="AE293" s="175"/>
      <c r="AF293" s="175"/>
      <c r="AG293" s="240"/>
      <c r="AH293" s="175"/>
      <c r="AI293" s="175"/>
      <c r="AJ293" s="175"/>
      <c r="AK293" s="175"/>
      <c r="AL293" s="175"/>
      <c r="AM293" s="175"/>
      <c r="AN293" s="178"/>
      <c r="AO293" s="178"/>
      <c r="AP293" s="178"/>
      <c r="AQ293" s="178"/>
      <c r="AR293" s="178"/>
      <c r="AS293" s="178"/>
      <c r="AT293" s="178"/>
      <c r="AU293" s="178"/>
      <c r="AV293" s="178"/>
      <c r="AW293" s="178"/>
      <c r="AX293" s="178"/>
    </row>
    <row r="294" spans="1:50" x14ac:dyDescent="0.25">
      <c r="A294" s="175"/>
      <c r="B294" s="175"/>
      <c r="C294" s="175"/>
      <c r="D294" s="175"/>
      <c r="E294" s="175"/>
      <c r="F294" s="175"/>
      <c r="G294" s="175"/>
      <c r="H294" s="175"/>
      <c r="I294" s="175"/>
      <c r="J294" s="175"/>
      <c r="K294" s="175"/>
      <c r="L294" s="175"/>
      <c r="M294" s="175"/>
      <c r="N294" s="175"/>
      <c r="O294" s="175"/>
      <c r="P294" s="175"/>
      <c r="Q294" s="175"/>
      <c r="R294" s="176"/>
      <c r="S294" s="175"/>
      <c r="T294" s="175"/>
      <c r="U294" s="175"/>
      <c r="V294" s="175"/>
      <c r="W294" s="175"/>
      <c r="X294" s="175"/>
      <c r="Y294" s="175"/>
      <c r="Z294" s="175"/>
      <c r="AA294" s="175"/>
      <c r="AB294" s="175"/>
      <c r="AC294" s="175"/>
      <c r="AD294" s="175"/>
      <c r="AE294" s="175"/>
      <c r="AF294" s="175"/>
      <c r="AG294" s="240"/>
      <c r="AH294" s="175"/>
      <c r="AI294" s="175"/>
      <c r="AJ294" s="175"/>
      <c r="AK294" s="175"/>
      <c r="AL294" s="175"/>
      <c r="AM294" s="175"/>
      <c r="AN294" s="178"/>
      <c r="AO294" s="178"/>
      <c r="AP294" s="178"/>
      <c r="AQ294" s="178"/>
      <c r="AR294" s="178"/>
      <c r="AS294" s="178"/>
      <c r="AT294" s="178"/>
      <c r="AU294" s="178"/>
      <c r="AV294" s="178"/>
      <c r="AW294" s="178"/>
      <c r="AX294" s="178"/>
    </row>
    <row r="295" spans="1:50" x14ac:dyDescent="0.25">
      <c r="R295" s="176"/>
      <c r="S295" s="175"/>
      <c r="T295" s="175"/>
      <c r="U295" s="175"/>
      <c r="V295" s="175"/>
      <c r="W295" s="175"/>
      <c r="X295" s="175"/>
      <c r="Y295" s="175"/>
      <c r="Z295" s="175"/>
      <c r="AA295" s="175"/>
      <c r="AB295" s="175"/>
      <c r="AC295" s="175"/>
      <c r="AD295" s="175"/>
    </row>
    <row r="296" spans="1:50" x14ac:dyDescent="0.25">
      <c r="R296" s="176"/>
      <c r="S296" s="175"/>
      <c r="T296" s="175"/>
      <c r="U296" s="175"/>
      <c r="V296" s="175"/>
      <c r="W296" s="175"/>
      <c r="X296" s="175"/>
      <c r="Y296" s="175"/>
      <c r="Z296" s="175"/>
      <c r="AA296" s="175"/>
      <c r="AB296" s="175"/>
      <c r="AC296" s="175"/>
      <c r="AD296" s="175"/>
    </row>
    <row r="297" spans="1:50" x14ac:dyDescent="0.25">
      <c r="R297" s="176"/>
      <c r="S297" s="175"/>
      <c r="T297" s="175"/>
      <c r="U297" s="175"/>
      <c r="V297" s="175"/>
      <c r="W297" s="175"/>
      <c r="X297" s="175"/>
      <c r="Y297" s="175"/>
      <c r="Z297" s="175"/>
      <c r="AA297" s="175"/>
      <c r="AB297" s="175"/>
      <c r="AC297" s="175"/>
      <c r="AD297" s="175"/>
    </row>
    <row r="298" spans="1:50" x14ac:dyDescent="0.25">
      <c r="R298" s="176"/>
      <c r="S298" s="175"/>
      <c r="T298" s="175"/>
      <c r="U298" s="175"/>
      <c r="V298" s="175"/>
      <c r="W298" s="175"/>
      <c r="X298" s="175"/>
      <c r="Y298" s="175"/>
      <c r="Z298" s="175"/>
      <c r="AA298" s="175"/>
      <c r="AB298" s="175"/>
      <c r="AC298" s="175"/>
      <c r="AD298" s="175"/>
    </row>
    <row r="299" spans="1:50" x14ac:dyDescent="0.25">
      <c r="R299" s="176"/>
      <c r="S299" s="175"/>
      <c r="T299" s="175"/>
      <c r="U299" s="175"/>
      <c r="V299" s="175"/>
      <c r="W299" s="175"/>
      <c r="X299" s="175"/>
      <c r="Y299" s="175"/>
      <c r="Z299" s="175"/>
      <c r="AA299" s="175"/>
      <c r="AB299" s="175"/>
      <c r="AC299" s="175"/>
      <c r="AD299" s="175"/>
    </row>
    <row r="300" spans="1:50" x14ac:dyDescent="0.25">
      <c r="R300" s="176"/>
      <c r="S300" s="175"/>
      <c r="T300" s="175"/>
      <c r="U300" s="175"/>
      <c r="V300" s="175"/>
      <c r="W300" s="175"/>
      <c r="X300" s="175"/>
      <c r="Y300" s="175"/>
      <c r="Z300" s="175"/>
      <c r="AA300" s="175"/>
      <c r="AB300" s="175"/>
      <c r="AC300" s="175"/>
      <c r="AD300" s="175"/>
    </row>
    <row r="301" spans="1:50" x14ac:dyDescent="0.25">
      <c r="R301" s="176"/>
      <c r="S301" s="175"/>
      <c r="T301" s="175"/>
      <c r="U301" s="175"/>
      <c r="V301" s="175"/>
      <c r="W301" s="175"/>
      <c r="X301" s="175"/>
      <c r="Y301" s="175"/>
      <c r="Z301" s="175"/>
      <c r="AA301" s="175"/>
      <c r="AB301" s="175"/>
      <c r="AC301" s="175"/>
      <c r="AD301" s="175"/>
    </row>
    <row r="302" spans="1:50" x14ac:dyDescent="0.25">
      <c r="R302" s="176"/>
      <c r="S302" s="175"/>
      <c r="T302" s="175"/>
      <c r="U302" s="175"/>
      <c r="V302" s="175"/>
      <c r="W302" s="175"/>
      <c r="X302" s="175"/>
      <c r="Y302" s="175"/>
      <c r="Z302" s="175"/>
      <c r="AA302" s="175"/>
      <c r="AB302" s="175"/>
      <c r="AC302" s="175"/>
      <c r="AD302" s="175"/>
    </row>
    <row r="303" spans="1:50" x14ac:dyDescent="0.25">
      <c r="R303" s="176"/>
      <c r="S303" s="175"/>
      <c r="T303" s="175"/>
      <c r="U303" s="175"/>
      <c r="V303" s="175"/>
      <c r="W303" s="175"/>
      <c r="X303" s="175"/>
      <c r="Y303" s="175"/>
      <c r="Z303" s="175"/>
      <c r="AA303" s="175"/>
      <c r="AB303" s="175"/>
      <c r="AC303" s="175"/>
      <c r="AD303" s="175"/>
    </row>
    <row r="304" spans="1:50" x14ac:dyDescent="0.25">
      <c r="R304" s="176"/>
      <c r="S304" s="175"/>
      <c r="T304" s="175"/>
      <c r="U304" s="175"/>
      <c r="V304" s="175"/>
      <c r="W304" s="175"/>
      <c r="X304" s="175"/>
      <c r="Y304" s="175"/>
      <c r="Z304" s="175"/>
      <c r="AA304" s="175"/>
      <c r="AB304" s="175"/>
      <c r="AC304" s="175"/>
      <c r="AD304" s="175"/>
    </row>
    <row r="305" spans="18:30" x14ac:dyDescent="0.25">
      <c r="R305" s="176"/>
      <c r="S305" s="175"/>
      <c r="T305" s="175"/>
      <c r="U305" s="175"/>
      <c r="V305" s="175"/>
      <c r="W305" s="175"/>
      <c r="X305" s="175"/>
      <c r="Y305" s="175"/>
      <c r="Z305" s="175"/>
      <c r="AA305" s="175"/>
      <c r="AB305" s="175"/>
      <c r="AC305" s="175"/>
      <c r="AD305" s="175"/>
    </row>
    <row r="306" spans="18:30" x14ac:dyDescent="0.25">
      <c r="R306" s="176"/>
      <c r="S306" s="175"/>
      <c r="T306" s="175"/>
      <c r="U306" s="175"/>
      <c r="V306" s="175"/>
      <c r="W306" s="175"/>
      <c r="X306" s="175"/>
      <c r="Y306" s="175"/>
      <c r="Z306" s="175"/>
      <c r="AA306" s="175"/>
      <c r="AB306" s="175"/>
      <c r="AC306" s="175"/>
      <c r="AD306" s="175"/>
    </row>
    <row r="307" spans="18:30" x14ac:dyDescent="0.25">
      <c r="R307" s="176"/>
      <c r="S307" s="175"/>
      <c r="T307" s="175"/>
      <c r="U307" s="175"/>
      <c r="V307" s="175"/>
      <c r="W307" s="175"/>
      <c r="X307" s="175"/>
      <c r="Y307" s="175"/>
      <c r="Z307" s="175"/>
      <c r="AA307" s="175"/>
      <c r="AB307" s="175"/>
      <c r="AC307" s="175"/>
      <c r="AD307" s="175"/>
    </row>
    <row r="308" spans="18:30" x14ac:dyDescent="0.25">
      <c r="R308" s="176"/>
      <c r="S308" s="175"/>
      <c r="T308" s="175"/>
      <c r="U308" s="175"/>
      <c r="V308" s="175"/>
      <c r="W308" s="175"/>
      <c r="X308" s="175"/>
      <c r="Y308" s="175"/>
      <c r="Z308" s="175"/>
      <c r="AA308" s="175"/>
      <c r="AB308" s="175"/>
      <c r="AC308" s="175"/>
      <c r="AD308" s="175"/>
    </row>
    <row r="309" spans="18:30" x14ac:dyDescent="0.25">
      <c r="R309" s="176"/>
      <c r="S309" s="175"/>
      <c r="T309" s="175"/>
      <c r="U309" s="175"/>
      <c r="V309" s="175"/>
      <c r="W309" s="175"/>
      <c r="X309" s="175"/>
      <c r="Y309" s="175"/>
      <c r="Z309" s="175"/>
      <c r="AA309" s="175"/>
      <c r="AB309" s="175"/>
      <c r="AC309" s="175"/>
      <c r="AD309" s="175"/>
    </row>
    <row r="310" spans="18:30" x14ac:dyDescent="0.25">
      <c r="R310" s="176"/>
      <c r="S310" s="175"/>
      <c r="T310" s="175"/>
      <c r="U310" s="175"/>
      <c r="V310" s="175"/>
      <c r="W310" s="175"/>
      <c r="X310" s="175"/>
      <c r="Y310" s="175"/>
      <c r="Z310" s="175"/>
      <c r="AA310" s="175"/>
      <c r="AB310" s="175"/>
      <c r="AC310" s="175"/>
      <c r="AD310" s="175"/>
    </row>
    <row r="311" spans="18:30" x14ac:dyDescent="0.25">
      <c r="R311" s="176"/>
      <c r="S311" s="175"/>
      <c r="T311" s="175"/>
      <c r="U311" s="175"/>
      <c r="V311" s="175"/>
      <c r="W311" s="175"/>
      <c r="X311" s="175"/>
      <c r="Y311" s="175"/>
      <c r="Z311" s="175"/>
      <c r="AA311" s="175"/>
      <c r="AB311" s="175"/>
      <c r="AC311" s="175"/>
      <c r="AD311" s="175"/>
    </row>
    <row r="312" spans="18:30" x14ac:dyDescent="0.25">
      <c r="R312" s="176"/>
      <c r="S312" s="175"/>
      <c r="T312" s="175"/>
      <c r="U312" s="175"/>
      <c r="V312" s="175"/>
      <c r="W312" s="175"/>
      <c r="X312" s="175"/>
      <c r="Y312" s="175"/>
      <c r="Z312" s="175"/>
      <c r="AA312" s="175"/>
      <c r="AB312" s="175"/>
      <c r="AC312" s="175"/>
      <c r="AD312" s="175"/>
    </row>
    <row r="313" spans="18:30" x14ac:dyDescent="0.25">
      <c r="R313" s="176"/>
      <c r="S313" s="175"/>
      <c r="T313" s="175"/>
      <c r="U313" s="175"/>
      <c r="V313" s="175"/>
      <c r="W313" s="175"/>
      <c r="X313" s="175"/>
      <c r="Y313" s="175"/>
      <c r="Z313" s="175"/>
      <c r="AA313" s="175"/>
      <c r="AB313" s="175"/>
      <c r="AC313" s="175"/>
      <c r="AD313" s="175"/>
    </row>
    <row r="314" spans="18:30" x14ac:dyDescent="0.25">
      <c r="R314" s="176"/>
      <c r="S314" s="175"/>
      <c r="T314" s="175"/>
      <c r="U314" s="175"/>
      <c r="V314" s="175"/>
      <c r="W314" s="175"/>
      <c r="X314" s="175"/>
      <c r="Y314" s="175"/>
      <c r="Z314" s="175"/>
      <c r="AA314" s="175"/>
      <c r="AB314" s="175"/>
      <c r="AC314" s="175"/>
      <c r="AD314" s="175"/>
    </row>
    <row r="315" spans="18:30" x14ac:dyDescent="0.25">
      <c r="R315" s="176"/>
      <c r="S315" s="175"/>
      <c r="T315" s="175"/>
      <c r="U315" s="175"/>
      <c r="V315" s="175"/>
      <c r="W315" s="175"/>
      <c r="X315" s="175"/>
      <c r="Y315" s="175"/>
      <c r="Z315" s="175"/>
      <c r="AA315" s="175"/>
      <c r="AB315" s="175"/>
      <c r="AC315" s="175"/>
      <c r="AD315" s="175"/>
    </row>
    <row r="316" spans="18:30" x14ac:dyDescent="0.25">
      <c r="R316" s="176"/>
      <c r="S316" s="175"/>
      <c r="T316" s="175"/>
      <c r="U316" s="175"/>
      <c r="V316" s="175"/>
      <c r="W316" s="175"/>
      <c r="X316" s="175"/>
      <c r="Y316" s="175"/>
      <c r="Z316" s="175"/>
      <c r="AA316" s="175"/>
      <c r="AB316" s="175"/>
      <c r="AC316" s="175"/>
      <c r="AD316" s="175"/>
    </row>
    <row r="317" spans="18:30" x14ac:dyDescent="0.25">
      <c r="R317" s="176"/>
      <c r="S317" s="175"/>
      <c r="T317" s="175"/>
      <c r="U317" s="175"/>
      <c r="V317" s="175"/>
      <c r="W317" s="175"/>
      <c r="X317" s="175"/>
      <c r="Y317" s="175"/>
      <c r="Z317" s="175"/>
      <c r="AA317" s="175"/>
      <c r="AB317" s="175"/>
      <c r="AC317" s="175"/>
      <c r="AD317" s="175"/>
    </row>
    <row r="318" spans="18:30" x14ac:dyDescent="0.25">
      <c r="R318" s="176"/>
      <c r="S318" s="175"/>
      <c r="T318" s="175"/>
      <c r="U318" s="175"/>
      <c r="V318" s="175"/>
      <c r="W318" s="175"/>
      <c r="X318" s="175"/>
      <c r="Y318" s="175"/>
      <c r="Z318" s="175"/>
      <c r="AA318" s="175"/>
      <c r="AB318" s="175"/>
      <c r="AC318" s="175"/>
      <c r="AD318" s="175"/>
    </row>
    <row r="319" spans="18:30" x14ac:dyDescent="0.25">
      <c r="R319" s="176"/>
      <c r="S319" s="175"/>
      <c r="T319" s="175"/>
      <c r="U319" s="175"/>
      <c r="V319" s="175"/>
      <c r="W319" s="175"/>
      <c r="X319" s="175"/>
      <c r="Y319" s="175"/>
      <c r="Z319" s="175"/>
      <c r="AA319" s="175"/>
      <c r="AB319" s="175"/>
      <c r="AC319" s="175"/>
      <c r="AD319" s="175"/>
    </row>
    <row r="320" spans="18:30" x14ac:dyDescent="0.25">
      <c r="R320" s="176"/>
      <c r="S320" s="175"/>
      <c r="T320" s="175"/>
      <c r="U320" s="175"/>
      <c r="V320" s="175"/>
      <c r="W320" s="175"/>
      <c r="X320" s="175"/>
      <c r="Y320" s="175"/>
      <c r="Z320" s="175"/>
      <c r="AA320" s="175"/>
      <c r="AB320" s="175"/>
      <c r="AC320" s="175"/>
      <c r="AD320" s="175"/>
    </row>
    <row r="321" spans="18:30" x14ac:dyDescent="0.25">
      <c r="R321" s="176"/>
      <c r="S321" s="175"/>
      <c r="T321" s="175"/>
      <c r="U321" s="175"/>
      <c r="V321" s="175"/>
      <c r="W321" s="175"/>
      <c r="X321" s="175"/>
      <c r="Y321" s="175"/>
      <c r="Z321" s="175"/>
      <c r="AA321" s="175"/>
      <c r="AB321" s="175"/>
      <c r="AC321" s="175"/>
      <c r="AD321" s="175"/>
    </row>
    <row r="322" spans="18:30" x14ac:dyDescent="0.25">
      <c r="R322" s="176"/>
      <c r="S322" s="175"/>
      <c r="T322" s="175"/>
      <c r="U322" s="175"/>
      <c r="V322" s="175"/>
      <c r="W322" s="175"/>
      <c r="X322" s="175"/>
      <c r="Y322" s="175"/>
      <c r="Z322" s="175"/>
      <c r="AA322" s="175"/>
      <c r="AB322" s="175"/>
      <c r="AC322" s="175"/>
      <c r="AD322" s="175"/>
    </row>
    <row r="323" spans="18:30" x14ac:dyDescent="0.25">
      <c r="R323" s="176"/>
      <c r="S323" s="175"/>
      <c r="T323" s="175"/>
      <c r="U323" s="175"/>
      <c r="V323" s="175"/>
      <c r="W323" s="175"/>
      <c r="X323" s="175"/>
      <c r="Y323" s="175"/>
      <c r="Z323" s="175"/>
      <c r="AA323" s="175"/>
      <c r="AB323" s="175"/>
      <c r="AC323" s="175"/>
      <c r="AD323" s="175"/>
    </row>
    <row r="324" spans="18:30" x14ac:dyDescent="0.25">
      <c r="R324" s="176"/>
      <c r="S324" s="175"/>
      <c r="T324" s="175"/>
      <c r="U324" s="175"/>
      <c r="V324" s="175"/>
      <c r="W324" s="175"/>
      <c r="X324" s="175"/>
      <c r="Y324" s="175"/>
      <c r="Z324" s="175"/>
      <c r="AA324" s="175"/>
      <c r="AB324" s="175"/>
      <c r="AC324" s="175"/>
      <c r="AD324" s="175"/>
    </row>
    <row r="325" spans="18:30" x14ac:dyDescent="0.25">
      <c r="R325" s="176"/>
      <c r="S325" s="175"/>
      <c r="T325" s="175"/>
      <c r="U325" s="175"/>
      <c r="V325" s="175"/>
      <c r="W325" s="175"/>
      <c r="X325" s="175"/>
      <c r="Y325" s="175"/>
      <c r="Z325" s="175"/>
      <c r="AA325" s="175"/>
      <c r="AB325" s="175"/>
      <c r="AC325" s="175"/>
      <c r="AD325" s="175"/>
    </row>
    <row r="326" spans="18:30" x14ac:dyDescent="0.25">
      <c r="R326" s="176"/>
      <c r="S326" s="175"/>
      <c r="T326" s="175"/>
      <c r="U326" s="175"/>
      <c r="V326" s="175"/>
      <c r="W326" s="175"/>
      <c r="X326" s="175"/>
      <c r="Y326" s="175"/>
      <c r="Z326" s="175"/>
      <c r="AA326" s="175"/>
      <c r="AB326" s="175"/>
      <c r="AC326" s="175"/>
      <c r="AD326" s="175"/>
    </row>
    <row r="327" spans="18:30" x14ac:dyDescent="0.25">
      <c r="R327" s="176"/>
      <c r="S327" s="175"/>
      <c r="T327" s="175"/>
      <c r="U327" s="175"/>
      <c r="V327" s="175"/>
      <c r="W327" s="175"/>
      <c r="X327" s="175"/>
      <c r="Y327" s="175"/>
      <c r="Z327" s="175"/>
      <c r="AA327" s="175"/>
      <c r="AB327" s="175"/>
      <c r="AC327" s="175"/>
      <c r="AD327" s="175"/>
    </row>
    <row r="328" spans="18:30" x14ac:dyDescent="0.25">
      <c r="R328" s="176"/>
      <c r="S328" s="175"/>
      <c r="T328" s="175"/>
      <c r="U328" s="175"/>
      <c r="V328" s="175"/>
      <c r="W328" s="175"/>
      <c r="X328" s="175"/>
      <c r="Y328" s="175"/>
      <c r="Z328" s="175"/>
      <c r="AA328" s="175"/>
      <c r="AB328" s="175"/>
      <c r="AC328" s="175"/>
      <c r="AD328" s="175"/>
    </row>
    <row r="329" spans="18:30" x14ac:dyDescent="0.25">
      <c r="R329" s="176"/>
      <c r="S329" s="175"/>
      <c r="T329" s="175"/>
      <c r="U329" s="175"/>
      <c r="V329" s="175"/>
      <c r="W329" s="175"/>
      <c r="X329" s="175"/>
      <c r="Y329" s="175"/>
      <c r="Z329" s="175"/>
      <c r="AA329" s="175"/>
      <c r="AB329" s="175"/>
      <c r="AC329" s="175"/>
      <c r="AD329" s="175"/>
    </row>
    <row r="330" spans="18:30" x14ac:dyDescent="0.25">
      <c r="R330" s="176"/>
      <c r="S330" s="175"/>
      <c r="T330" s="175"/>
      <c r="U330" s="175"/>
      <c r="V330" s="175"/>
      <c r="W330" s="175"/>
      <c r="X330" s="175"/>
      <c r="Y330" s="175"/>
      <c r="Z330" s="175"/>
      <c r="AA330" s="175"/>
      <c r="AB330" s="175"/>
      <c r="AC330" s="175"/>
      <c r="AD330" s="175"/>
    </row>
    <row r="331" spans="18:30" x14ac:dyDescent="0.25">
      <c r="R331" s="176"/>
      <c r="S331" s="175"/>
      <c r="T331" s="175"/>
      <c r="U331" s="175"/>
      <c r="V331" s="175"/>
      <c r="W331" s="175"/>
      <c r="X331" s="175"/>
      <c r="Y331" s="175"/>
      <c r="Z331" s="175"/>
      <c r="AA331" s="175"/>
      <c r="AB331" s="175"/>
      <c r="AC331" s="175"/>
      <c r="AD331" s="175"/>
    </row>
    <row r="332" spans="18:30" x14ac:dyDescent="0.25">
      <c r="R332" s="176"/>
      <c r="S332" s="175"/>
      <c r="T332" s="175"/>
      <c r="U332" s="175"/>
      <c r="V332" s="175"/>
      <c r="W332" s="175"/>
      <c r="X332" s="175"/>
      <c r="Y332" s="175"/>
      <c r="Z332" s="175"/>
      <c r="AA332" s="175"/>
      <c r="AB332" s="175"/>
      <c r="AC332" s="175"/>
      <c r="AD332" s="175"/>
    </row>
    <row r="333" spans="18:30" x14ac:dyDescent="0.25">
      <c r="R333" s="176"/>
      <c r="S333" s="175"/>
      <c r="T333" s="175"/>
      <c r="U333" s="175"/>
      <c r="V333" s="175"/>
      <c r="W333" s="175"/>
      <c r="X333" s="175"/>
      <c r="Y333" s="175"/>
      <c r="Z333" s="175"/>
      <c r="AA333" s="175"/>
      <c r="AB333" s="175"/>
      <c r="AC333" s="175"/>
      <c r="AD333" s="175"/>
    </row>
    <row r="334" spans="18:30" x14ac:dyDescent="0.25">
      <c r="R334" s="176"/>
      <c r="S334" s="175"/>
      <c r="T334" s="175"/>
      <c r="U334" s="175"/>
      <c r="V334" s="175"/>
      <c r="W334" s="175"/>
      <c r="X334" s="175"/>
      <c r="Y334" s="175"/>
      <c r="Z334" s="175"/>
      <c r="AA334" s="175"/>
      <c r="AB334" s="175"/>
      <c r="AC334" s="175"/>
      <c r="AD334" s="175"/>
    </row>
    <row r="335" spans="18:30" x14ac:dyDescent="0.25">
      <c r="R335" s="176"/>
      <c r="S335" s="175"/>
      <c r="T335" s="175"/>
      <c r="U335" s="175"/>
      <c r="V335" s="175"/>
      <c r="W335" s="175"/>
      <c r="X335" s="175"/>
      <c r="Y335" s="175"/>
      <c r="Z335" s="175"/>
      <c r="AA335" s="175"/>
      <c r="AB335" s="175"/>
      <c r="AC335" s="175"/>
      <c r="AD335" s="175"/>
    </row>
    <row r="336" spans="18:30" x14ac:dyDescent="0.25">
      <c r="R336" s="176"/>
      <c r="S336" s="175"/>
      <c r="T336" s="175"/>
      <c r="U336" s="175"/>
      <c r="V336" s="175"/>
      <c r="W336" s="175"/>
      <c r="X336" s="175"/>
      <c r="Y336" s="175"/>
      <c r="Z336" s="175"/>
      <c r="AA336" s="175"/>
      <c r="AB336" s="175"/>
      <c r="AC336" s="175"/>
      <c r="AD336" s="175"/>
    </row>
    <row r="337" spans="18:30" x14ac:dyDescent="0.25">
      <c r="R337" s="176"/>
      <c r="S337" s="175"/>
      <c r="T337" s="175"/>
      <c r="U337" s="175"/>
      <c r="V337" s="175"/>
      <c r="W337" s="175"/>
      <c r="X337" s="175"/>
      <c r="Y337" s="175"/>
      <c r="Z337" s="175"/>
      <c r="AA337" s="175"/>
      <c r="AB337" s="175"/>
      <c r="AC337" s="175"/>
      <c r="AD337" s="175"/>
    </row>
    <row r="338" spans="18:30" x14ac:dyDescent="0.25">
      <c r="R338" s="176"/>
      <c r="S338" s="175"/>
      <c r="T338" s="175"/>
      <c r="U338" s="175"/>
      <c r="V338" s="175"/>
      <c r="W338" s="175"/>
      <c r="X338" s="175"/>
      <c r="Y338" s="175"/>
      <c r="Z338" s="175"/>
      <c r="AA338" s="175"/>
      <c r="AB338" s="175"/>
      <c r="AC338" s="175"/>
      <c r="AD338" s="175"/>
    </row>
    <row r="339" spans="18:30" x14ac:dyDescent="0.25">
      <c r="R339" s="176"/>
      <c r="S339" s="175"/>
      <c r="T339" s="175"/>
      <c r="U339" s="175"/>
      <c r="V339" s="175"/>
      <c r="W339" s="175"/>
      <c r="X339" s="175"/>
      <c r="Y339" s="175"/>
      <c r="Z339" s="175"/>
      <c r="AA339" s="175"/>
      <c r="AB339" s="175"/>
      <c r="AC339" s="175"/>
      <c r="AD339" s="175"/>
    </row>
    <row r="340" spans="18:30" x14ac:dyDescent="0.25">
      <c r="R340" s="176"/>
      <c r="S340" s="175"/>
      <c r="T340" s="175"/>
      <c r="U340" s="175"/>
      <c r="V340" s="175"/>
      <c r="W340" s="175"/>
      <c r="X340" s="175"/>
      <c r="Y340" s="175"/>
      <c r="Z340" s="175"/>
      <c r="AA340" s="175"/>
      <c r="AB340" s="175"/>
      <c r="AC340" s="175"/>
      <c r="AD340" s="175"/>
    </row>
    <row r="341" spans="18:30" x14ac:dyDescent="0.25">
      <c r="R341" s="176"/>
      <c r="S341" s="175"/>
      <c r="T341" s="175"/>
      <c r="U341" s="175"/>
      <c r="V341" s="175"/>
      <c r="W341" s="175"/>
      <c r="X341" s="175"/>
      <c r="Y341" s="175"/>
      <c r="Z341" s="175"/>
      <c r="AA341" s="175"/>
      <c r="AB341" s="175"/>
      <c r="AC341" s="175"/>
      <c r="AD341" s="175"/>
    </row>
    <row r="342" spans="18:30" x14ac:dyDescent="0.25">
      <c r="R342" s="176"/>
      <c r="S342" s="175"/>
      <c r="T342" s="175"/>
      <c r="U342" s="175"/>
      <c r="V342" s="175"/>
      <c r="W342" s="175"/>
      <c r="X342" s="175"/>
      <c r="Y342" s="175"/>
      <c r="Z342" s="175"/>
      <c r="AA342" s="175"/>
      <c r="AB342" s="175"/>
      <c r="AC342" s="175"/>
      <c r="AD342" s="175"/>
    </row>
    <row r="343" spans="18:30" x14ac:dyDescent="0.25">
      <c r="R343" s="176"/>
      <c r="S343" s="175"/>
      <c r="T343" s="175"/>
      <c r="U343" s="175"/>
      <c r="V343" s="175"/>
      <c r="W343" s="175"/>
      <c r="X343" s="175"/>
      <c r="Y343" s="175"/>
      <c r="Z343" s="175"/>
      <c r="AA343" s="175"/>
      <c r="AB343" s="175"/>
      <c r="AC343" s="175"/>
      <c r="AD343" s="175"/>
    </row>
    <row r="344" spans="18:30" x14ac:dyDescent="0.25">
      <c r="R344" s="176"/>
      <c r="S344" s="175"/>
      <c r="T344" s="175"/>
      <c r="U344" s="175"/>
      <c r="V344" s="175"/>
      <c r="W344" s="175"/>
      <c r="X344" s="175"/>
      <c r="Y344" s="175"/>
      <c r="Z344" s="175"/>
      <c r="AA344" s="175"/>
      <c r="AB344" s="175"/>
      <c r="AC344" s="175"/>
      <c r="AD344" s="175"/>
    </row>
    <row r="345" spans="18:30" x14ac:dyDescent="0.25">
      <c r="R345" s="176"/>
      <c r="S345" s="175"/>
      <c r="T345" s="175"/>
      <c r="U345" s="175"/>
      <c r="V345" s="175"/>
      <c r="W345" s="175"/>
      <c r="X345" s="175"/>
      <c r="Y345" s="175"/>
      <c r="Z345" s="175"/>
      <c r="AA345" s="175"/>
      <c r="AB345" s="175"/>
      <c r="AC345" s="175"/>
      <c r="AD345" s="175"/>
    </row>
    <row r="346" spans="18:30" x14ac:dyDescent="0.25">
      <c r="R346" s="176"/>
      <c r="S346" s="175"/>
      <c r="T346" s="175"/>
      <c r="U346" s="175"/>
      <c r="V346" s="175"/>
      <c r="W346" s="175"/>
      <c r="X346" s="175"/>
      <c r="Y346" s="175"/>
      <c r="Z346" s="175"/>
      <c r="AA346" s="175"/>
      <c r="AB346" s="175"/>
      <c r="AC346" s="175"/>
      <c r="AD346" s="175"/>
    </row>
    <row r="347" spans="18:30" x14ac:dyDescent="0.25">
      <c r="R347" s="176"/>
      <c r="S347" s="175"/>
      <c r="T347" s="175"/>
      <c r="U347" s="175"/>
      <c r="V347" s="175"/>
      <c r="W347" s="175"/>
      <c r="X347" s="175"/>
      <c r="Y347" s="175"/>
      <c r="Z347" s="175"/>
      <c r="AA347" s="175"/>
      <c r="AB347" s="175"/>
      <c r="AC347" s="175"/>
      <c r="AD347" s="175"/>
    </row>
    <row r="348" spans="18:30" x14ac:dyDescent="0.25">
      <c r="R348" s="176"/>
      <c r="S348" s="175"/>
      <c r="T348" s="175"/>
      <c r="U348" s="175"/>
      <c r="V348" s="175"/>
      <c r="W348" s="175"/>
      <c r="X348" s="175"/>
      <c r="Y348" s="175"/>
      <c r="Z348" s="175"/>
      <c r="AA348" s="175"/>
      <c r="AB348" s="175"/>
      <c r="AC348" s="175"/>
      <c r="AD348" s="175"/>
    </row>
    <row r="349" spans="18:30" x14ac:dyDescent="0.25">
      <c r="R349" s="176"/>
      <c r="S349" s="175"/>
      <c r="T349" s="175"/>
      <c r="U349" s="175"/>
      <c r="V349" s="175"/>
      <c r="W349" s="175"/>
      <c r="X349" s="175"/>
      <c r="Y349" s="175"/>
      <c r="Z349" s="175"/>
      <c r="AA349" s="175"/>
      <c r="AB349" s="175"/>
      <c r="AC349" s="175"/>
      <c r="AD349" s="175"/>
    </row>
    <row r="350" spans="18:30" x14ac:dyDescent="0.25">
      <c r="R350" s="176"/>
      <c r="S350" s="175"/>
      <c r="T350" s="175"/>
      <c r="U350" s="175"/>
      <c r="V350" s="175"/>
      <c r="W350" s="175"/>
      <c r="X350" s="175"/>
      <c r="Y350" s="175"/>
      <c r="Z350" s="175"/>
      <c r="AA350" s="175"/>
      <c r="AB350" s="175"/>
      <c r="AC350" s="175"/>
      <c r="AD350" s="175"/>
    </row>
    <row r="351" spans="18:30" x14ac:dyDescent="0.25">
      <c r="R351" s="176"/>
      <c r="S351" s="175"/>
      <c r="T351" s="175"/>
      <c r="U351" s="175"/>
      <c r="V351" s="175"/>
      <c r="W351" s="175"/>
      <c r="X351" s="175"/>
      <c r="Y351" s="175"/>
      <c r="Z351" s="175"/>
      <c r="AA351" s="175"/>
      <c r="AB351" s="175"/>
      <c r="AC351" s="175"/>
      <c r="AD351" s="175"/>
    </row>
    <row r="352" spans="18:30" x14ac:dyDescent="0.25">
      <c r="R352" s="176"/>
      <c r="S352" s="175"/>
      <c r="T352" s="175"/>
      <c r="U352" s="175"/>
      <c r="V352" s="175"/>
      <c r="W352" s="175"/>
      <c r="X352" s="175"/>
      <c r="Y352" s="175"/>
      <c r="Z352" s="175"/>
      <c r="AA352" s="175"/>
      <c r="AB352" s="175"/>
      <c r="AC352" s="175"/>
      <c r="AD352" s="175"/>
    </row>
    <row r="353" spans="18:30" x14ac:dyDescent="0.25">
      <c r="R353" s="176"/>
      <c r="S353" s="175"/>
      <c r="T353" s="175"/>
      <c r="U353" s="175"/>
      <c r="V353" s="175"/>
      <c r="W353" s="175"/>
      <c r="X353" s="175"/>
      <c r="Y353" s="175"/>
      <c r="Z353" s="175"/>
      <c r="AA353" s="175"/>
      <c r="AB353" s="175"/>
      <c r="AC353" s="175"/>
      <c r="AD353" s="175"/>
    </row>
    <row r="354" spans="18:30" x14ac:dyDescent="0.25">
      <c r="R354" s="176"/>
      <c r="S354" s="175"/>
      <c r="T354" s="175"/>
      <c r="U354" s="175"/>
      <c r="V354" s="175"/>
      <c r="W354" s="175"/>
      <c r="X354" s="175"/>
      <c r="Y354" s="175"/>
      <c r="Z354" s="175"/>
      <c r="AA354" s="175"/>
      <c r="AB354" s="175"/>
      <c r="AC354" s="175"/>
      <c r="AD354" s="175"/>
    </row>
    <row r="355" spans="18:30" x14ac:dyDescent="0.25">
      <c r="R355" s="176"/>
      <c r="S355" s="175"/>
      <c r="T355" s="175"/>
      <c r="U355" s="175"/>
      <c r="V355" s="175"/>
      <c r="W355" s="175"/>
      <c r="X355" s="175"/>
      <c r="Y355" s="175"/>
      <c r="Z355" s="175"/>
      <c r="AA355" s="175"/>
      <c r="AB355" s="175"/>
      <c r="AC355" s="175"/>
      <c r="AD355" s="175"/>
    </row>
    <row r="356" spans="18:30" x14ac:dyDescent="0.25">
      <c r="R356" s="176"/>
      <c r="S356" s="175"/>
      <c r="T356" s="175"/>
      <c r="U356" s="175"/>
      <c r="V356" s="175"/>
      <c r="W356" s="175"/>
      <c r="X356" s="175"/>
      <c r="Y356" s="175"/>
      <c r="Z356" s="175"/>
      <c r="AA356" s="175"/>
      <c r="AB356" s="175"/>
      <c r="AC356" s="175"/>
      <c r="AD356" s="175"/>
    </row>
    <row r="357" spans="18:30" x14ac:dyDescent="0.25">
      <c r="R357" s="176"/>
      <c r="S357" s="175"/>
      <c r="T357" s="175"/>
      <c r="U357" s="175"/>
      <c r="V357" s="175"/>
      <c r="W357" s="175"/>
      <c r="X357" s="175"/>
      <c r="Y357" s="175"/>
      <c r="Z357" s="175"/>
      <c r="AA357" s="175"/>
      <c r="AB357" s="175"/>
      <c r="AC357" s="175"/>
      <c r="AD357" s="175"/>
    </row>
    <row r="358" spans="18:30" x14ac:dyDescent="0.25">
      <c r="R358" s="176"/>
      <c r="S358" s="175"/>
      <c r="T358" s="175"/>
      <c r="U358" s="175"/>
      <c r="V358" s="175"/>
      <c r="W358" s="175"/>
      <c r="X358" s="175"/>
      <c r="Y358" s="175"/>
      <c r="Z358" s="175"/>
      <c r="AA358" s="175"/>
      <c r="AB358" s="175"/>
      <c r="AC358" s="175"/>
      <c r="AD358" s="175"/>
    </row>
    <row r="359" spans="18:30" x14ac:dyDescent="0.25">
      <c r="R359" s="176"/>
      <c r="S359" s="175"/>
      <c r="T359" s="175"/>
      <c r="U359" s="175"/>
      <c r="V359" s="175"/>
      <c r="W359" s="175"/>
      <c r="X359" s="175"/>
      <c r="Y359" s="175"/>
      <c r="Z359" s="175"/>
      <c r="AA359" s="175"/>
      <c r="AB359" s="175"/>
      <c r="AC359" s="175"/>
      <c r="AD359" s="175"/>
    </row>
    <row r="360" spans="18:30" x14ac:dyDescent="0.25">
      <c r="R360" s="176"/>
      <c r="S360" s="175"/>
      <c r="T360" s="175"/>
      <c r="U360" s="175"/>
      <c r="V360" s="175"/>
      <c r="W360" s="175"/>
      <c r="X360" s="175"/>
      <c r="Y360" s="175"/>
      <c r="Z360" s="175"/>
      <c r="AA360" s="175"/>
      <c r="AB360" s="175"/>
      <c r="AC360" s="175"/>
      <c r="AD360" s="175"/>
    </row>
    <row r="361" spans="18:30" x14ac:dyDescent="0.25">
      <c r="R361" s="176"/>
      <c r="S361" s="175"/>
      <c r="T361" s="175"/>
      <c r="U361" s="175"/>
      <c r="V361" s="175"/>
      <c r="W361" s="175"/>
      <c r="X361" s="175"/>
      <c r="Y361" s="175"/>
      <c r="Z361" s="175"/>
      <c r="AA361" s="175"/>
      <c r="AB361" s="175"/>
      <c r="AC361" s="175"/>
      <c r="AD361" s="175"/>
    </row>
    <row r="362" spans="18:30" x14ac:dyDescent="0.25">
      <c r="R362" s="176"/>
      <c r="S362" s="175"/>
      <c r="T362" s="175"/>
      <c r="U362" s="175"/>
      <c r="V362" s="175"/>
      <c r="W362" s="175"/>
      <c r="X362" s="175"/>
      <c r="Y362" s="175"/>
      <c r="Z362" s="175"/>
      <c r="AA362" s="175"/>
      <c r="AB362" s="175"/>
      <c r="AC362" s="175"/>
      <c r="AD362" s="175"/>
    </row>
    <row r="363" spans="18:30" x14ac:dyDescent="0.25">
      <c r="R363" s="176"/>
      <c r="S363" s="175"/>
      <c r="T363" s="175"/>
      <c r="U363" s="175"/>
      <c r="V363" s="175"/>
      <c r="W363" s="175"/>
      <c r="X363" s="175"/>
      <c r="Y363" s="175"/>
      <c r="Z363" s="175"/>
      <c r="AA363" s="175"/>
      <c r="AB363" s="175"/>
      <c r="AC363" s="175"/>
      <c r="AD363" s="175"/>
    </row>
    <row r="364" spans="18:30" x14ac:dyDescent="0.25">
      <c r="R364" s="176"/>
      <c r="S364" s="175"/>
      <c r="T364" s="175"/>
      <c r="U364" s="175"/>
      <c r="V364" s="175"/>
      <c r="W364" s="175"/>
      <c r="X364" s="175"/>
      <c r="Y364" s="175"/>
      <c r="Z364" s="175"/>
      <c r="AA364" s="175"/>
      <c r="AB364" s="175"/>
      <c r="AC364" s="175"/>
      <c r="AD364" s="175"/>
    </row>
    <row r="365" spans="18:30" x14ac:dyDescent="0.25">
      <c r="R365" s="176"/>
      <c r="S365" s="175"/>
      <c r="T365" s="175"/>
      <c r="U365" s="175"/>
      <c r="V365" s="175"/>
      <c r="W365" s="175"/>
      <c r="X365" s="175"/>
      <c r="Y365" s="175"/>
      <c r="Z365" s="175"/>
      <c r="AA365" s="175"/>
      <c r="AB365" s="175"/>
      <c r="AC365" s="175"/>
      <c r="AD365" s="175"/>
    </row>
    <row r="366" spans="18:30" x14ac:dyDescent="0.25">
      <c r="R366" s="176"/>
      <c r="S366" s="175"/>
      <c r="T366" s="175"/>
      <c r="U366" s="175"/>
      <c r="V366" s="175"/>
      <c r="W366" s="175"/>
      <c r="X366" s="175"/>
      <c r="Y366" s="175"/>
      <c r="Z366" s="175"/>
      <c r="AA366" s="175"/>
      <c r="AB366" s="175"/>
      <c r="AC366" s="175"/>
      <c r="AD366" s="175"/>
    </row>
    <row r="367" spans="18:30" x14ac:dyDescent="0.25">
      <c r="R367" s="176"/>
      <c r="S367" s="175"/>
      <c r="T367" s="175"/>
      <c r="U367" s="175"/>
      <c r="V367" s="175"/>
      <c r="W367" s="175"/>
      <c r="X367" s="175"/>
      <c r="Y367" s="175"/>
      <c r="Z367" s="175"/>
      <c r="AA367" s="175"/>
      <c r="AB367" s="175"/>
      <c r="AC367" s="175"/>
      <c r="AD367" s="175"/>
    </row>
    <row r="368" spans="18:30" x14ac:dyDescent="0.25">
      <c r="R368" s="176"/>
      <c r="S368" s="175"/>
      <c r="T368" s="175"/>
      <c r="U368" s="175"/>
      <c r="V368" s="175"/>
      <c r="W368" s="175"/>
      <c r="X368" s="175"/>
      <c r="Y368" s="175"/>
      <c r="Z368" s="175"/>
      <c r="AA368" s="175"/>
      <c r="AB368" s="175"/>
      <c r="AC368" s="175"/>
      <c r="AD368" s="175"/>
    </row>
    <row r="369" spans="18:30" x14ac:dyDescent="0.25">
      <c r="R369" s="176"/>
      <c r="S369" s="175"/>
      <c r="T369" s="175"/>
      <c r="U369" s="175"/>
      <c r="V369" s="175"/>
      <c r="W369" s="175"/>
      <c r="X369" s="175"/>
      <c r="Y369" s="175"/>
      <c r="Z369" s="175"/>
      <c r="AA369" s="175"/>
      <c r="AB369" s="175"/>
      <c r="AC369" s="175"/>
      <c r="AD369" s="175"/>
    </row>
    <row r="370" spans="18:30" x14ac:dyDescent="0.25">
      <c r="R370" s="176"/>
      <c r="S370" s="175"/>
      <c r="T370" s="175"/>
      <c r="U370" s="175"/>
      <c r="V370" s="175"/>
      <c r="W370" s="175"/>
      <c r="X370" s="175"/>
      <c r="Y370" s="175"/>
      <c r="Z370" s="175"/>
      <c r="AA370" s="175"/>
      <c r="AB370" s="175"/>
      <c r="AC370" s="175"/>
      <c r="AD370" s="175"/>
    </row>
    <row r="371" spans="18:30" x14ac:dyDescent="0.25">
      <c r="R371" s="176"/>
      <c r="S371" s="175"/>
      <c r="T371" s="175"/>
      <c r="U371" s="175"/>
      <c r="V371" s="175"/>
      <c r="W371" s="175"/>
      <c r="X371" s="175"/>
      <c r="Y371" s="175"/>
      <c r="Z371" s="175"/>
      <c r="AA371" s="175"/>
      <c r="AB371" s="175"/>
      <c r="AC371" s="175"/>
      <c r="AD371" s="175"/>
    </row>
    <row r="372" spans="18:30" x14ac:dyDescent="0.25">
      <c r="R372" s="176"/>
      <c r="S372" s="175"/>
      <c r="T372" s="175"/>
      <c r="U372" s="175"/>
      <c r="V372" s="175"/>
      <c r="W372" s="175"/>
      <c r="X372" s="175"/>
      <c r="Y372" s="175"/>
      <c r="Z372" s="175"/>
      <c r="AA372" s="175"/>
      <c r="AB372" s="175"/>
      <c r="AC372" s="175"/>
      <c r="AD372" s="175"/>
    </row>
    <row r="373" spans="18:30" x14ac:dyDescent="0.25">
      <c r="R373" s="176"/>
      <c r="S373" s="175"/>
      <c r="T373" s="175"/>
      <c r="U373" s="175"/>
      <c r="V373" s="175"/>
      <c r="W373" s="175"/>
      <c r="X373" s="175"/>
      <c r="Y373" s="175"/>
      <c r="Z373" s="175"/>
      <c r="AA373" s="175"/>
      <c r="AB373" s="175"/>
      <c r="AC373" s="175"/>
      <c r="AD373" s="175"/>
    </row>
    <row r="374" spans="18:30" x14ac:dyDescent="0.25">
      <c r="R374" s="176"/>
      <c r="S374" s="175"/>
      <c r="T374" s="175"/>
      <c r="U374" s="175"/>
      <c r="V374" s="175"/>
      <c r="W374" s="175"/>
      <c r="X374" s="175"/>
      <c r="Y374" s="175"/>
      <c r="Z374" s="175"/>
      <c r="AA374" s="175"/>
      <c r="AB374" s="175"/>
      <c r="AC374" s="175"/>
      <c r="AD374" s="175"/>
    </row>
    <row r="375" spans="18:30" x14ac:dyDescent="0.25">
      <c r="R375" s="176"/>
      <c r="S375" s="175"/>
      <c r="T375" s="175"/>
      <c r="U375" s="175"/>
      <c r="V375" s="175"/>
      <c r="W375" s="175"/>
      <c r="X375" s="175"/>
      <c r="Y375" s="175"/>
      <c r="Z375" s="175"/>
      <c r="AA375" s="175"/>
      <c r="AB375" s="175"/>
      <c r="AC375" s="175"/>
      <c r="AD375" s="175"/>
    </row>
    <row r="376" spans="18:30" x14ac:dyDescent="0.25">
      <c r="R376" s="176"/>
      <c r="S376" s="175"/>
      <c r="T376" s="175"/>
      <c r="U376" s="175"/>
      <c r="V376" s="175"/>
      <c r="W376" s="175"/>
      <c r="X376" s="175"/>
      <c r="Y376" s="175"/>
      <c r="Z376" s="175"/>
      <c r="AA376" s="175"/>
      <c r="AB376" s="175"/>
      <c r="AC376" s="175"/>
      <c r="AD376" s="175"/>
    </row>
    <row r="377" spans="18:30" x14ac:dyDescent="0.25">
      <c r="R377" s="176"/>
      <c r="S377" s="175"/>
      <c r="T377" s="175"/>
      <c r="U377" s="175"/>
      <c r="V377" s="175"/>
      <c r="W377" s="175"/>
      <c r="X377" s="175"/>
      <c r="Y377" s="175"/>
      <c r="Z377" s="175"/>
      <c r="AA377" s="175"/>
      <c r="AB377" s="175"/>
      <c r="AC377" s="175"/>
      <c r="AD377" s="175"/>
    </row>
    <row r="378" spans="18:30" x14ac:dyDescent="0.25">
      <c r="R378" s="176"/>
      <c r="S378" s="175"/>
      <c r="T378" s="175"/>
      <c r="U378" s="175"/>
      <c r="V378" s="175"/>
      <c r="W378" s="175"/>
      <c r="X378" s="175"/>
      <c r="Y378" s="175"/>
      <c r="Z378" s="175"/>
      <c r="AA378" s="175"/>
      <c r="AB378" s="175"/>
      <c r="AC378" s="175"/>
      <c r="AD378" s="175"/>
    </row>
    <row r="379" spans="18:30" x14ac:dyDescent="0.25">
      <c r="R379" s="176"/>
      <c r="S379" s="175"/>
      <c r="T379" s="175"/>
      <c r="U379" s="175"/>
      <c r="V379" s="175"/>
      <c r="W379" s="175"/>
      <c r="X379" s="175"/>
      <c r="Y379" s="175"/>
      <c r="Z379" s="175"/>
      <c r="AA379" s="175"/>
      <c r="AB379" s="175"/>
      <c r="AC379" s="175"/>
      <c r="AD379" s="175"/>
    </row>
    <row r="380" spans="18:30" x14ac:dyDescent="0.25">
      <c r="R380" s="176"/>
      <c r="S380" s="175"/>
      <c r="T380" s="175"/>
      <c r="U380" s="175"/>
      <c r="V380" s="175"/>
      <c r="W380" s="175"/>
      <c r="X380" s="175"/>
      <c r="Y380" s="175"/>
      <c r="Z380" s="175"/>
      <c r="AA380" s="175"/>
      <c r="AB380" s="175"/>
      <c r="AC380" s="175"/>
      <c r="AD380" s="175"/>
    </row>
    <row r="381" spans="18:30" x14ac:dyDescent="0.25">
      <c r="R381" s="176"/>
      <c r="S381" s="175"/>
      <c r="T381" s="175"/>
      <c r="U381" s="175"/>
      <c r="V381" s="175"/>
      <c r="W381" s="175"/>
      <c r="X381" s="175"/>
      <c r="Y381" s="175"/>
      <c r="Z381" s="175"/>
      <c r="AA381" s="175"/>
      <c r="AB381" s="175"/>
      <c r="AC381" s="175"/>
      <c r="AD381" s="175"/>
    </row>
    <row r="382" spans="18:30" x14ac:dyDescent="0.25">
      <c r="R382" s="176"/>
      <c r="S382" s="175"/>
      <c r="T382" s="175"/>
      <c r="U382" s="175"/>
      <c r="V382" s="175"/>
      <c r="W382" s="175"/>
      <c r="X382" s="175"/>
      <c r="Y382" s="175"/>
      <c r="Z382" s="175"/>
      <c r="AA382" s="175"/>
      <c r="AB382" s="175"/>
      <c r="AC382" s="175"/>
      <c r="AD382" s="175"/>
    </row>
    <row r="383" spans="18:30" x14ac:dyDescent="0.25">
      <c r="R383" s="176"/>
      <c r="S383" s="175"/>
      <c r="T383" s="175"/>
      <c r="U383" s="175"/>
      <c r="V383" s="175"/>
      <c r="W383" s="175"/>
      <c r="X383" s="175"/>
      <c r="Y383" s="175"/>
      <c r="Z383" s="175"/>
      <c r="AA383" s="175"/>
      <c r="AB383" s="175"/>
      <c r="AC383" s="175"/>
      <c r="AD383" s="175"/>
    </row>
    <row r="384" spans="18:30" x14ac:dyDescent="0.25">
      <c r="R384" s="176"/>
      <c r="S384" s="175"/>
      <c r="T384" s="175"/>
      <c r="U384" s="175"/>
      <c r="V384" s="175"/>
      <c r="W384" s="175"/>
      <c r="X384" s="175"/>
      <c r="Y384" s="175"/>
      <c r="Z384" s="175"/>
      <c r="AA384" s="175"/>
      <c r="AB384" s="175"/>
      <c r="AC384" s="175"/>
      <c r="AD384" s="175"/>
    </row>
    <row r="385" spans="18:30" x14ac:dyDescent="0.25">
      <c r="R385" s="176"/>
      <c r="S385" s="175"/>
      <c r="T385" s="175"/>
      <c r="U385" s="175"/>
      <c r="V385" s="175"/>
      <c r="W385" s="175"/>
      <c r="X385" s="175"/>
      <c r="Y385" s="175"/>
      <c r="Z385" s="175"/>
      <c r="AA385" s="175"/>
      <c r="AB385" s="175"/>
      <c r="AC385" s="175"/>
      <c r="AD385" s="175"/>
    </row>
    <row r="386" spans="18:30" x14ac:dyDescent="0.25">
      <c r="R386" s="176"/>
      <c r="S386" s="175"/>
      <c r="T386" s="175"/>
      <c r="U386" s="175"/>
      <c r="V386" s="175"/>
      <c r="W386" s="175"/>
      <c r="X386" s="175"/>
      <c r="Y386" s="175"/>
      <c r="Z386" s="175"/>
      <c r="AA386" s="175"/>
      <c r="AB386" s="175"/>
      <c r="AC386" s="175"/>
      <c r="AD386" s="175"/>
    </row>
    <row r="387" spans="18:30" x14ac:dyDescent="0.25">
      <c r="R387" s="176"/>
      <c r="S387" s="175"/>
      <c r="T387" s="175"/>
      <c r="U387" s="175"/>
      <c r="V387" s="175"/>
      <c r="W387" s="175"/>
      <c r="X387" s="175"/>
      <c r="Y387" s="175"/>
      <c r="Z387" s="175"/>
      <c r="AA387" s="175"/>
      <c r="AB387" s="175"/>
      <c r="AC387" s="175"/>
      <c r="AD387" s="175"/>
    </row>
    <row r="388" spans="18:30" x14ac:dyDescent="0.25">
      <c r="R388" s="176"/>
      <c r="S388" s="175"/>
      <c r="T388" s="175"/>
      <c r="U388" s="175"/>
      <c r="V388" s="175"/>
      <c r="W388" s="175"/>
      <c r="X388" s="175"/>
      <c r="Y388" s="175"/>
      <c r="Z388" s="175"/>
      <c r="AA388" s="175"/>
      <c r="AB388" s="175"/>
      <c r="AC388" s="175"/>
      <c r="AD388" s="175"/>
    </row>
    <row r="389" spans="18:30" x14ac:dyDescent="0.25">
      <c r="R389" s="176"/>
      <c r="S389" s="175"/>
      <c r="T389" s="175"/>
      <c r="U389" s="175"/>
      <c r="V389" s="175"/>
      <c r="W389" s="175"/>
      <c r="X389" s="175"/>
      <c r="Y389" s="175"/>
      <c r="Z389" s="175"/>
      <c r="AA389" s="175"/>
      <c r="AB389" s="175"/>
      <c r="AC389" s="175"/>
      <c r="AD389" s="175"/>
    </row>
    <row r="390" spans="18:30" x14ac:dyDescent="0.25">
      <c r="R390" s="176"/>
      <c r="S390" s="175"/>
      <c r="T390" s="175"/>
      <c r="U390" s="175"/>
      <c r="V390" s="175"/>
      <c r="W390" s="175"/>
      <c r="X390" s="175"/>
      <c r="Y390" s="175"/>
      <c r="Z390" s="175"/>
      <c r="AA390" s="175"/>
      <c r="AB390" s="175"/>
      <c r="AC390" s="175"/>
      <c r="AD390" s="175"/>
    </row>
    <row r="391" spans="18:30" x14ac:dyDescent="0.25">
      <c r="R391" s="176"/>
      <c r="S391" s="175"/>
      <c r="T391" s="175"/>
      <c r="U391" s="175"/>
      <c r="V391" s="175"/>
      <c r="W391" s="175"/>
      <c r="X391" s="175"/>
      <c r="Y391" s="175"/>
      <c r="Z391" s="175"/>
      <c r="AA391" s="175"/>
      <c r="AB391" s="175"/>
      <c r="AC391" s="175"/>
      <c r="AD391" s="175"/>
    </row>
    <row r="392" spans="18:30" x14ac:dyDescent="0.25">
      <c r="R392" s="176"/>
      <c r="S392" s="175"/>
      <c r="T392" s="175"/>
      <c r="U392" s="175"/>
      <c r="V392" s="175"/>
      <c r="W392" s="175"/>
      <c r="X392" s="175"/>
      <c r="Y392" s="175"/>
      <c r="Z392" s="175"/>
      <c r="AA392" s="175"/>
      <c r="AB392" s="175"/>
      <c r="AC392" s="175"/>
      <c r="AD392" s="175"/>
    </row>
    <row r="393" spans="18:30" x14ac:dyDescent="0.25">
      <c r="R393" s="176"/>
      <c r="S393" s="175"/>
      <c r="T393" s="175"/>
      <c r="U393" s="175"/>
      <c r="V393" s="175"/>
      <c r="W393" s="175"/>
      <c r="X393" s="175"/>
      <c r="Y393" s="175"/>
      <c r="Z393" s="175"/>
      <c r="AA393" s="175"/>
      <c r="AB393" s="175"/>
      <c r="AC393" s="175"/>
      <c r="AD393" s="175"/>
    </row>
    <row r="394" spans="18:30" x14ac:dyDescent="0.25">
      <c r="R394" s="176"/>
      <c r="S394" s="175"/>
      <c r="T394" s="175"/>
      <c r="U394" s="175"/>
      <c r="V394" s="175"/>
      <c r="W394" s="175"/>
      <c r="X394" s="175"/>
      <c r="Y394" s="175"/>
      <c r="Z394" s="175"/>
      <c r="AA394" s="175"/>
      <c r="AB394" s="175"/>
      <c r="AC394" s="175"/>
      <c r="AD394" s="175"/>
    </row>
    <row r="395" spans="18:30" x14ac:dyDescent="0.25">
      <c r="R395" s="176"/>
      <c r="S395" s="175"/>
      <c r="T395" s="175"/>
      <c r="U395" s="175"/>
      <c r="V395" s="175"/>
      <c r="W395" s="175"/>
      <c r="X395" s="175"/>
      <c r="Y395" s="175"/>
      <c r="Z395" s="175"/>
      <c r="AA395" s="175"/>
      <c r="AB395" s="175"/>
      <c r="AC395" s="175"/>
      <c r="AD395" s="175"/>
    </row>
    <row r="396" spans="18:30" x14ac:dyDescent="0.25">
      <c r="R396" s="176"/>
      <c r="S396" s="175"/>
      <c r="T396" s="175"/>
      <c r="U396" s="175"/>
      <c r="V396" s="175"/>
      <c r="W396" s="175"/>
      <c r="X396" s="175"/>
      <c r="Y396" s="175"/>
      <c r="Z396" s="175"/>
      <c r="AA396" s="175"/>
      <c r="AB396" s="175"/>
      <c r="AC396" s="175"/>
      <c r="AD396" s="175"/>
    </row>
    <row r="397" spans="18:30" x14ac:dyDescent="0.25">
      <c r="R397" s="176"/>
      <c r="S397" s="175"/>
      <c r="T397" s="175"/>
      <c r="U397" s="175"/>
      <c r="V397" s="175"/>
      <c r="W397" s="175"/>
      <c r="X397" s="175"/>
      <c r="Y397" s="175"/>
      <c r="Z397" s="175"/>
      <c r="AA397" s="175"/>
      <c r="AB397" s="175"/>
      <c r="AC397" s="175"/>
      <c r="AD397" s="175"/>
    </row>
    <row r="398" spans="18:30" x14ac:dyDescent="0.25">
      <c r="R398" s="176"/>
      <c r="S398" s="175"/>
      <c r="T398" s="175"/>
      <c r="U398" s="175"/>
      <c r="V398" s="175"/>
      <c r="W398" s="175"/>
      <c r="X398" s="175"/>
      <c r="Y398" s="175"/>
      <c r="Z398" s="175"/>
      <c r="AA398" s="175"/>
      <c r="AB398" s="175"/>
      <c r="AC398" s="175"/>
      <c r="AD398" s="175"/>
    </row>
    <row r="399" spans="18:30" x14ac:dyDescent="0.25">
      <c r="R399" s="176"/>
      <c r="S399" s="175"/>
      <c r="T399" s="175"/>
      <c r="U399" s="175"/>
      <c r="V399" s="175"/>
      <c r="W399" s="175"/>
      <c r="X399" s="175"/>
      <c r="Y399" s="175"/>
      <c r="Z399" s="175"/>
      <c r="AA399" s="175"/>
      <c r="AB399" s="175"/>
      <c r="AC399" s="175"/>
      <c r="AD399" s="175"/>
    </row>
    <row r="400" spans="18:30" x14ac:dyDescent="0.25">
      <c r="R400" s="176"/>
      <c r="S400" s="175"/>
      <c r="T400" s="175"/>
      <c r="U400" s="175"/>
      <c r="V400" s="175"/>
      <c r="W400" s="175"/>
      <c r="X400" s="175"/>
      <c r="Y400" s="175"/>
      <c r="Z400" s="175"/>
      <c r="AA400" s="175"/>
      <c r="AB400" s="175"/>
      <c r="AC400" s="175"/>
      <c r="AD400" s="175"/>
    </row>
    <row r="401" spans="18:30" x14ac:dyDescent="0.25">
      <c r="R401" s="176"/>
      <c r="S401" s="175"/>
      <c r="T401" s="175"/>
      <c r="U401" s="175"/>
      <c r="V401" s="175"/>
      <c r="W401" s="175"/>
      <c r="X401" s="175"/>
      <c r="Y401" s="175"/>
      <c r="Z401" s="175"/>
      <c r="AA401" s="175"/>
      <c r="AB401" s="175"/>
      <c r="AC401" s="175"/>
      <c r="AD401" s="175"/>
    </row>
    <row r="402" spans="18:30" x14ac:dyDescent="0.25">
      <c r="R402" s="176"/>
      <c r="S402" s="175"/>
      <c r="T402" s="175"/>
      <c r="U402" s="175"/>
      <c r="V402" s="175"/>
      <c r="W402" s="175"/>
      <c r="X402" s="175"/>
      <c r="Y402" s="175"/>
      <c r="Z402" s="175"/>
      <c r="AA402" s="175"/>
      <c r="AB402" s="175"/>
      <c r="AC402" s="175"/>
      <c r="AD402" s="175"/>
    </row>
    <row r="403" spans="18:30" x14ac:dyDescent="0.25">
      <c r="R403" s="176"/>
      <c r="S403" s="175"/>
      <c r="T403" s="175"/>
      <c r="U403" s="175"/>
      <c r="V403" s="175"/>
      <c r="W403" s="175"/>
      <c r="X403" s="175"/>
      <c r="Y403" s="175"/>
      <c r="Z403" s="175"/>
      <c r="AA403" s="175"/>
      <c r="AB403" s="175"/>
      <c r="AC403" s="175"/>
      <c r="AD403" s="175"/>
    </row>
    <row r="404" spans="18:30" x14ac:dyDescent="0.25">
      <c r="R404" s="176"/>
      <c r="S404" s="175"/>
      <c r="T404" s="175"/>
      <c r="U404" s="175"/>
      <c r="V404" s="175"/>
      <c r="W404" s="175"/>
      <c r="X404" s="175"/>
      <c r="Y404" s="175"/>
      <c r="Z404" s="175"/>
      <c r="AA404" s="175"/>
      <c r="AB404" s="175"/>
      <c r="AC404" s="175"/>
      <c r="AD404" s="175"/>
    </row>
    <row r="405" spans="18:30" x14ac:dyDescent="0.25">
      <c r="R405" s="176"/>
      <c r="S405" s="175"/>
      <c r="T405" s="175"/>
      <c r="U405" s="175"/>
      <c r="V405" s="175"/>
      <c r="W405" s="175"/>
      <c r="X405" s="175"/>
      <c r="Y405" s="175"/>
      <c r="Z405" s="175"/>
      <c r="AA405" s="175"/>
      <c r="AB405" s="175"/>
      <c r="AC405" s="175"/>
      <c r="AD405" s="175"/>
    </row>
    <row r="406" spans="18:30" x14ac:dyDescent="0.25">
      <c r="R406" s="176"/>
      <c r="S406" s="175"/>
      <c r="T406" s="175"/>
      <c r="U406" s="175"/>
      <c r="V406" s="175"/>
      <c r="W406" s="175"/>
      <c r="X406" s="175"/>
      <c r="Y406" s="175"/>
      <c r="Z406" s="175"/>
      <c r="AA406" s="175"/>
      <c r="AB406" s="175"/>
      <c r="AC406" s="175"/>
      <c r="AD406" s="175"/>
    </row>
    <row r="407" spans="18:30" x14ac:dyDescent="0.25">
      <c r="R407" s="176"/>
      <c r="S407" s="175"/>
      <c r="T407" s="175"/>
      <c r="U407" s="175"/>
      <c r="V407" s="175"/>
      <c r="W407" s="175"/>
      <c r="X407" s="175"/>
      <c r="Y407" s="175"/>
      <c r="Z407" s="175"/>
      <c r="AA407" s="175"/>
      <c r="AB407" s="175"/>
      <c r="AC407" s="175"/>
      <c r="AD407" s="175"/>
    </row>
    <row r="408" spans="18:30" x14ac:dyDescent="0.25">
      <c r="R408" s="176"/>
      <c r="S408" s="175"/>
      <c r="T408" s="175"/>
      <c r="U408" s="175"/>
      <c r="V408" s="175"/>
      <c r="W408" s="175"/>
      <c r="X408" s="175"/>
      <c r="Y408" s="175"/>
      <c r="Z408" s="175"/>
      <c r="AA408" s="175"/>
      <c r="AB408" s="175"/>
      <c r="AC408" s="175"/>
      <c r="AD408" s="175"/>
    </row>
    <row r="409" spans="18:30" x14ac:dyDescent="0.25">
      <c r="R409" s="176"/>
      <c r="S409" s="175"/>
      <c r="T409" s="175"/>
      <c r="U409" s="175"/>
      <c r="V409" s="175"/>
      <c r="W409" s="175"/>
      <c r="X409" s="175"/>
      <c r="Y409" s="175"/>
      <c r="Z409" s="175"/>
      <c r="AA409" s="175"/>
      <c r="AB409" s="175"/>
      <c r="AC409" s="175"/>
      <c r="AD409" s="175"/>
    </row>
    <row r="410" spans="18:30" x14ac:dyDescent="0.25">
      <c r="R410" s="176"/>
      <c r="S410" s="175"/>
      <c r="T410" s="175"/>
      <c r="U410" s="175"/>
      <c r="V410" s="175"/>
      <c r="W410" s="175"/>
      <c r="X410" s="175"/>
      <c r="Y410" s="175"/>
      <c r="Z410" s="175"/>
      <c r="AA410" s="175"/>
      <c r="AB410" s="175"/>
      <c r="AC410" s="175"/>
      <c r="AD410" s="175"/>
    </row>
    <row r="411" spans="18:30" x14ac:dyDescent="0.25">
      <c r="R411" s="176"/>
      <c r="S411" s="175"/>
      <c r="T411" s="175"/>
      <c r="U411" s="175"/>
      <c r="V411" s="175"/>
      <c r="W411" s="175"/>
      <c r="X411" s="175"/>
      <c r="Y411" s="175"/>
      <c r="Z411" s="175"/>
      <c r="AA411" s="175"/>
      <c r="AB411" s="175"/>
      <c r="AC411" s="175"/>
      <c r="AD411" s="175"/>
    </row>
    <row r="412" spans="18:30" x14ac:dyDescent="0.25">
      <c r="R412" s="176"/>
      <c r="S412" s="175"/>
      <c r="T412" s="175"/>
      <c r="U412" s="175"/>
      <c r="V412" s="175"/>
      <c r="W412" s="175"/>
      <c r="X412" s="175"/>
      <c r="Y412" s="175"/>
      <c r="Z412" s="175"/>
      <c r="AA412" s="175"/>
      <c r="AB412" s="175"/>
      <c r="AC412" s="175"/>
      <c r="AD412" s="175"/>
    </row>
    <row r="413" spans="18:30" x14ac:dyDescent="0.25">
      <c r="R413" s="176"/>
      <c r="S413" s="175"/>
      <c r="T413" s="175"/>
      <c r="U413" s="175"/>
      <c r="V413" s="175"/>
      <c r="W413" s="175"/>
      <c r="X413" s="175"/>
      <c r="Y413" s="175"/>
      <c r="Z413" s="175"/>
      <c r="AA413" s="175"/>
      <c r="AB413" s="175"/>
      <c r="AC413" s="175"/>
      <c r="AD413" s="175"/>
    </row>
    <row r="414" spans="18:30" x14ac:dyDescent="0.25">
      <c r="R414" s="176"/>
      <c r="S414" s="175"/>
      <c r="T414" s="175"/>
      <c r="U414" s="175"/>
      <c r="V414" s="175"/>
      <c r="W414" s="175"/>
      <c r="X414" s="175"/>
      <c r="Y414" s="175"/>
      <c r="Z414" s="175"/>
      <c r="AA414" s="175"/>
      <c r="AB414" s="175"/>
      <c r="AC414" s="175"/>
      <c r="AD414" s="175"/>
    </row>
    <row r="415" spans="18:30" x14ac:dyDescent="0.25">
      <c r="R415" s="176"/>
      <c r="S415" s="175"/>
      <c r="T415" s="175"/>
      <c r="U415" s="175"/>
      <c r="V415" s="175"/>
      <c r="W415" s="175"/>
      <c r="X415" s="175"/>
      <c r="Y415" s="175"/>
      <c r="Z415" s="175"/>
      <c r="AA415" s="175"/>
      <c r="AB415" s="175"/>
      <c r="AC415" s="175"/>
      <c r="AD415" s="175"/>
    </row>
    <row r="416" spans="18:30" x14ac:dyDescent="0.25">
      <c r="R416" s="176"/>
      <c r="S416" s="175"/>
      <c r="T416" s="175"/>
      <c r="U416" s="175"/>
      <c r="V416" s="175"/>
      <c r="W416" s="175"/>
      <c r="X416" s="175"/>
      <c r="Y416" s="175"/>
      <c r="Z416" s="175"/>
      <c r="AA416" s="175"/>
      <c r="AB416" s="175"/>
      <c r="AC416" s="175"/>
      <c r="AD416" s="175"/>
    </row>
    <row r="417" spans="18:30" x14ac:dyDescent="0.25">
      <c r="R417" s="176"/>
      <c r="S417" s="175"/>
      <c r="T417" s="175"/>
      <c r="U417" s="175"/>
      <c r="V417" s="175"/>
      <c r="W417" s="175"/>
      <c r="X417" s="175"/>
      <c r="Y417" s="175"/>
      <c r="Z417" s="175"/>
      <c r="AA417" s="175"/>
      <c r="AB417" s="175"/>
      <c r="AC417" s="175"/>
      <c r="AD417" s="175"/>
    </row>
    <row r="418" spans="18:30" x14ac:dyDescent="0.25">
      <c r="R418" s="176"/>
      <c r="S418" s="175"/>
      <c r="T418" s="175"/>
      <c r="U418" s="175"/>
      <c r="V418" s="175"/>
      <c r="W418" s="175"/>
      <c r="X418" s="175"/>
      <c r="Y418" s="175"/>
      <c r="Z418" s="175"/>
      <c r="AA418" s="175"/>
      <c r="AB418" s="175"/>
      <c r="AC418" s="175"/>
      <c r="AD418" s="175"/>
    </row>
    <row r="419" spans="18:30" x14ac:dyDescent="0.25">
      <c r="R419" s="176"/>
      <c r="S419" s="175"/>
      <c r="T419" s="175"/>
      <c r="U419" s="175"/>
      <c r="V419" s="175"/>
      <c r="W419" s="175"/>
      <c r="X419" s="175"/>
      <c r="Y419" s="175"/>
      <c r="Z419" s="175"/>
      <c r="AA419" s="175"/>
      <c r="AB419" s="175"/>
      <c r="AC419" s="175"/>
      <c r="AD419" s="175"/>
    </row>
    <row r="420" spans="18:30" x14ac:dyDescent="0.25">
      <c r="R420" s="176"/>
      <c r="S420" s="175"/>
      <c r="T420" s="175"/>
      <c r="U420" s="175"/>
      <c r="V420" s="175"/>
      <c r="W420" s="175"/>
      <c r="X420" s="175"/>
      <c r="Y420" s="175"/>
      <c r="Z420" s="175"/>
      <c r="AA420" s="175"/>
      <c r="AB420" s="175"/>
      <c r="AC420" s="175"/>
      <c r="AD420" s="175"/>
    </row>
    <row r="421" spans="18:30" x14ac:dyDescent="0.25">
      <c r="R421" s="176"/>
      <c r="S421" s="175"/>
      <c r="T421" s="175"/>
      <c r="U421" s="175"/>
      <c r="V421" s="175"/>
      <c r="W421" s="175"/>
      <c r="X421" s="175"/>
      <c r="Y421" s="175"/>
      <c r="Z421" s="175"/>
      <c r="AA421" s="175"/>
      <c r="AB421" s="175"/>
      <c r="AC421" s="175"/>
      <c r="AD421" s="175"/>
    </row>
    <row r="422" spans="18:30" x14ac:dyDescent="0.25">
      <c r="R422" s="176"/>
      <c r="S422" s="175"/>
      <c r="T422" s="175"/>
      <c r="U422" s="175"/>
      <c r="V422" s="175"/>
      <c r="W422" s="175"/>
      <c r="X422" s="175"/>
      <c r="Y422" s="175"/>
      <c r="Z422" s="175"/>
      <c r="AA422" s="175"/>
      <c r="AB422" s="175"/>
      <c r="AC422" s="175"/>
      <c r="AD422" s="175"/>
    </row>
    <row r="423" spans="18:30" x14ac:dyDescent="0.25">
      <c r="R423" s="176"/>
      <c r="S423" s="175"/>
      <c r="T423" s="175"/>
      <c r="U423" s="175"/>
      <c r="V423" s="175"/>
      <c r="W423" s="175"/>
      <c r="X423" s="175"/>
      <c r="Y423" s="175"/>
      <c r="Z423" s="175"/>
      <c r="AA423" s="175"/>
      <c r="AB423" s="175"/>
      <c r="AC423" s="175"/>
      <c r="AD423" s="175"/>
    </row>
    <row r="424" spans="18:30" x14ac:dyDescent="0.25">
      <c r="R424" s="176"/>
      <c r="S424" s="175"/>
      <c r="T424" s="175"/>
      <c r="U424" s="175"/>
      <c r="V424" s="175"/>
      <c r="W424" s="175"/>
      <c r="X424" s="175"/>
      <c r="Y424" s="175"/>
      <c r="Z424" s="175"/>
      <c r="AA424" s="175"/>
      <c r="AB424" s="175"/>
      <c r="AC424" s="175"/>
      <c r="AD424" s="175"/>
    </row>
    <row r="425" spans="18:30" x14ac:dyDescent="0.25">
      <c r="R425" s="176"/>
      <c r="S425" s="175"/>
      <c r="T425" s="175"/>
      <c r="U425" s="175"/>
      <c r="V425" s="175"/>
      <c r="W425" s="175"/>
      <c r="X425" s="175"/>
      <c r="Y425" s="175"/>
      <c r="Z425" s="175"/>
      <c r="AA425" s="175"/>
      <c r="AB425" s="175"/>
      <c r="AC425" s="175"/>
      <c r="AD425" s="175"/>
    </row>
    <row r="426" spans="18:30" x14ac:dyDescent="0.25">
      <c r="R426" s="176"/>
      <c r="S426" s="175"/>
      <c r="T426" s="175"/>
      <c r="U426" s="175"/>
      <c r="V426" s="175"/>
      <c r="W426" s="175"/>
      <c r="X426" s="175"/>
      <c r="Y426" s="175"/>
      <c r="Z426" s="175"/>
      <c r="AA426" s="175"/>
      <c r="AB426" s="175"/>
      <c r="AC426" s="175"/>
      <c r="AD426" s="175"/>
    </row>
    <row r="427" spans="18:30" x14ac:dyDescent="0.25">
      <c r="R427" s="176"/>
      <c r="S427" s="175"/>
      <c r="T427" s="175"/>
      <c r="U427" s="175"/>
      <c r="V427" s="175"/>
      <c r="W427" s="175"/>
      <c r="X427" s="175"/>
      <c r="Y427" s="175"/>
      <c r="Z427" s="175"/>
      <c r="AA427" s="175"/>
      <c r="AB427" s="175"/>
      <c r="AC427" s="175"/>
      <c r="AD427" s="175"/>
    </row>
    <row r="428" spans="18:30" x14ac:dyDescent="0.25">
      <c r="R428" s="176"/>
      <c r="S428" s="175"/>
      <c r="T428" s="175"/>
      <c r="U428" s="175"/>
      <c r="V428" s="175"/>
      <c r="W428" s="175"/>
      <c r="X428" s="175"/>
      <c r="Y428" s="175"/>
      <c r="Z428" s="175"/>
      <c r="AA428" s="175"/>
      <c r="AB428" s="175"/>
      <c r="AC428" s="175"/>
      <c r="AD428" s="175"/>
    </row>
    <row r="429" spans="18:30" x14ac:dyDescent="0.25">
      <c r="R429" s="176"/>
      <c r="S429" s="175"/>
      <c r="T429" s="175"/>
      <c r="U429" s="175"/>
      <c r="V429" s="175"/>
      <c r="W429" s="175"/>
      <c r="X429" s="175"/>
      <c r="Y429" s="175"/>
      <c r="Z429" s="175"/>
      <c r="AA429" s="175"/>
      <c r="AB429" s="175"/>
      <c r="AC429" s="175"/>
      <c r="AD429" s="175"/>
    </row>
    <row r="430" spans="18:30" x14ac:dyDescent="0.25">
      <c r="R430" s="176"/>
      <c r="S430" s="175"/>
      <c r="T430" s="175"/>
      <c r="U430" s="175"/>
      <c r="V430" s="175"/>
      <c r="W430" s="175"/>
      <c r="X430" s="175"/>
      <c r="Y430" s="175"/>
      <c r="Z430" s="175"/>
      <c r="AA430" s="175"/>
      <c r="AB430" s="175"/>
      <c r="AC430" s="175"/>
      <c r="AD430" s="175"/>
    </row>
    <row r="431" spans="18:30" x14ac:dyDescent="0.25">
      <c r="R431" s="176"/>
      <c r="S431" s="175"/>
      <c r="T431" s="175"/>
      <c r="U431" s="175"/>
      <c r="V431" s="175"/>
      <c r="W431" s="175"/>
      <c r="X431" s="175"/>
      <c r="Y431" s="175"/>
      <c r="Z431" s="175"/>
      <c r="AA431" s="175"/>
      <c r="AB431" s="175"/>
      <c r="AC431" s="175"/>
      <c r="AD431" s="175"/>
    </row>
    <row r="432" spans="18:30" x14ac:dyDescent="0.25">
      <c r="R432" s="176"/>
      <c r="S432" s="175"/>
      <c r="T432" s="175"/>
      <c r="U432" s="175"/>
      <c r="V432" s="175"/>
      <c r="W432" s="175"/>
      <c r="X432" s="175"/>
      <c r="Y432" s="175"/>
      <c r="Z432" s="175"/>
      <c r="AA432" s="175"/>
      <c r="AB432" s="175"/>
      <c r="AC432" s="175"/>
      <c r="AD432" s="175"/>
    </row>
    <row r="433" spans="18:30" x14ac:dyDescent="0.25">
      <c r="R433" s="176"/>
      <c r="S433" s="175"/>
      <c r="T433" s="175"/>
      <c r="U433" s="175"/>
      <c r="V433" s="175"/>
      <c r="W433" s="175"/>
      <c r="X433" s="175"/>
      <c r="Y433" s="175"/>
      <c r="Z433" s="175"/>
      <c r="AA433" s="175"/>
      <c r="AB433" s="175"/>
      <c r="AC433" s="175"/>
      <c r="AD433" s="175"/>
    </row>
    <row r="434" spans="18:30" x14ac:dyDescent="0.25">
      <c r="R434" s="176"/>
      <c r="S434" s="175"/>
      <c r="T434" s="175"/>
      <c r="U434" s="175"/>
      <c r="V434" s="175"/>
      <c r="W434" s="175"/>
      <c r="X434" s="175"/>
      <c r="Y434" s="175"/>
      <c r="Z434" s="175"/>
      <c r="AA434" s="175"/>
      <c r="AB434" s="175"/>
      <c r="AC434" s="175"/>
      <c r="AD434" s="175"/>
    </row>
    <row r="435" spans="18:30" x14ac:dyDescent="0.25">
      <c r="R435" s="176"/>
      <c r="S435" s="175"/>
      <c r="T435" s="175"/>
      <c r="U435" s="175"/>
      <c r="V435" s="175"/>
      <c r="W435" s="175"/>
      <c r="X435" s="175"/>
      <c r="Y435" s="175"/>
      <c r="Z435" s="175"/>
      <c r="AA435" s="175"/>
      <c r="AB435" s="175"/>
      <c r="AC435" s="175"/>
      <c r="AD435" s="175"/>
    </row>
    <row r="436" spans="18:30" x14ac:dyDescent="0.25">
      <c r="R436" s="176"/>
      <c r="S436" s="175"/>
      <c r="T436" s="175"/>
      <c r="U436" s="175"/>
      <c r="V436" s="175"/>
      <c r="W436" s="175"/>
      <c r="X436" s="175"/>
      <c r="Y436" s="175"/>
      <c r="Z436" s="175"/>
      <c r="AA436" s="175"/>
      <c r="AB436" s="175"/>
      <c r="AC436" s="175"/>
      <c r="AD436" s="175"/>
    </row>
    <row r="437" spans="18:30" x14ac:dyDescent="0.25">
      <c r="R437" s="176"/>
      <c r="S437" s="175"/>
      <c r="T437" s="175"/>
      <c r="U437" s="175"/>
      <c r="V437" s="175"/>
      <c r="W437" s="175"/>
      <c r="X437" s="175"/>
      <c r="Y437" s="175"/>
      <c r="Z437" s="175"/>
      <c r="AA437" s="175"/>
      <c r="AB437" s="175"/>
      <c r="AC437" s="175"/>
      <c r="AD437" s="175"/>
    </row>
    <row r="438" spans="18:30" x14ac:dyDescent="0.25">
      <c r="R438" s="176"/>
      <c r="S438" s="175"/>
      <c r="T438" s="175"/>
      <c r="U438" s="175"/>
      <c r="V438" s="175"/>
      <c r="W438" s="175"/>
      <c r="X438" s="175"/>
      <c r="Y438" s="175"/>
      <c r="Z438" s="175"/>
      <c r="AA438" s="175"/>
      <c r="AB438" s="175"/>
      <c r="AC438" s="175"/>
      <c r="AD438" s="175"/>
    </row>
    <row r="439" spans="18:30" x14ac:dyDescent="0.25">
      <c r="R439" s="176"/>
      <c r="S439" s="175"/>
      <c r="T439" s="175"/>
      <c r="U439" s="175"/>
      <c r="V439" s="175"/>
      <c r="W439" s="175"/>
      <c r="X439" s="175"/>
      <c r="Y439" s="175"/>
      <c r="Z439" s="175"/>
      <c r="AA439" s="175"/>
      <c r="AB439" s="175"/>
      <c r="AC439" s="175"/>
      <c r="AD439" s="175"/>
    </row>
    <row r="440" spans="18:30" x14ac:dyDescent="0.25">
      <c r="R440" s="176"/>
      <c r="S440" s="175"/>
      <c r="T440" s="175"/>
      <c r="U440" s="175"/>
      <c r="V440" s="175"/>
      <c r="W440" s="175"/>
      <c r="X440" s="175"/>
      <c r="Y440" s="175"/>
      <c r="Z440" s="175"/>
      <c r="AA440" s="175"/>
      <c r="AB440" s="175"/>
      <c r="AC440" s="175"/>
      <c r="AD440" s="175"/>
    </row>
    <row r="441" spans="18:30" x14ac:dyDescent="0.25">
      <c r="R441" s="176"/>
      <c r="S441" s="175"/>
      <c r="T441" s="175"/>
      <c r="U441" s="175"/>
      <c r="V441" s="175"/>
      <c r="W441" s="175"/>
      <c r="X441" s="175"/>
      <c r="Y441" s="175"/>
      <c r="Z441" s="175"/>
      <c r="AA441" s="175"/>
      <c r="AB441" s="175"/>
      <c r="AC441" s="175"/>
      <c r="AD441" s="175"/>
    </row>
    <row r="442" spans="18:30" x14ac:dyDescent="0.25">
      <c r="R442" s="176"/>
      <c r="S442" s="175"/>
      <c r="T442" s="175"/>
      <c r="U442" s="175"/>
      <c r="V442" s="175"/>
      <c r="W442" s="175"/>
      <c r="X442" s="175"/>
      <c r="Y442" s="175"/>
      <c r="Z442" s="175"/>
      <c r="AA442" s="175"/>
      <c r="AB442" s="175"/>
      <c r="AC442" s="175"/>
      <c r="AD442" s="175"/>
    </row>
    <row r="443" spans="18:30" x14ac:dyDescent="0.25">
      <c r="R443" s="176"/>
      <c r="S443" s="175"/>
      <c r="T443" s="175"/>
      <c r="U443" s="175"/>
      <c r="V443" s="175"/>
      <c r="W443" s="175"/>
      <c r="X443" s="175"/>
      <c r="Y443" s="175"/>
      <c r="Z443" s="175"/>
      <c r="AA443" s="175"/>
      <c r="AB443" s="175"/>
      <c r="AC443" s="175"/>
      <c r="AD443" s="175"/>
    </row>
    <row r="444" spans="18:30" x14ac:dyDescent="0.25">
      <c r="R444" s="176"/>
      <c r="S444" s="175"/>
      <c r="T444" s="175"/>
      <c r="U444" s="175"/>
      <c r="V444" s="175"/>
      <c r="W444" s="175"/>
      <c r="X444" s="175"/>
      <c r="Y444" s="175"/>
      <c r="Z444" s="175"/>
      <c r="AA444" s="175"/>
      <c r="AB444" s="175"/>
      <c r="AC444" s="175"/>
      <c r="AD444" s="175"/>
    </row>
    <row r="445" spans="18:30" x14ac:dyDescent="0.25">
      <c r="R445" s="176"/>
      <c r="S445" s="175"/>
      <c r="T445" s="175"/>
      <c r="U445" s="175"/>
      <c r="V445" s="175"/>
      <c r="W445" s="175"/>
      <c r="X445" s="175"/>
      <c r="Y445" s="175"/>
      <c r="Z445" s="175"/>
      <c r="AA445" s="175"/>
      <c r="AB445" s="175"/>
      <c r="AC445" s="175"/>
      <c r="AD445" s="175"/>
    </row>
    <row r="446" spans="18:30" x14ac:dyDescent="0.25">
      <c r="R446" s="176"/>
      <c r="S446" s="175"/>
      <c r="T446" s="175"/>
      <c r="U446" s="175"/>
      <c r="V446" s="175"/>
      <c r="W446" s="175"/>
      <c r="X446" s="175"/>
      <c r="Y446" s="175"/>
      <c r="Z446" s="175"/>
      <c r="AA446" s="175"/>
      <c r="AB446" s="175"/>
      <c r="AC446" s="175"/>
      <c r="AD446" s="175"/>
    </row>
    <row r="447" spans="18:30" x14ac:dyDescent="0.25">
      <c r="R447" s="176"/>
      <c r="S447" s="175"/>
      <c r="T447" s="175"/>
      <c r="U447" s="175"/>
      <c r="V447" s="175"/>
      <c r="W447" s="175"/>
      <c r="X447" s="175"/>
      <c r="Y447" s="175"/>
      <c r="Z447" s="175"/>
      <c r="AA447" s="175"/>
      <c r="AB447" s="175"/>
      <c r="AC447" s="175"/>
      <c r="AD447" s="175"/>
    </row>
    <row r="448" spans="18:30" x14ac:dyDescent="0.25">
      <c r="R448" s="176"/>
      <c r="S448" s="175"/>
      <c r="T448" s="175"/>
      <c r="U448" s="175"/>
      <c r="V448" s="175"/>
      <c r="W448" s="175"/>
      <c r="X448" s="175"/>
      <c r="Y448" s="175"/>
      <c r="Z448" s="175"/>
      <c r="AA448" s="175"/>
      <c r="AB448" s="175"/>
      <c r="AC448" s="175"/>
      <c r="AD448" s="175"/>
    </row>
    <row r="449" spans="18:30" x14ac:dyDescent="0.25">
      <c r="R449" s="176"/>
      <c r="S449" s="175"/>
      <c r="T449" s="175"/>
      <c r="U449" s="175"/>
      <c r="V449" s="175"/>
      <c r="W449" s="175"/>
      <c r="X449" s="175"/>
      <c r="Y449" s="175"/>
      <c r="Z449" s="175"/>
      <c r="AA449" s="175"/>
      <c r="AB449" s="175"/>
      <c r="AC449" s="175"/>
      <c r="AD449" s="175"/>
    </row>
    <row r="450" spans="18:30" x14ac:dyDescent="0.25">
      <c r="R450" s="176"/>
      <c r="S450" s="175"/>
      <c r="T450" s="175"/>
      <c r="U450" s="175"/>
      <c r="V450" s="175"/>
      <c r="W450" s="175"/>
      <c r="X450" s="175"/>
      <c r="Y450" s="175"/>
      <c r="Z450" s="175"/>
      <c r="AA450" s="175"/>
      <c r="AB450" s="175"/>
      <c r="AC450" s="175"/>
      <c r="AD450" s="175"/>
    </row>
    <row r="451" spans="18:30" x14ac:dyDescent="0.25">
      <c r="R451" s="176"/>
      <c r="S451" s="175"/>
      <c r="T451" s="175"/>
      <c r="U451" s="175"/>
      <c r="V451" s="175"/>
      <c r="W451" s="175"/>
      <c r="X451" s="175"/>
      <c r="Y451" s="175"/>
      <c r="Z451" s="175"/>
      <c r="AA451" s="175"/>
      <c r="AB451" s="175"/>
      <c r="AC451" s="175"/>
      <c r="AD451" s="175"/>
    </row>
    <row r="452" spans="18:30" x14ac:dyDescent="0.25">
      <c r="R452" s="176"/>
      <c r="S452" s="175"/>
      <c r="T452" s="175"/>
      <c r="U452" s="175"/>
      <c r="V452" s="175"/>
      <c r="W452" s="175"/>
      <c r="X452" s="175"/>
      <c r="Y452" s="175"/>
      <c r="Z452" s="175"/>
      <c r="AA452" s="175"/>
      <c r="AB452" s="175"/>
      <c r="AC452" s="175"/>
      <c r="AD452" s="175"/>
    </row>
    <row r="453" spans="18:30" x14ac:dyDescent="0.25">
      <c r="R453" s="176"/>
      <c r="S453" s="175"/>
      <c r="T453" s="175"/>
      <c r="U453" s="175"/>
      <c r="V453" s="175"/>
      <c r="W453" s="175"/>
      <c r="X453" s="175"/>
      <c r="Y453" s="175"/>
      <c r="Z453" s="175"/>
      <c r="AA453" s="175"/>
      <c r="AB453" s="175"/>
      <c r="AC453" s="175"/>
      <c r="AD453" s="175"/>
    </row>
    <row r="454" spans="18:30" x14ac:dyDescent="0.25">
      <c r="R454" s="176"/>
      <c r="S454" s="175"/>
      <c r="T454" s="175"/>
      <c r="U454" s="175"/>
      <c r="V454" s="175"/>
      <c r="W454" s="175"/>
      <c r="X454" s="175"/>
      <c r="Y454" s="175"/>
      <c r="Z454" s="175"/>
      <c r="AA454" s="175"/>
      <c r="AB454" s="175"/>
      <c r="AC454" s="175"/>
      <c r="AD454" s="175"/>
    </row>
    <row r="455" spans="18:30" x14ac:dyDescent="0.25">
      <c r="R455" s="176"/>
      <c r="S455" s="175"/>
      <c r="T455" s="175"/>
      <c r="U455" s="175"/>
      <c r="V455" s="175"/>
      <c r="W455" s="175"/>
      <c r="X455" s="175"/>
      <c r="Y455" s="175"/>
      <c r="Z455" s="175"/>
      <c r="AA455" s="175"/>
      <c r="AB455" s="175"/>
      <c r="AC455" s="175"/>
      <c r="AD455" s="175"/>
    </row>
    <row r="456" spans="18:30" x14ac:dyDescent="0.25">
      <c r="R456" s="176"/>
      <c r="S456" s="175"/>
      <c r="T456" s="175"/>
      <c r="U456" s="175"/>
      <c r="V456" s="175"/>
      <c r="W456" s="175"/>
      <c r="X456" s="175"/>
      <c r="Y456" s="175"/>
      <c r="Z456" s="175"/>
      <c r="AA456" s="175"/>
      <c r="AB456" s="175"/>
      <c r="AC456" s="175"/>
      <c r="AD456" s="175"/>
    </row>
    <row r="457" spans="18:30" x14ac:dyDescent="0.25">
      <c r="R457" s="176"/>
      <c r="S457" s="175"/>
      <c r="T457" s="175"/>
      <c r="U457" s="175"/>
      <c r="V457" s="175"/>
      <c r="W457" s="175"/>
      <c r="X457" s="175"/>
      <c r="Y457" s="175"/>
      <c r="Z457" s="175"/>
      <c r="AA457" s="175"/>
      <c r="AB457" s="175"/>
      <c r="AC457" s="175"/>
      <c r="AD457" s="175"/>
    </row>
    <row r="458" spans="18:30" x14ac:dyDescent="0.25">
      <c r="R458" s="176"/>
      <c r="S458" s="175"/>
      <c r="T458" s="175"/>
      <c r="U458" s="175"/>
      <c r="V458" s="175"/>
      <c r="W458" s="175"/>
      <c r="X458" s="175"/>
      <c r="Y458" s="175"/>
      <c r="Z458" s="175"/>
      <c r="AA458" s="175"/>
      <c r="AB458" s="175"/>
      <c r="AC458" s="175"/>
      <c r="AD458" s="175"/>
    </row>
    <row r="459" spans="18:30" x14ac:dyDescent="0.25">
      <c r="R459" s="176"/>
      <c r="S459" s="175"/>
      <c r="T459" s="175"/>
      <c r="U459" s="175"/>
      <c r="V459" s="175"/>
      <c r="W459" s="175"/>
      <c r="X459" s="175"/>
      <c r="Y459" s="175"/>
      <c r="Z459" s="175"/>
      <c r="AA459" s="175"/>
      <c r="AB459" s="175"/>
      <c r="AC459" s="175"/>
      <c r="AD459" s="175"/>
    </row>
    <row r="460" spans="18:30" x14ac:dyDescent="0.25">
      <c r="R460" s="176"/>
      <c r="S460" s="175"/>
      <c r="T460" s="175"/>
      <c r="U460" s="175"/>
      <c r="V460" s="175"/>
      <c r="W460" s="175"/>
      <c r="X460" s="175"/>
      <c r="Y460" s="175"/>
      <c r="Z460" s="175"/>
      <c r="AA460" s="175"/>
      <c r="AB460" s="175"/>
      <c r="AC460" s="175"/>
      <c r="AD460" s="175"/>
    </row>
    <row r="461" spans="18:30" x14ac:dyDescent="0.25">
      <c r="R461" s="176"/>
      <c r="S461" s="175"/>
      <c r="T461" s="175"/>
      <c r="U461" s="175"/>
      <c r="V461" s="175"/>
      <c r="W461" s="175"/>
      <c r="X461" s="175"/>
      <c r="Y461" s="175"/>
      <c r="Z461" s="175"/>
      <c r="AA461" s="175"/>
      <c r="AB461" s="175"/>
      <c r="AC461" s="175"/>
      <c r="AD461" s="175"/>
    </row>
    <row r="462" spans="18:30" x14ac:dyDescent="0.25">
      <c r="R462" s="176"/>
      <c r="S462" s="175"/>
      <c r="T462" s="175"/>
      <c r="U462" s="175"/>
      <c r="V462" s="175"/>
      <c r="W462" s="175"/>
      <c r="X462" s="175"/>
      <c r="Y462" s="175"/>
      <c r="Z462" s="175"/>
      <c r="AA462" s="175"/>
      <c r="AB462" s="175"/>
      <c r="AC462" s="175"/>
      <c r="AD462" s="175"/>
    </row>
    <row r="463" spans="18:30" x14ac:dyDescent="0.25">
      <c r="R463" s="176"/>
      <c r="S463" s="175"/>
      <c r="T463" s="175"/>
      <c r="U463" s="175"/>
      <c r="V463" s="175"/>
      <c r="W463" s="175"/>
      <c r="X463" s="175"/>
      <c r="Y463" s="175"/>
      <c r="Z463" s="175"/>
      <c r="AA463" s="175"/>
      <c r="AB463" s="175"/>
      <c r="AC463" s="175"/>
      <c r="AD463" s="175"/>
    </row>
    <row r="464" spans="18:30" x14ac:dyDescent="0.25">
      <c r="R464" s="176"/>
      <c r="S464" s="175"/>
      <c r="T464" s="175"/>
      <c r="U464" s="175"/>
      <c r="V464" s="175"/>
      <c r="W464" s="175"/>
      <c r="X464" s="175"/>
      <c r="Y464" s="175"/>
      <c r="Z464" s="175"/>
      <c r="AA464" s="175"/>
      <c r="AB464" s="175"/>
      <c r="AC464" s="175"/>
      <c r="AD464" s="175"/>
    </row>
    <row r="465" spans="18:30" x14ac:dyDescent="0.25">
      <c r="R465" s="176"/>
      <c r="S465" s="175"/>
      <c r="T465" s="175"/>
      <c r="U465" s="175"/>
      <c r="V465" s="175"/>
      <c r="W465" s="175"/>
      <c r="X465" s="175"/>
      <c r="Y465" s="175"/>
      <c r="Z465" s="175"/>
      <c r="AA465" s="175"/>
      <c r="AB465" s="175"/>
      <c r="AC465" s="175"/>
      <c r="AD465" s="175"/>
    </row>
    <row r="466" spans="18:30" x14ac:dyDescent="0.25">
      <c r="R466" s="176"/>
      <c r="S466" s="175"/>
      <c r="T466" s="175"/>
      <c r="U466" s="175"/>
      <c r="V466" s="175"/>
      <c r="W466" s="175"/>
      <c r="X466" s="175"/>
      <c r="Y466" s="175"/>
      <c r="Z466" s="175"/>
      <c r="AA466" s="175"/>
      <c r="AB466" s="175"/>
      <c r="AC466" s="175"/>
      <c r="AD466" s="175"/>
    </row>
    <row r="467" spans="18:30" x14ac:dyDescent="0.25">
      <c r="R467" s="176"/>
      <c r="S467" s="175"/>
      <c r="T467" s="175"/>
      <c r="U467" s="175"/>
      <c r="V467" s="175"/>
      <c r="W467" s="175"/>
      <c r="X467" s="175"/>
      <c r="Y467" s="175"/>
      <c r="Z467" s="175"/>
      <c r="AA467" s="175"/>
      <c r="AB467" s="175"/>
      <c r="AC467" s="175"/>
      <c r="AD467" s="175"/>
    </row>
    <row r="468" spans="18:30" x14ac:dyDescent="0.25">
      <c r="R468" s="176"/>
      <c r="S468" s="175"/>
      <c r="T468" s="175"/>
      <c r="U468" s="175"/>
      <c r="V468" s="175"/>
      <c r="W468" s="175"/>
      <c r="X468" s="175"/>
      <c r="Y468" s="175"/>
      <c r="Z468" s="175"/>
      <c r="AA468" s="175"/>
      <c r="AB468" s="175"/>
      <c r="AC468" s="175"/>
      <c r="AD468" s="175"/>
    </row>
    <row r="469" spans="18:30" x14ac:dyDescent="0.25">
      <c r="R469" s="176"/>
      <c r="S469" s="175"/>
      <c r="T469" s="175"/>
      <c r="U469" s="175"/>
      <c r="V469" s="175"/>
      <c r="W469" s="175"/>
      <c r="X469" s="175"/>
      <c r="Y469" s="175"/>
      <c r="Z469" s="175"/>
      <c r="AA469" s="175"/>
      <c r="AB469" s="175"/>
      <c r="AC469" s="175"/>
      <c r="AD469" s="175"/>
    </row>
    <row r="470" spans="18:30" x14ac:dyDescent="0.25">
      <c r="R470" s="176"/>
      <c r="S470" s="175"/>
      <c r="T470" s="175"/>
      <c r="U470" s="175"/>
      <c r="V470" s="175"/>
      <c r="W470" s="175"/>
      <c r="X470" s="175"/>
      <c r="Y470" s="175"/>
      <c r="Z470" s="175"/>
      <c r="AA470" s="175"/>
      <c r="AB470" s="175"/>
      <c r="AC470" s="175"/>
      <c r="AD470" s="175"/>
    </row>
    <row r="471" spans="18:30" x14ac:dyDescent="0.25">
      <c r="R471" s="176"/>
      <c r="S471" s="175"/>
      <c r="T471" s="175"/>
      <c r="U471" s="175"/>
      <c r="V471" s="175"/>
      <c r="W471" s="175"/>
      <c r="X471" s="175"/>
      <c r="Y471" s="175"/>
      <c r="Z471" s="175"/>
      <c r="AA471" s="175"/>
      <c r="AB471" s="175"/>
      <c r="AC471" s="175"/>
      <c r="AD471" s="175"/>
    </row>
    <row r="472" spans="18:30" x14ac:dyDescent="0.25">
      <c r="R472" s="176"/>
      <c r="S472" s="175"/>
      <c r="T472" s="175"/>
      <c r="U472" s="175"/>
      <c r="V472" s="175"/>
      <c r="W472" s="175"/>
      <c r="X472" s="175"/>
      <c r="Y472" s="175"/>
      <c r="Z472" s="175"/>
      <c r="AA472" s="175"/>
      <c r="AB472" s="175"/>
      <c r="AC472" s="175"/>
      <c r="AD472" s="175"/>
    </row>
    <row r="473" spans="18:30" x14ac:dyDescent="0.25">
      <c r="R473" s="176"/>
      <c r="S473" s="175"/>
      <c r="T473" s="175"/>
      <c r="U473" s="175"/>
      <c r="V473" s="175"/>
      <c r="W473" s="175"/>
      <c r="X473" s="175"/>
      <c r="Y473" s="175"/>
      <c r="Z473" s="175"/>
      <c r="AA473" s="175"/>
      <c r="AB473" s="175"/>
      <c r="AC473" s="175"/>
      <c r="AD473" s="175"/>
    </row>
    <row r="474" spans="18:30" x14ac:dyDescent="0.25">
      <c r="R474" s="176"/>
      <c r="S474" s="175"/>
      <c r="T474" s="175"/>
      <c r="U474" s="175"/>
      <c r="V474" s="175"/>
      <c r="W474" s="175"/>
      <c r="X474" s="175"/>
      <c r="Y474" s="175"/>
      <c r="Z474" s="175"/>
      <c r="AA474" s="175"/>
      <c r="AB474" s="175"/>
      <c r="AC474" s="175"/>
      <c r="AD474" s="175"/>
    </row>
    <row r="475" spans="18:30" x14ac:dyDescent="0.25">
      <c r="R475" s="176"/>
      <c r="S475" s="175"/>
      <c r="T475" s="175"/>
      <c r="U475" s="175"/>
      <c r="V475" s="175"/>
      <c r="W475" s="175"/>
      <c r="X475" s="175"/>
      <c r="Y475" s="175"/>
      <c r="Z475" s="175"/>
      <c r="AA475" s="175"/>
      <c r="AB475" s="175"/>
      <c r="AC475" s="175"/>
      <c r="AD475" s="175"/>
    </row>
    <row r="476" spans="18:30" x14ac:dyDescent="0.25">
      <c r="R476" s="176"/>
      <c r="S476" s="175"/>
      <c r="T476" s="175"/>
      <c r="U476" s="175"/>
      <c r="V476" s="175"/>
      <c r="W476" s="175"/>
      <c r="X476" s="175"/>
      <c r="Y476" s="175"/>
      <c r="Z476" s="175"/>
      <c r="AA476" s="175"/>
      <c r="AB476" s="175"/>
      <c r="AC476" s="175"/>
      <c r="AD476" s="175"/>
    </row>
    <row r="477" spans="18:30" x14ac:dyDescent="0.25">
      <c r="R477" s="176"/>
      <c r="S477" s="175"/>
      <c r="T477" s="175"/>
      <c r="U477" s="175"/>
      <c r="V477" s="175"/>
      <c r="W477" s="175"/>
      <c r="X477" s="175"/>
      <c r="Y477" s="175"/>
      <c r="Z477" s="175"/>
      <c r="AA477" s="175"/>
      <c r="AB477" s="175"/>
      <c r="AC477" s="175"/>
      <c r="AD477" s="175"/>
    </row>
    <row r="478" spans="18:30" x14ac:dyDescent="0.25">
      <c r="R478" s="176"/>
      <c r="S478" s="175"/>
      <c r="T478" s="175"/>
      <c r="U478" s="175"/>
      <c r="V478" s="175"/>
      <c r="W478" s="175"/>
      <c r="X478" s="175"/>
      <c r="Y478" s="175"/>
      <c r="Z478" s="175"/>
      <c r="AA478" s="175"/>
      <c r="AB478" s="175"/>
      <c r="AC478" s="175"/>
      <c r="AD478" s="175"/>
    </row>
    <row r="479" spans="18:30" x14ac:dyDescent="0.25">
      <c r="R479" s="176"/>
      <c r="S479" s="175"/>
      <c r="T479" s="175"/>
      <c r="U479" s="175"/>
      <c r="V479" s="175"/>
      <c r="W479" s="175"/>
      <c r="X479" s="175"/>
      <c r="Y479" s="175"/>
      <c r="Z479" s="175"/>
      <c r="AA479" s="175"/>
      <c r="AB479" s="175"/>
      <c r="AC479" s="175"/>
      <c r="AD479" s="175"/>
    </row>
    <row r="480" spans="18:30" x14ac:dyDescent="0.25">
      <c r="R480" s="176"/>
      <c r="S480" s="175"/>
      <c r="T480" s="175"/>
      <c r="U480" s="175"/>
      <c r="V480" s="175"/>
      <c r="W480" s="175"/>
      <c r="X480" s="175"/>
      <c r="Y480" s="175"/>
      <c r="Z480" s="175"/>
      <c r="AA480" s="175"/>
      <c r="AB480" s="175"/>
      <c r="AC480" s="175"/>
      <c r="AD480" s="175"/>
    </row>
    <row r="481" spans="18:30" x14ac:dyDescent="0.25">
      <c r="R481" s="176"/>
      <c r="S481" s="175"/>
      <c r="T481" s="175"/>
      <c r="U481" s="175"/>
      <c r="V481" s="175"/>
      <c r="W481" s="175"/>
      <c r="X481" s="175"/>
      <c r="Y481" s="175"/>
      <c r="Z481" s="175"/>
      <c r="AA481" s="175"/>
      <c r="AB481" s="175"/>
      <c r="AC481" s="175"/>
      <c r="AD481" s="175"/>
    </row>
    <row r="482" spans="18:30" x14ac:dyDescent="0.25">
      <c r="R482" s="176"/>
      <c r="S482" s="175"/>
      <c r="T482" s="175"/>
      <c r="U482" s="175"/>
      <c r="V482" s="175"/>
      <c r="W482" s="175"/>
      <c r="X482" s="175"/>
      <c r="Y482" s="175"/>
      <c r="Z482" s="175"/>
      <c r="AA482" s="175"/>
      <c r="AB482" s="175"/>
      <c r="AC482" s="175"/>
      <c r="AD482" s="175"/>
    </row>
    <row r="483" spans="18:30" x14ac:dyDescent="0.25">
      <c r="R483" s="176"/>
      <c r="S483" s="175"/>
      <c r="T483" s="175"/>
      <c r="U483" s="175"/>
      <c r="V483" s="175"/>
      <c r="W483" s="175"/>
      <c r="X483" s="175"/>
      <c r="Y483" s="175"/>
      <c r="Z483" s="175"/>
      <c r="AA483" s="175"/>
      <c r="AB483" s="175"/>
      <c r="AC483" s="175"/>
      <c r="AD483" s="175"/>
    </row>
    <row r="484" spans="18:30" x14ac:dyDescent="0.25">
      <c r="R484" s="176"/>
      <c r="S484" s="175"/>
      <c r="T484" s="175"/>
      <c r="U484" s="175"/>
      <c r="V484" s="175"/>
      <c r="W484" s="175"/>
      <c r="X484" s="175"/>
      <c r="Y484" s="175"/>
      <c r="Z484" s="175"/>
      <c r="AA484" s="175"/>
      <c r="AB484" s="175"/>
      <c r="AC484" s="175"/>
      <c r="AD484" s="175"/>
    </row>
    <row r="485" spans="18:30" x14ac:dyDescent="0.25">
      <c r="R485" s="176"/>
      <c r="S485" s="175"/>
      <c r="T485" s="175"/>
      <c r="U485" s="175"/>
      <c r="V485" s="175"/>
      <c r="W485" s="175"/>
      <c r="X485" s="175"/>
      <c r="Y485" s="175"/>
      <c r="Z485" s="175"/>
      <c r="AA485" s="175"/>
      <c r="AB485" s="175"/>
      <c r="AC485" s="175"/>
      <c r="AD485" s="175"/>
    </row>
    <row r="486" spans="18:30" x14ac:dyDescent="0.25">
      <c r="R486" s="176"/>
      <c r="S486" s="175"/>
      <c r="T486" s="175"/>
      <c r="U486" s="175"/>
      <c r="V486" s="175"/>
      <c r="W486" s="175"/>
      <c r="X486" s="175"/>
      <c r="Y486" s="175"/>
      <c r="Z486" s="175"/>
      <c r="AA486" s="175"/>
      <c r="AB486" s="175"/>
      <c r="AC486" s="175"/>
      <c r="AD486" s="175"/>
    </row>
    <row r="487" spans="18:30" x14ac:dyDescent="0.25">
      <c r="R487" s="176"/>
      <c r="S487" s="175"/>
      <c r="T487" s="175"/>
      <c r="U487" s="175"/>
      <c r="V487" s="175"/>
      <c r="W487" s="175"/>
      <c r="X487" s="175"/>
      <c r="Y487" s="175"/>
      <c r="Z487" s="175"/>
      <c r="AA487" s="175"/>
      <c r="AB487" s="175"/>
      <c r="AC487" s="175"/>
      <c r="AD487" s="175"/>
    </row>
    <row r="488" spans="18:30" x14ac:dyDescent="0.25">
      <c r="R488" s="176"/>
      <c r="S488" s="175"/>
      <c r="T488" s="175"/>
      <c r="U488" s="175"/>
      <c r="V488" s="175"/>
      <c r="W488" s="175"/>
      <c r="X488" s="175"/>
      <c r="Y488" s="175"/>
      <c r="Z488" s="175"/>
      <c r="AA488" s="175"/>
      <c r="AB488" s="175"/>
      <c r="AC488" s="175"/>
      <c r="AD488" s="175"/>
    </row>
    <row r="489" spans="18:30" x14ac:dyDescent="0.25">
      <c r="R489" s="176"/>
      <c r="S489" s="175"/>
      <c r="T489" s="175"/>
      <c r="U489" s="175"/>
      <c r="V489" s="175"/>
      <c r="W489" s="175"/>
      <c r="X489" s="175"/>
      <c r="Y489" s="175"/>
      <c r="Z489" s="175"/>
      <c r="AA489" s="175"/>
      <c r="AB489" s="175"/>
      <c r="AC489" s="175"/>
      <c r="AD489" s="175"/>
    </row>
    <row r="490" spans="18:30" x14ac:dyDescent="0.25">
      <c r="R490" s="176"/>
      <c r="S490" s="175"/>
      <c r="T490" s="175"/>
      <c r="U490" s="175"/>
      <c r="V490" s="175"/>
      <c r="W490" s="175"/>
      <c r="X490" s="175"/>
      <c r="Y490" s="175"/>
      <c r="Z490" s="175"/>
      <c r="AA490" s="175"/>
      <c r="AB490" s="175"/>
      <c r="AC490" s="175"/>
      <c r="AD490" s="175"/>
    </row>
    <row r="491" spans="18:30" x14ac:dyDescent="0.25">
      <c r="R491" s="176"/>
      <c r="S491" s="175"/>
      <c r="T491" s="175"/>
      <c r="U491" s="175"/>
      <c r="V491" s="175"/>
      <c r="W491" s="175"/>
      <c r="X491" s="175"/>
      <c r="Y491" s="175"/>
      <c r="Z491" s="175"/>
      <c r="AA491" s="175"/>
      <c r="AB491" s="175"/>
      <c r="AC491" s="175"/>
      <c r="AD491" s="175"/>
    </row>
    <row r="492" spans="18:30" x14ac:dyDescent="0.25">
      <c r="R492" s="176"/>
      <c r="S492" s="175"/>
      <c r="T492" s="175"/>
      <c r="U492" s="175"/>
      <c r="V492" s="175"/>
      <c r="W492" s="175"/>
      <c r="X492" s="175"/>
      <c r="Y492" s="175"/>
      <c r="Z492" s="175"/>
      <c r="AA492" s="175"/>
      <c r="AB492" s="175"/>
      <c r="AC492" s="175"/>
      <c r="AD492" s="175"/>
    </row>
    <row r="493" spans="18:30" x14ac:dyDescent="0.25">
      <c r="R493" s="176"/>
      <c r="S493" s="175"/>
      <c r="T493" s="175"/>
      <c r="U493" s="175"/>
      <c r="V493" s="175"/>
      <c r="W493" s="175"/>
      <c r="X493" s="175"/>
      <c r="Y493" s="175"/>
      <c r="Z493" s="175"/>
      <c r="AA493" s="175"/>
      <c r="AB493" s="175"/>
      <c r="AC493" s="175"/>
      <c r="AD493" s="175"/>
    </row>
    <row r="494" spans="18:30" x14ac:dyDescent="0.25">
      <c r="R494" s="176"/>
      <c r="S494" s="175"/>
      <c r="T494" s="175"/>
      <c r="U494" s="175"/>
      <c r="V494" s="175"/>
      <c r="W494" s="175"/>
      <c r="X494" s="175"/>
      <c r="Y494" s="175"/>
      <c r="Z494" s="175"/>
      <c r="AA494" s="175"/>
      <c r="AB494" s="175"/>
      <c r="AC494" s="175"/>
      <c r="AD494" s="175"/>
    </row>
    <row r="495" spans="18:30" x14ac:dyDescent="0.25">
      <c r="R495" s="176"/>
      <c r="S495" s="175"/>
      <c r="T495" s="175"/>
      <c r="U495" s="175"/>
      <c r="V495" s="175"/>
      <c r="W495" s="175"/>
      <c r="X495" s="175"/>
      <c r="Y495" s="175"/>
      <c r="Z495" s="175"/>
      <c r="AA495" s="175"/>
      <c r="AB495" s="175"/>
      <c r="AC495" s="175"/>
      <c r="AD495" s="175"/>
    </row>
    <row r="496" spans="18:30" x14ac:dyDescent="0.25">
      <c r="R496" s="176"/>
      <c r="S496" s="175"/>
      <c r="T496" s="175"/>
      <c r="U496" s="175"/>
      <c r="V496" s="175"/>
      <c r="W496" s="175"/>
      <c r="X496" s="175"/>
      <c r="Y496" s="175"/>
      <c r="Z496" s="175"/>
      <c r="AA496" s="175"/>
      <c r="AB496" s="175"/>
      <c r="AC496" s="175"/>
      <c r="AD496" s="175"/>
    </row>
    <row r="497" spans="18:30" x14ac:dyDescent="0.25">
      <c r="R497" s="176"/>
      <c r="S497" s="175"/>
      <c r="T497" s="175"/>
      <c r="U497" s="175"/>
      <c r="V497" s="175"/>
      <c r="W497" s="175"/>
      <c r="X497" s="175"/>
      <c r="Y497" s="175"/>
      <c r="Z497" s="175"/>
      <c r="AA497" s="175"/>
      <c r="AB497" s="175"/>
      <c r="AC497" s="175"/>
      <c r="AD497" s="175"/>
    </row>
    <row r="498" spans="18:30" x14ac:dyDescent="0.25">
      <c r="R498" s="176"/>
      <c r="S498" s="175"/>
      <c r="T498" s="175"/>
      <c r="U498" s="175"/>
      <c r="V498" s="175"/>
      <c r="W498" s="175"/>
      <c r="X498" s="175"/>
      <c r="Y498" s="175"/>
      <c r="Z498" s="175"/>
      <c r="AA498" s="175"/>
      <c r="AB498" s="175"/>
      <c r="AC498" s="175"/>
      <c r="AD498" s="175"/>
    </row>
    <row r="499" spans="18:30" x14ac:dyDescent="0.25">
      <c r="R499" s="176"/>
      <c r="S499" s="175"/>
      <c r="T499" s="175"/>
      <c r="U499" s="175"/>
      <c r="V499" s="175"/>
      <c r="W499" s="175"/>
      <c r="X499" s="175"/>
      <c r="Y499" s="175"/>
      <c r="Z499" s="175"/>
      <c r="AA499" s="175"/>
      <c r="AB499" s="175"/>
      <c r="AC499" s="175"/>
      <c r="AD499" s="175"/>
    </row>
    <row r="500" spans="18:30" x14ac:dyDescent="0.25">
      <c r="R500" s="176"/>
      <c r="S500" s="175"/>
      <c r="T500" s="175"/>
      <c r="U500" s="175"/>
      <c r="V500" s="175"/>
      <c r="W500" s="175"/>
      <c r="X500" s="175"/>
      <c r="Y500" s="175"/>
      <c r="Z500" s="175"/>
      <c r="AA500" s="175"/>
      <c r="AB500" s="175"/>
      <c r="AC500" s="175"/>
      <c r="AD500" s="175"/>
    </row>
    <row r="501" spans="18:30" x14ac:dyDescent="0.25">
      <c r="R501" s="176"/>
      <c r="S501" s="175"/>
      <c r="T501" s="175"/>
      <c r="U501" s="175"/>
      <c r="V501" s="175"/>
      <c r="W501" s="175"/>
      <c r="X501" s="175"/>
      <c r="Y501" s="175"/>
      <c r="Z501" s="175"/>
      <c r="AA501" s="175"/>
      <c r="AB501" s="175"/>
      <c r="AC501" s="175"/>
      <c r="AD501" s="175"/>
    </row>
    <row r="502" spans="18:30" x14ac:dyDescent="0.25">
      <c r="R502" s="176"/>
      <c r="S502" s="175"/>
      <c r="T502" s="175"/>
      <c r="U502" s="175"/>
      <c r="V502" s="175"/>
      <c r="W502" s="175"/>
      <c r="X502" s="175"/>
      <c r="Y502" s="175"/>
      <c r="Z502" s="175"/>
      <c r="AA502" s="175"/>
      <c r="AB502" s="175"/>
      <c r="AC502" s="175"/>
      <c r="AD502" s="175"/>
    </row>
    <row r="503" spans="18:30" x14ac:dyDescent="0.25">
      <c r="R503" s="176"/>
      <c r="S503" s="175"/>
      <c r="T503" s="175"/>
      <c r="U503" s="175"/>
      <c r="V503" s="175"/>
      <c r="W503" s="175"/>
      <c r="X503" s="175"/>
      <c r="Y503" s="175"/>
      <c r="Z503" s="175"/>
      <c r="AA503" s="175"/>
      <c r="AB503" s="175"/>
      <c r="AC503" s="175"/>
      <c r="AD503" s="175"/>
    </row>
    <row r="504" spans="18:30" x14ac:dyDescent="0.25">
      <c r="R504" s="176"/>
      <c r="S504" s="175"/>
      <c r="T504" s="175"/>
      <c r="U504" s="175"/>
      <c r="V504" s="175"/>
      <c r="W504" s="175"/>
      <c r="X504" s="175"/>
      <c r="Y504" s="175"/>
      <c r="Z504" s="175"/>
      <c r="AA504" s="175"/>
      <c r="AB504" s="175"/>
      <c r="AC504" s="175"/>
      <c r="AD504" s="175"/>
    </row>
    <row r="505" spans="18:30" x14ac:dyDescent="0.25">
      <c r="R505" s="176"/>
      <c r="S505" s="175"/>
      <c r="T505" s="175"/>
      <c r="U505" s="175"/>
      <c r="V505" s="175"/>
      <c r="W505" s="175"/>
      <c r="X505" s="175"/>
      <c r="Y505" s="175"/>
      <c r="Z505" s="175"/>
      <c r="AA505" s="175"/>
      <c r="AB505" s="175"/>
      <c r="AC505" s="175"/>
      <c r="AD505" s="175"/>
    </row>
    <row r="506" spans="18:30" x14ac:dyDescent="0.25">
      <c r="R506" s="176"/>
      <c r="S506" s="175"/>
      <c r="T506" s="175"/>
      <c r="U506" s="175"/>
      <c r="V506" s="175"/>
      <c r="W506" s="175"/>
      <c r="X506" s="175"/>
      <c r="Y506" s="175"/>
      <c r="Z506" s="175"/>
      <c r="AA506" s="175"/>
      <c r="AB506" s="175"/>
      <c r="AC506" s="175"/>
      <c r="AD506" s="175"/>
    </row>
    <row r="507" spans="18:30" x14ac:dyDescent="0.25">
      <c r="R507" s="176"/>
      <c r="S507" s="175"/>
      <c r="T507" s="175"/>
      <c r="U507" s="175"/>
      <c r="V507" s="175"/>
      <c r="W507" s="175"/>
      <c r="X507" s="175"/>
      <c r="Y507" s="175"/>
      <c r="Z507" s="175"/>
      <c r="AA507" s="175"/>
      <c r="AB507" s="175"/>
      <c r="AC507" s="175"/>
      <c r="AD507" s="175"/>
    </row>
    <row r="508" spans="18:30" x14ac:dyDescent="0.25">
      <c r="R508" s="176"/>
      <c r="S508" s="175"/>
      <c r="T508" s="175"/>
      <c r="U508" s="175"/>
      <c r="V508" s="175"/>
      <c r="W508" s="175"/>
      <c r="X508" s="175"/>
      <c r="Y508" s="175"/>
      <c r="Z508" s="175"/>
      <c r="AA508" s="175"/>
      <c r="AB508" s="175"/>
      <c r="AC508" s="175"/>
      <c r="AD508" s="175"/>
    </row>
    <row r="509" spans="18:30" x14ac:dyDescent="0.25">
      <c r="R509" s="176"/>
      <c r="S509" s="175"/>
      <c r="T509" s="175"/>
      <c r="U509" s="175"/>
      <c r="V509" s="175"/>
      <c r="W509" s="175"/>
      <c r="X509" s="175"/>
      <c r="Y509" s="175"/>
      <c r="Z509" s="175"/>
      <c r="AA509" s="175"/>
      <c r="AB509" s="175"/>
      <c r="AC509" s="175"/>
      <c r="AD509" s="175"/>
    </row>
    <row r="510" spans="18:30" x14ac:dyDescent="0.25">
      <c r="R510" s="176"/>
      <c r="S510" s="175"/>
      <c r="T510" s="175"/>
      <c r="U510" s="175"/>
      <c r="V510" s="175"/>
      <c r="W510" s="175"/>
      <c r="X510" s="175"/>
      <c r="Y510" s="175"/>
      <c r="Z510" s="175"/>
      <c r="AA510" s="175"/>
      <c r="AB510" s="175"/>
      <c r="AC510" s="175"/>
      <c r="AD510" s="175"/>
    </row>
    <row r="511" spans="18:30" x14ac:dyDescent="0.25">
      <c r="R511" s="176"/>
      <c r="S511" s="175"/>
      <c r="T511" s="175"/>
      <c r="U511" s="175"/>
      <c r="V511" s="175"/>
      <c r="W511" s="175"/>
      <c r="X511" s="175"/>
      <c r="Y511" s="175"/>
      <c r="Z511" s="175"/>
      <c r="AA511" s="175"/>
      <c r="AB511" s="175"/>
      <c r="AC511" s="175"/>
      <c r="AD511" s="175"/>
    </row>
    <row r="512" spans="18:30" x14ac:dyDescent="0.25">
      <c r="R512" s="176"/>
      <c r="S512" s="175"/>
      <c r="T512" s="175"/>
      <c r="U512" s="175"/>
      <c r="V512" s="175"/>
      <c r="W512" s="175"/>
      <c r="X512" s="175"/>
      <c r="Y512" s="175"/>
      <c r="Z512" s="175"/>
      <c r="AA512" s="175"/>
      <c r="AB512" s="175"/>
      <c r="AC512" s="175"/>
      <c r="AD512" s="175"/>
    </row>
    <row r="513" spans="18:30" x14ac:dyDescent="0.25">
      <c r="R513" s="176"/>
      <c r="S513" s="175"/>
      <c r="T513" s="175"/>
      <c r="U513" s="175"/>
      <c r="V513" s="175"/>
      <c r="W513" s="175"/>
      <c r="X513" s="175"/>
      <c r="Y513" s="175"/>
      <c r="Z513" s="175"/>
      <c r="AA513" s="175"/>
      <c r="AB513" s="175"/>
      <c r="AC513" s="175"/>
      <c r="AD513" s="175"/>
    </row>
    <row r="514" spans="18:30" x14ac:dyDescent="0.25">
      <c r="R514" s="176"/>
      <c r="S514" s="175"/>
      <c r="T514" s="175"/>
      <c r="U514" s="175"/>
      <c r="V514" s="175"/>
      <c r="W514" s="175"/>
      <c r="X514" s="175"/>
      <c r="Y514" s="175"/>
      <c r="Z514" s="175"/>
      <c r="AA514" s="175"/>
      <c r="AB514" s="175"/>
      <c r="AC514" s="175"/>
      <c r="AD514" s="175"/>
    </row>
    <row r="515" spans="18:30" x14ac:dyDescent="0.25">
      <c r="R515" s="176"/>
      <c r="S515" s="175"/>
      <c r="T515" s="175"/>
      <c r="U515" s="175"/>
      <c r="V515" s="175"/>
      <c r="W515" s="175"/>
      <c r="X515" s="175"/>
      <c r="Y515" s="175"/>
      <c r="Z515" s="175"/>
      <c r="AA515" s="175"/>
      <c r="AB515" s="175"/>
      <c r="AC515" s="175"/>
      <c r="AD515" s="175"/>
    </row>
    <row r="516" spans="18:30" x14ac:dyDescent="0.25">
      <c r="R516" s="176"/>
      <c r="S516" s="175"/>
      <c r="T516" s="175"/>
      <c r="U516" s="175"/>
      <c r="V516" s="175"/>
      <c r="W516" s="175"/>
      <c r="X516" s="175"/>
      <c r="Y516" s="175"/>
      <c r="Z516" s="175"/>
      <c r="AA516" s="175"/>
      <c r="AB516" s="175"/>
      <c r="AC516" s="175"/>
      <c r="AD516" s="175"/>
    </row>
    <row r="517" spans="18:30" x14ac:dyDescent="0.25">
      <c r="R517" s="176"/>
      <c r="S517" s="175"/>
      <c r="T517" s="175"/>
      <c r="U517" s="175"/>
      <c r="V517" s="175"/>
      <c r="W517" s="175"/>
      <c r="X517" s="175"/>
      <c r="Y517" s="175"/>
      <c r="Z517" s="175"/>
      <c r="AA517" s="175"/>
      <c r="AB517" s="175"/>
      <c r="AC517" s="175"/>
      <c r="AD517" s="175"/>
    </row>
    <row r="518" spans="18:30" x14ac:dyDescent="0.25">
      <c r="R518" s="176"/>
      <c r="S518" s="175"/>
      <c r="T518" s="175"/>
      <c r="U518" s="175"/>
      <c r="V518" s="175"/>
      <c r="W518" s="175"/>
      <c r="X518" s="175"/>
      <c r="Y518" s="175"/>
      <c r="Z518" s="175"/>
      <c r="AA518" s="175"/>
      <c r="AB518" s="175"/>
      <c r="AC518" s="175"/>
      <c r="AD518" s="175"/>
    </row>
    <row r="519" spans="18:30" x14ac:dyDescent="0.25">
      <c r="R519" s="176"/>
      <c r="S519" s="175"/>
      <c r="T519" s="175"/>
      <c r="U519" s="175"/>
      <c r="V519" s="175"/>
      <c r="W519" s="175"/>
      <c r="X519" s="175"/>
      <c r="Y519" s="175"/>
      <c r="Z519" s="175"/>
      <c r="AA519" s="175"/>
      <c r="AB519" s="175"/>
      <c r="AC519" s="175"/>
      <c r="AD519" s="175"/>
    </row>
    <row r="520" spans="18:30" x14ac:dyDescent="0.25">
      <c r="R520" s="176"/>
      <c r="S520" s="175"/>
      <c r="T520" s="175"/>
      <c r="U520" s="175"/>
      <c r="V520" s="175"/>
      <c r="W520" s="175"/>
      <c r="X520" s="175"/>
      <c r="Y520" s="175"/>
      <c r="Z520" s="175"/>
      <c r="AA520" s="175"/>
      <c r="AB520" s="175"/>
      <c r="AC520" s="175"/>
      <c r="AD520" s="175"/>
    </row>
    <row r="521" spans="18:30" x14ac:dyDescent="0.25">
      <c r="R521" s="176"/>
      <c r="S521" s="175"/>
      <c r="T521" s="175"/>
      <c r="U521" s="175"/>
      <c r="V521" s="175"/>
      <c r="W521" s="175"/>
      <c r="X521" s="175"/>
      <c r="Y521" s="175"/>
      <c r="Z521" s="175"/>
      <c r="AA521" s="175"/>
      <c r="AB521" s="175"/>
      <c r="AC521" s="175"/>
      <c r="AD521" s="175"/>
    </row>
    <row r="522" spans="18:30" x14ac:dyDescent="0.25">
      <c r="R522" s="176"/>
      <c r="S522" s="175"/>
      <c r="T522" s="175"/>
      <c r="U522" s="175"/>
      <c r="V522" s="175"/>
      <c r="W522" s="175"/>
      <c r="X522" s="175"/>
      <c r="Y522" s="175"/>
      <c r="Z522" s="175"/>
      <c r="AA522" s="175"/>
      <c r="AB522" s="175"/>
      <c r="AC522" s="175"/>
      <c r="AD522" s="175"/>
    </row>
    <row r="523" spans="18:30" x14ac:dyDescent="0.25">
      <c r="R523" s="176"/>
      <c r="S523" s="175"/>
      <c r="T523" s="175"/>
      <c r="U523" s="175"/>
      <c r="V523" s="175"/>
      <c r="W523" s="175"/>
      <c r="X523" s="175"/>
      <c r="Y523" s="175"/>
      <c r="Z523" s="175"/>
      <c r="AA523" s="175"/>
      <c r="AB523" s="175"/>
      <c r="AC523" s="175"/>
      <c r="AD523" s="175"/>
    </row>
    <row r="524" spans="18:30" x14ac:dyDescent="0.25">
      <c r="R524" s="176"/>
      <c r="S524" s="175"/>
      <c r="T524" s="175"/>
      <c r="U524" s="175"/>
      <c r="V524" s="175"/>
      <c r="W524" s="175"/>
      <c r="X524" s="175"/>
      <c r="Y524" s="175"/>
      <c r="Z524" s="175"/>
      <c r="AA524" s="175"/>
      <c r="AB524" s="175"/>
      <c r="AC524" s="175"/>
      <c r="AD524" s="175"/>
    </row>
    <row r="525" spans="18:30" x14ac:dyDescent="0.25">
      <c r="R525" s="176"/>
      <c r="S525" s="175"/>
      <c r="T525" s="175"/>
      <c r="U525" s="175"/>
      <c r="V525" s="175"/>
      <c r="W525" s="175"/>
      <c r="X525" s="175"/>
      <c r="Y525" s="175"/>
      <c r="Z525" s="175"/>
      <c r="AA525" s="175"/>
      <c r="AB525" s="175"/>
      <c r="AC525" s="175"/>
      <c r="AD525" s="175"/>
    </row>
    <row r="526" spans="18:30" x14ac:dyDescent="0.25">
      <c r="R526" s="176"/>
      <c r="S526" s="175"/>
      <c r="T526" s="175"/>
      <c r="U526" s="175"/>
      <c r="V526" s="175"/>
      <c r="W526" s="175"/>
      <c r="X526" s="175"/>
      <c r="Y526" s="175"/>
      <c r="Z526" s="175"/>
      <c r="AA526" s="175"/>
      <c r="AB526" s="175"/>
      <c r="AC526" s="175"/>
      <c r="AD526" s="175"/>
    </row>
    <row r="527" spans="18:30" x14ac:dyDescent="0.25">
      <c r="R527" s="176"/>
      <c r="S527" s="175"/>
      <c r="T527" s="175"/>
      <c r="U527" s="175"/>
      <c r="V527" s="175"/>
      <c r="W527" s="175"/>
      <c r="X527" s="175"/>
      <c r="Y527" s="175"/>
      <c r="Z527" s="175"/>
      <c r="AA527" s="175"/>
      <c r="AB527" s="175"/>
      <c r="AC527" s="175"/>
      <c r="AD527" s="175"/>
    </row>
    <row r="528" spans="18:30" x14ac:dyDescent="0.25">
      <c r="R528" s="176"/>
      <c r="S528" s="175"/>
      <c r="T528" s="175"/>
      <c r="U528" s="175"/>
      <c r="V528" s="175"/>
      <c r="W528" s="175"/>
      <c r="X528" s="175"/>
      <c r="Y528" s="175"/>
      <c r="Z528" s="175"/>
      <c r="AA528" s="175"/>
      <c r="AB528" s="175"/>
      <c r="AC528" s="175"/>
      <c r="AD528" s="175"/>
    </row>
    <row r="529" spans="18:30" x14ac:dyDescent="0.25">
      <c r="R529" s="176"/>
      <c r="S529" s="175"/>
      <c r="T529" s="175"/>
      <c r="U529" s="175"/>
      <c r="V529" s="175"/>
      <c r="W529" s="175"/>
      <c r="X529" s="175"/>
      <c r="Y529" s="175"/>
      <c r="Z529" s="175"/>
      <c r="AA529" s="175"/>
      <c r="AB529" s="175"/>
      <c r="AC529" s="175"/>
      <c r="AD529" s="175"/>
    </row>
    <row r="530" spans="18:30" x14ac:dyDescent="0.25">
      <c r="R530" s="176"/>
      <c r="S530" s="175"/>
      <c r="T530" s="175"/>
      <c r="U530" s="175"/>
      <c r="V530" s="175"/>
      <c r="W530" s="175"/>
      <c r="X530" s="175"/>
      <c r="Y530" s="175"/>
      <c r="Z530" s="175"/>
      <c r="AA530" s="175"/>
      <c r="AB530" s="175"/>
      <c r="AC530" s="175"/>
      <c r="AD530" s="175"/>
    </row>
    <row r="531" spans="18:30" x14ac:dyDescent="0.25">
      <c r="R531" s="176"/>
      <c r="S531" s="175"/>
      <c r="T531" s="175"/>
      <c r="U531" s="175"/>
      <c r="V531" s="175"/>
      <c r="W531" s="175"/>
      <c r="X531" s="175"/>
      <c r="Y531" s="175"/>
      <c r="Z531" s="175"/>
      <c r="AA531" s="175"/>
      <c r="AB531" s="175"/>
      <c r="AC531" s="175"/>
      <c r="AD531" s="175"/>
    </row>
    <row r="532" spans="18:30" x14ac:dyDescent="0.25">
      <c r="R532" s="176"/>
      <c r="S532" s="175"/>
      <c r="T532" s="175"/>
      <c r="U532" s="175"/>
      <c r="V532" s="175"/>
      <c r="W532" s="175"/>
      <c r="X532" s="175"/>
      <c r="Y532" s="175"/>
      <c r="Z532" s="175"/>
      <c r="AA532" s="175"/>
      <c r="AB532" s="175"/>
      <c r="AC532" s="175"/>
      <c r="AD532" s="175"/>
    </row>
    <row r="533" spans="18:30" x14ac:dyDescent="0.25">
      <c r="R533" s="176"/>
      <c r="S533" s="175"/>
      <c r="T533" s="175"/>
      <c r="U533" s="175"/>
      <c r="V533" s="175"/>
      <c r="W533" s="175"/>
      <c r="X533" s="175"/>
      <c r="Y533" s="175"/>
      <c r="Z533" s="175"/>
      <c r="AA533" s="175"/>
      <c r="AB533" s="175"/>
      <c r="AC533" s="175"/>
      <c r="AD533" s="175"/>
    </row>
    <row r="534" spans="18:30" x14ac:dyDescent="0.25">
      <c r="R534" s="176"/>
      <c r="S534" s="175"/>
      <c r="T534" s="175"/>
      <c r="U534" s="175"/>
      <c r="V534" s="175"/>
      <c r="W534" s="175"/>
      <c r="X534" s="175"/>
      <c r="Y534" s="175"/>
      <c r="Z534" s="175"/>
      <c r="AA534" s="175"/>
      <c r="AB534" s="175"/>
      <c r="AC534" s="175"/>
      <c r="AD534" s="175"/>
    </row>
    <row r="535" spans="18:30" x14ac:dyDescent="0.25">
      <c r="R535" s="176"/>
      <c r="S535" s="175"/>
      <c r="T535" s="175"/>
      <c r="U535" s="175"/>
      <c r="V535" s="175"/>
      <c r="W535" s="175"/>
      <c r="X535" s="175"/>
      <c r="Y535" s="175"/>
      <c r="Z535" s="175"/>
      <c r="AA535" s="175"/>
      <c r="AB535" s="175"/>
      <c r="AC535" s="175"/>
      <c r="AD535" s="175"/>
    </row>
    <row r="536" spans="18:30" x14ac:dyDescent="0.25">
      <c r="R536" s="176"/>
      <c r="S536" s="175"/>
      <c r="T536" s="175"/>
      <c r="U536" s="175"/>
      <c r="V536" s="175"/>
      <c r="W536" s="175"/>
      <c r="X536" s="175"/>
      <c r="Y536" s="175"/>
      <c r="Z536" s="175"/>
      <c r="AA536" s="175"/>
      <c r="AB536" s="175"/>
      <c r="AC536" s="175"/>
      <c r="AD536" s="175"/>
    </row>
    <row r="537" spans="18:30" x14ac:dyDescent="0.25">
      <c r="R537" s="176"/>
      <c r="S537" s="175"/>
      <c r="T537" s="175"/>
      <c r="U537" s="175"/>
      <c r="V537" s="175"/>
      <c r="W537" s="175"/>
      <c r="X537" s="175"/>
      <c r="Y537" s="175"/>
      <c r="Z537" s="175"/>
      <c r="AA537" s="175"/>
      <c r="AB537" s="175"/>
      <c r="AC537" s="175"/>
      <c r="AD537" s="175"/>
    </row>
    <row r="538" spans="18:30" x14ac:dyDescent="0.25">
      <c r="R538" s="176"/>
      <c r="S538" s="175"/>
      <c r="T538" s="175"/>
      <c r="U538" s="175"/>
      <c r="V538" s="175"/>
      <c r="W538" s="175"/>
      <c r="X538" s="175"/>
      <c r="Y538" s="175"/>
      <c r="Z538" s="175"/>
      <c r="AA538" s="175"/>
      <c r="AB538" s="175"/>
      <c r="AC538" s="175"/>
      <c r="AD538" s="175"/>
    </row>
    <row r="539" spans="18:30" x14ac:dyDescent="0.25">
      <c r="R539" s="176"/>
      <c r="S539" s="175"/>
      <c r="T539" s="175"/>
      <c r="U539" s="175"/>
      <c r="V539" s="175"/>
      <c r="W539" s="175"/>
      <c r="X539" s="175"/>
      <c r="Y539" s="175"/>
      <c r="Z539" s="175"/>
      <c r="AA539" s="175"/>
      <c r="AB539" s="175"/>
      <c r="AC539" s="175"/>
      <c r="AD539" s="175"/>
    </row>
    <row r="540" spans="18:30" x14ac:dyDescent="0.25">
      <c r="R540" s="176"/>
      <c r="S540" s="175"/>
      <c r="T540" s="175"/>
      <c r="U540" s="175"/>
      <c r="V540" s="175"/>
      <c r="W540" s="175"/>
      <c r="X540" s="175"/>
      <c r="Y540" s="175"/>
      <c r="Z540" s="175"/>
      <c r="AA540" s="175"/>
      <c r="AB540" s="175"/>
      <c r="AC540" s="175"/>
      <c r="AD540" s="175"/>
    </row>
    <row r="541" spans="18:30" x14ac:dyDescent="0.25">
      <c r="R541" s="176"/>
      <c r="S541" s="175"/>
      <c r="T541" s="175"/>
      <c r="U541" s="175"/>
      <c r="V541" s="175"/>
      <c r="W541" s="175"/>
      <c r="X541" s="175"/>
      <c r="Y541" s="175"/>
      <c r="Z541" s="175"/>
      <c r="AA541" s="175"/>
      <c r="AB541" s="175"/>
      <c r="AC541" s="175"/>
      <c r="AD541" s="175"/>
    </row>
    <row r="542" spans="18:30" x14ac:dyDescent="0.25">
      <c r="R542" s="176"/>
      <c r="S542" s="175"/>
      <c r="T542" s="175"/>
      <c r="U542" s="175"/>
      <c r="V542" s="175"/>
      <c r="W542" s="175"/>
      <c r="X542" s="175"/>
      <c r="Y542" s="175"/>
      <c r="Z542" s="175"/>
      <c r="AA542" s="175"/>
      <c r="AB542" s="175"/>
      <c r="AC542" s="175"/>
      <c r="AD542" s="175"/>
    </row>
    <row r="543" spans="18:30" x14ac:dyDescent="0.25">
      <c r="R543" s="176"/>
      <c r="S543" s="175"/>
      <c r="T543" s="175"/>
      <c r="U543" s="175"/>
      <c r="V543" s="175"/>
      <c r="W543" s="175"/>
      <c r="X543" s="175"/>
      <c r="Y543" s="175"/>
      <c r="Z543" s="175"/>
      <c r="AA543" s="175"/>
      <c r="AB543" s="175"/>
      <c r="AC543" s="175"/>
      <c r="AD543" s="175"/>
    </row>
    <row r="544" spans="18:30" x14ac:dyDescent="0.25">
      <c r="R544" s="176"/>
      <c r="S544" s="175"/>
      <c r="T544" s="175"/>
      <c r="U544" s="175"/>
      <c r="V544" s="175"/>
      <c r="W544" s="175"/>
      <c r="X544" s="175"/>
      <c r="Y544" s="175"/>
      <c r="Z544" s="175"/>
      <c r="AA544" s="175"/>
      <c r="AB544" s="175"/>
      <c r="AC544" s="175"/>
      <c r="AD544" s="175"/>
    </row>
    <row r="545" spans="18:30" x14ac:dyDescent="0.25">
      <c r="R545" s="176"/>
      <c r="S545" s="175"/>
      <c r="T545" s="175"/>
      <c r="U545" s="175"/>
      <c r="V545" s="175"/>
      <c r="W545" s="175"/>
      <c r="X545" s="175"/>
      <c r="Y545" s="175"/>
      <c r="Z545" s="175"/>
      <c r="AA545" s="175"/>
      <c r="AB545" s="175"/>
      <c r="AC545" s="175"/>
      <c r="AD545" s="175"/>
    </row>
    <row r="546" spans="18:30" x14ac:dyDescent="0.25">
      <c r="R546" s="176"/>
      <c r="S546" s="175"/>
      <c r="T546" s="175"/>
      <c r="U546" s="175"/>
      <c r="V546" s="175"/>
      <c r="W546" s="175"/>
      <c r="X546" s="175"/>
      <c r="Y546" s="175"/>
      <c r="Z546" s="175"/>
      <c r="AA546" s="175"/>
      <c r="AB546" s="175"/>
      <c r="AC546" s="175"/>
      <c r="AD546" s="175"/>
    </row>
    <row r="547" spans="18:30" x14ac:dyDescent="0.25">
      <c r="R547" s="176"/>
      <c r="S547" s="175"/>
      <c r="T547" s="175"/>
      <c r="U547" s="175"/>
      <c r="V547" s="175"/>
      <c r="W547" s="175"/>
      <c r="X547" s="175"/>
      <c r="Y547" s="175"/>
      <c r="Z547" s="175"/>
      <c r="AA547" s="175"/>
      <c r="AB547" s="175"/>
      <c r="AC547" s="175"/>
      <c r="AD547" s="175"/>
    </row>
    <row r="548" spans="18:30" x14ac:dyDescent="0.25">
      <c r="R548" s="176"/>
      <c r="S548" s="175"/>
      <c r="T548" s="175"/>
      <c r="U548" s="175"/>
      <c r="V548" s="175"/>
      <c r="W548" s="175"/>
      <c r="X548" s="175"/>
      <c r="Y548" s="175"/>
      <c r="Z548" s="175"/>
      <c r="AA548" s="175"/>
      <c r="AB548" s="175"/>
      <c r="AC548" s="175"/>
      <c r="AD548" s="175"/>
    </row>
    <row r="549" spans="18:30" x14ac:dyDescent="0.25">
      <c r="R549" s="176"/>
      <c r="S549" s="175"/>
      <c r="T549" s="175"/>
      <c r="U549" s="175"/>
      <c r="V549" s="175"/>
      <c r="W549" s="175"/>
      <c r="X549" s="175"/>
      <c r="Y549" s="175"/>
      <c r="Z549" s="175"/>
      <c r="AA549" s="175"/>
      <c r="AB549" s="175"/>
      <c r="AC549" s="175"/>
      <c r="AD549" s="175"/>
    </row>
    <row r="550" spans="18:30" x14ac:dyDescent="0.25">
      <c r="R550" s="176"/>
      <c r="S550" s="175"/>
      <c r="T550" s="175"/>
      <c r="U550" s="175"/>
      <c r="V550" s="175"/>
      <c r="W550" s="175"/>
      <c r="X550" s="175"/>
      <c r="Y550" s="175"/>
      <c r="Z550" s="175"/>
      <c r="AA550" s="175"/>
      <c r="AB550" s="175"/>
      <c r="AC550" s="175"/>
      <c r="AD550" s="175"/>
    </row>
    <row r="551" spans="18:30" x14ac:dyDescent="0.25">
      <c r="R551" s="176"/>
      <c r="S551" s="175"/>
      <c r="T551" s="175"/>
      <c r="U551" s="175"/>
      <c r="V551" s="175"/>
      <c r="W551" s="175"/>
      <c r="X551" s="175"/>
      <c r="Y551" s="175"/>
      <c r="Z551" s="175"/>
      <c r="AA551" s="175"/>
      <c r="AB551" s="175"/>
      <c r="AC551" s="175"/>
      <c r="AD551" s="175"/>
    </row>
    <row r="552" spans="18:30" x14ac:dyDescent="0.25">
      <c r="R552" s="176"/>
      <c r="S552" s="175"/>
      <c r="T552" s="175"/>
      <c r="U552" s="175"/>
      <c r="V552" s="175"/>
      <c r="W552" s="175"/>
      <c r="X552" s="175"/>
      <c r="Y552" s="175"/>
      <c r="Z552" s="175"/>
      <c r="AA552" s="175"/>
      <c r="AB552" s="175"/>
      <c r="AC552" s="175"/>
      <c r="AD552" s="175"/>
    </row>
    <row r="553" spans="18:30" x14ac:dyDescent="0.25">
      <c r="R553" s="176"/>
      <c r="S553" s="175"/>
      <c r="T553" s="175"/>
      <c r="U553" s="175"/>
      <c r="V553" s="175"/>
      <c r="W553" s="175"/>
      <c r="X553" s="175"/>
      <c r="Y553" s="175"/>
      <c r="Z553" s="175"/>
      <c r="AA553" s="175"/>
      <c r="AB553" s="175"/>
      <c r="AC553" s="175"/>
      <c r="AD553" s="175"/>
    </row>
    <row r="554" spans="18:30" x14ac:dyDescent="0.25">
      <c r="R554" s="176"/>
      <c r="S554" s="175"/>
      <c r="T554" s="175"/>
      <c r="U554" s="175"/>
      <c r="V554" s="175"/>
      <c r="W554" s="175"/>
      <c r="X554" s="175"/>
      <c r="Y554" s="175"/>
      <c r="Z554" s="175"/>
      <c r="AA554" s="175"/>
      <c r="AB554" s="175"/>
      <c r="AC554" s="175"/>
      <c r="AD554" s="175"/>
    </row>
    <row r="555" spans="18:30" x14ac:dyDescent="0.25">
      <c r="R555" s="176"/>
      <c r="S555" s="175"/>
      <c r="T555" s="175"/>
      <c r="U555" s="175"/>
      <c r="V555" s="175"/>
      <c r="W555" s="175"/>
      <c r="X555" s="175"/>
      <c r="Y555" s="175"/>
      <c r="Z555" s="175"/>
      <c r="AA555" s="175"/>
      <c r="AB555" s="175"/>
      <c r="AC555" s="175"/>
      <c r="AD555" s="175"/>
    </row>
    <row r="556" spans="18:30" x14ac:dyDescent="0.25">
      <c r="R556" s="176"/>
      <c r="S556" s="175"/>
      <c r="T556" s="175"/>
      <c r="U556" s="175"/>
      <c r="V556" s="175"/>
      <c r="W556" s="175"/>
      <c r="X556" s="175"/>
      <c r="Y556" s="175"/>
      <c r="Z556" s="175"/>
      <c r="AA556" s="175"/>
      <c r="AB556" s="175"/>
      <c r="AC556" s="175"/>
      <c r="AD556" s="175"/>
    </row>
    <row r="557" spans="18:30" x14ac:dyDescent="0.25">
      <c r="R557" s="176"/>
      <c r="S557" s="175"/>
      <c r="T557" s="175"/>
      <c r="U557" s="175"/>
      <c r="V557" s="175"/>
      <c r="W557" s="175"/>
      <c r="X557" s="175"/>
      <c r="Y557" s="175"/>
      <c r="Z557" s="175"/>
      <c r="AA557" s="175"/>
      <c r="AB557" s="175"/>
      <c r="AC557" s="175"/>
      <c r="AD557" s="175"/>
    </row>
    <row r="558" spans="18:30" x14ac:dyDescent="0.25">
      <c r="R558" s="176"/>
      <c r="S558" s="175"/>
      <c r="T558" s="175"/>
      <c r="U558" s="175"/>
      <c r="V558" s="175"/>
      <c r="W558" s="175"/>
      <c r="X558" s="175"/>
      <c r="Y558" s="175"/>
      <c r="Z558" s="175"/>
      <c r="AA558" s="175"/>
      <c r="AB558" s="175"/>
      <c r="AC558" s="175"/>
      <c r="AD558" s="175"/>
    </row>
    <row r="559" spans="18:30" x14ac:dyDescent="0.25">
      <c r="R559" s="176"/>
      <c r="S559" s="175"/>
      <c r="T559" s="175"/>
      <c r="U559" s="175"/>
      <c r="V559" s="175"/>
      <c r="W559" s="175"/>
      <c r="X559" s="175"/>
      <c r="Y559" s="175"/>
      <c r="Z559" s="175"/>
      <c r="AA559" s="175"/>
      <c r="AB559" s="175"/>
      <c r="AC559" s="175"/>
      <c r="AD559" s="175"/>
    </row>
    <row r="560" spans="18:30" x14ac:dyDescent="0.25">
      <c r="R560" s="176"/>
      <c r="S560" s="175"/>
      <c r="T560" s="175"/>
      <c r="U560" s="175"/>
      <c r="V560" s="175"/>
      <c r="W560" s="175"/>
      <c r="X560" s="175"/>
      <c r="Y560" s="175"/>
      <c r="Z560" s="175"/>
      <c r="AA560" s="175"/>
      <c r="AB560" s="175"/>
      <c r="AC560" s="175"/>
      <c r="AD560" s="175"/>
    </row>
    <row r="561" spans="18:30" x14ac:dyDescent="0.25">
      <c r="R561" s="176"/>
      <c r="S561" s="175"/>
      <c r="T561" s="175"/>
      <c r="U561" s="175"/>
      <c r="V561" s="175"/>
      <c r="W561" s="175"/>
      <c r="X561" s="175"/>
      <c r="Y561" s="175"/>
      <c r="Z561" s="175"/>
      <c r="AA561" s="175"/>
      <c r="AB561" s="175"/>
      <c r="AC561" s="175"/>
      <c r="AD561" s="175"/>
    </row>
    <row r="562" spans="18:30" x14ac:dyDescent="0.25">
      <c r="R562" s="176"/>
      <c r="S562" s="175"/>
      <c r="T562" s="175"/>
      <c r="U562" s="175"/>
      <c r="V562" s="175"/>
      <c r="W562" s="175"/>
      <c r="X562" s="175"/>
      <c r="Y562" s="175"/>
      <c r="Z562" s="175"/>
      <c r="AA562" s="175"/>
      <c r="AB562" s="175"/>
      <c r="AC562" s="175"/>
      <c r="AD562" s="175"/>
    </row>
    <row r="563" spans="18:30" x14ac:dyDescent="0.25">
      <c r="R563" s="176"/>
      <c r="S563" s="175"/>
      <c r="T563" s="175"/>
      <c r="U563" s="175"/>
      <c r="V563" s="175"/>
      <c r="W563" s="175"/>
      <c r="X563" s="175"/>
      <c r="Y563" s="175"/>
      <c r="Z563" s="175"/>
      <c r="AA563" s="175"/>
      <c r="AB563" s="175"/>
      <c r="AC563" s="175"/>
      <c r="AD563" s="175"/>
    </row>
    <row r="564" spans="18:30" x14ac:dyDescent="0.25">
      <c r="R564" s="176"/>
      <c r="S564" s="175"/>
      <c r="T564" s="175"/>
      <c r="U564" s="175"/>
      <c r="V564" s="175"/>
      <c r="W564" s="175"/>
      <c r="X564" s="175"/>
      <c r="Y564" s="175"/>
      <c r="Z564" s="175"/>
      <c r="AA564" s="175"/>
      <c r="AB564" s="175"/>
      <c r="AC564" s="175"/>
      <c r="AD564" s="175"/>
    </row>
    <row r="565" spans="18:30" x14ac:dyDescent="0.25">
      <c r="R565" s="176"/>
      <c r="S565" s="175"/>
      <c r="T565" s="175"/>
      <c r="U565" s="175"/>
      <c r="V565" s="175"/>
      <c r="W565" s="175"/>
      <c r="X565" s="175"/>
      <c r="Y565" s="175"/>
      <c r="Z565" s="175"/>
      <c r="AA565" s="175"/>
      <c r="AB565" s="175"/>
      <c r="AC565" s="175"/>
      <c r="AD565" s="175"/>
    </row>
    <row r="566" spans="18:30" x14ac:dyDescent="0.25">
      <c r="R566" s="176"/>
      <c r="S566" s="175"/>
      <c r="T566" s="175"/>
      <c r="U566" s="175"/>
      <c r="V566" s="175"/>
      <c r="W566" s="175"/>
      <c r="X566" s="175"/>
      <c r="Y566" s="175"/>
      <c r="Z566" s="175"/>
      <c r="AA566" s="175"/>
      <c r="AB566" s="175"/>
      <c r="AC566" s="175"/>
      <c r="AD566" s="175"/>
    </row>
    <row r="567" spans="18:30" x14ac:dyDescent="0.25">
      <c r="R567" s="176"/>
      <c r="S567" s="175"/>
      <c r="T567" s="175"/>
      <c r="U567" s="175"/>
      <c r="V567" s="175"/>
      <c r="W567" s="175"/>
      <c r="X567" s="175"/>
      <c r="Y567" s="175"/>
      <c r="Z567" s="175"/>
      <c r="AA567" s="175"/>
      <c r="AB567" s="175"/>
      <c r="AC567" s="175"/>
      <c r="AD567" s="175"/>
    </row>
    <row r="568" spans="18:30" x14ac:dyDescent="0.25">
      <c r="R568" s="176"/>
      <c r="S568" s="175"/>
      <c r="T568" s="175"/>
      <c r="U568" s="175"/>
      <c r="V568" s="175"/>
      <c r="W568" s="175"/>
      <c r="X568" s="175"/>
      <c r="Y568" s="175"/>
      <c r="Z568" s="175"/>
      <c r="AA568" s="175"/>
      <c r="AB568" s="175"/>
      <c r="AC568" s="175"/>
      <c r="AD568" s="175"/>
    </row>
    <row r="569" spans="18:30" x14ac:dyDescent="0.25">
      <c r="R569" s="176"/>
      <c r="S569" s="175"/>
      <c r="T569" s="175"/>
      <c r="U569" s="175"/>
      <c r="V569" s="175"/>
      <c r="W569" s="175"/>
      <c r="X569" s="175"/>
      <c r="Y569" s="175"/>
      <c r="Z569" s="175"/>
      <c r="AA569" s="175"/>
      <c r="AB569" s="175"/>
      <c r="AC569" s="175"/>
      <c r="AD569" s="175"/>
    </row>
    <row r="570" spans="18:30" x14ac:dyDescent="0.25">
      <c r="R570" s="176"/>
      <c r="S570" s="175"/>
      <c r="T570" s="175"/>
      <c r="U570" s="175"/>
      <c r="V570" s="175"/>
      <c r="W570" s="175"/>
      <c r="X570" s="175"/>
      <c r="Y570" s="175"/>
      <c r="Z570" s="175"/>
      <c r="AA570" s="175"/>
      <c r="AB570" s="175"/>
      <c r="AC570" s="175"/>
      <c r="AD570" s="175"/>
    </row>
    <row r="571" spans="18:30" x14ac:dyDescent="0.25">
      <c r="R571" s="176"/>
      <c r="S571" s="175"/>
      <c r="T571" s="175"/>
      <c r="U571" s="175"/>
      <c r="V571" s="175"/>
      <c r="W571" s="175"/>
      <c r="X571" s="175"/>
      <c r="Y571" s="175"/>
      <c r="Z571" s="175"/>
      <c r="AA571" s="175"/>
      <c r="AB571" s="175"/>
      <c r="AC571" s="175"/>
      <c r="AD571" s="175"/>
    </row>
    <row r="572" spans="18:30" x14ac:dyDescent="0.25">
      <c r="R572" s="176"/>
      <c r="S572" s="175"/>
      <c r="T572" s="175"/>
      <c r="U572" s="175"/>
      <c r="V572" s="175"/>
      <c r="W572" s="175"/>
      <c r="X572" s="175"/>
      <c r="Y572" s="175"/>
      <c r="Z572" s="175"/>
      <c r="AA572" s="175"/>
      <c r="AB572" s="175"/>
      <c r="AC572" s="175"/>
      <c r="AD572" s="175"/>
    </row>
    <row r="573" spans="18:30" x14ac:dyDescent="0.25">
      <c r="R573" s="176"/>
      <c r="S573" s="175"/>
      <c r="T573" s="175"/>
      <c r="U573" s="175"/>
      <c r="V573" s="175"/>
      <c r="W573" s="175"/>
      <c r="X573" s="175"/>
      <c r="Y573" s="175"/>
      <c r="Z573" s="175"/>
      <c r="AA573" s="175"/>
      <c r="AB573" s="175"/>
      <c r="AC573" s="175"/>
      <c r="AD573" s="175"/>
    </row>
    <row r="574" spans="18:30" x14ac:dyDescent="0.25">
      <c r="R574" s="176"/>
      <c r="S574" s="175"/>
      <c r="T574" s="175"/>
      <c r="U574" s="175"/>
      <c r="V574" s="175"/>
      <c r="W574" s="175"/>
      <c r="X574" s="175"/>
      <c r="Y574" s="175"/>
      <c r="Z574" s="175"/>
      <c r="AA574" s="175"/>
      <c r="AB574" s="175"/>
      <c r="AC574" s="175"/>
      <c r="AD574" s="175"/>
    </row>
    <row r="575" spans="18:30" x14ac:dyDescent="0.25">
      <c r="R575" s="176"/>
      <c r="S575" s="175"/>
      <c r="T575" s="175"/>
      <c r="U575" s="175"/>
      <c r="V575" s="175"/>
      <c r="W575" s="175"/>
      <c r="X575" s="175"/>
      <c r="Y575" s="175"/>
      <c r="Z575" s="175"/>
      <c r="AA575" s="175"/>
      <c r="AB575" s="175"/>
      <c r="AC575" s="175"/>
      <c r="AD575" s="175"/>
    </row>
    <row r="576" spans="18:30" x14ac:dyDescent="0.25">
      <c r="R576" s="176"/>
      <c r="S576" s="175"/>
      <c r="T576" s="175"/>
      <c r="U576" s="175"/>
      <c r="V576" s="175"/>
      <c r="W576" s="175"/>
      <c r="X576" s="175"/>
      <c r="Y576" s="175"/>
      <c r="Z576" s="175"/>
      <c r="AA576" s="175"/>
      <c r="AB576" s="175"/>
      <c r="AC576" s="175"/>
      <c r="AD576" s="175"/>
    </row>
    <row r="577" spans="18:30" x14ac:dyDescent="0.25">
      <c r="R577" s="176"/>
      <c r="S577" s="175"/>
      <c r="T577" s="175"/>
      <c r="U577" s="175"/>
      <c r="V577" s="175"/>
      <c r="W577" s="175"/>
      <c r="X577" s="175"/>
      <c r="Y577" s="175"/>
      <c r="Z577" s="175"/>
      <c r="AA577" s="175"/>
      <c r="AB577" s="175"/>
      <c r="AC577" s="175"/>
      <c r="AD577" s="175"/>
    </row>
    <row r="578" spans="18:30" x14ac:dyDescent="0.25">
      <c r="R578" s="176"/>
      <c r="S578" s="175"/>
      <c r="T578" s="175"/>
      <c r="U578" s="175"/>
      <c r="V578" s="175"/>
      <c r="W578" s="175"/>
      <c r="X578" s="175"/>
      <c r="Y578" s="175"/>
      <c r="Z578" s="175"/>
      <c r="AA578" s="175"/>
      <c r="AB578" s="175"/>
      <c r="AC578" s="175"/>
      <c r="AD578" s="175"/>
    </row>
    <row r="579" spans="18:30" x14ac:dyDescent="0.25">
      <c r="R579" s="176"/>
      <c r="S579" s="175"/>
      <c r="T579" s="175"/>
      <c r="U579" s="175"/>
      <c r="V579" s="175"/>
      <c r="W579" s="175"/>
      <c r="X579" s="175"/>
      <c r="Y579" s="175"/>
      <c r="Z579" s="175"/>
      <c r="AA579" s="175"/>
      <c r="AB579" s="175"/>
      <c r="AC579" s="175"/>
      <c r="AD579" s="175"/>
    </row>
    <row r="580" spans="18:30" x14ac:dyDescent="0.25">
      <c r="R580" s="176"/>
      <c r="S580" s="175"/>
      <c r="T580" s="175"/>
      <c r="U580" s="175"/>
      <c r="V580" s="175"/>
      <c r="W580" s="175"/>
      <c r="X580" s="175"/>
      <c r="Y580" s="175"/>
      <c r="Z580" s="175"/>
      <c r="AA580" s="175"/>
      <c r="AB580" s="175"/>
      <c r="AC580" s="175"/>
      <c r="AD580" s="175"/>
    </row>
    <row r="581" spans="18:30" x14ac:dyDescent="0.25">
      <c r="R581" s="176"/>
      <c r="S581" s="175"/>
      <c r="T581" s="175"/>
      <c r="U581" s="175"/>
      <c r="V581" s="175"/>
      <c r="W581" s="175"/>
      <c r="X581" s="175"/>
      <c r="Y581" s="175"/>
      <c r="Z581" s="175"/>
      <c r="AA581" s="175"/>
      <c r="AB581" s="175"/>
      <c r="AC581" s="175"/>
      <c r="AD581" s="175"/>
    </row>
    <row r="582" spans="18:30" x14ac:dyDescent="0.25">
      <c r="R582" s="176"/>
      <c r="S582" s="175"/>
      <c r="T582" s="175"/>
      <c r="U582" s="175"/>
      <c r="V582" s="175"/>
      <c r="W582" s="175"/>
      <c r="X582" s="175"/>
      <c r="Y582" s="175"/>
      <c r="Z582" s="175"/>
      <c r="AA582" s="175"/>
      <c r="AB582" s="175"/>
      <c r="AC582" s="175"/>
      <c r="AD582" s="175"/>
    </row>
    <row r="583" spans="18:30" x14ac:dyDescent="0.25">
      <c r="R583" s="176"/>
      <c r="S583" s="175"/>
      <c r="T583" s="175"/>
      <c r="U583" s="175"/>
      <c r="V583" s="175"/>
      <c r="W583" s="175"/>
      <c r="X583" s="175"/>
      <c r="Y583" s="175"/>
      <c r="Z583" s="175"/>
      <c r="AA583" s="175"/>
      <c r="AB583" s="175"/>
      <c r="AC583" s="175"/>
      <c r="AD583" s="175"/>
    </row>
    <row r="584" spans="18:30" x14ac:dyDescent="0.25">
      <c r="R584" s="176"/>
      <c r="S584" s="175"/>
      <c r="T584" s="175"/>
      <c r="U584" s="175"/>
      <c r="V584" s="175"/>
      <c r="W584" s="175"/>
      <c r="X584" s="175"/>
      <c r="Y584" s="175"/>
      <c r="Z584" s="175"/>
      <c r="AA584" s="175"/>
      <c r="AB584" s="175"/>
      <c r="AC584" s="175"/>
      <c r="AD584" s="175"/>
    </row>
    <row r="585" spans="18:30" x14ac:dyDescent="0.25">
      <c r="R585" s="176"/>
      <c r="S585" s="175"/>
      <c r="T585" s="175"/>
      <c r="U585" s="175"/>
      <c r="V585" s="175"/>
      <c r="W585" s="175"/>
      <c r="X585" s="175"/>
      <c r="Y585" s="175"/>
      <c r="Z585" s="175"/>
      <c r="AA585" s="175"/>
      <c r="AB585" s="175"/>
      <c r="AC585" s="175"/>
      <c r="AD585" s="175"/>
    </row>
    <row r="586" spans="18:30" x14ac:dyDescent="0.25">
      <c r="R586" s="176"/>
      <c r="S586" s="175"/>
      <c r="T586" s="175"/>
      <c r="U586" s="175"/>
      <c r="V586" s="175"/>
      <c r="W586" s="175"/>
      <c r="X586" s="175"/>
      <c r="Y586" s="175"/>
      <c r="Z586" s="175"/>
      <c r="AA586" s="175"/>
      <c r="AB586" s="175"/>
      <c r="AC586" s="175"/>
      <c r="AD586" s="175"/>
    </row>
    <row r="587" spans="18:30" x14ac:dyDescent="0.25">
      <c r="R587" s="176"/>
      <c r="S587" s="175"/>
      <c r="T587" s="175"/>
      <c r="U587" s="175"/>
      <c r="V587" s="175"/>
      <c r="W587" s="175"/>
      <c r="X587" s="175"/>
      <c r="Y587" s="175"/>
      <c r="Z587" s="175"/>
      <c r="AA587" s="175"/>
      <c r="AB587" s="175"/>
      <c r="AC587" s="175"/>
      <c r="AD587" s="175"/>
    </row>
    <row r="588" spans="18:30" x14ac:dyDescent="0.25">
      <c r="R588" s="176"/>
      <c r="S588" s="175"/>
      <c r="T588" s="175"/>
      <c r="U588" s="175"/>
      <c r="V588" s="175"/>
      <c r="W588" s="175"/>
      <c r="X588" s="175"/>
      <c r="Y588" s="175"/>
      <c r="Z588" s="175"/>
      <c r="AA588" s="175"/>
      <c r="AB588" s="175"/>
      <c r="AC588" s="175"/>
      <c r="AD588" s="175"/>
    </row>
    <row r="589" spans="18:30" x14ac:dyDescent="0.25">
      <c r="R589" s="176"/>
      <c r="S589" s="175"/>
      <c r="T589" s="175"/>
      <c r="U589" s="175"/>
      <c r="V589" s="175"/>
      <c r="W589" s="175"/>
      <c r="X589" s="175"/>
      <c r="Y589" s="175"/>
      <c r="Z589" s="175"/>
      <c r="AA589" s="175"/>
      <c r="AB589" s="175"/>
      <c r="AC589" s="175"/>
      <c r="AD589" s="175"/>
    </row>
    <row r="590" spans="18:30" x14ac:dyDescent="0.25">
      <c r="R590" s="176"/>
      <c r="S590" s="175"/>
      <c r="T590" s="175"/>
      <c r="U590" s="175"/>
      <c r="V590" s="175"/>
      <c r="W590" s="175"/>
      <c r="X590" s="175"/>
      <c r="Y590" s="175"/>
      <c r="Z590" s="175"/>
      <c r="AA590" s="175"/>
      <c r="AB590" s="175"/>
      <c r="AC590" s="175"/>
      <c r="AD590" s="175"/>
    </row>
    <row r="591" spans="18:30" x14ac:dyDescent="0.25">
      <c r="R591" s="176"/>
      <c r="S591" s="175"/>
      <c r="T591" s="175"/>
      <c r="U591" s="175"/>
      <c r="V591" s="175"/>
      <c r="W591" s="175"/>
      <c r="X591" s="175"/>
      <c r="Y591" s="175"/>
      <c r="Z591" s="175"/>
      <c r="AA591" s="175"/>
      <c r="AB591" s="175"/>
      <c r="AC591" s="175"/>
      <c r="AD591" s="175"/>
    </row>
    <row r="592" spans="18:30" x14ac:dyDescent="0.25">
      <c r="R592" s="176"/>
      <c r="S592" s="175"/>
      <c r="T592" s="175"/>
      <c r="U592" s="175"/>
      <c r="V592" s="175"/>
      <c r="W592" s="175"/>
      <c r="X592" s="175"/>
      <c r="Y592" s="175"/>
      <c r="Z592" s="175"/>
      <c r="AA592" s="175"/>
      <c r="AB592" s="175"/>
      <c r="AC592" s="175"/>
      <c r="AD592" s="175"/>
    </row>
    <row r="593" spans="18:30" x14ac:dyDescent="0.25">
      <c r="R593" s="176"/>
      <c r="S593" s="175"/>
      <c r="T593" s="175"/>
      <c r="U593" s="175"/>
      <c r="V593" s="175"/>
      <c r="W593" s="175"/>
      <c r="X593" s="175"/>
      <c r="Y593" s="175"/>
      <c r="Z593" s="175"/>
      <c r="AA593" s="175"/>
      <c r="AB593" s="175"/>
      <c r="AC593" s="175"/>
      <c r="AD593" s="175"/>
    </row>
    <row r="594" spans="18:30" x14ac:dyDescent="0.25">
      <c r="R594" s="176"/>
      <c r="S594" s="175"/>
      <c r="T594" s="175"/>
      <c r="U594" s="175"/>
      <c r="V594" s="175"/>
      <c r="W594" s="175"/>
      <c r="X594" s="175"/>
      <c r="Y594" s="175"/>
      <c r="Z594" s="175"/>
      <c r="AA594" s="175"/>
      <c r="AB594" s="175"/>
      <c r="AC594" s="175"/>
      <c r="AD594" s="175"/>
    </row>
    <row r="595" spans="18:30" x14ac:dyDescent="0.25">
      <c r="R595" s="176"/>
      <c r="S595" s="175"/>
      <c r="T595" s="175"/>
      <c r="U595" s="175"/>
      <c r="V595" s="175"/>
      <c r="W595" s="175"/>
      <c r="X595" s="175"/>
      <c r="Y595" s="175"/>
      <c r="Z595" s="175"/>
      <c r="AA595" s="175"/>
      <c r="AB595" s="175"/>
      <c r="AC595" s="175"/>
      <c r="AD595" s="175"/>
    </row>
    <row r="596" spans="18:30" x14ac:dyDescent="0.25">
      <c r="R596" s="176"/>
      <c r="S596" s="175"/>
      <c r="T596" s="175"/>
      <c r="U596" s="175"/>
      <c r="V596" s="175"/>
      <c r="W596" s="175"/>
      <c r="X596" s="175"/>
      <c r="Y596" s="175"/>
      <c r="Z596" s="175"/>
      <c r="AA596" s="175"/>
      <c r="AB596" s="175"/>
      <c r="AC596" s="175"/>
      <c r="AD596" s="175"/>
    </row>
    <row r="597" spans="18:30" x14ac:dyDescent="0.25">
      <c r="R597" s="176"/>
      <c r="S597" s="175"/>
      <c r="T597" s="175"/>
      <c r="U597" s="175"/>
      <c r="V597" s="175"/>
      <c r="W597" s="175"/>
      <c r="X597" s="175"/>
      <c r="Y597" s="175"/>
      <c r="Z597" s="175"/>
      <c r="AA597" s="175"/>
      <c r="AB597" s="175"/>
      <c r="AC597" s="175"/>
      <c r="AD597" s="175"/>
    </row>
    <row r="598" spans="18:30" x14ac:dyDescent="0.25">
      <c r="R598" s="176"/>
      <c r="S598" s="175"/>
      <c r="T598" s="175"/>
      <c r="U598" s="175"/>
      <c r="V598" s="175"/>
      <c r="W598" s="175"/>
      <c r="X598" s="175"/>
      <c r="Y598" s="175"/>
      <c r="Z598" s="175"/>
      <c r="AA598" s="175"/>
      <c r="AB598" s="175"/>
      <c r="AC598" s="175"/>
      <c r="AD598" s="175"/>
    </row>
    <row r="599" spans="18:30" x14ac:dyDescent="0.25">
      <c r="R599" s="176"/>
      <c r="S599" s="175"/>
      <c r="T599" s="175"/>
      <c r="U599" s="175"/>
      <c r="V599" s="175"/>
      <c r="W599" s="175"/>
      <c r="X599" s="175"/>
      <c r="Y599" s="175"/>
      <c r="Z599" s="175"/>
      <c r="AA599" s="175"/>
      <c r="AB599" s="175"/>
      <c r="AC599" s="175"/>
      <c r="AD599" s="175"/>
    </row>
    <row r="600" spans="18:30" x14ac:dyDescent="0.25">
      <c r="R600" s="176"/>
      <c r="S600" s="175"/>
      <c r="T600" s="175"/>
      <c r="U600" s="175"/>
      <c r="V600" s="175"/>
      <c r="W600" s="175"/>
      <c r="X600" s="175"/>
      <c r="Y600" s="175"/>
      <c r="Z600" s="175"/>
      <c r="AA600" s="175"/>
      <c r="AB600" s="175"/>
      <c r="AC600" s="175"/>
      <c r="AD600" s="175"/>
    </row>
    <row r="601" spans="18:30" x14ac:dyDescent="0.25">
      <c r="R601" s="176"/>
      <c r="S601" s="175"/>
      <c r="T601" s="175"/>
      <c r="U601" s="175"/>
      <c r="V601" s="175"/>
      <c r="W601" s="175"/>
      <c r="X601" s="175"/>
      <c r="Y601" s="175"/>
      <c r="Z601" s="175"/>
      <c r="AA601" s="175"/>
      <c r="AB601" s="175"/>
      <c r="AC601" s="175"/>
      <c r="AD601" s="175"/>
    </row>
    <row r="602" spans="18:30" x14ac:dyDescent="0.25">
      <c r="R602" s="176"/>
      <c r="S602" s="175"/>
      <c r="T602" s="175"/>
      <c r="U602" s="175"/>
      <c r="V602" s="175"/>
      <c r="W602" s="175"/>
      <c r="X602" s="175"/>
      <c r="Y602" s="175"/>
      <c r="Z602" s="175"/>
      <c r="AA602" s="175"/>
      <c r="AB602" s="175"/>
      <c r="AC602" s="175"/>
      <c r="AD602" s="175"/>
    </row>
    <row r="603" spans="18:30" x14ac:dyDescent="0.25">
      <c r="R603" s="176"/>
      <c r="S603" s="175"/>
      <c r="T603" s="175"/>
      <c r="U603" s="175"/>
      <c r="V603" s="175"/>
      <c r="W603" s="175"/>
      <c r="X603" s="175"/>
      <c r="Y603" s="175"/>
      <c r="Z603" s="175"/>
      <c r="AA603" s="175"/>
      <c r="AB603" s="175"/>
      <c r="AC603" s="175"/>
      <c r="AD603" s="175"/>
    </row>
    <row r="604" spans="18:30" x14ac:dyDescent="0.25">
      <c r="R604" s="176"/>
      <c r="S604" s="175"/>
      <c r="T604" s="175"/>
      <c r="U604" s="175"/>
      <c r="V604" s="175"/>
      <c r="W604" s="175"/>
      <c r="X604" s="175"/>
      <c r="Y604" s="175"/>
      <c r="Z604" s="175"/>
      <c r="AA604" s="175"/>
      <c r="AB604" s="175"/>
      <c r="AC604" s="175"/>
      <c r="AD604" s="175"/>
    </row>
    <row r="605" spans="18:30" x14ac:dyDescent="0.25">
      <c r="R605" s="176"/>
      <c r="S605" s="175"/>
      <c r="T605" s="175"/>
      <c r="U605" s="175"/>
      <c r="V605" s="175"/>
      <c r="W605" s="175"/>
      <c r="X605" s="175"/>
      <c r="Y605" s="175"/>
      <c r="Z605" s="175"/>
      <c r="AA605" s="175"/>
      <c r="AB605" s="175"/>
      <c r="AC605" s="175"/>
      <c r="AD605" s="175"/>
    </row>
    <row r="606" spans="18:30" x14ac:dyDescent="0.25">
      <c r="R606" s="176"/>
      <c r="S606" s="175"/>
      <c r="T606" s="175"/>
      <c r="U606" s="175"/>
      <c r="V606" s="175"/>
      <c r="W606" s="175"/>
      <c r="X606" s="175"/>
      <c r="Y606" s="175"/>
      <c r="Z606" s="175"/>
      <c r="AA606" s="175"/>
      <c r="AB606" s="175"/>
      <c r="AC606" s="175"/>
      <c r="AD606" s="175"/>
    </row>
    <row r="607" spans="18:30" x14ac:dyDescent="0.25">
      <c r="R607" s="176"/>
      <c r="S607" s="175"/>
      <c r="T607" s="175"/>
      <c r="U607" s="175"/>
      <c r="V607" s="175"/>
      <c r="W607" s="175"/>
      <c r="X607" s="175"/>
      <c r="Y607" s="175"/>
      <c r="Z607" s="175"/>
      <c r="AA607" s="175"/>
      <c r="AB607" s="175"/>
      <c r="AC607" s="175"/>
      <c r="AD607" s="175"/>
    </row>
    <row r="608" spans="18:30" x14ac:dyDescent="0.25">
      <c r="R608" s="176"/>
      <c r="S608" s="175"/>
      <c r="T608" s="175"/>
      <c r="U608" s="175"/>
      <c r="V608" s="175"/>
      <c r="W608" s="175"/>
      <c r="X608" s="175"/>
      <c r="Y608" s="175"/>
      <c r="Z608" s="175"/>
      <c r="AA608" s="175"/>
      <c r="AB608" s="175"/>
      <c r="AC608" s="175"/>
      <c r="AD608" s="175"/>
    </row>
    <row r="609" spans="18:30" x14ac:dyDescent="0.25">
      <c r="R609" s="176"/>
      <c r="S609" s="175"/>
      <c r="T609" s="175"/>
      <c r="U609" s="175"/>
      <c r="V609" s="175"/>
      <c r="W609" s="175"/>
      <c r="X609" s="175"/>
      <c r="Y609" s="175"/>
      <c r="Z609" s="175"/>
      <c r="AA609" s="175"/>
      <c r="AB609" s="175"/>
      <c r="AC609" s="175"/>
      <c r="AD609" s="175"/>
    </row>
    <row r="610" spans="18:30" x14ac:dyDescent="0.25">
      <c r="R610" s="176"/>
      <c r="S610" s="175"/>
      <c r="T610" s="175"/>
      <c r="U610" s="175"/>
      <c r="V610" s="175"/>
      <c r="W610" s="175"/>
      <c r="X610" s="175"/>
      <c r="Y610" s="175"/>
      <c r="Z610" s="175"/>
      <c r="AA610" s="175"/>
      <c r="AB610" s="175"/>
      <c r="AC610" s="175"/>
      <c r="AD610" s="175"/>
    </row>
    <row r="611" spans="18:30" x14ac:dyDescent="0.25">
      <c r="R611" s="176"/>
      <c r="S611" s="175"/>
      <c r="T611" s="175"/>
      <c r="U611" s="175"/>
      <c r="V611" s="175"/>
      <c r="W611" s="175"/>
      <c r="X611" s="175"/>
      <c r="Y611" s="175"/>
      <c r="Z611" s="175"/>
      <c r="AA611" s="175"/>
      <c r="AB611" s="175"/>
      <c r="AC611" s="175"/>
      <c r="AD611" s="175"/>
    </row>
    <row r="612" spans="18:30" x14ac:dyDescent="0.25">
      <c r="R612" s="176"/>
      <c r="S612" s="175"/>
      <c r="T612" s="175"/>
      <c r="U612" s="175"/>
      <c r="V612" s="175"/>
      <c r="W612" s="175"/>
      <c r="X612" s="175"/>
      <c r="Y612" s="175"/>
      <c r="Z612" s="175"/>
      <c r="AA612" s="175"/>
      <c r="AB612" s="175"/>
      <c r="AC612" s="175"/>
      <c r="AD612" s="175"/>
    </row>
    <row r="613" spans="18:30" x14ac:dyDescent="0.25">
      <c r="R613" s="176"/>
      <c r="S613" s="175"/>
      <c r="T613" s="175"/>
      <c r="U613" s="175"/>
      <c r="V613" s="175"/>
      <c r="W613" s="175"/>
      <c r="X613" s="175"/>
      <c r="Y613" s="175"/>
      <c r="Z613" s="175"/>
      <c r="AA613" s="175"/>
      <c r="AB613" s="175"/>
      <c r="AC613" s="175"/>
      <c r="AD613" s="175"/>
    </row>
    <row r="614" spans="18:30" x14ac:dyDescent="0.25">
      <c r="R614" s="176"/>
      <c r="S614" s="175"/>
      <c r="T614" s="175"/>
      <c r="U614" s="175"/>
      <c r="V614" s="175"/>
      <c r="W614" s="175"/>
      <c r="X614" s="175"/>
      <c r="Y614" s="175"/>
      <c r="Z614" s="175"/>
      <c r="AA614" s="175"/>
      <c r="AB614" s="175"/>
      <c r="AC614" s="175"/>
      <c r="AD614" s="175"/>
    </row>
    <row r="615" spans="18:30" x14ac:dyDescent="0.25">
      <c r="R615" s="176"/>
      <c r="S615" s="175"/>
      <c r="T615" s="175"/>
      <c r="U615" s="175"/>
      <c r="V615" s="175"/>
      <c r="W615" s="175"/>
      <c r="X615" s="175"/>
      <c r="Y615" s="175"/>
      <c r="Z615" s="175"/>
      <c r="AA615" s="175"/>
      <c r="AB615" s="175"/>
      <c r="AC615" s="175"/>
      <c r="AD615" s="175"/>
    </row>
    <row r="616" spans="18:30" x14ac:dyDescent="0.25">
      <c r="R616" s="176"/>
      <c r="S616" s="175"/>
      <c r="T616" s="175"/>
      <c r="U616" s="175"/>
      <c r="V616" s="175"/>
      <c r="W616" s="175"/>
      <c r="X616" s="175"/>
      <c r="Y616" s="175"/>
      <c r="Z616" s="175"/>
      <c r="AA616" s="175"/>
      <c r="AB616" s="175"/>
      <c r="AC616" s="175"/>
      <c r="AD616" s="175"/>
    </row>
    <row r="617" spans="18:30" x14ac:dyDescent="0.25">
      <c r="R617" s="176"/>
      <c r="S617" s="175"/>
      <c r="T617" s="175"/>
      <c r="U617" s="175"/>
      <c r="V617" s="175"/>
      <c r="W617" s="175"/>
      <c r="X617" s="175"/>
      <c r="Y617" s="175"/>
      <c r="Z617" s="175"/>
      <c r="AA617" s="175"/>
      <c r="AB617" s="175"/>
      <c r="AC617" s="175"/>
      <c r="AD617" s="175"/>
    </row>
    <row r="618" spans="18:30" x14ac:dyDescent="0.25">
      <c r="R618" s="176"/>
      <c r="S618" s="175"/>
      <c r="T618" s="175"/>
      <c r="U618" s="175"/>
      <c r="V618" s="175"/>
      <c r="W618" s="175"/>
      <c r="X618" s="175"/>
      <c r="Y618" s="175"/>
      <c r="Z618" s="175"/>
      <c r="AA618" s="175"/>
      <c r="AB618" s="175"/>
      <c r="AC618" s="175"/>
      <c r="AD618" s="175"/>
    </row>
    <row r="619" spans="18:30" x14ac:dyDescent="0.25">
      <c r="R619" s="176"/>
      <c r="S619" s="175"/>
      <c r="T619" s="175"/>
      <c r="U619" s="175"/>
      <c r="V619" s="175"/>
      <c r="W619" s="175"/>
      <c r="X619" s="175"/>
      <c r="Y619" s="175"/>
      <c r="Z619" s="175"/>
      <c r="AA619" s="175"/>
      <c r="AB619" s="175"/>
      <c r="AC619" s="175"/>
      <c r="AD619" s="175"/>
    </row>
    <row r="620" spans="18:30" x14ac:dyDescent="0.25">
      <c r="R620" s="176"/>
      <c r="S620" s="175"/>
      <c r="T620" s="175"/>
      <c r="U620" s="175"/>
      <c r="V620" s="175"/>
      <c r="W620" s="175"/>
      <c r="X620" s="175"/>
      <c r="Y620" s="175"/>
      <c r="Z620" s="175"/>
      <c r="AA620" s="175"/>
      <c r="AB620" s="175"/>
      <c r="AC620" s="175"/>
      <c r="AD620" s="175"/>
    </row>
    <row r="621" spans="18:30" x14ac:dyDescent="0.25">
      <c r="R621" s="176"/>
      <c r="S621" s="175"/>
      <c r="T621" s="175"/>
      <c r="U621" s="175"/>
      <c r="V621" s="175"/>
      <c r="W621" s="175"/>
      <c r="X621" s="175"/>
      <c r="Y621" s="175"/>
      <c r="Z621" s="175"/>
      <c r="AA621" s="175"/>
      <c r="AB621" s="175"/>
      <c r="AC621" s="175"/>
      <c r="AD621" s="175"/>
    </row>
    <row r="622" spans="18:30" x14ac:dyDescent="0.25">
      <c r="R622" s="176"/>
      <c r="S622" s="175"/>
      <c r="T622" s="175"/>
      <c r="U622" s="175"/>
      <c r="V622" s="175"/>
      <c r="W622" s="175"/>
      <c r="X622" s="175"/>
      <c r="Y622" s="175"/>
      <c r="Z622" s="175"/>
      <c r="AA622" s="175"/>
      <c r="AB622" s="175"/>
      <c r="AC622" s="175"/>
      <c r="AD622" s="175"/>
    </row>
    <row r="623" spans="18:30" x14ac:dyDescent="0.25">
      <c r="R623" s="176"/>
      <c r="S623" s="175"/>
      <c r="T623" s="175"/>
      <c r="U623" s="175"/>
      <c r="V623" s="175"/>
      <c r="W623" s="175"/>
      <c r="X623" s="175"/>
      <c r="Y623" s="175"/>
      <c r="Z623" s="175"/>
      <c r="AA623" s="175"/>
      <c r="AB623" s="175"/>
      <c r="AC623" s="175"/>
      <c r="AD623" s="175"/>
    </row>
    <row r="624" spans="18:30" x14ac:dyDescent="0.25">
      <c r="R624" s="176"/>
      <c r="S624" s="175"/>
      <c r="T624" s="175"/>
      <c r="U624" s="175"/>
      <c r="V624" s="175"/>
      <c r="W624" s="175"/>
      <c r="X624" s="175"/>
      <c r="Y624" s="175"/>
      <c r="Z624" s="175"/>
      <c r="AA624" s="175"/>
      <c r="AB624" s="175"/>
      <c r="AC624" s="175"/>
      <c r="AD624" s="175"/>
    </row>
    <row r="625" spans="18:30" x14ac:dyDescent="0.25">
      <c r="R625" s="176"/>
      <c r="S625" s="175"/>
      <c r="T625" s="175"/>
      <c r="U625" s="175"/>
      <c r="V625" s="175"/>
      <c r="W625" s="175"/>
      <c r="X625" s="175"/>
      <c r="Y625" s="175"/>
      <c r="Z625" s="175"/>
      <c r="AA625" s="175"/>
      <c r="AB625" s="175"/>
      <c r="AC625" s="175"/>
      <c r="AD625" s="175"/>
    </row>
    <row r="626" spans="18:30" x14ac:dyDescent="0.25">
      <c r="R626" s="176"/>
      <c r="S626" s="175"/>
      <c r="T626" s="175"/>
      <c r="U626" s="175"/>
      <c r="V626" s="175"/>
      <c r="W626" s="175"/>
      <c r="X626" s="175"/>
      <c r="Y626" s="175"/>
      <c r="Z626" s="175"/>
      <c r="AA626" s="175"/>
      <c r="AB626" s="175"/>
      <c r="AC626" s="175"/>
      <c r="AD626" s="175"/>
    </row>
    <row r="627" spans="18:30" x14ac:dyDescent="0.25">
      <c r="R627" s="176"/>
      <c r="S627" s="175"/>
      <c r="T627" s="175"/>
      <c r="U627" s="175"/>
      <c r="V627" s="175"/>
      <c r="W627" s="175"/>
      <c r="X627" s="175"/>
      <c r="Y627" s="175"/>
      <c r="Z627" s="175"/>
      <c r="AA627" s="175"/>
      <c r="AB627" s="175"/>
      <c r="AC627" s="175"/>
      <c r="AD627" s="175"/>
    </row>
    <row r="628" spans="18:30" x14ac:dyDescent="0.25">
      <c r="R628" s="176"/>
      <c r="S628" s="175"/>
      <c r="T628" s="175"/>
      <c r="U628" s="175"/>
      <c r="V628" s="175"/>
      <c r="W628" s="175"/>
      <c r="X628" s="175"/>
      <c r="Y628" s="175"/>
      <c r="Z628" s="175"/>
      <c r="AA628" s="175"/>
      <c r="AB628" s="175"/>
      <c r="AC628" s="175"/>
      <c r="AD628" s="175"/>
    </row>
    <row r="629" spans="18:30" x14ac:dyDescent="0.25">
      <c r="R629" s="176"/>
      <c r="S629" s="175"/>
      <c r="T629" s="175"/>
      <c r="U629" s="175"/>
      <c r="V629" s="175"/>
      <c r="W629" s="175"/>
      <c r="X629" s="175"/>
      <c r="Y629" s="175"/>
      <c r="Z629" s="175"/>
      <c r="AA629" s="175"/>
      <c r="AB629" s="175"/>
      <c r="AC629" s="175"/>
      <c r="AD629" s="175"/>
    </row>
    <row r="630" spans="18:30" x14ac:dyDescent="0.25">
      <c r="R630" s="176"/>
      <c r="S630" s="175"/>
      <c r="T630" s="175"/>
      <c r="U630" s="175"/>
      <c r="V630" s="175"/>
      <c r="W630" s="175"/>
      <c r="X630" s="175"/>
      <c r="Y630" s="175"/>
      <c r="Z630" s="175"/>
      <c r="AA630" s="175"/>
      <c r="AB630" s="175"/>
      <c r="AC630" s="175"/>
      <c r="AD630" s="175"/>
    </row>
    <row r="631" spans="18:30" x14ac:dyDescent="0.25">
      <c r="R631" s="176"/>
      <c r="S631" s="175"/>
      <c r="T631" s="175"/>
      <c r="U631" s="175"/>
      <c r="V631" s="175"/>
      <c r="W631" s="175"/>
      <c r="X631" s="175"/>
      <c r="Y631" s="175"/>
      <c r="Z631" s="175"/>
      <c r="AA631" s="175"/>
      <c r="AB631" s="175"/>
      <c r="AC631" s="175"/>
      <c r="AD631" s="175"/>
    </row>
    <row r="632" spans="18:30" x14ac:dyDescent="0.25">
      <c r="R632" s="176"/>
      <c r="S632" s="175"/>
      <c r="T632" s="175"/>
      <c r="U632" s="175"/>
      <c r="V632" s="175"/>
      <c r="W632" s="175"/>
      <c r="X632" s="175"/>
      <c r="Y632" s="175"/>
      <c r="Z632" s="175"/>
      <c r="AA632" s="175"/>
      <c r="AB632" s="175"/>
      <c r="AC632" s="175"/>
      <c r="AD632" s="175"/>
    </row>
    <row r="633" spans="18:30" x14ac:dyDescent="0.25">
      <c r="R633" s="176"/>
      <c r="S633" s="175"/>
      <c r="T633" s="175"/>
      <c r="U633" s="175"/>
      <c r="V633" s="175"/>
      <c r="W633" s="175"/>
      <c r="X633" s="175"/>
      <c r="Y633" s="175"/>
      <c r="Z633" s="175"/>
      <c r="AA633" s="175"/>
      <c r="AB633" s="175"/>
      <c r="AC633" s="175"/>
      <c r="AD633" s="175"/>
    </row>
    <row r="634" spans="18:30" x14ac:dyDescent="0.25">
      <c r="R634" s="176"/>
      <c r="S634" s="175"/>
      <c r="T634" s="175"/>
      <c r="U634" s="175"/>
      <c r="V634" s="175"/>
      <c r="W634" s="175"/>
      <c r="X634" s="175"/>
      <c r="Y634" s="175"/>
      <c r="Z634" s="175"/>
      <c r="AA634" s="175"/>
      <c r="AB634" s="175"/>
      <c r="AC634" s="175"/>
      <c r="AD634" s="175"/>
    </row>
    <row r="635" spans="18:30" x14ac:dyDescent="0.25">
      <c r="R635" s="176"/>
      <c r="S635" s="175"/>
      <c r="T635" s="175"/>
      <c r="U635" s="175"/>
      <c r="V635" s="175"/>
      <c r="W635" s="175"/>
      <c r="X635" s="175"/>
      <c r="Y635" s="175"/>
      <c r="Z635" s="175"/>
      <c r="AA635" s="175"/>
      <c r="AB635" s="175"/>
      <c r="AC635" s="175"/>
      <c r="AD635" s="175"/>
    </row>
    <row r="636" spans="18:30" x14ac:dyDescent="0.25">
      <c r="R636" s="176"/>
      <c r="S636" s="175"/>
      <c r="T636" s="175"/>
      <c r="U636" s="175"/>
      <c r="V636" s="175"/>
      <c r="W636" s="175"/>
      <c r="X636" s="175"/>
      <c r="Y636" s="175"/>
      <c r="Z636" s="175"/>
      <c r="AA636" s="175"/>
      <c r="AB636" s="175"/>
      <c r="AC636" s="175"/>
      <c r="AD636" s="175"/>
    </row>
    <row r="637" spans="18:30" x14ac:dyDescent="0.25">
      <c r="R637" s="176"/>
      <c r="S637" s="175"/>
      <c r="T637" s="175"/>
      <c r="U637" s="175"/>
      <c r="V637" s="175"/>
      <c r="W637" s="175"/>
      <c r="X637" s="175"/>
      <c r="Y637" s="175"/>
      <c r="Z637" s="175"/>
      <c r="AA637" s="175"/>
      <c r="AB637" s="175"/>
      <c r="AC637" s="175"/>
      <c r="AD637" s="175"/>
    </row>
    <row r="638" spans="18:30" x14ac:dyDescent="0.25">
      <c r="R638" s="176"/>
      <c r="S638" s="175"/>
      <c r="T638" s="175"/>
      <c r="U638" s="175"/>
      <c r="V638" s="175"/>
      <c r="W638" s="175"/>
      <c r="X638" s="175"/>
      <c r="Y638" s="175"/>
      <c r="Z638" s="175"/>
      <c r="AA638" s="175"/>
      <c r="AB638" s="175"/>
      <c r="AC638" s="175"/>
      <c r="AD638" s="175"/>
    </row>
    <row r="639" spans="18:30" x14ac:dyDescent="0.25">
      <c r="R639" s="176"/>
      <c r="S639" s="175"/>
      <c r="T639" s="175"/>
      <c r="U639" s="175"/>
      <c r="V639" s="175"/>
      <c r="W639" s="175"/>
      <c r="X639" s="175"/>
      <c r="Y639" s="175"/>
      <c r="Z639" s="175"/>
      <c r="AA639" s="175"/>
      <c r="AB639" s="175"/>
      <c r="AC639" s="175"/>
      <c r="AD639" s="175"/>
    </row>
    <row r="640" spans="18:30" x14ac:dyDescent="0.25">
      <c r="R640" s="176"/>
      <c r="S640" s="175"/>
      <c r="T640" s="175"/>
      <c r="U640" s="175"/>
      <c r="V640" s="175"/>
      <c r="W640" s="175"/>
      <c r="X640" s="175"/>
      <c r="Y640" s="175"/>
      <c r="Z640" s="175"/>
      <c r="AA640" s="175"/>
      <c r="AB640" s="175"/>
      <c r="AC640" s="175"/>
      <c r="AD640" s="175"/>
    </row>
    <row r="641" spans="18:30" x14ac:dyDescent="0.25">
      <c r="R641" s="176"/>
      <c r="S641" s="175"/>
      <c r="T641" s="175"/>
      <c r="U641" s="175"/>
      <c r="V641" s="175"/>
      <c r="W641" s="175"/>
      <c r="X641" s="175"/>
      <c r="Y641" s="175"/>
      <c r="Z641" s="175"/>
      <c r="AA641" s="175"/>
      <c r="AB641" s="175"/>
      <c r="AC641" s="175"/>
      <c r="AD641" s="175"/>
    </row>
    <row r="642" spans="18:30" x14ac:dyDescent="0.25">
      <c r="R642" s="176"/>
      <c r="S642" s="175"/>
      <c r="T642" s="175"/>
      <c r="U642" s="175"/>
      <c r="V642" s="175"/>
      <c r="W642" s="175"/>
      <c r="X642" s="175"/>
      <c r="Y642" s="175"/>
      <c r="Z642" s="175"/>
      <c r="AA642" s="175"/>
      <c r="AB642" s="175"/>
      <c r="AC642" s="175"/>
      <c r="AD642" s="175"/>
    </row>
    <row r="643" spans="18:30" x14ac:dyDescent="0.25">
      <c r="R643" s="176"/>
      <c r="S643" s="175"/>
      <c r="T643" s="175"/>
      <c r="U643" s="175"/>
      <c r="V643" s="175"/>
      <c r="W643" s="175"/>
      <c r="X643" s="175"/>
      <c r="Y643" s="175"/>
      <c r="Z643" s="175"/>
      <c r="AA643" s="175"/>
      <c r="AB643" s="175"/>
      <c r="AC643" s="175"/>
      <c r="AD643" s="175"/>
    </row>
    <row r="644" spans="18:30" x14ac:dyDescent="0.25">
      <c r="R644" s="176"/>
      <c r="S644" s="175"/>
      <c r="T644" s="175"/>
      <c r="U644" s="175"/>
      <c r="V644" s="175"/>
      <c r="W644" s="175"/>
      <c r="X644" s="175"/>
      <c r="Y644" s="175"/>
      <c r="Z644" s="175"/>
      <c r="AA644" s="175"/>
      <c r="AB644" s="175"/>
      <c r="AC644" s="175"/>
      <c r="AD644" s="175"/>
    </row>
    <row r="645" spans="18:30" x14ac:dyDescent="0.25">
      <c r="R645" s="176"/>
      <c r="S645" s="175"/>
      <c r="T645" s="175"/>
      <c r="U645" s="175"/>
      <c r="V645" s="175"/>
      <c r="W645" s="175"/>
      <c r="X645" s="175"/>
      <c r="Y645" s="175"/>
      <c r="Z645" s="175"/>
      <c r="AA645" s="175"/>
      <c r="AB645" s="175"/>
      <c r="AC645" s="175"/>
      <c r="AD645" s="175"/>
    </row>
    <row r="646" spans="18:30" x14ac:dyDescent="0.25">
      <c r="R646" s="176"/>
      <c r="S646" s="175"/>
      <c r="T646" s="175"/>
      <c r="U646" s="175"/>
      <c r="V646" s="175"/>
      <c r="W646" s="175"/>
      <c r="X646" s="175"/>
      <c r="Y646" s="175"/>
      <c r="Z646" s="175"/>
      <c r="AA646" s="175"/>
      <c r="AB646" s="175"/>
      <c r="AC646" s="175"/>
      <c r="AD646" s="175"/>
    </row>
    <row r="647" spans="18:30" x14ac:dyDescent="0.25">
      <c r="R647" s="176"/>
      <c r="S647" s="175"/>
      <c r="T647" s="175"/>
      <c r="U647" s="175"/>
      <c r="V647" s="175"/>
      <c r="W647" s="175"/>
      <c r="X647" s="175"/>
      <c r="Y647" s="175"/>
      <c r="Z647" s="175"/>
      <c r="AA647" s="175"/>
      <c r="AB647" s="175"/>
      <c r="AC647" s="175"/>
      <c r="AD647" s="175"/>
    </row>
    <row r="648" spans="18:30" x14ac:dyDescent="0.25">
      <c r="R648" s="176"/>
      <c r="S648" s="175"/>
      <c r="T648" s="175"/>
      <c r="U648" s="175"/>
      <c r="V648" s="175"/>
      <c r="W648" s="175"/>
      <c r="X648" s="175"/>
      <c r="Y648" s="175"/>
      <c r="Z648" s="175"/>
      <c r="AA648" s="175"/>
      <c r="AB648" s="175"/>
      <c r="AC648" s="175"/>
      <c r="AD648" s="175"/>
    </row>
    <row r="649" spans="18:30" x14ac:dyDescent="0.25">
      <c r="R649" s="176"/>
      <c r="S649" s="175"/>
      <c r="T649" s="175"/>
      <c r="U649" s="175"/>
      <c r="V649" s="175"/>
      <c r="W649" s="175"/>
      <c r="X649" s="175"/>
      <c r="Y649" s="175"/>
      <c r="Z649" s="175"/>
      <c r="AA649" s="175"/>
      <c r="AB649" s="175"/>
      <c r="AC649" s="175"/>
      <c r="AD649" s="175"/>
    </row>
    <row r="650" spans="18:30" x14ac:dyDescent="0.25">
      <c r="R650" s="176"/>
      <c r="S650" s="175"/>
      <c r="T650" s="175"/>
      <c r="U650" s="175"/>
      <c r="V650" s="175"/>
      <c r="W650" s="175"/>
      <c r="X650" s="175"/>
      <c r="Y650" s="175"/>
      <c r="Z650" s="175"/>
      <c r="AA650" s="175"/>
      <c r="AB650" s="175"/>
      <c r="AC650" s="175"/>
      <c r="AD650" s="175"/>
    </row>
    <row r="651" spans="18:30" x14ac:dyDescent="0.25">
      <c r="R651" s="176"/>
      <c r="S651" s="175"/>
      <c r="T651" s="175"/>
      <c r="U651" s="175"/>
      <c r="V651" s="175"/>
      <c r="W651" s="175"/>
      <c r="X651" s="175"/>
      <c r="Y651" s="175"/>
      <c r="Z651" s="175"/>
      <c r="AA651" s="175"/>
      <c r="AB651" s="175"/>
      <c r="AC651" s="175"/>
      <c r="AD651" s="175"/>
    </row>
    <row r="652" spans="18:30" x14ac:dyDescent="0.25">
      <c r="R652" s="176"/>
      <c r="S652" s="175"/>
      <c r="T652" s="175"/>
      <c r="U652" s="175"/>
      <c r="V652" s="175"/>
      <c r="W652" s="175"/>
      <c r="X652" s="175"/>
      <c r="Y652" s="175"/>
      <c r="Z652" s="175"/>
      <c r="AA652" s="175"/>
      <c r="AB652" s="175"/>
      <c r="AC652" s="175"/>
      <c r="AD652" s="175"/>
    </row>
    <row r="653" spans="18:30" x14ac:dyDescent="0.25">
      <c r="R653" s="176"/>
      <c r="S653" s="175"/>
      <c r="T653" s="175"/>
      <c r="U653" s="175"/>
      <c r="V653" s="175"/>
      <c r="W653" s="175"/>
      <c r="X653" s="175"/>
      <c r="Y653" s="175"/>
      <c r="Z653" s="175"/>
      <c r="AA653" s="175"/>
      <c r="AB653" s="175"/>
      <c r="AC653" s="175"/>
      <c r="AD653" s="175"/>
    </row>
    <row r="654" spans="18:30" x14ac:dyDescent="0.25">
      <c r="R654" s="176"/>
      <c r="S654" s="175"/>
      <c r="T654" s="175"/>
      <c r="U654" s="175"/>
      <c r="V654" s="175"/>
      <c r="W654" s="175"/>
      <c r="X654" s="175"/>
      <c r="Y654" s="175"/>
      <c r="Z654" s="175"/>
      <c r="AA654" s="175"/>
      <c r="AB654" s="175"/>
      <c r="AC654" s="175"/>
      <c r="AD654" s="175"/>
    </row>
    <row r="655" spans="18:30" x14ac:dyDescent="0.25">
      <c r="R655" s="176"/>
      <c r="S655" s="175"/>
      <c r="T655" s="175"/>
      <c r="U655" s="175"/>
      <c r="V655" s="175"/>
      <c r="W655" s="175"/>
      <c r="X655" s="175"/>
      <c r="Y655" s="175"/>
      <c r="Z655" s="175"/>
      <c r="AA655" s="175"/>
      <c r="AB655" s="175"/>
      <c r="AC655" s="175"/>
      <c r="AD655" s="175"/>
    </row>
    <row r="656" spans="18:30" x14ac:dyDescent="0.25">
      <c r="R656" s="176"/>
      <c r="S656" s="175"/>
      <c r="T656" s="175"/>
      <c r="U656" s="175"/>
      <c r="V656" s="175"/>
      <c r="W656" s="175"/>
      <c r="X656" s="175"/>
      <c r="Y656" s="175"/>
      <c r="Z656" s="175"/>
      <c r="AA656" s="175"/>
      <c r="AB656" s="175"/>
      <c r="AC656" s="175"/>
      <c r="AD656" s="175"/>
    </row>
    <row r="657" spans="18:30" x14ac:dyDescent="0.25">
      <c r="R657" s="176"/>
      <c r="S657" s="175"/>
      <c r="T657" s="175"/>
      <c r="U657" s="175"/>
      <c r="V657" s="175"/>
      <c r="W657" s="175"/>
      <c r="X657" s="175"/>
      <c r="Y657" s="175"/>
      <c r="Z657" s="175"/>
      <c r="AA657" s="175"/>
      <c r="AB657" s="175"/>
      <c r="AC657" s="175"/>
      <c r="AD657" s="175"/>
    </row>
    <row r="658" spans="18:30" x14ac:dyDescent="0.25">
      <c r="R658" s="176"/>
      <c r="S658" s="175"/>
      <c r="T658" s="175"/>
      <c r="U658" s="175"/>
      <c r="V658" s="175"/>
      <c r="W658" s="175"/>
      <c r="X658" s="175"/>
      <c r="Y658" s="175"/>
      <c r="Z658" s="175"/>
      <c r="AA658" s="175"/>
      <c r="AB658" s="175"/>
      <c r="AC658" s="175"/>
      <c r="AD658" s="175"/>
    </row>
    <row r="659" spans="18:30" x14ac:dyDescent="0.25">
      <c r="R659" s="176"/>
      <c r="S659" s="175"/>
      <c r="T659" s="175"/>
      <c r="U659" s="175"/>
      <c r="V659" s="175"/>
      <c r="W659" s="175"/>
      <c r="X659" s="175"/>
      <c r="Y659" s="175"/>
      <c r="Z659" s="175"/>
      <c r="AA659" s="175"/>
      <c r="AB659" s="175"/>
      <c r="AC659" s="175"/>
      <c r="AD659" s="175"/>
    </row>
    <row r="660" spans="18:30" x14ac:dyDescent="0.25">
      <c r="R660" s="176"/>
      <c r="S660" s="175"/>
      <c r="T660" s="175"/>
      <c r="U660" s="175"/>
      <c r="V660" s="175"/>
      <c r="W660" s="175"/>
      <c r="X660" s="175"/>
      <c r="Y660" s="175"/>
      <c r="Z660" s="175"/>
      <c r="AA660" s="175"/>
      <c r="AB660" s="175"/>
      <c r="AC660" s="175"/>
      <c r="AD660" s="175"/>
    </row>
    <row r="661" spans="18:30" x14ac:dyDescent="0.25">
      <c r="R661" s="176"/>
      <c r="S661" s="175"/>
      <c r="T661" s="175"/>
      <c r="U661" s="175"/>
      <c r="V661" s="175"/>
      <c r="W661" s="175"/>
      <c r="X661" s="175"/>
      <c r="Y661" s="175"/>
      <c r="Z661" s="175"/>
      <c r="AA661" s="175"/>
      <c r="AB661" s="175"/>
      <c r="AC661" s="175"/>
      <c r="AD661" s="175"/>
    </row>
    <row r="662" spans="18:30" x14ac:dyDescent="0.25">
      <c r="R662" s="176"/>
      <c r="S662" s="175"/>
      <c r="T662" s="175"/>
      <c r="U662" s="175"/>
      <c r="V662" s="175"/>
      <c r="W662" s="175"/>
      <c r="X662" s="175"/>
      <c r="Y662" s="175"/>
      <c r="Z662" s="175"/>
      <c r="AA662" s="175"/>
      <c r="AB662" s="175"/>
      <c r="AC662" s="175"/>
      <c r="AD662" s="175"/>
    </row>
    <row r="663" spans="18:30" x14ac:dyDescent="0.25">
      <c r="R663" s="176"/>
      <c r="S663" s="175"/>
      <c r="T663" s="175"/>
      <c r="U663" s="175"/>
      <c r="V663" s="175"/>
      <c r="W663" s="175"/>
      <c r="X663" s="175"/>
      <c r="Y663" s="175"/>
      <c r="Z663" s="175"/>
      <c r="AA663" s="175"/>
      <c r="AB663" s="175"/>
      <c r="AC663" s="175"/>
      <c r="AD663" s="175"/>
    </row>
    <row r="664" spans="18:30" x14ac:dyDescent="0.25">
      <c r="R664" s="176"/>
      <c r="S664" s="175"/>
      <c r="T664" s="175"/>
      <c r="U664" s="175"/>
      <c r="V664" s="175"/>
      <c r="W664" s="175"/>
      <c r="X664" s="175"/>
      <c r="Y664" s="175"/>
      <c r="Z664" s="175"/>
      <c r="AA664" s="175"/>
      <c r="AB664" s="175"/>
      <c r="AC664" s="175"/>
      <c r="AD664" s="175"/>
    </row>
    <row r="665" spans="18:30" x14ac:dyDescent="0.25">
      <c r="R665" s="176"/>
      <c r="S665" s="175"/>
      <c r="T665" s="175"/>
      <c r="U665" s="175"/>
      <c r="V665" s="175"/>
      <c r="W665" s="175"/>
      <c r="X665" s="175"/>
      <c r="Y665" s="175"/>
      <c r="Z665" s="175"/>
      <c r="AA665" s="175"/>
      <c r="AB665" s="175"/>
      <c r="AC665" s="175"/>
      <c r="AD665" s="175"/>
    </row>
    <row r="666" spans="18:30" x14ac:dyDescent="0.25">
      <c r="R666" s="176"/>
      <c r="S666" s="175"/>
      <c r="T666" s="175"/>
      <c r="U666" s="175"/>
      <c r="V666" s="175"/>
      <c r="W666" s="175"/>
      <c r="X666" s="175"/>
      <c r="Y666" s="175"/>
      <c r="Z666" s="175"/>
      <c r="AA666" s="175"/>
      <c r="AB666" s="175"/>
      <c r="AC666" s="175"/>
      <c r="AD666" s="175"/>
    </row>
    <row r="667" spans="18:30" x14ac:dyDescent="0.25">
      <c r="R667" s="176"/>
      <c r="S667" s="175"/>
      <c r="T667" s="175"/>
      <c r="U667" s="175"/>
      <c r="V667" s="175"/>
      <c r="W667" s="175"/>
      <c r="X667" s="175"/>
      <c r="Y667" s="175"/>
      <c r="Z667" s="175"/>
      <c r="AA667" s="175"/>
      <c r="AB667" s="175"/>
      <c r="AC667" s="175"/>
      <c r="AD667" s="175"/>
    </row>
    <row r="668" spans="18:30" x14ac:dyDescent="0.25">
      <c r="R668" s="176"/>
      <c r="S668" s="175"/>
      <c r="T668" s="175"/>
      <c r="U668" s="175"/>
      <c r="V668" s="175"/>
      <c r="W668" s="175"/>
      <c r="X668" s="175"/>
      <c r="Y668" s="175"/>
      <c r="Z668" s="175"/>
      <c r="AA668" s="175"/>
      <c r="AB668" s="175"/>
      <c r="AC668" s="175"/>
      <c r="AD668" s="175"/>
    </row>
    <row r="669" spans="18:30" x14ac:dyDescent="0.25">
      <c r="R669" s="176"/>
      <c r="S669" s="175"/>
      <c r="T669" s="175"/>
      <c r="U669" s="175"/>
      <c r="V669" s="175"/>
      <c r="W669" s="175"/>
      <c r="X669" s="175"/>
      <c r="Y669" s="175"/>
      <c r="Z669" s="175"/>
      <c r="AA669" s="175"/>
      <c r="AB669" s="175"/>
      <c r="AC669" s="175"/>
      <c r="AD669" s="175"/>
    </row>
    <row r="670" spans="18:30" x14ac:dyDescent="0.25">
      <c r="R670" s="176"/>
      <c r="S670" s="175"/>
      <c r="T670" s="175"/>
      <c r="U670" s="175"/>
      <c r="V670" s="175"/>
      <c r="W670" s="175"/>
      <c r="X670" s="175"/>
      <c r="Y670" s="175"/>
      <c r="Z670" s="175"/>
      <c r="AA670" s="175"/>
      <c r="AB670" s="175"/>
      <c r="AC670" s="175"/>
      <c r="AD670" s="175"/>
    </row>
    <row r="671" spans="18:30" x14ac:dyDescent="0.25">
      <c r="R671" s="176"/>
      <c r="S671" s="175"/>
      <c r="T671" s="175"/>
      <c r="U671" s="175"/>
      <c r="V671" s="175"/>
      <c r="W671" s="175"/>
      <c r="X671" s="175"/>
      <c r="Y671" s="175"/>
      <c r="Z671" s="175"/>
      <c r="AA671" s="175"/>
      <c r="AB671" s="175"/>
      <c r="AC671" s="175"/>
      <c r="AD671" s="175"/>
    </row>
    <row r="672" spans="18:30" x14ac:dyDescent="0.25">
      <c r="R672" s="176"/>
      <c r="S672" s="175"/>
      <c r="T672" s="175"/>
      <c r="U672" s="175"/>
      <c r="V672" s="175"/>
      <c r="W672" s="175"/>
      <c r="X672" s="175"/>
      <c r="Y672" s="175"/>
      <c r="Z672" s="175"/>
      <c r="AA672" s="175"/>
      <c r="AB672" s="175"/>
      <c r="AC672" s="175"/>
      <c r="AD672" s="175"/>
    </row>
    <row r="673" spans="18:30" x14ac:dyDescent="0.25">
      <c r="R673" s="176"/>
      <c r="S673" s="175"/>
      <c r="T673" s="175"/>
      <c r="U673" s="175"/>
      <c r="V673" s="175"/>
      <c r="W673" s="175"/>
      <c r="X673" s="175"/>
      <c r="Y673" s="175"/>
      <c r="Z673" s="175"/>
      <c r="AA673" s="175"/>
      <c r="AB673" s="175"/>
      <c r="AC673" s="175"/>
      <c r="AD673" s="175"/>
    </row>
    <row r="674" spans="18:30" x14ac:dyDescent="0.25">
      <c r="R674" s="176"/>
      <c r="S674" s="175"/>
      <c r="T674" s="175"/>
      <c r="U674" s="175"/>
      <c r="V674" s="175"/>
      <c r="W674" s="175"/>
      <c r="X674" s="175"/>
      <c r="Y674" s="175"/>
      <c r="Z674" s="175"/>
      <c r="AA674" s="175"/>
      <c r="AB674" s="175"/>
      <c r="AC674" s="175"/>
      <c r="AD674" s="175"/>
    </row>
    <row r="675" spans="18:30" x14ac:dyDescent="0.25">
      <c r="R675" s="176"/>
      <c r="S675" s="175"/>
      <c r="T675" s="175"/>
      <c r="U675" s="175"/>
      <c r="V675" s="175"/>
      <c r="W675" s="175"/>
      <c r="X675" s="175"/>
      <c r="Y675" s="175"/>
      <c r="Z675" s="175"/>
      <c r="AA675" s="175"/>
      <c r="AB675" s="175"/>
      <c r="AC675" s="175"/>
      <c r="AD675" s="175"/>
    </row>
    <row r="676" spans="18:30" x14ac:dyDescent="0.25">
      <c r="R676" s="176"/>
      <c r="S676" s="175"/>
      <c r="T676" s="175"/>
      <c r="U676" s="175"/>
      <c r="V676" s="175"/>
      <c r="W676" s="175"/>
      <c r="X676" s="175"/>
      <c r="Y676" s="175"/>
      <c r="Z676" s="175"/>
      <c r="AA676" s="175"/>
      <c r="AB676" s="175"/>
      <c r="AC676" s="175"/>
      <c r="AD676" s="175"/>
    </row>
    <row r="677" spans="18:30" x14ac:dyDescent="0.25">
      <c r="R677" s="176"/>
      <c r="S677" s="175"/>
      <c r="T677" s="175"/>
      <c r="U677" s="175"/>
      <c r="V677" s="175"/>
      <c r="W677" s="175"/>
      <c r="X677" s="175"/>
      <c r="Y677" s="175"/>
      <c r="Z677" s="175"/>
      <c r="AA677" s="175"/>
      <c r="AB677" s="175"/>
      <c r="AC677" s="175"/>
      <c r="AD677" s="175"/>
    </row>
    <row r="678" spans="18:30" x14ac:dyDescent="0.25">
      <c r="R678" s="176"/>
      <c r="S678" s="175"/>
      <c r="T678" s="175"/>
      <c r="U678" s="175"/>
      <c r="V678" s="175"/>
      <c r="W678" s="175"/>
      <c r="X678" s="175"/>
      <c r="Y678" s="175"/>
      <c r="Z678" s="175"/>
      <c r="AA678" s="175"/>
      <c r="AB678" s="175"/>
      <c r="AC678" s="175"/>
      <c r="AD678" s="175"/>
    </row>
    <row r="679" spans="18:30" x14ac:dyDescent="0.25">
      <c r="R679" s="176"/>
      <c r="S679" s="175"/>
      <c r="T679" s="175"/>
      <c r="U679" s="175"/>
      <c r="V679" s="175"/>
      <c r="W679" s="175"/>
      <c r="X679" s="175"/>
      <c r="Y679" s="175"/>
      <c r="Z679" s="175"/>
      <c r="AA679" s="175"/>
      <c r="AB679" s="175"/>
      <c r="AC679" s="175"/>
      <c r="AD679" s="175"/>
    </row>
    <row r="680" spans="18:30" x14ac:dyDescent="0.25">
      <c r="R680" s="176"/>
      <c r="S680" s="175"/>
      <c r="T680" s="175"/>
      <c r="U680" s="175"/>
      <c r="V680" s="175"/>
      <c r="W680" s="175"/>
      <c r="X680" s="175"/>
      <c r="Y680" s="175"/>
      <c r="Z680" s="175"/>
      <c r="AA680" s="175"/>
      <c r="AB680" s="175"/>
      <c r="AC680" s="175"/>
      <c r="AD680" s="175"/>
    </row>
    <row r="681" spans="18:30" x14ac:dyDescent="0.25">
      <c r="R681" s="176"/>
      <c r="S681" s="175"/>
      <c r="T681" s="175"/>
      <c r="U681" s="175"/>
      <c r="V681" s="175"/>
      <c r="W681" s="175"/>
      <c r="X681" s="175"/>
      <c r="Y681" s="175"/>
      <c r="Z681" s="175"/>
      <c r="AA681" s="175"/>
      <c r="AB681" s="175"/>
      <c r="AC681" s="175"/>
      <c r="AD681" s="175"/>
    </row>
    <row r="682" spans="18:30" x14ac:dyDescent="0.25">
      <c r="R682" s="176"/>
      <c r="S682" s="175"/>
      <c r="T682" s="175"/>
      <c r="U682" s="175"/>
      <c r="V682" s="175"/>
      <c r="W682" s="175"/>
      <c r="X682" s="175"/>
      <c r="Y682" s="175"/>
      <c r="Z682" s="175"/>
      <c r="AA682" s="175"/>
      <c r="AB682" s="175"/>
      <c r="AC682" s="175"/>
      <c r="AD682" s="175"/>
    </row>
    <row r="683" spans="18:30" x14ac:dyDescent="0.25">
      <c r="R683" s="176"/>
      <c r="S683" s="175"/>
      <c r="T683" s="175"/>
      <c r="U683" s="175"/>
      <c r="V683" s="175"/>
      <c r="W683" s="175"/>
      <c r="X683" s="175"/>
      <c r="Y683" s="175"/>
      <c r="Z683" s="175"/>
      <c r="AA683" s="175"/>
      <c r="AB683" s="175"/>
      <c r="AC683" s="175"/>
      <c r="AD683" s="175"/>
    </row>
    <row r="684" spans="18:30" x14ac:dyDescent="0.25">
      <c r="R684" s="176"/>
      <c r="S684" s="175"/>
      <c r="T684" s="175"/>
      <c r="U684" s="175"/>
      <c r="V684" s="175"/>
      <c r="W684" s="175"/>
      <c r="X684" s="175"/>
      <c r="Y684" s="175"/>
      <c r="Z684" s="175"/>
      <c r="AA684" s="175"/>
      <c r="AB684" s="175"/>
      <c r="AC684" s="175"/>
      <c r="AD684" s="175"/>
    </row>
    <row r="685" spans="18:30" x14ac:dyDescent="0.25">
      <c r="R685" s="176"/>
      <c r="S685" s="175"/>
      <c r="T685" s="175"/>
      <c r="U685" s="175"/>
      <c r="V685" s="175"/>
      <c r="W685" s="175"/>
      <c r="X685" s="175"/>
      <c r="Y685" s="175"/>
      <c r="Z685" s="175"/>
      <c r="AA685" s="175"/>
      <c r="AB685" s="175"/>
      <c r="AC685" s="175"/>
      <c r="AD685" s="175"/>
    </row>
    <row r="686" spans="18:30" x14ac:dyDescent="0.25">
      <c r="R686" s="176"/>
      <c r="S686" s="175"/>
      <c r="T686" s="175"/>
      <c r="U686" s="175"/>
      <c r="V686" s="175"/>
      <c r="W686" s="175"/>
      <c r="X686" s="175"/>
      <c r="Y686" s="175"/>
      <c r="Z686" s="175"/>
      <c r="AA686" s="175"/>
      <c r="AB686" s="175"/>
      <c r="AC686" s="175"/>
      <c r="AD686" s="175"/>
    </row>
    <row r="687" spans="18:30" x14ac:dyDescent="0.25">
      <c r="R687" s="176"/>
      <c r="S687" s="175"/>
      <c r="T687" s="175"/>
      <c r="U687" s="175"/>
      <c r="V687" s="175"/>
      <c r="W687" s="175"/>
      <c r="X687" s="175"/>
      <c r="Y687" s="175"/>
      <c r="Z687" s="175"/>
      <c r="AA687" s="175"/>
      <c r="AB687" s="175"/>
      <c r="AC687" s="175"/>
      <c r="AD687" s="175"/>
    </row>
    <row r="688" spans="18:30" x14ac:dyDescent="0.25">
      <c r="R688" s="176"/>
      <c r="S688" s="175"/>
      <c r="T688" s="175"/>
      <c r="U688" s="175"/>
      <c r="V688" s="175"/>
      <c r="W688" s="175"/>
      <c r="X688" s="175"/>
      <c r="Y688" s="175"/>
      <c r="Z688" s="175"/>
      <c r="AA688" s="175"/>
      <c r="AB688" s="175"/>
      <c r="AC688" s="175"/>
      <c r="AD688" s="175"/>
    </row>
    <row r="689" spans="18:30" x14ac:dyDescent="0.25">
      <c r="R689" s="176"/>
      <c r="S689" s="175"/>
      <c r="T689" s="175"/>
      <c r="U689" s="175"/>
      <c r="V689" s="175"/>
      <c r="W689" s="175"/>
      <c r="X689" s="175"/>
      <c r="Y689" s="175"/>
      <c r="Z689" s="175"/>
      <c r="AA689" s="175"/>
      <c r="AB689" s="175"/>
      <c r="AC689" s="175"/>
      <c r="AD689" s="175"/>
    </row>
    <row r="690" spans="18:30" x14ac:dyDescent="0.25">
      <c r="R690" s="176"/>
      <c r="S690" s="175"/>
      <c r="T690" s="175"/>
      <c r="U690" s="175"/>
      <c r="V690" s="175"/>
      <c r="W690" s="175"/>
      <c r="X690" s="175"/>
      <c r="Y690" s="175"/>
      <c r="Z690" s="175"/>
      <c r="AA690" s="175"/>
      <c r="AB690" s="175"/>
      <c r="AC690" s="175"/>
      <c r="AD690" s="175"/>
    </row>
    <row r="691" spans="18:30" x14ac:dyDescent="0.25">
      <c r="R691" s="176"/>
      <c r="S691" s="175"/>
      <c r="T691" s="175"/>
      <c r="U691" s="175"/>
      <c r="V691" s="175"/>
      <c r="W691" s="175"/>
      <c r="X691" s="175"/>
      <c r="Y691" s="175"/>
      <c r="Z691" s="175"/>
      <c r="AA691" s="175"/>
      <c r="AB691" s="175"/>
      <c r="AC691" s="175"/>
      <c r="AD691" s="175"/>
    </row>
    <row r="692" spans="18:30" x14ac:dyDescent="0.25">
      <c r="R692" s="176"/>
      <c r="S692" s="175"/>
      <c r="T692" s="175"/>
      <c r="U692" s="175"/>
      <c r="V692" s="175"/>
      <c r="W692" s="175"/>
      <c r="X692" s="175"/>
      <c r="Y692" s="175"/>
      <c r="Z692" s="175"/>
      <c r="AA692" s="175"/>
      <c r="AB692" s="175"/>
      <c r="AC692" s="175"/>
      <c r="AD692" s="175"/>
    </row>
    <row r="693" spans="18:30" x14ac:dyDescent="0.25">
      <c r="R693" s="176"/>
      <c r="S693" s="175"/>
      <c r="T693" s="175"/>
      <c r="U693" s="175"/>
      <c r="V693" s="175"/>
      <c r="W693" s="175"/>
      <c r="X693" s="175"/>
      <c r="Y693" s="175"/>
      <c r="Z693" s="175"/>
      <c r="AA693" s="175"/>
      <c r="AB693" s="175"/>
      <c r="AC693" s="175"/>
      <c r="AD693" s="175"/>
    </row>
    <row r="694" spans="18:30" x14ac:dyDescent="0.25">
      <c r="R694" s="176"/>
      <c r="S694" s="175"/>
      <c r="T694" s="175"/>
      <c r="U694" s="175"/>
      <c r="V694" s="175"/>
      <c r="W694" s="175"/>
      <c r="X694" s="175"/>
      <c r="Y694" s="175"/>
      <c r="Z694" s="175"/>
      <c r="AA694" s="175"/>
      <c r="AB694" s="175"/>
      <c r="AC694" s="175"/>
      <c r="AD694" s="175"/>
    </row>
    <row r="695" spans="18:30" x14ac:dyDescent="0.25">
      <c r="R695" s="176"/>
      <c r="S695" s="175"/>
      <c r="T695" s="175"/>
      <c r="U695" s="175"/>
      <c r="V695" s="175"/>
      <c r="W695" s="175"/>
      <c r="X695" s="175"/>
      <c r="Y695" s="175"/>
      <c r="Z695" s="175"/>
      <c r="AA695" s="175"/>
      <c r="AB695" s="175"/>
      <c r="AC695" s="175"/>
      <c r="AD695" s="175"/>
    </row>
    <row r="696" spans="18:30" x14ac:dyDescent="0.25">
      <c r="R696" s="176"/>
      <c r="S696" s="175"/>
      <c r="T696" s="175"/>
      <c r="U696" s="175"/>
      <c r="V696" s="175"/>
      <c r="W696" s="175"/>
      <c r="X696" s="175"/>
      <c r="Y696" s="175"/>
      <c r="Z696" s="175"/>
      <c r="AA696" s="175"/>
      <c r="AB696" s="175"/>
      <c r="AC696" s="175"/>
      <c r="AD696" s="175"/>
    </row>
    <row r="697" spans="18:30" x14ac:dyDescent="0.25">
      <c r="R697" s="176"/>
      <c r="S697" s="175"/>
      <c r="T697" s="175"/>
      <c r="U697" s="175"/>
      <c r="V697" s="175"/>
      <c r="W697" s="175"/>
      <c r="X697" s="175"/>
      <c r="Y697" s="175"/>
      <c r="Z697" s="175"/>
      <c r="AA697" s="175"/>
      <c r="AB697" s="175"/>
      <c r="AC697" s="175"/>
      <c r="AD697" s="175"/>
    </row>
    <row r="698" spans="18:30" x14ac:dyDescent="0.25">
      <c r="R698" s="176"/>
      <c r="S698" s="175"/>
      <c r="T698" s="175"/>
      <c r="U698" s="175"/>
      <c r="V698" s="175"/>
      <c r="W698" s="175"/>
      <c r="X698" s="175"/>
      <c r="Y698" s="175"/>
      <c r="Z698" s="175"/>
      <c r="AA698" s="175"/>
      <c r="AB698" s="175"/>
      <c r="AC698" s="175"/>
      <c r="AD698" s="175"/>
    </row>
    <row r="699" spans="18:30" x14ac:dyDescent="0.25">
      <c r="R699" s="176"/>
      <c r="S699" s="175"/>
      <c r="T699" s="175"/>
      <c r="U699" s="175"/>
      <c r="V699" s="175"/>
      <c r="W699" s="175"/>
      <c r="X699" s="175"/>
      <c r="Y699" s="175"/>
      <c r="Z699" s="175"/>
      <c r="AA699" s="175"/>
      <c r="AB699" s="175"/>
      <c r="AC699" s="175"/>
      <c r="AD699" s="175"/>
    </row>
    <row r="700" spans="18:30" x14ac:dyDescent="0.25">
      <c r="R700" s="176"/>
      <c r="S700" s="175"/>
      <c r="T700" s="175"/>
      <c r="U700" s="175"/>
      <c r="V700" s="175"/>
      <c r="W700" s="175"/>
      <c r="X700" s="175"/>
      <c r="Y700" s="175"/>
      <c r="Z700" s="175"/>
      <c r="AA700" s="175"/>
      <c r="AB700" s="175"/>
      <c r="AC700" s="175"/>
      <c r="AD700" s="175"/>
    </row>
    <row r="701" spans="18:30" x14ac:dyDescent="0.25">
      <c r="R701" s="176"/>
      <c r="S701" s="175"/>
      <c r="T701" s="175"/>
      <c r="U701" s="175"/>
      <c r="V701" s="175"/>
      <c r="W701" s="175"/>
      <c r="X701" s="175"/>
      <c r="Y701" s="175"/>
      <c r="Z701" s="175"/>
      <c r="AA701" s="175"/>
      <c r="AB701" s="175"/>
      <c r="AC701" s="175"/>
      <c r="AD701" s="175"/>
    </row>
    <row r="702" spans="18:30" x14ac:dyDescent="0.25">
      <c r="R702" s="176"/>
      <c r="S702" s="175"/>
      <c r="T702" s="175"/>
      <c r="U702" s="175"/>
      <c r="V702" s="175"/>
      <c r="W702" s="175"/>
      <c r="X702" s="175"/>
      <c r="Y702" s="175"/>
      <c r="Z702" s="175"/>
      <c r="AA702" s="175"/>
      <c r="AB702" s="175"/>
      <c r="AC702" s="175"/>
      <c r="AD702" s="175"/>
    </row>
    <row r="703" spans="18:30" x14ac:dyDescent="0.25">
      <c r="R703" s="176"/>
      <c r="S703" s="175"/>
      <c r="T703" s="175"/>
      <c r="U703" s="175"/>
      <c r="V703" s="175"/>
      <c r="W703" s="175"/>
      <c r="X703" s="175"/>
      <c r="Y703" s="175"/>
      <c r="Z703" s="175"/>
      <c r="AA703" s="175"/>
      <c r="AB703" s="175"/>
      <c r="AC703" s="175"/>
      <c r="AD703" s="175"/>
    </row>
    <row r="704" spans="18:30" x14ac:dyDescent="0.25">
      <c r="R704" s="176"/>
      <c r="S704" s="175"/>
      <c r="T704" s="175"/>
      <c r="U704" s="175"/>
      <c r="V704" s="175"/>
      <c r="W704" s="175"/>
      <c r="X704" s="175"/>
      <c r="Y704" s="175"/>
      <c r="Z704" s="175"/>
      <c r="AA704" s="175"/>
      <c r="AB704" s="175"/>
      <c r="AC704" s="175"/>
      <c r="AD704" s="175"/>
    </row>
    <row r="705" spans="18:30" x14ac:dyDescent="0.25">
      <c r="R705" s="176"/>
      <c r="S705" s="175"/>
      <c r="T705" s="175"/>
      <c r="U705" s="175"/>
      <c r="V705" s="175"/>
      <c r="W705" s="175"/>
      <c r="X705" s="175"/>
      <c r="Y705" s="175"/>
      <c r="Z705" s="175"/>
      <c r="AA705" s="175"/>
      <c r="AB705" s="175"/>
      <c r="AC705" s="175"/>
      <c r="AD705" s="175"/>
    </row>
    <row r="706" spans="18:30" x14ac:dyDescent="0.25">
      <c r="R706" s="176"/>
      <c r="S706" s="175"/>
      <c r="T706" s="175"/>
      <c r="U706" s="175"/>
      <c r="V706" s="175"/>
      <c r="W706" s="175"/>
      <c r="X706" s="175"/>
      <c r="Y706" s="175"/>
      <c r="Z706" s="175"/>
      <c r="AA706" s="175"/>
      <c r="AB706" s="175"/>
      <c r="AC706" s="175"/>
      <c r="AD706" s="175"/>
    </row>
    <row r="707" spans="18:30" x14ac:dyDescent="0.25">
      <c r="R707" s="176"/>
      <c r="S707" s="175"/>
      <c r="T707" s="175"/>
      <c r="U707" s="175"/>
      <c r="V707" s="175"/>
      <c r="W707" s="175"/>
      <c r="X707" s="175"/>
      <c r="Y707" s="175"/>
      <c r="Z707" s="175"/>
      <c r="AA707" s="175"/>
      <c r="AB707" s="175"/>
      <c r="AC707" s="175"/>
      <c r="AD707" s="175"/>
    </row>
    <row r="708" spans="18:30" x14ac:dyDescent="0.25">
      <c r="R708" s="176"/>
      <c r="S708" s="175"/>
      <c r="T708" s="175"/>
      <c r="U708" s="175"/>
      <c r="V708" s="175"/>
      <c r="W708" s="175"/>
      <c r="X708" s="175"/>
      <c r="Y708" s="175"/>
      <c r="Z708" s="175"/>
      <c r="AA708" s="175"/>
      <c r="AB708" s="175"/>
      <c r="AC708" s="175"/>
      <c r="AD708" s="175"/>
    </row>
    <row r="709" spans="18:30" x14ac:dyDescent="0.25">
      <c r="R709" s="176"/>
      <c r="S709" s="175"/>
      <c r="T709" s="175"/>
      <c r="U709" s="175"/>
      <c r="V709" s="175"/>
      <c r="W709" s="175"/>
      <c r="X709" s="175"/>
      <c r="Y709" s="175"/>
      <c r="Z709" s="175"/>
      <c r="AA709" s="175"/>
      <c r="AB709" s="175"/>
      <c r="AC709" s="175"/>
      <c r="AD709" s="175"/>
    </row>
    <row r="710" spans="18:30" x14ac:dyDescent="0.25">
      <c r="R710" s="176"/>
      <c r="S710" s="175"/>
      <c r="T710" s="175"/>
      <c r="U710" s="175"/>
      <c r="V710" s="175"/>
      <c r="W710" s="175"/>
      <c r="X710" s="175"/>
      <c r="Y710" s="175"/>
      <c r="Z710" s="175"/>
      <c r="AA710" s="175"/>
      <c r="AB710" s="175"/>
      <c r="AC710" s="175"/>
      <c r="AD710" s="175"/>
    </row>
    <row r="711" spans="18:30" x14ac:dyDescent="0.25">
      <c r="R711" s="176"/>
      <c r="S711" s="175"/>
      <c r="T711" s="175"/>
      <c r="U711" s="175"/>
      <c r="V711" s="175"/>
      <c r="W711" s="175"/>
      <c r="X711" s="175"/>
      <c r="Y711" s="175"/>
      <c r="Z711" s="175"/>
      <c r="AA711" s="175"/>
      <c r="AB711" s="175"/>
      <c r="AC711" s="175"/>
      <c r="AD711" s="175"/>
    </row>
    <row r="712" spans="18:30" x14ac:dyDescent="0.25">
      <c r="R712" s="176"/>
      <c r="S712" s="175"/>
      <c r="T712" s="175"/>
      <c r="U712" s="175"/>
      <c r="V712" s="175"/>
      <c r="W712" s="175"/>
      <c r="X712" s="175"/>
      <c r="Y712" s="175"/>
      <c r="Z712" s="175"/>
      <c r="AA712" s="175"/>
      <c r="AB712" s="175"/>
      <c r="AC712" s="175"/>
      <c r="AD712" s="175"/>
    </row>
    <row r="713" spans="18:30" x14ac:dyDescent="0.25">
      <c r="R713" s="176"/>
      <c r="S713" s="175"/>
      <c r="T713" s="175"/>
      <c r="U713" s="175"/>
      <c r="V713" s="175"/>
      <c r="W713" s="175"/>
      <c r="X713" s="175"/>
      <c r="Y713" s="175"/>
      <c r="Z713" s="175"/>
      <c r="AA713" s="175"/>
      <c r="AB713" s="175"/>
      <c r="AC713" s="175"/>
      <c r="AD713" s="175"/>
    </row>
    <row r="714" spans="18:30" x14ac:dyDescent="0.25">
      <c r="R714" s="176"/>
      <c r="S714" s="175"/>
      <c r="T714" s="175"/>
      <c r="U714" s="175"/>
      <c r="V714" s="175"/>
      <c r="W714" s="175"/>
      <c r="X714" s="175"/>
      <c r="Y714" s="175"/>
      <c r="Z714" s="175"/>
      <c r="AA714" s="175"/>
      <c r="AB714" s="175"/>
      <c r="AC714" s="175"/>
      <c r="AD714" s="175"/>
    </row>
    <row r="715" spans="18:30" x14ac:dyDescent="0.25">
      <c r="R715" s="176"/>
      <c r="S715" s="175"/>
      <c r="T715" s="175"/>
      <c r="U715" s="175"/>
      <c r="V715" s="175"/>
      <c r="W715" s="175"/>
      <c r="X715" s="175"/>
      <c r="Y715" s="175"/>
      <c r="Z715" s="175"/>
      <c r="AA715" s="175"/>
      <c r="AB715" s="175"/>
      <c r="AC715" s="175"/>
      <c r="AD715" s="175"/>
    </row>
    <row r="716" spans="18:30" x14ac:dyDescent="0.25">
      <c r="R716" s="176"/>
      <c r="S716" s="175"/>
      <c r="T716" s="175"/>
      <c r="U716" s="175"/>
      <c r="V716" s="175"/>
      <c r="W716" s="175"/>
      <c r="X716" s="175"/>
      <c r="Y716" s="175"/>
      <c r="Z716" s="175"/>
      <c r="AA716" s="175"/>
      <c r="AB716" s="175"/>
      <c r="AC716" s="175"/>
      <c r="AD716" s="175"/>
    </row>
    <row r="717" spans="18:30" x14ac:dyDescent="0.25">
      <c r="R717" s="176"/>
      <c r="S717" s="175"/>
      <c r="T717" s="175"/>
      <c r="U717" s="175"/>
      <c r="V717" s="175"/>
      <c r="W717" s="175"/>
      <c r="X717" s="175"/>
      <c r="Y717" s="175"/>
      <c r="Z717" s="175"/>
      <c r="AA717" s="175"/>
      <c r="AB717" s="175"/>
      <c r="AC717" s="175"/>
      <c r="AD717" s="175"/>
    </row>
    <row r="718" spans="18:30" x14ac:dyDescent="0.25">
      <c r="R718" s="176"/>
      <c r="S718" s="175"/>
      <c r="T718" s="175"/>
      <c r="U718" s="175"/>
      <c r="V718" s="175"/>
      <c r="W718" s="175"/>
      <c r="X718" s="175"/>
      <c r="Y718" s="175"/>
      <c r="Z718" s="175"/>
      <c r="AA718" s="175"/>
      <c r="AB718" s="175"/>
      <c r="AC718" s="175"/>
      <c r="AD718" s="175"/>
    </row>
    <row r="719" spans="18:30" x14ac:dyDescent="0.25">
      <c r="R719" s="176"/>
      <c r="S719" s="175"/>
      <c r="T719" s="175"/>
      <c r="U719" s="175"/>
      <c r="V719" s="175"/>
      <c r="W719" s="175"/>
      <c r="X719" s="175"/>
      <c r="Y719" s="175"/>
      <c r="Z719" s="175"/>
      <c r="AA719" s="175"/>
      <c r="AB719" s="175"/>
      <c r="AC719" s="175"/>
      <c r="AD719" s="175"/>
    </row>
    <row r="720" spans="18:30" x14ac:dyDescent="0.25">
      <c r="R720" s="176"/>
      <c r="S720" s="175"/>
      <c r="T720" s="175"/>
      <c r="U720" s="175"/>
      <c r="V720" s="175"/>
      <c r="W720" s="175"/>
      <c r="X720" s="175"/>
      <c r="Y720" s="175"/>
      <c r="Z720" s="175"/>
      <c r="AA720" s="175"/>
      <c r="AB720" s="175"/>
      <c r="AC720" s="175"/>
      <c r="AD720" s="175"/>
    </row>
    <row r="721" spans="18:30" x14ac:dyDescent="0.25">
      <c r="R721" s="176"/>
      <c r="S721" s="175"/>
      <c r="T721" s="175"/>
      <c r="U721" s="175"/>
      <c r="V721" s="175"/>
      <c r="W721" s="175"/>
      <c r="X721" s="175"/>
      <c r="Y721" s="175"/>
      <c r="Z721" s="175"/>
      <c r="AA721" s="175"/>
      <c r="AB721" s="175"/>
      <c r="AC721" s="175"/>
      <c r="AD721" s="175"/>
    </row>
    <row r="722" spans="18:30" x14ac:dyDescent="0.25">
      <c r="R722" s="176"/>
      <c r="S722" s="175"/>
      <c r="T722" s="175"/>
      <c r="U722" s="175"/>
      <c r="V722" s="175"/>
      <c r="W722" s="175"/>
      <c r="X722" s="175"/>
      <c r="Y722" s="175"/>
      <c r="Z722" s="175"/>
      <c r="AA722" s="175"/>
      <c r="AB722" s="175"/>
      <c r="AC722" s="175"/>
      <c r="AD722" s="175"/>
    </row>
    <row r="723" spans="18:30" x14ac:dyDescent="0.25">
      <c r="R723" s="176"/>
      <c r="S723" s="175"/>
      <c r="T723" s="175"/>
      <c r="U723" s="175"/>
      <c r="V723" s="175"/>
      <c r="W723" s="175"/>
      <c r="X723" s="175"/>
      <c r="Y723" s="175"/>
      <c r="Z723" s="175"/>
      <c r="AA723" s="175"/>
      <c r="AB723" s="175"/>
      <c r="AC723" s="175"/>
      <c r="AD723" s="175"/>
    </row>
    <row r="724" spans="18:30" x14ac:dyDescent="0.25">
      <c r="R724" s="176"/>
      <c r="S724" s="175"/>
      <c r="T724" s="175"/>
      <c r="U724" s="175"/>
      <c r="V724" s="175"/>
      <c r="W724" s="175"/>
      <c r="X724" s="175"/>
      <c r="Y724" s="175"/>
      <c r="Z724" s="175"/>
      <c r="AA724" s="175"/>
      <c r="AB724" s="175"/>
      <c r="AC724" s="175"/>
      <c r="AD724" s="175"/>
    </row>
    <row r="725" spans="18:30" x14ac:dyDescent="0.25">
      <c r="R725" s="176"/>
      <c r="S725" s="175"/>
      <c r="T725" s="175"/>
      <c r="U725" s="175"/>
      <c r="V725" s="175"/>
      <c r="W725" s="175"/>
      <c r="X725" s="175"/>
      <c r="Y725" s="175"/>
      <c r="Z725" s="175"/>
      <c r="AA725" s="175"/>
      <c r="AB725" s="175"/>
      <c r="AC725" s="175"/>
      <c r="AD725" s="175"/>
    </row>
    <row r="726" spans="18:30" x14ac:dyDescent="0.25">
      <c r="R726" s="176"/>
      <c r="S726" s="175"/>
      <c r="T726" s="175"/>
      <c r="U726" s="175"/>
      <c r="V726" s="175"/>
      <c r="W726" s="175"/>
      <c r="X726" s="175"/>
      <c r="Y726" s="175"/>
      <c r="Z726" s="175"/>
      <c r="AA726" s="175"/>
      <c r="AB726" s="175"/>
      <c r="AC726" s="175"/>
      <c r="AD726" s="175"/>
    </row>
    <row r="727" spans="18:30" x14ac:dyDescent="0.25">
      <c r="R727" s="176"/>
      <c r="S727" s="175"/>
      <c r="T727" s="175"/>
      <c r="U727" s="175"/>
      <c r="V727" s="175"/>
      <c r="W727" s="175"/>
      <c r="X727" s="175"/>
      <c r="Y727" s="175"/>
      <c r="Z727" s="175"/>
      <c r="AA727" s="175"/>
      <c r="AB727" s="175"/>
      <c r="AC727" s="175"/>
      <c r="AD727" s="175"/>
    </row>
    <row r="728" spans="18:30" x14ac:dyDescent="0.25">
      <c r="R728" s="176"/>
      <c r="S728" s="175"/>
      <c r="T728" s="175"/>
      <c r="U728" s="175"/>
      <c r="V728" s="175"/>
      <c r="W728" s="175"/>
      <c r="X728" s="175"/>
      <c r="Y728" s="175"/>
      <c r="Z728" s="175"/>
      <c r="AA728" s="175"/>
      <c r="AB728" s="175"/>
      <c r="AC728" s="175"/>
      <c r="AD728" s="175"/>
    </row>
    <row r="729" spans="18:30" x14ac:dyDescent="0.25">
      <c r="R729" s="176"/>
      <c r="S729" s="175"/>
      <c r="T729" s="175"/>
      <c r="U729" s="175"/>
      <c r="V729" s="175"/>
      <c r="W729" s="175"/>
      <c r="X729" s="175"/>
      <c r="Y729" s="175"/>
      <c r="Z729" s="175"/>
      <c r="AA729" s="175"/>
      <c r="AB729" s="175"/>
      <c r="AC729" s="175"/>
      <c r="AD729" s="175"/>
    </row>
    <row r="730" spans="18:30" x14ac:dyDescent="0.25">
      <c r="R730" s="176"/>
      <c r="S730" s="175"/>
      <c r="T730" s="175"/>
      <c r="U730" s="175"/>
      <c r="V730" s="175"/>
      <c r="W730" s="175"/>
      <c r="X730" s="175"/>
      <c r="Y730" s="175"/>
      <c r="Z730" s="175"/>
      <c r="AA730" s="175"/>
      <c r="AB730" s="175"/>
      <c r="AC730" s="175"/>
      <c r="AD730" s="175"/>
    </row>
    <row r="731" spans="18:30" x14ac:dyDescent="0.25">
      <c r="R731" s="176"/>
      <c r="S731" s="175"/>
      <c r="T731" s="175"/>
      <c r="U731" s="175"/>
      <c r="V731" s="175"/>
      <c r="W731" s="175"/>
      <c r="X731" s="175"/>
      <c r="Y731" s="175"/>
      <c r="Z731" s="175"/>
      <c r="AA731" s="175"/>
      <c r="AB731" s="175"/>
      <c r="AC731" s="175"/>
      <c r="AD731" s="175"/>
    </row>
    <row r="732" spans="18:30" x14ac:dyDescent="0.25">
      <c r="R732" s="176"/>
      <c r="S732" s="175"/>
      <c r="T732" s="175"/>
      <c r="U732" s="175"/>
      <c r="V732" s="175"/>
      <c r="W732" s="175"/>
      <c r="X732" s="175"/>
      <c r="Y732" s="175"/>
      <c r="Z732" s="175"/>
      <c r="AA732" s="175"/>
      <c r="AB732" s="175"/>
      <c r="AC732" s="175"/>
      <c r="AD732" s="175"/>
    </row>
    <row r="733" spans="18:30" x14ac:dyDescent="0.25">
      <c r="R733" s="176"/>
      <c r="S733" s="175"/>
      <c r="T733" s="175"/>
      <c r="U733" s="175"/>
      <c r="V733" s="175"/>
      <c r="W733" s="175"/>
      <c r="X733" s="175"/>
      <c r="Y733" s="175"/>
      <c r="Z733" s="175"/>
      <c r="AA733" s="175"/>
      <c r="AB733" s="175"/>
      <c r="AC733" s="175"/>
      <c r="AD733" s="175"/>
    </row>
    <row r="734" spans="18:30" x14ac:dyDescent="0.25">
      <c r="R734" s="176"/>
      <c r="S734" s="175"/>
      <c r="T734" s="175"/>
      <c r="U734" s="175"/>
      <c r="V734" s="175"/>
      <c r="W734" s="175"/>
      <c r="X734" s="175"/>
      <c r="Y734" s="175"/>
      <c r="Z734" s="175"/>
      <c r="AA734" s="175"/>
      <c r="AB734" s="175"/>
      <c r="AC734" s="175"/>
      <c r="AD734" s="175"/>
    </row>
    <row r="735" spans="18:30" x14ac:dyDescent="0.25">
      <c r="R735" s="176"/>
      <c r="S735" s="175"/>
      <c r="T735" s="175"/>
      <c r="U735" s="175"/>
      <c r="V735" s="175"/>
      <c r="W735" s="175"/>
      <c r="X735" s="175"/>
      <c r="Y735" s="175"/>
      <c r="Z735" s="175"/>
      <c r="AA735" s="175"/>
      <c r="AB735" s="175"/>
      <c r="AC735" s="175"/>
      <c r="AD735" s="175"/>
    </row>
    <row r="736" spans="18:30" x14ac:dyDescent="0.25">
      <c r="R736" s="176"/>
      <c r="S736" s="175"/>
      <c r="T736" s="175"/>
      <c r="U736" s="175"/>
      <c r="V736" s="175"/>
      <c r="W736" s="175"/>
      <c r="X736" s="175"/>
      <c r="Y736" s="175"/>
      <c r="Z736" s="175"/>
      <c r="AA736" s="175"/>
      <c r="AB736" s="175"/>
      <c r="AC736" s="175"/>
      <c r="AD736" s="175"/>
    </row>
    <row r="737" spans="18:30" x14ac:dyDescent="0.25">
      <c r="R737" s="176"/>
      <c r="S737" s="175"/>
      <c r="T737" s="175"/>
      <c r="U737" s="175"/>
      <c r="V737" s="175"/>
      <c r="W737" s="175"/>
      <c r="X737" s="175"/>
      <c r="Y737" s="175"/>
      <c r="Z737" s="175"/>
      <c r="AA737" s="175"/>
      <c r="AB737" s="175"/>
      <c r="AC737" s="175"/>
      <c r="AD737" s="175"/>
    </row>
    <row r="738" spans="18:30" x14ac:dyDescent="0.25">
      <c r="R738" s="176"/>
      <c r="S738" s="175"/>
      <c r="T738" s="175"/>
      <c r="U738" s="175"/>
      <c r="V738" s="175"/>
      <c r="W738" s="175"/>
      <c r="X738" s="175"/>
      <c r="Y738" s="175"/>
      <c r="Z738" s="175"/>
      <c r="AA738" s="175"/>
      <c r="AB738" s="175"/>
      <c r="AC738" s="175"/>
      <c r="AD738" s="175"/>
    </row>
    <row r="739" spans="18:30" x14ac:dyDescent="0.25">
      <c r="R739" s="176"/>
      <c r="S739" s="175"/>
      <c r="T739" s="175"/>
      <c r="U739" s="175"/>
      <c r="V739" s="175"/>
      <c r="W739" s="175"/>
      <c r="X739" s="175"/>
      <c r="Y739" s="175"/>
      <c r="Z739" s="175"/>
      <c r="AA739" s="175"/>
      <c r="AB739" s="175"/>
      <c r="AC739" s="175"/>
      <c r="AD739" s="175"/>
    </row>
    <row r="740" spans="18:30" x14ac:dyDescent="0.25">
      <c r="R740" s="176"/>
      <c r="S740" s="175"/>
      <c r="T740" s="175"/>
      <c r="U740" s="175"/>
      <c r="V740" s="175"/>
      <c r="W740" s="175"/>
      <c r="X740" s="175"/>
      <c r="Y740" s="175"/>
      <c r="Z740" s="175"/>
      <c r="AA740" s="175"/>
      <c r="AB740" s="175"/>
      <c r="AC740" s="175"/>
      <c r="AD740" s="175"/>
    </row>
    <row r="741" spans="18:30" x14ac:dyDescent="0.25">
      <c r="R741" s="176"/>
      <c r="S741" s="175"/>
      <c r="T741" s="175"/>
      <c r="U741" s="175"/>
      <c r="V741" s="175"/>
      <c r="W741" s="175"/>
      <c r="X741" s="175"/>
      <c r="Y741" s="175"/>
      <c r="Z741" s="175"/>
      <c r="AA741" s="175"/>
      <c r="AB741" s="175"/>
      <c r="AC741" s="175"/>
      <c r="AD741" s="175"/>
    </row>
    <row r="742" spans="18:30" x14ac:dyDescent="0.25">
      <c r="R742" s="176"/>
      <c r="S742" s="175"/>
      <c r="T742" s="175"/>
      <c r="U742" s="175"/>
      <c r="V742" s="175"/>
      <c r="W742" s="175"/>
      <c r="X742" s="175"/>
      <c r="Y742" s="175"/>
      <c r="Z742" s="175"/>
      <c r="AA742" s="175"/>
      <c r="AB742" s="175"/>
      <c r="AC742" s="175"/>
      <c r="AD742" s="175"/>
    </row>
    <row r="743" spans="18:30" x14ac:dyDescent="0.25">
      <c r="R743" s="176"/>
      <c r="S743" s="175"/>
      <c r="T743" s="175"/>
      <c r="U743" s="175"/>
      <c r="V743" s="175"/>
      <c r="W743" s="175"/>
      <c r="X743" s="175"/>
      <c r="Y743" s="175"/>
      <c r="Z743" s="175"/>
      <c r="AA743" s="175"/>
      <c r="AB743" s="175"/>
      <c r="AC743" s="175"/>
      <c r="AD743" s="175"/>
    </row>
    <row r="744" spans="18:30" x14ac:dyDescent="0.25">
      <c r="R744" s="176"/>
      <c r="S744" s="175"/>
      <c r="T744" s="175"/>
      <c r="U744" s="175"/>
      <c r="V744" s="175"/>
      <c r="W744" s="175"/>
      <c r="X744" s="175"/>
      <c r="Y744" s="175"/>
      <c r="Z744" s="175"/>
      <c r="AA744" s="175"/>
      <c r="AB744" s="175"/>
      <c r="AC744" s="175"/>
      <c r="AD744" s="175"/>
    </row>
    <row r="745" spans="18:30" x14ac:dyDescent="0.25">
      <c r="R745" s="176"/>
      <c r="S745" s="175"/>
      <c r="T745" s="175"/>
      <c r="U745" s="175"/>
      <c r="V745" s="175"/>
      <c r="W745" s="175"/>
      <c r="X745" s="175"/>
      <c r="Y745" s="175"/>
      <c r="Z745" s="175"/>
      <c r="AA745" s="175"/>
      <c r="AB745" s="175"/>
      <c r="AC745" s="175"/>
      <c r="AD745" s="175"/>
    </row>
    <row r="746" spans="18:30" x14ac:dyDescent="0.25">
      <c r="R746" s="176"/>
      <c r="S746" s="175"/>
      <c r="T746" s="175"/>
      <c r="U746" s="175"/>
      <c r="V746" s="175"/>
      <c r="W746" s="175"/>
      <c r="X746" s="175"/>
      <c r="Y746" s="175"/>
      <c r="Z746" s="175"/>
      <c r="AA746" s="175"/>
      <c r="AB746" s="175"/>
      <c r="AC746" s="175"/>
      <c r="AD746" s="175"/>
    </row>
    <row r="747" spans="18:30" x14ac:dyDescent="0.25">
      <c r="R747" s="176"/>
      <c r="S747" s="175"/>
      <c r="T747" s="175"/>
      <c r="U747" s="175"/>
      <c r="V747" s="175"/>
      <c r="W747" s="175"/>
      <c r="X747" s="175"/>
      <c r="Y747" s="175"/>
      <c r="Z747" s="175"/>
      <c r="AA747" s="175"/>
      <c r="AB747" s="175"/>
      <c r="AC747" s="175"/>
      <c r="AD747" s="175"/>
    </row>
    <row r="748" spans="18:30" x14ac:dyDescent="0.25">
      <c r="R748" s="176"/>
      <c r="S748" s="175"/>
      <c r="T748" s="175"/>
      <c r="U748" s="175"/>
      <c r="V748" s="175"/>
      <c r="W748" s="175"/>
      <c r="X748" s="175"/>
      <c r="Y748" s="175"/>
      <c r="Z748" s="175"/>
      <c r="AA748" s="175"/>
      <c r="AB748" s="175"/>
      <c r="AC748" s="175"/>
      <c r="AD748" s="175"/>
    </row>
    <row r="749" spans="18:30" x14ac:dyDescent="0.25">
      <c r="R749" s="176"/>
      <c r="S749" s="175"/>
      <c r="T749" s="175"/>
      <c r="U749" s="175"/>
      <c r="V749" s="175"/>
      <c r="W749" s="175"/>
      <c r="X749" s="175"/>
      <c r="Y749" s="175"/>
      <c r="Z749" s="175"/>
      <c r="AA749" s="175"/>
      <c r="AB749" s="175"/>
      <c r="AC749" s="175"/>
      <c r="AD749" s="175"/>
    </row>
    <row r="750" spans="18:30" x14ac:dyDescent="0.25">
      <c r="R750" s="176"/>
      <c r="S750" s="175"/>
      <c r="T750" s="175"/>
      <c r="U750" s="175"/>
      <c r="V750" s="175"/>
      <c r="W750" s="175"/>
      <c r="X750" s="175"/>
      <c r="Y750" s="175"/>
      <c r="Z750" s="175"/>
      <c r="AA750" s="175"/>
      <c r="AB750" s="175"/>
      <c r="AC750" s="175"/>
      <c r="AD750" s="175"/>
    </row>
    <row r="751" spans="18:30" x14ac:dyDescent="0.25">
      <c r="R751" s="176"/>
      <c r="S751" s="175"/>
      <c r="T751" s="175"/>
      <c r="U751" s="175"/>
      <c r="V751" s="175"/>
      <c r="W751" s="175"/>
      <c r="X751" s="175"/>
      <c r="Y751" s="175"/>
      <c r="Z751" s="175"/>
      <c r="AA751" s="175"/>
      <c r="AB751" s="175"/>
      <c r="AC751" s="175"/>
      <c r="AD751" s="175"/>
    </row>
    <row r="752" spans="18:30" x14ac:dyDescent="0.25">
      <c r="R752" s="176"/>
      <c r="S752" s="175"/>
      <c r="T752" s="175"/>
      <c r="U752" s="175"/>
      <c r="V752" s="175"/>
      <c r="W752" s="175"/>
      <c r="X752" s="175"/>
      <c r="Y752" s="175"/>
      <c r="Z752" s="175"/>
      <c r="AA752" s="175"/>
      <c r="AB752" s="175"/>
      <c r="AC752" s="175"/>
      <c r="AD752" s="175"/>
    </row>
    <row r="753" spans="18:30" x14ac:dyDescent="0.25">
      <c r="R753" s="176"/>
      <c r="S753" s="175"/>
      <c r="T753" s="175"/>
      <c r="U753" s="175"/>
      <c r="V753" s="175"/>
      <c r="W753" s="175"/>
      <c r="X753" s="175"/>
      <c r="Y753" s="175"/>
      <c r="Z753" s="175"/>
      <c r="AA753" s="175"/>
      <c r="AB753" s="175"/>
      <c r="AC753" s="175"/>
      <c r="AD753" s="175"/>
    </row>
    <row r="754" spans="18:30" x14ac:dyDescent="0.25">
      <c r="R754" s="176"/>
      <c r="S754" s="175"/>
      <c r="T754" s="175"/>
      <c r="U754" s="175"/>
      <c r="V754" s="175"/>
      <c r="W754" s="175"/>
      <c r="X754" s="175"/>
      <c r="Y754" s="175"/>
      <c r="Z754" s="175"/>
      <c r="AA754" s="175"/>
      <c r="AB754" s="175"/>
      <c r="AC754" s="175"/>
      <c r="AD754" s="175"/>
    </row>
    <row r="755" spans="18:30" x14ac:dyDescent="0.25">
      <c r="R755" s="176"/>
      <c r="S755" s="175"/>
      <c r="T755" s="175"/>
      <c r="U755" s="175"/>
      <c r="V755" s="175"/>
      <c r="W755" s="175"/>
      <c r="X755" s="175"/>
      <c r="Y755" s="175"/>
      <c r="Z755" s="175"/>
      <c r="AA755" s="175"/>
      <c r="AB755" s="175"/>
      <c r="AC755" s="175"/>
      <c r="AD755" s="175"/>
    </row>
    <row r="756" spans="18:30" x14ac:dyDescent="0.25">
      <c r="R756" s="176"/>
      <c r="S756" s="175"/>
      <c r="T756" s="175"/>
      <c r="U756" s="175"/>
      <c r="V756" s="175"/>
      <c r="W756" s="175"/>
      <c r="X756" s="175"/>
      <c r="Y756" s="175"/>
      <c r="Z756" s="175"/>
      <c r="AA756" s="175"/>
      <c r="AB756" s="175"/>
      <c r="AC756" s="175"/>
      <c r="AD756" s="175"/>
    </row>
    <row r="757" spans="18:30" x14ac:dyDescent="0.25">
      <c r="R757" s="176"/>
      <c r="S757" s="175"/>
      <c r="T757" s="175"/>
      <c r="U757" s="175"/>
      <c r="V757" s="175"/>
      <c r="W757" s="175"/>
      <c r="X757" s="175"/>
      <c r="Y757" s="175"/>
      <c r="Z757" s="175"/>
      <c r="AA757" s="175"/>
      <c r="AB757" s="175"/>
      <c r="AC757" s="175"/>
      <c r="AD757" s="175"/>
    </row>
    <row r="758" spans="18:30" x14ac:dyDescent="0.25">
      <c r="R758" s="176"/>
      <c r="S758" s="175"/>
      <c r="T758" s="175"/>
      <c r="U758" s="175"/>
      <c r="V758" s="175"/>
      <c r="W758" s="175"/>
      <c r="X758" s="175"/>
      <c r="Y758" s="175"/>
      <c r="Z758" s="175"/>
      <c r="AA758" s="175"/>
      <c r="AB758" s="175"/>
      <c r="AC758" s="175"/>
      <c r="AD758" s="175"/>
    </row>
    <row r="759" spans="18:30" x14ac:dyDescent="0.25">
      <c r="R759" s="176"/>
      <c r="S759" s="175"/>
      <c r="T759" s="175"/>
      <c r="U759" s="175"/>
      <c r="V759" s="175"/>
      <c r="W759" s="175"/>
      <c r="X759" s="175"/>
      <c r="Y759" s="175"/>
      <c r="Z759" s="175"/>
      <c r="AA759" s="175"/>
      <c r="AB759" s="175"/>
      <c r="AC759" s="175"/>
      <c r="AD759" s="175"/>
    </row>
    <row r="760" spans="18:30" x14ac:dyDescent="0.25">
      <c r="R760" s="176"/>
      <c r="S760" s="175"/>
      <c r="T760" s="175"/>
      <c r="U760" s="175"/>
      <c r="V760" s="175"/>
      <c r="W760" s="175"/>
      <c r="X760" s="175"/>
      <c r="Y760" s="175"/>
      <c r="Z760" s="175"/>
      <c r="AA760" s="175"/>
      <c r="AB760" s="175"/>
      <c r="AC760" s="175"/>
      <c r="AD760" s="175"/>
    </row>
    <row r="761" spans="18:30" x14ac:dyDescent="0.25">
      <c r="R761" s="176"/>
      <c r="S761" s="175"/>
      <c r="T761" s="175"/>
      <c r="U761" s="175"/>
      <c r="V761" s="175"/>
      <c r="W761" s="175"/>
      <c r="X761" s="175"/>
      <c r="Y761" s="175"/>
      <c r="Z761" s="175"/>
      <c r="AA761" s="175"/>
      <c r="AB761" s="175"/>
      <c r="AC761" s="175"/>
      <c r="AD761" s="175"/>
    </row>
    <row r="762" spans="18:30" x14ac:dyDescent="0.25">
      <c r="R762" s="176"/>
      <c r="S762" s="175"/>
      <c r="T762" s="175"/>
      <c r="U762" s="175"/>
      <c r="V762" s="175"/>
      <c r="W762" s="175"/>
      <c r="X762" s="175"/>
      <c r="Y762" s="175"/>
      <c r="Z762" s="175"/>
      <c r="AA762" s="175"/>
      <c r="AB762" s="175"/>
      <c r="AC762" s="175"/>
      <c r="AD762" s="175"/>
    </row>
    <row r="763" spans="18:30" x14ac:dyDescent="0.25">
      <c r="R763" s="176"/>
      <c r="S763" s="175"/>
      <c r="T763" s="175"/>
      <c r="U763" s="175"/>
      <c r="V763" s="175"/>
      <c r="W763" s="175"/>
      <c r="X763" s="175"/>
      <c r="Y763" s="175"/>
      <c r="Z763" s="175"/>
      <c r="AA763" s="175"/>
      <c r="AB763" s="175"/>
      <c r="AC763" s="175"/>
      <c r="AD763" s="175"/>
    </row>
    <row r="764" spans="18:30" x14ac:dyDescent="0.25">
      <c r="R764" s="176"/>
      <c r="S764" s="175"/>
      <c r="T764" s="175"/>
      <c r="U764" s="175"/>
      <c r="V764" s="175"/>
      <c r="W764" s="175"/>
      <c r="X764" s="175"/>
      <c r="Y764" s="175"/>
      <c r="Z764" s="175"/>
      <c r="AA764" s="175"/>
      <c r="AB764" s="175"/>
      <c r="AC764" s="175"/>
      <c r="AD764" s="175"/>
    </row>
    <row r="765" spans="18:30" x14ac:dyDescent="0.25">
      <c r="R765" s="176"/>
      <c r="S765" s="175"/>
      <c r="T765" s="175"/>
      <c r="U765" s="175"/>
      <c r="V765" s="175"/>
      <c r="W765" s="175"/>
      <c r="X765" s="175"/>
      <c r="Y765" s="175"/>
      <c r="Z765" s="175"/>
      <c r="AA765" s="175"/>
      <c r="AB765" s="175"/>
      <c r="AC765" s="175"/>
      <c r="AD765" s="175"/>
    </row>
    <row r="766" spans="18:30" x14ac:dyDescent="0.25">
      <c r="R766" s="176"/>
      <c r="S766" s="175"/>
      <c r="T766" s="175"/>
      <c r="U766" s="175"/>
      <c r="V766" s="175"/>
      <c r="W766" s="175"/>
      <c r="X766" s="175"/>
      <c r="Y766" s="175"/>
      <c r="Z766" s="175"/>
      <c r="AA766" s="175"/>
      <c r="AB766" s="175"/>
      <c r="AC766" s="175"/>
      <c r="AD766" s="175"/>
    </row>
    <row r="767" spans="18:30" x14ac:dyDescent="0.25">
      <c r="R767" s="176"/>
      <c r="S767" s="175"/>
      <c r="T767" s="175"/>
      <c r="U767" s="175"/>
      <c r="V767" s="175"/>
      <c r="W767" s="175"/>
      <c r="X767" s="175"/>
      <c r="Y767" s="175"/>
      <c r="Z767" s="175"/>
      <c r="AA767" s="175"/>
      <c r="AB767" s="175"/>
      <c r="AC767" s="175"/>
      <c r="AD767" s="175"/>
    </row>
    <row r="768" spans="18:30" x14ac:dyDescent="0.25">
      <c r="R768" s="176"/>
      <c r="S768" s="175"/>
      <c r="T768" s="175"/>
      <c r="U768" s="175"/>
      <c r="V768" s="175"/>
      <c r="W768" s="175"/>
      <c r="X768" s="175"/>
      <c r="Y768" s="175"/>
      <c r="Z768" s="175"/>
      <c r="AA768" s="175"/>
      <c r="AB768" s="175"/>
      <c r="AC768" s="175"/>
      <c r="AD768" s="175"/>
    </row>
    <row r="769" spans="18:30" x14ac:dyDescent="0.25">
      <c r="R769" s="176"/>
      <c r="S769" s="175"/>
      <c r="T769" s="175"/>
      <c r="U769" s="175"/>
      <c r="V769" s="175"/>
      <c r="W769" s="175"/>
      <c r="X769" s="175"/>
      <c r="Y769" s="175"/>
      <c r="Z769" s="175"/>
      <c r="AA769" s="175"/>
      <c r="AB769" s="175"/>
      <c r="AC769" s="175"/>
      <c r="AD769" s="175"/>
    </row>
    <row r="770" spans="18:30" x14ac:dyDescent="0.25">
      <c r="R770" s="176"/>
      <c r="S770" s="175"/>
      <c r="T770" s="175"/>
      <c r="U770" s="175"/>
      <c r="V770" s="175"/>
      <c r="W770" s="175"/>
      <c r="X770" s="175"/>
      <c r="Y770" s="175"/>
      <c r="Z770" s="175"/>
      <c r="AA770" s="175"/>
      <c r="AB770" s="175"/>
      <c r="AC770" s="175"/>
      <c r="AD770" s="175"/>
    </row>
    <row r="771" spans="18:30" x14ac:dyDescent="0.25">
      <c r="R771" s="176"/>
      <c r="S771" s="175"/>
      <c r="T771" s="175"/>
      <c r="U771" s="175"/>
      <c r="V771" s="175"/>
      <c r="W771" s="175"/>
      <c r="X771" s="175"/>
      <c r="Y771" s="175"/>
      <c r="Z771" s="175"/>
      <c r="AA771" s="175"/>
      <c r="AB771" s="175"/>
      <c r="AC771" s="175"/>
      <c r="AD771" s="175"/>
    </row>
    <row r="772" spans="18:30" x14ac:dyDescent="0.25">
      <c r="R772" s="176"/>
      <c r="S772" s="175"/>
      <c r="T772" s="175"/>
      <c r="U772" s="175"/>
      <c r="V772" s="175"/>
      <c r="W772" s="175"/>
      <c r="X772" s="175"/>
      <c r="Y772" s="175"/>
      <c r="Z772" s="175"/>
      <c r="AA772" s="175"/>
      <c r="AB772" s="175"/>
      <c r="AC772" s="175"/>
      <c r="AD772" s="175"/>
    </row>
    <row r="773" spans="18:30" x14ac:dyDescent="0.25">
      <c r="R773" s="176"/>
      <c r="S773" s="175"/>
      <c r="T773" s="175"/>
      <c r="U773" s="175"/>
      <c r="V773" s="175"/>
      <c r="W773" s="175"/>
      <c r="X773" s="175"/>
      <c r="Y773" s="175"/>
      <c r="Z773" s="175"/>
      <c r="AA773" s="175"/>
      <c r="AB773" s="175"/>
      <c r="AC773" s="175"/>
      <c r="AD773" s="175"/>
    </row>
    <row r="774" spans="18:30" x14ac:dyDescent="0.25">
      <c r="R774" s="176"/>
      <c r="S774" s="175"/>
      <c r="T774" s="175"/>
      <c r="U774" s="175"/>
      <c r="V774" s="175"/>
      <c r="W774" s="175"/>
      <c r="X774" s="175"/>
      <c r="Y774" s="175"/>
      <c r="Z774" s="175"/>
      <c r="AA774" s="175"/>
      <c r="AB774" s="175"/>
      <c r="AC774" s="175"/>
      <c r="AD774" s="175"/>
    </row>
    <row r="775" spans="18:30" x14ac:dyDescent="0.25">
      <c r="R775" s="176"/>
      <c r="S775" s="175"/>
      <c r="T775" s="175"/>
      <c r="U775" s="175"/>
      <c r="V775" s="175"/>
      <c r="W775" s="175"/>
      <c r="X775" s="175"/>
      <c r="Y775" s="175"/>
      <c r="Z775" s="175"/>
      <c r="AA775" s="175"/>
      <c r="AB775" s="175"/>
      <c r="AC775" s="175"/>
      <c r="AD775" s="175"/>
    </row>
    <row r="776" spans="18:30" x14ac:dyDescent="0.25">
      <c r="R776" s="176"/>
      <c r="S776" s="175"/>
      <c r="T776" s="175"/>
      <c r="U776" s="175"/>
      <c r="V776" s="175"/>
      <c r="W776" s="175"/>
      <c r="X776" s="175"/>
      <c r="Y776" s="175"/>
      <c r="Z776" s="175"/>
      <c r="AA776" s="175"/>
      <c r="AB776" s="175"/>
      <c r="AC776" s="175"/>
      <c r="AD776" s="175"/>
    </row>
    <row r="777" spans="18:30" x14ac:dyDescent="0.25">
      <c r="R777" s="176"/>
      <c r="S777" s="175"/>
      <c r="T777" s="175"/>
      <c r="U777" s="175"/>
      <c r="V777" s="175"/>
      <c r="W777" s="175"/>
      <c r="X777" s="175"/>
      <c r="Y777" s="175"/>
      <c r="Z777" s="175"/>
      <c r="AA777" s="175"/>
      <c r="AB777" s="175"/>
      <c r="AC777" s="175"/>
      <c r="AD777" s="175"/>
    </row>
    <row r="778" spans="18:30" x14ac:dyDescent="0.25">
      <c r="R778" s="176"/>
      <c r="S778" s="175"/>
      <c r="T778" s="175"/>
      <c r="U778" s="175"/>
      <c r="V778" s="175"/>
      <c r="W778" s="175"/>
      <c r="X778" s="175"/>
      <c r="Y778" s="175"/>
      <c r="Z778" s="175"/>
      <c r="AA778" s="175"/>
      <c r="AB778" s="175"/>
      <c r="AC778" s="175"/>
      <c r="AD778" s="175"/>
    </row>
    <row r="779" spans="18:30" x14ac:dyDescent="0.25">
      <c r="R779" s="176"/>
      <c r="S779" s="175"/>
      <c r="T779" s="175"/>
      <c r="U779" s="175"/>
      <c r="V779" s="175"/>
      <c r="W779" s="175"/>
      <c r="X779" s="175"/>
      <c r="Y779" s="175"/>
      <c r="Z779" s="175"/>
      <c r="AA779" s="175"/>
      <c r="AB779" s="175"/>
      <c r="AC779" s="175"/>
      <c r="AD779" s="175"/>
    </row>
    <row r="780" spans="18:30" x14ac:dyDescent="0.25">
      <c r="R780" s="176"/>
      <c r="S780" s="175"/>
      <c r="T780" s="175"/>
      <c r="U780" s="175"/>
      <c r="V780" s="175"/>
      <c r="W780" s="175"/>
      <c r="X780" s="175"/>
      <c r="Y780" s="175"/>
      <c r="Z780" s="175"/>
      <c r="AA780" s="175"/>
      <c r="AB780" s="175"/>
      <c r="AC780" s="175"/>
      <c r="AD780" s="175"/>
    </row>
    <row r="781" spans="18:30" x14ac:dyDescent="0.25">
      <c r="R781" s="176"/>
      <c r="S781" s="175"/>
      <c r="T781" s="175"/>
      <c r="U781" s="175"/>
      <c r="V781" s="175"/>
      <c r="W781" s="175"/>
      <c r="X781" s="175"/>
      <c r="Y781" s="175"/>
      <c r="Z781" s="175"/>
      <c r="AA781" s="175"/>
      <c r="AB781" s="175"/>
      <c r="AC781" s="175"/>
      <c r="AD781" s="175"/>
    </row>
    <row r="782" spans="18:30" x14ac:dyDescent="0.25">
      <c r="R782" s="176"/>
      <c r="S782" s="175"/>
      <c r="T782" s="175"/>
      <c r="U782" s="175"/>
      <c r="V782" s="175"/>
      <c r="W782" s="175"/>
      <c r="X782" s="175"/>
      <c r="Y782" s="175"/>
      <c r="Z782" s="175"/>
      <c r="AA782" s="175"/>
      <c r="AB782" s="175"/>
      <c r="AC782" s="175"/>
      <c r="AD782" s="175"/>
    </row>
    <row r="783" spans="18:30" x14ac:dyDescent="0.25">
      <c r="R783" s="176"/>
      <c r="S783" s="175"/>
      <c r="T783" s="175"/>
      <c r="U783" s="175"/>
      <c r="V783" s="175"/>
      <c r="W783" s="175"/>
      <c r="X783" s="175"/>
      <c r="Y783" s="175"/>
      <c r="Z783" s="175"/>
      <c r="AA783" s="175"/>
      <c r="AB783" s="175"/>
      <c r="AC783" s="175"/>
      <c r="AD783" s="175"/>
    </row>
    <row r="784" spans="18:30" x14ac:dyDescent="0.25">
      <c r="R784" s="176"/>
      <c r="S784" s="175"/>
      <c r="T784" s="175"/>
      <c r="U784" s="175"/>
      <c r="V784" s="175"/>
      <c r="W784" s="175"/>
      <c r="X784" s="175"/>
      <c r="Y784" s="175"/>
      <c r="Z784" s="175"/>
      <c r="AA784" s="175"/>
      <c r="AB784" s="175"/>
      <c r="AC784" s="175"/>
      <c r="AD784" s="175"/>
    </row>
    <row r="785" spans="18:30" x14ac:dyDescent="0.25">
      <c r="R785" s="176"/>
      <c r="S785" s="175"/>
      <c r="T785" s="175"/>
      <c r="U785" s="175"/>
      <c r="V785" s="175"/>
      <c r="W785" s="175"/>
      <c r="X785" s="175"/>
      <c r="Y785" s="175"/>
      <c r="Z785" s="175"/>
      <c r="AA785" s="175"/>
      <c r="AB785" s="175"/>
      <c r="AC785" s="175"/>
      <c r="AD785" s="175"/>
    </row>
    <row r="786" spans="18:30" x14ac:dyDescent="0.25">
      <c r="R786" s="176"/>
      <c r="S786" s="175"/>
      <c r="T786" s="175"/>
      <c r="U786" s="175"/>
      <c r="V786" s="175"/>
      <c r="W786" s="175"/>
      <c r="X786" s="175"/>
      <c r="Y786" s="175"/>
      <c r="Z786" s="175"/>
      <c r="AA786" s="175"/>
      <c r="AB786" s="175"/>
      <c r="AC786" s="175"/>
      <c r="AD786" s="175"/>
    </row>
    <row r="787" spans="18:30" x14ac:dyDescent="0.25">
      <c r="R787" s="176"/>
      <c r="S787" s="175"/>
      <c r="T787" s="175"/>
      <c r="U787" s="175"/>
      <c r="V787" s="175"/>
      <c r="W787" s="175"/>
      <c r="X787" s="175"/>
      <c r="Y787" s="175"/>
      <c r="Z787" s="175"/>
      <c r="AA787" s="175"/>
      <c r="AB787" s="175"/>
      <c r="AC787" s="175"/>
      <c r="AD787" s="175"/>
    </row>
    <row r="788" spans="18:30" x14ac:dyDescent="0.25">
      <c r="R788" s="176"/>
      <c r="S788" s="175"/>
      <c r="T788" s="175"/>
      <c r="U788" s="175"/>
      <c r="V788" s="175"/>
      <c r="W788" s="175"/>
      <c r="X788" s="175"/>
      <c r="Y788" s="175"/>
      <c r="Z788" s="175"/>
      <c r="AA788" s="175"/>
      <c r="AB788" s="175"/>
      <c r="AC788" s="175"/>
      <c r="AD788" s="175"/>
    </row>
    <row r="789" spans="18:30" x14ac:dyDescent="0.25">
      <c r="R789" s="176"/>
      <c r="S789" s="175"/>
      <c r="T789" s="175"/>
      <c r="U789" s="175"/>
      <c r="V789" s="175"/>
      <c r="W789" s="175"/>
      <c r="X789" s="175"/>
      <c r="Y789" s="175"/>
      <c r="Z789" s="175"/>
      <c r="AA789" s="175"/>
      <c r="AB789" s="175"/>
      <c r="AC789" s="175"/>
      <c r="AD789" s="175"/>
    </row>
    <row r="790" spans="18:30" x14ac:dyDescent="0.25">
      <c r="R790" s="176"/>
      <c r="S790" s="175"/>
      <c r="T790" s="175"/>
      <c r="U790" s="175"/>
      <c r="V790" s="175"/>
      <c r="W790" s="175"/>
      <c r="X790" s="175"/>
      <c r="Y790" s="175"/>
      <c r="Z790" s="175"/>
      <c r="AA790" s="175"/>
      <c r="AB790" s="175"/>
      <c r="AC790" s="175"/>
      <c r="AD790" s="175"/>
    </row>
    <row r="791" spans="18:30" x14ac:dyDescent="0.25">
      <c r="R791" s="176"/>
      <c r="S791" s="175"/>
      <c r="T791" s="175"/>
      <c r="U791" s="175"/>
      <c r="V791" s="175"/>
      <c r="W791" s="175"/>
      <c r="X791" s="175"/>
      <c r="Y791" s="175"/>
      <c r="Z791" s="175"/>
      <c r="AA791" s="175"/>
      <c r="AB791" s="175"/>
      <c r="AC791" s="175"/>
      <c r="AD791" s="175"/>
    </row>
    <row r="792" spans="18:30" x14ac:dyDescent="0.25">
      <c r="R792" s="176"/>
      <c r="S792" s="175"/>
      <c r="T792" s="175"/>
      <c r="U792" s="175"/>
      <c r="V792" s="175"/>
      <c r="W792" s="175"/>
      <c r="X792" s="175"/>
      <c r="Y792" s="175"/>
      <c r="Z792" s="175"/>
      <c r="AA792" s="175"/>
      <c r="AB792" s="175"/>
      <c r="AC792" s="175"/>
      <c r="AD792" s="175"/>
    </row>
    <row r="793" spans="18:30" x14ac:dyDescent="0.25">
      <c r="R793" s="176"/>
      <c r="S793" s="175"/>
      <c r="T793" s="175"/>
      <c r="U793" s="175"/>
      <c r="V793" s="175"/>
      <c r="W793" s="175"/>
      <c r="X793" s="175"/>
      <c r="Y793" s="175"/>
      <c r="Z793" s="175"/>
      <c r="AA793" s="175"/>
      <c r="AB793" s="175"/>
      <c r="AC793" s="175"/>
      <c r="AD793" s="175"/>
    </row>
    <row r="794" spans="18:30" x14ac:dyDescent="0.25">
      <c r="R794" s="176"/>
      <c r="S794" s="175"/>
      <c r="T794" s="175"/>
      <c r="U794" s="175"/>
      <c r="V794" s="175"/>
      <c r="W794" s="175"/>
      <c r="X794" s="175"/>
      <c r="Y794" s="175"/>
      <c r="Z794" s="175"/>
      <c r="AA794" s="175"/>
      <c r="AB794" s="175"/>
      <c r="AC794" s="175"/>
      <c r="AD794" s="175"/>
    </row>
    <row r="795" spans="18:30" x14ac:dyDescent="0.25">
      <c r="R795" s="176"/>
      <c r="S795" s="175"/>
      <c r="T795" s="175"/>
      <c r="U795" s="175"/>
      <c r="V795" s="175"/>
      <c r="W795" s="175"/>
      <c r="X795" s="175"/>
      <c r="Y795" s="175"/>
      <c r="Z795" s="175"/>
      <c r="AA795" s="175"/>
      <c r="AB795" s="175"/>
      <c r="AC795" s="175"/>
      <c r="AD795" s="175"/>
    </row>
    <row r="796" spans="18:30" x14ac:dyDescent="0.25">
      <c r="R796" s="176"/>
      <c r="S796" s="175"/>
      <c r="T796" s="175"/>
      <c r="U796" s="175"/>
      <c r="V796" s="175"/>
      <c r="W796" s="175"/>
      <c r="X796" s="175"/>
      <c r="Y796" s="175"/>
      <c r="Z796" s="175"/>
      <c r="AA796" s="175"/>
      <c r="AB796" s="175"/>
      <c r="AC796" s="175"/>
      <c r="AD796" s="175"/>
    </row>
    <row r="797" spans="18:30" x14ac:dyDescent="0.25">
      <c r="R797" s="176"/>
      <c r="S797" s="175"/>
      <c r="T797" s="175"/>
      <c r="U797" s="175"/>
      <c r="V797" s="175"/>
      <c r="W797" s="175"/>
      <c r="X797" s="175"/>
      <c r="Y797" s="175"/>
      <c r="Z797" s="175"/>
      <c r="AA797" s="175"/>
      <c r="AB797" s="175"/>
      <c r="AC797" s="175"/>
      <c r="AD797" s="175"/>
    </row>
    <row r="798" spans="18:30" x14ac:dyDescent="0.25">
      <c r="R798" s="176"/>
      <c r="S798" s="175"/>
      <c r="T798" s="175"/>
      <c r="U798" s="175"/>
      <c r="V798" s="175"/>
      <c r="W798" s="175"/>
      <c r="X798" s="175"/>
      <c r="Y798" s="175"/>
      <c r="Z798" s="175"/>
      <c r="AA798" s="175"/>
      <c r="AB798" s="175"/>
      <c r="AC798" s="175"/>
      <c r="AD798" s="175"/>
    </row>
    <row r="799" spans="18:30" x14ac:dyDescent="0.25">
      <c r="R799" s="176"/>
      <c r="S799" s="175"/>
      <c r="T799" s="175"/>
      <c r="U799" s="175"/>
      <c r="V799" s="175"/>
      <c r="W799" s="175"/>
      <c r="X799" s="175"/>
      <c r="Y799" s="175"/>
      <c r="Z799" s="175"/>
      <c r="AA799" s="175"/>
      <c r="AB799" s="175"/>
      <c r="AC799" s="175"/>
      <c r="AD799" s="175"/>
    </row>
    <row r="800" spans="18:30" x14ac:dyDescent="0.25">
      <c r="R800" s="176"/>
      <c r="S800" s="175"/>
      <c r="T800" s="175"/>
      <c r="U800" s="175"/>
      <c r="V800" s="175"/>
      <c r="W800" s="175"/>
      <c r="X800" s="175"/>
      <c r="Y800" s="175"/>
      <c r="Z800" s="175"/>
      <c r="AA800" s="175"/>
      <c r="AB800" s="175"/>
      <c r="AC800" s="175"/>
      <c r="AD800" s="175"/>
    </row>
    <row r="801" spans="18:30" x14ac:dyDescent="0.25">
      <c r="R801" s="176"/>
      <c r="S801" s="175"/>
      <c r="T801" s="175"/>
      <c r="U801" s="175"/>
      <c r="V801" s="175"/>
      <c r="W801" s="175"/>
      <c r="X801" s="175"/>
      <c r="Y801" s="175"/>
      <c r="Z801" s="175"/>
      <c r="AA801" s="175"/>
      <c r="AB801" s="175"/>
      <c r="AC801" s="175"/>
      <c r="AD801" s="175"/>
    </row>
    <row r="802" spans="18:30" x14ac:dyDescent="0.25">
      <c r="R802" s="176"/>
      <c r="S802" s="175"/>
      <c r="T802" s="175"/>
      <c r="U802" s="175"/>
      <c r="V802" s="175"/>
      <c r="W802" s="175"/>
      <c r="X802" s="175"/>
      <c r="Y802" s="175"/>
      <c r="Z802" s="175"/>
      <c r="AA802" s="175"/>
      <c r="AB802" s="175"/>
      <c r="AC802" s="175"/>
      <c r="AD802" s="175"/>
    </row>
    <row r="803" spans="18:30" x14ac:dyDescent="0.25">
      <c r="R803" s="176"/>
      <c r="S803" s="175"/>
      <c r="T803" s="175"/>
      <c r="U803" s="175"/>
      <c r="V803" s="175"/>
      <c r="W803" s="175"/>
      <c r="X803" s="175"/>
      <c r="Y803" s="175"/>
      <c r="Z803" s="175"/>
      <c r="AA803" s="175"/>
      <c r="AB803" s="175"/>
      <c r="AC803" s="175"/>
      <c r="AD803" s="175"/>
    </row>
    <row r="804" spans="18:30" x14ac:dyDescent="0.25">
      <c r="R804" s="176"/>
      <c r="S804" s="175"/>
      <c r="T804" s="175"/>
      <c r="U804" s="175"/>
      <c r="V804" s="175"/>
      <c r="W804" s="175"/>
      <c r="X804" s="175"/>
      <c r="Y804" s="175"/>
      <c r="Z804" s="175"/>
      <c r="AA804" s="175"/>
      <c r="AB804" s="175"/>
      <c r="AC804" s="175"/>
      <c r="AD804" s="175"/>
    </row>
    <row r="805" spans="18:30" x14ac:dyDescent="0.25">
      <c r="R805" s="176"/>
      <c r="S805" s="175"/>
      <c r="T805" s="175"/>
      <c r="U805" s="175"/>
      <c r="V805" s="175"/>
      <c r="W805" s="175"/>
      <c r="X805" s="175"/>
      <c r="Y805" s="175"/>
      <c r="Z805" s="175"/>
      <c r="AA805" s="175"/>
      <c r="AB805" s="175"/>
      <c r="AC805" s="175"/>
      <c r="AD805" s="175"/>
    </row>
    <row r="806" spans="18:30" x14ac:dyDescent="0.25">
      <c r="R806" s="176"/>
      <c r="S806" s="175"/>
      <c r="T806" s="175"/>
      <c r="U806" s="175"/>
      <c r="V806" s="175"/>
      <c r="W806" s="175"/>
      <c r="X806" s="175"/>
      <c r="Y806" s="175"/>
      <c r="Z806" s="175"/>
      <c r="AA806" s="175"/>
      <c r="AB806" s="175"/>
      <c r="AC806" s="175"/>
      <c r="AD806" s="175"/>
    </row>
    <row r="807" spans="18:30" x14ac:dyDescent="0.25">
      <c r="R807" s="176"/>
      <c r="S807" s="175"/>
      <c r="T807" s="175"/>
      <c r="U807" s="175"/>
      <c r="V807" s="175"/>
      <c r="W807" s="175"/>
      <c r="X807" s="175"/>
      <c r="Y807" s="175"/>
      <c r="Z807" s="175"/>
      <c r="AA807" s="175"/>
      <c r="AB807" s="175"/>
      <c r="AC807" s="175"/>
      <c r="AD807" s="175"/>
    </row>
    <row r="808" spans="18:30" x14ac:dyDescent="0.25">
      <c r="R808" s="176"/>
      <c r="S808" s="175"/>
      <c r="T808" s="175"/>
      <c r="U808" s="175"/>
      <c r="V808" s="175"/>
      <c r="W808" s="175"/>
      <c r="X808" s="175"/>
      <c r="Y808" s="175"/>
      <c r="Z808" s="175"/>
      <c r="AA808" s="175"/>
      <c r="AB808" s="175"/>
      <c r="AC808" s="175"/>
      <c r="AD808" s="175"/>
    </row>
    <row r="809" spans="18:30" x14ac:dyDescent="0.25">
      <c r="R809" s="176"/>
      <c r="S809" s="175"/>
      <c r="T809" s="175"/>
      <c r="U809" s="175"/>
      <c r="V809" s="175"/>
      <c r="W809" s="175"/>
      <c r="X809" s="175"/>
      <c r="Y809" s="175"/>
      <c r="Z809" s="175"/>
      <c r="AA809" s="175"/>
      <c r="AB809" s="175"/>
      <c r="AC809" s="175"/>
      <c r="AD809" s="175"/>
    </row>
    <row r="810" spans="18:30" x14ac:dyDescent="0.25">
      <c r="R810" s="176"/>
      <c r="S810" s="175"/>
      <c r="T810" s="175"/>
      <c r="U810" s="175"/>
      <c r="V810" s="175"/>
      <c r="W810" s="175"/>
      <c r="X810" s="175"/>
      <c r="Y810" s="175"/>
      <c r="Z810" s="175"/>
      <c r="AA810" s="175"/>
      <c r="AB810" s="175"/>
      <c r="AC810" s="175"/>
      <c r="AD810" s="175"/>
    </row>
    <row r="811" spans="18:30" x14ac:dyDescent="0.25">
      <c r="R811" s="176"/>
      <c r="S811" s="175"/>
      <c r="T811" s="175"/>
      <c r="U811" s="175"/>
      <c r="V811" s="175"/>
      <c r="W811" s="175"/>
      <c r="X811" s="175"/>
      <c r="Y811" s="175"/>
      <c r="Z811" s="175"/>
      <c r="AA811" s="175"/>
      <c r="AB811" s="175"/>
      <c r="AC811" s="175"/>
      <c r="AD811" s="175"/>
    </row>
    <row r="812" spans="18:30" x14ac:dyDescent="0.25">
      <c r="R812" s="176"/>
      <c r="S812" s="175"/>
      <c r="T812" s="175"/>
      <c r="U812" s="175"/>
      <c r="V812" s="175"/>
      <c r="W812" s="175"/>
      <c r="X812" s="175"/>
      <c r="Y812" s="175"/>
      <c r="Z812" s="175"/>
      <c r="AA812" s="175"/>
      <c r="AB812" s="175"/>
      <c r="AC812" s="175"/>
      <c r="AD812" s="175"/>
    </row>
    <row r="813" spans="18:30" x14ac:dyDescent="0.25">
      <c r="R813" s="176"/>
      <c r="S813" s="175"/>
      <c r="T813" s="175"/>
      <c r="U813" s="175"/>
      <c r="V813" s="175"/>
      <c r="W813" s="175"/>
      <c r="X813" s="175"/>
      <c r="Y813" s="175"/>
      <c r="Z813" s="175"/>
      <c r="AA813" s="175"/>
      <c r="AB813" s="175"/>
      <c r="AC813" s="175"/>
      <c r="AD813" s="175"/>
    </row>
    <row r="814" spans="18:30" x14ac:dyDescent="0.25">
      <c r="R814" s="176"/>
      <c r="S814" s="175"/>
      <c r="T814" s="175"/>
      <c r="U814" s="175"/>
      <c r="V814" s="175"/>
      <c r="W814" s="175"/>
      <c r="X814" s="175"/>
      <c r="Y814" s="175"/>
      <c r="Z814" s="175"/>
      <c r="AA814" s="175"/>
      <c r="AB814" s="175"/>
      <c r="AC814" s="175"/>
      <c r="AD814" s="175"/>
    </row>
    <row r="815" spans="18:30" x14ac:dyDescent="0.25">
      <c r="R815" s="176"/>
      <c r="S815" s="175"/>
      <c r="T815" s="175"/>
      <c r="U815" s="175"/>
      <c r="V815" s="175"/>
      <c r="W815" s="175"/>
      <c r="X815" s="175"/>
      <c r="Y815" s="175"/>
      <c r="Z815" s="175"/>
      <c r="AA815" s="175"/>
      <c r="AB815" s="175"/>
      <c r="AC815" s="175"/>
      <c r="AD815" s="175"/>
    </row>
    <row r="816" spans="18:30" x14ac:dyDescent="0.25">
      <c r="R816" s="176"/>
      <c r="S816" s="175"/>
      <c r="T816" s="175"/>
      <c r="U816" s="175"/>
      <c r="V816" s="175"/>
      <c r="W816" s="175"/>
      <c r="X816" s="175"/>
      <c r="Y816" s="175"/>
      <c r="Z816" s="175"/>
      <c r="AA816" s="175"/>
      <c r="AB816" s="175"/>
      <c r="AC816" s="175"/>
      <c r="AD816" s="175"/>
    </row>
    <row r="817" spans="18:30" x14ac:dyDescent="0.25">
      <c r="R817" s="176"/>
      <c r="S817" s="175"/>
      <c r="T817" s="175"/>
      <c r="U817" s="175"/>
      <c r="V817" s="175"/>
      <c r="W817" s="175"/>
      <c r="X817" s="175"/>
      <c r="Y817" s="175"/>
      <c r="Z817" s="175"/>
      <c r="AA817" s="175"/>
      <c r="AB817" s="175"/>
      <c r="AC817" s="175"/>
      <c r="AD817" s="175"/>
    </row>
    <row r="818" spans="18:30" x14ac:dyDescent="0.25">
      <c r="R818" s="176"/>
      <c r="S818" s="175"/>
      <c r="T818" s="175"/>
      <c r="U818" s="175"/>
      <c r="V818" s="175"/>
      <c r="W818" s="175"/>
      <c r="X818" s="175"/>
      <c r="Y818" s="175"/>
      <c r="Z818" s="175"/>
      <c r="AA818" s="175"/>
      <c r="AB818" s="175"/>
      <c r="AC818" s="175"/>
      <c r="AD818" s="175"/>
    </row>
    <row r="819" spans="18:30" x14ac:dyDescent="0.25">
      <c r="R819" s="176"/>
      <c r="S819" s="175"/>
      <c r="T819" s="175"/>
      <c r="U819" s="175"/>
      <c r="V819" s="175"/>
      <c r="W819" s="175"/>
      <c r="X819" s="175"/>
      <c r="Y819" s="175"/>
      <c r="Z819" s="175"/>
      <c r="AA819" s="175"/>
      <c r="AB819" s="175"/>
      <c r="AC819" s="175"/>
      <c r="AD819" s="175"/>
    </row>
    <row r="820" spans="18:30" x14ac:dyDescent="0.25">
      <c r="R820" s="176"/>
      <c r="S820" s="175"/>
      <c r="T820" s="175"/>
      <c r="U820" s="175"/>
      <c r="V820" s="175"/>
      <c r="W820" s="175"/>
      <c r="X820" s="175"/>
      <c r="Y820" s="175"/>
      <c r="Z820" s="175"/>
      <c r="AA820" s="175"/>
      <c r="AB820" s="175"/>
      <c r="AC820" s="175"/>
      <c r="AD820" s="175"/>
    </row>
    <row r="821" spans="18:30" x14ac:dyDescent="0.25">
      <c r="R821" s="176"/>
      <c r="S821" s="175"/>
      <c r="T821" s="175"/>
      <c r="U821" s="175"/>
      <c r="V821" s="175"/>
      <c r="W821" s="175"/>
      <c r="X821" s="175"/>
      <c r="Y821" s="175"/>
      <c r="Z821" s="175"/>
      <c r="AA821" s="175"/>
      <c r="AB821" s="175"/>
      <c r="AC821" s="175"/>
      <c r="AD821" s="175"/>
    </row>
    <row r="822" spans="18:30" x14ac:dyDescent="0.25">
      <c r="R822" s="176"/>
      <c r="S822" s="175"/>
      <c r="T822" s="175"/>
      <c r="U822" s="175"/>
      <c r="V822" s="175"/>
      <c r="W822" s="175"/>
      <c r="X822" s="175"/>
      <c r="Y822" s="175"/>
      <c r="Z822" s="175"/>
      <c r="AA822" s="175"/>
      <c r="AB822" s="175"/>
      <c r="AC822" s="175"/>
      <c r="AD822" s="175"/>
    </row>
    <row r="823" spans="18:30" x14ac:dyDescent="0.25">
      <c r="R823" s="176"/>
      <c r="S823" s="175"/>
      <c r="T823" s="175"/>
      <c r="U823" s="175"/>
      <c r="V823" s="175"/>
      <c r="W823" s="175"/>
      <c r="X823" s="175"/>
      <c r="Y823" s="175"/>
      <c r="Z823" s="175"/>
      <c r="AA823" s="175"/>
      <c r="AB823" s="175"/>
      <c r="AC823" s="175"/>
      <c r="AD823" s="175"/>
    </row>
    <row r="824" spans="18:30" x14ac:dyDescent="0.25">
      <c r="R824" s="176"/>
      <c r="S824" s="175"/>
      <c r="T824" s="175"/>
      <c r="U824" s="175"/>
      <c r="V824" s="175"/>
      <c r="W824" s="175"/>
      <c r="X824" s="175"/>
      <c r="Y824" s="175"/>
      <c r="Z824" s="175"/>
      <c r="AA824" s="175"/>
      <c r="AB824" s="175"/>
      <c r="AC824" s="175"/>
      <c r="AD824" s="175"/>
    </row>
    <row r="825" spans="18:30" x14ac:dyDescent="0.25">
      <c r="R825" s="176"/>
      <c r="S825" s="175"/>
      <c r="T825" s="175"/>
      <c r="U825" s="175"/>
      <c r="V825" s="175"/>
      <c r="W825" s="175"/>
      <c r="X825" s="175"/>
      <c r="Y825" s="175"/>
      <c r="Z825" s="175"/>
      <c r="AA825" s="175"/>
      <c r="AB825" s="175"/>
      <c r="AC825" s="175"/>
      <c r="AD825" s="175"/>
    </row>
    <row r="826" spans="18:30" x14ac:dyDescent="0.25">
      <c r="R826" s="176"/>
      <c r="S826" s="175"/>
      <c r="T826" s="175"/>
      <c r="U826" s="175"/>
      <c r="V826" s="175"/>
      <c r="W826" s="175"/>
      <c r="X826" s="175"/>
      <c r="Y826" s="175"/>
      <c r="Z826" s="175"/>
      <c r="AA826" s="175"/>
      <c r="AB826" s="175"/>
      <c r="AC826" s="175"/>
      <c r="AD826" s="175"/>
    </row>
    <row r="827" spans="18:30" x14ac:dyDescent="0.25">
      <c r="R827" s="176"/>
      <c r="S827" s="175"/>
      <c r="T827" s="175"/>
      <c r="U827" s="175"/>
      <c r="V827" s="175"/>
      <c r="W827" s="175"/>
      <c r="X827" s="175"/>
      <c r="Y827" s="175"/>
      <c r="Z827" s="175"/>
      <c r="AA827" s="175"/>
      <c r="AB827" s="175"/>
      <c r="AC827" s="175"/>
      <c r="AD827" s="175"/>
    </row>
    <row r="828" spans="18:30" x14ac:dyDescent="0.25">
      <c r="R828" s="176"/>
      <c r="S828" s="175"/>
      <c r="T828" s="175"/>
      <c r="U828" s="175"/>
      <c r="V828" s="175"/>
      <c r="W828" s="175"/>
      <c r="X828" s="175"/>
      <c r="Y828" s="175"/>
      <c r="Z828" s="175"/>
      <c r="AA828" s="175"/>
      <c r="AB828" s="175"/>
      <c r="AC828" s="175"/>
      <c r="AD828" s="175"/>
    </row>
    <row r="829" spans="18:30" x14ac:dyDescent="0.25">
      <c r="R829" s="176"/>
      <c r="S829" s="175"/>
      <c r="T829" s="175"/>
      <c r="U829" s="175"/>
      <c r="V829" s="175"/>
      <c r="W829" s="175"/>
      <c r="X829" s="175"/>
      <c r="Y829" s="175"/>
      <c r="Z829" s="175"/>
      <c r="AA829" s="175"/>
      <c r="AB829" s="175"/>
      <c r="AC829" s="175"/>
      <c r="AD829" s="175"/>
    </row>
    <row r="830" spans="18:30" x14ac:dyDescent="0.25">
      <c r="R830" s="176"/>
      <c r="S830" s="175"/>
      <c r="T830" s="175"/>
      <c r="U830" s="175"/>
      <c r="V830" s="175"/>
      <c r="W830" s="175"/>
      <c r="X830" s="175"/>
      <c r="Y830" s="175"/>
      <c r="Z830" s="175"/>
      <c r="AA830" s="175"/>
      <c r="AB830" s="175"/>
      <c r="AC830" s="175"/>
      <c r="AD830" s="175"/>
    </row>
    <row r="831" spans="18:30" x14ac:dyDescent="0.25">
      <c r="R831" s="176"/>
      <c r="S831" s="175"/>
      <c r="T831" s="175"/>
      <c r="U831" s="175"/>
      <c r="V831" s="175"/>
      <c r="W831" s="175"/>
      <c r="X831" s="175"/>
      <c r="Y831" s="175"/>
      <c r="Z831" s="175"/>
      <c r="AA831" s="175"/>
      <c r="AB831" s="175"/>
      <c r="AC831" s="175"/>
      <c r="AD831" s="175"/>
    </row>
    <row r="832" spans="18:30" x14ac:dyDescent="0.25">
      <c r="R832" s="176"/>
      <c r="S832" s="175"/>
      <c r="T832" s="175"/>
      <c r="U832" s="175"/>
      <c r="V832" s="175"/>
      <c r="W832" s="175"/>
      <c r="X832" s="175"/>
      <c r="Y832" s="175"/>
      <c r="Z832" s="175"/>
      <c r="AA832" s="175"/>
      <c r="AB832" s="175"/>
      <c r="AC832" s="175"/>
      <c r="AD832" s="175"/>
    </row>
    <row r="833" spans="18:30" x14ac:dyDescent="0.25">
      <c r="R833" s="176"/>
      <c r="S833" s="175"/>
      <c r="T833" s="175"/>
      <c r="U833" s="175"/>
      <c r="V833" s="175"/>
      <c r="W833" s="175"/>
      <c r="X833" s="175"/>
      <c r="Y833" s="175"/>
      <c r="Z833" s="175"/>
      <c r="AA833" s="175"/>
      <c r="AB833" s="175"/>
      <c r="AC833" s="175"/>
      <c r="AD833" s="175"/>
    </row>
    <row r="834" spans="18:30" x14ac:dyDescent="0.25">
      <c r="R834" s="176"/>
      <c r="S834" s="175"/>
      <c r="T834" s="175"/>
      <c r="U834" s="175"/>
      <c r="V834" s="175"/>
      <c r="W834" s="175"/>
      <c r="X834" s="175"/>
      <c r="Y834" s="175"/>
      <c r="Z834" s="175"/>
      <c r="AA834" s="175"/>
      <c r="AB834" s="175"/>
      <c r="AC834" s="175"/>
      <c r="AD834" s="175"/>
    </row>
    <row r="835" spans="18:30" x14ac:dyDescent="0.25">
      <c r="R835" s="176"/>
      <c r="S835" s="175"/>
      <c r="T835" s="175"/>
      <c r="U835" s="175"/>
      <c r="V835" s="175"/>
      <c r="W835" s="175"/>
      <c r="X835" s="175"/>
      <c r="Y835" s="175"/>
      <c r="Z835" s="175"/>
      <c r="AA835" s="175"/>
      <c r="AB835" s="175"/>
      <c r="AC835" s="175"/>
      <c r="AD835" s="175"/>
    </row>
    <row r="836" spans="18:30" x14ac:dyDescent="0.25">
      <c r="R836" s="176"/>
      <c r="S836" s="175"/>
      <c r="T836" s="175"/>
      <c r="U836" s="175"/>
      <c r="V836" s="175"/>
      <c r="W836" s="175"/>
      <c r="X836" s="175"/>
      <c r="Y836" s="175"/>
      <c r="Z836" s="175"/>
      <c r="AA836" s="175"/>
      <c r="AB836" s="175"/>
      <c r="AC836" s="175"/>
      <c r="AD836" s="175"/>
    </row>
    <row r="837" spans="18:30" x14ac:dyDescent="0.25">
      <c r="R837" s="176"/>
      <c r="S837" s="175"/>
      <c r="T837" s="175"/>
      <c r="U837" s="175"/>
      <c r="V837" s="175"/>
      <c r="W837" s="175"/>
      <c r="X837" s="175"/>
      <c r="Y837" s="175"/>
      <c r="Z837" s="175"/>
      <c r="AA837" s="175"/>
      <c r="AB837" s="175"/>
      <c r="AC837" s="175"/>
      <c r="AD837" s="175"/>
    </row>
    <row r="838" spans="18:30" x14ac:dyDescent="0.25">
      <c r="R838" s="176"/>
      <c r="S838" s="175"/>
      <c r="T838" s="175"/>
      <c r="U838" s="175"/>
      <c r="V838" s="175"/>
      <c r="W838" s="175"/>
      <c r="X838" s="175"/>
      <c r="Y838" s="175"/>
      <c r="Z838" s="175"/>
      <c r="AA838" s="175"/>
      <c r="AB838" s="175"/>
      <c r="AC838" s="175"/>
      <c r="AD838" s="175"/>
    </row>
    <row r="839" spans="18:30" x14ac:dyDescent="0.25">
      <c r="R839" s="176"/>
      <c r="S839" s="175"/>
      <c r="T839" s="175"/>
      <c r="U839" s="175"/>
      <c r="V839" s="175"/>
      <c r="W839" s="175"/>
      <c r="X839" s="175"/>
      <c r="Y839" s="175"/>
      <c r="Z839" s="175"/>
      <c r="AA839" s="175"/>
      <c r="AB839" s="175"/>
      <c r="AC839" s="175"/>
      <c r="AD839" s="175"/>
    </row>
    <row r="840" spans="18:30" x14ac:dyDescent="0.25">
      <c r="R840" s="176"/>
      <c r="S840" s="175"/>
      <c r="T840" s="175"/>
      <c r="U840" s="175"/>
      <c r="V840" s="175"/>
      <c r="W840" s="175"/>
      <c r="X840" s="175"/>
      <c r="Y840" s="175"/>
      <c r="Z840" s="175"/>
      <c r="AA840" s="175"/>
      <c r="AB840" s="175"/>
      <c r="AC840" s="175"/>
      <c r="AD840" s="175"/>
    </row>
    <row r="841" spans="18:30" x14ac:dyDescent="0.25">
      <c r="R841" s="176"/>
      <c r="S841" s="175"/>
      <c r="T841" s="175"/>
      <c r="U841" s="175"/>
      <c r="V841" s="175"/>
      <c r="W841" s="175"/>
      <c r="X841" s="175"/>
      <c r="Y841" s="175"/>
      <c r="Z841" s="175"/>
      <c r="AA841" s="175"/>
      <c r="AB841" s="175"/>
      <c r="AC841" s="175"/>
      <c r="AD841" s="175"/>
    </row>
    <row r="842" spans="18:30" x14ac:dyDescent="0.25">
      <c r="R842" s="176"/>
      <c r="S842" s="175"/>
      <c r="T842" s="175"/>
      <c r="U842" s="175"/>
      <c r="V842" s="175"/>
      <c r="W842" s="175"/>
      <c r="X842" s="175"/>
      <c r="Y842" s="175"/>
      <c r="Z842" s="175"/>
      <c r="AA842" s="175"/>
      <c r="AB842" s="175"/>
      <c r="AC842" s="175"/>
      <c r="AD842" s="175"/>
    </row>
    <row r="843" spans="18:30" x14ac:dyDescent="0.25">
      <c r="R843" s="176"/>
      <c r="S843" s="175"/>
      <c r="T843" s="175"/>
      <c r="U843" s="175"/>
      <c r="V843" s="175"/>
      <c r="W843" s="175"/>
      <c r="X843" s="175"/>
      <c r="Y843" s="175"/>
      <c r="Z843" s="175"/>
      <c r="AA843" s="175"/>
      <c r="AB843" s="175"/>
      <c r="AC843" s="175"/>
      <c r="AD843" s="175"/>
    </row>
    <row r="844" spans="18:30" x14ac:dyDescent="0.25">
      <c r="R844" s="176"/>
      <c r="S844" s="175"/>
      <c r="T844" s="175"/>
      <c r="U844" s="175"/>
      <c r="V844" s="175"/>
      <c r="W844" s="175"/>
      <c r="X844" s="175"/>
      <c r="Y844" s="175"/>
      <c r="Z844" s="175"/>
      <c r="AA844" s="175"/>
      <c r="AB844" s="175"/>
      <c r="AC844" s="175"/>
      <c r="AD844" s="175"/>
    </row>
    <row r="845" spans="18:30" x14ac:dyDescent="0.25">
      <c r="R845" s="176"/>
      <c r="S845" s="175"/>
      <c r="T845" s="175"/>
      <c r="U845" s="175"/>
      <c r="V845" s="175"/>
      <c r="W845" s="175"/>
      <c r="X845" s="175"/>
      <c r="Y845" s="175"/>
      <c r="Z845" s="175"/>
      <c r="AA845" s="175"/>
      <c r="AB845" s="175"/>
      <c r="AC845" s="175"/>
      <c r="AD845" s="175"/>
    </row>
    <row r="846" spans="18:30" x14ac:dyDescent="0.25">
      <c r="R846" s="176"/>
      <c r="S846" s="175"/>
      <c r="T846" s="175"/>
      <c r="U846" s="175"/>
      <c r="V846" s="175"/>
      <c r="W846" s="175"/>
      <c r="X846" s="175"/>
      <c r="Y846" s="175"/>
      <c r="Z846" s="175"/>
      <c r="AA846" s="175"/>
      <c r="AB846" s="175"/>
      <c r="AC846" s="175"/>
      <c r="AD846" s="175"/>
    </row>
    <row r="847" spans="18:30" x14ac:dyDescent="0.25">
      <c r="R847" s="176"/>
      <c r="S847" s="175"/>
      <c r="T847" s="175"/>
      <c r="U847" s="175"/>
      <c r="V847" s="175"/>
      <c r="W847" s="175"/>
      <c r="X847" s="175"/>
      <c r="Y847" s="175"/>
      <c r="Z847" s="175"/>
      <c r="AA847" s="175"/>
      <c r="AB847" s="175"/>
      <c r="AC847" s="175"/>
      <c r="AD847" s="175"/>
    </row>
    <row r="848" spans="18:30" x14ac:dyDescent="0.25">
      <c r="R848" s="176"/>
      <c r="S848" s="175"/>
      <c r="T848" s="175"/>
      <c r="U848" s="175"/>
      <c r="V848" s="175"/>
      <c r="W848" s="175"/>
      <c r="X848" s="175"/>
      <c r="Y848" s="175"/>
      <c r="Z848" s="175"/>
      <c r="AA848" s="175"/>
      <c r="AB848" s="175"/>
      <c r="AC848" s="175"/>
      <c r="AD848" s="175"/>
    </row>
    <row r="849" spans="18:30" x14ac:dyDescent="0.25">
      <c r="R849" s="176"/>
      <c r="S849" s="175"/>
      <c r="T849" s="175"/>
      <c r="U849" s="175"/>
      <c r="V849" s="175"/>
      <c r="W849" s="175"/>
      <c r="X849" s="175"/>
      <c r="Y849" s="175"/>
      <c r="Z849" s="175"/>
      <c r="AA849" s="175"/>
      <c r="AB849" s="175"/>
      <c r="AC849" s="175"/>
      <c r="AD849" s="175"/>
    </row>
    <row r="850" spans="18:30" x14ac:dyDescent="0.25">
      <c r="R850" s="176"/>
      <c r="S850" s="175"/>
      <c r="T850" s="175"/>
      <c r="U850" s="175"/>
      <c r="V850" s="175"/>
      <c r="W850" s="175"/>
      <c r="X850" s="175"/>
      <c r="Y850" s="175"/>
      <c r="Z850" s="175"/>
      <c r="AA850" s="175"/>
      <c r="AB850" s="175"/>
      <c r="AC850" s="175"/>
      <c r="AD850" s="175"/>
    </row>
    <row r="851" spans="18:30" x14ac:dyDescent="0.25">
      <c r="R851" s="176"/>
      <c r="S851" s="175"/>
      <c r="T851" s="175"/>
      <c r="U851" s="175"/>
      <c r="V851" s="175"/>
      <c r="W851" s="175"/>
      <c r="X851" s="175"/>
      <c r="Y851" s="175"/>
      <c r="Z851" s="175"/>
      <c r="AA851" s="175"/>
      <c r="AB851" s="175"/>
      <c r="AC851" s="175"/>
      <c r="AD851" s="175"/>
    </row>
    <row r="852" spans="18:30" x14ac:dyDescent="0.25">
      <c r="R852" s="176"/>
      <c r="S852" s="175"/>
      <c r="T852" s="175"/>
      <c r="U852" s="175"/>
      <c r="V852" s="175"/>
      <c r="W852" s="175"/>
      <c r="X852" s="175"/>
      <c r="Y852" s="175"/>
      <c r="Z852" s="175"/>
      <c r="AA852" s="175"/>
      <c r="AB852" s="175"/>
      <c r="AC852" s="175"/>
      <c r="AD852" s="175"/>
    </row>
    <row r="853" spans="18:30" x14ac:dyDescent="0.25">
      <c r="R853" s="176"/>
      <c r="S853" s="175"/>
      <c r="T853" s="175"/>
      <c r="U853" s="175"/>
      <c r="V853" s="175"/>
      <c r="W853" s="175"/>
      <c r="X853" s="175"/>
      <c r="Y853" s="175"/>
      <c r="Z853" s="175"/>
      <c r="AA853" s="175"/>
      <c r="AB853" s="175"/>
      <c r="AC853" s="175"/>
      <c r="AD853" s="175"/>
    </row>
    <row r="854" spans="18:30" x14ac:dyDescent="0.25">
      <c r="R854" s="176"/>
      <c r="S854" s="175"/>
      <c r="T854" s="175"/>
      <c r="U854" s="175"/>
      <c r="V854" s="175"/>
      <c r="W854" s="175"/>
      <c r="X854" s="175"/>
      <c r="Y854" s="175"/>
      <c r="Z854" s="175"/>
      <c r="AA854" s="175"/>
      <c r="AB854" s="175"/>
      <c r="AC854" s="175"/>
      <c r="AD854" s="175"/>
    </row>
    <row r="855" spans="18:30" x14ac:dyDescent="0.25">
      <c r="R855" s="176"/>
      <c r="S855" s="175"/>
      <c r="T855" s="175"/>
      <c r="U855" s="175"/>
      <c r="V855" s="175"/>
      <c r="W855" s="175"/>
      <c r="X855" s="175"/>
      <c r="Y855" s="175"/>
      <c r="Z855" s="175"/>
      <c r="AA855" s="175"/>
      <c r="AB855" s="175"/>
      <c r="AC855" s="175"/>
      <c r="AD855" s="175"/>
    </row>
    <row r="856" spans="18:30" x14ac:dyDescent="0.25">
      <c r="R856" s="176"/>
      <c r="S856" s="175"/>
      <c r="T856" s="175"/>
      <c r="U856" s="175"/>
      <c r="V856" s="175"/>
      <c r="W856" s="175"/>
      <c r="X856" s="175"/>
      <c r="Y856" s="175"/>
      <c r="Z856" s="175"/>
      <c r="AA856" s="175"/>
      <c r="AB856" s="175"/>
      <c r="AC856" s="175"/>
      <c r="AD856" s="175"/>
    </row>
    <row r="857" spans="18:30" x14ac:dyDescent="0.25">
      <c r="R857" s="176"/>
      <c r="S857" s="175"/>
      <c r="T857" s="175"/>
      <c r="U857" s="175"/>
      <c r="V857" s="175"/>
      <c r="W857" s="175"/>
      <c r="X857" s="175"/>
      <c r="Y857" s="175"/>
      <c r="Z857" s="175"/>
      <c r="AA857" s="175"/>
      <c r="AB857" s="175"/>
      <c r="AC857" s="175"/>
      <c r="AD857" s="175"/>
    </row>
    <row r="858" spans="18:30" x14ac:dyDescent="0.25">
      <c r="R858" s="176"/>
      <c r="S858" s="175"/>
      <c r="T858" s="175"/>
      <c r="U858" s="175"/>
      <c r="V858" s="175"/>
      <c r="W858" s="175"/>
      <c r="X858" s="175"/>
      <c r="Y858" s="175"/>
      <c r="Z858" s="175"/>
      <c r="AA858" s="175"/>
      <c r="AB858" s="175"/>
      <c r="AC858" s="175"/>
      <c r="AD858" s="175"/>
    </row>
    <row r="859" spans="18:30" x14ac:dyDescent="0.25">
      <c r="R859" s="176"/>
      <c r="S859" s="175"/>
      <c r="T859" s="175"/>
      <c r="U859" s="175"/>
      <c r="V859" s="175"/>
      <c r="W859" s="175"/>
      <c r="X859" s="175"/>
      <c r="Y859" s="175"/>
      <c r="Z859" s="175"/>
      <c r="AA859" s="175"/>
      <c r="AB859" s="175"/>
      <c r="AC859" s="175"/>
      <c r="AD859" s="175"/>
    </row>
    <row r="860" spans="18:30" x14ac:dyDescent="0.25">
      <c r="R860" s="176"/>
      <c r="S860" s="175"/>
      <c r="T860" s="175"/>
      <c r="U860" s="175"/>
      <c r="V860" s="175"/>
      <c r="W860" s="175"/>
      <c r="X860" s="175"/>
      <c r="Y860" s="175"/>
      <c r="Z860" s="175"/>
      <c r="AA860" s="175"/>
      <c r="AB860" s="175"/>
      <c r="AC860" s="175"/>
      <c r="AD860" s="175"/>
    </row>
    <row r="861" spans="18:30" x14ac:dyDescent="0.25">
      <c r="R861" s="176"/>
      <c r="S861" s="175"/>
      <c r="T861" s="175"/>
      <c r="U861" s="175"/>
      <c r="V861" s="175"/>
      <c r="W861" s="175"/>
      <c r="X861" s="175"/>
      <c r="Y861" s="175"/>
      <c r="Z861" s="175"/>
      <c r="AA861" s="175"/>
      <c r="AB861" s="175"/>
      <c r="AC861" s="175"/>
      <c r="AD861" s="175"/>
    </row>
    <row r="862" spans="18:30" x14ac:dyDescent="0.25">
      <c r="R862" s="176"/>
      <c r="S862" s="175"/>
      <c r="T862" s="175"/>
      <c r="U862" s="175"/>
      <c r="V862" s="175"/>
      <c r="W862" s="175"/>
      <c r="X862" s="175"/>
      <c r="Y862" s="175"/>
      <c r="Z862" s="175"/>
      <c r="AA862" s="175"/>
      <c r="AB862" s="175"/>
      <c r="AC862" s="175"/>
      <c r="AD862" s="175"/>
    </row>
    <row r="863" spans="18:30" x14ac:dyDescent="0.25">
      <c r="R863" s="176"/>
      <c r="S863" s="175"/>
      <c r="T863" s="175"/>
      <c r="U863" s="175"/>
      <c r="V863" s="175"/>
      <c r="W863" s="175"/>
      <c r="X863" s="175"/>
      <c r="Y863" s="175"/>
      <c r="Z863" s="175"/>
      <c r="AA863" s="175"/>
      <c r="AB863" s="175"/>
      <c r="AC863" s="175"/>
      <c r="AD863" s="175"/>
    </row>
    <row r="864" spans="18:30" x14ac:dyDescent="0.25">
      <c r="R864" s="176"/>
      <c r="S864" s="175"/>
      <c r="T864" s="175"/>
      <c r="U864" s="175"/>
      <c r="V864" s="175"/>
      <c r="W864" s="175"/>
      <c r="X864" s="175"/>
      <c r="Y864" s="175"/>
      <c r="Z864" s="175"/>
      <c r="AA864" s="175"/>
      <c r="AB864" s="175"/>
      <c r="AC864" s="175"/>
      <c r="AD864" s="175"/>
    </row>
    <row r="865" spans="18:30" x14ac:dyDescent="0.25">
      <c r="R865" s="176"/>
      <c r="S865" s="175"/>
      <c r="T865" s="175"/>
      <c r="U865" s="175"/>
      <c r="V865" s="175"/>
      <c r="W865" s="175"/>
      <c r="X865" s="175"/>
      <c r="Y865" s="175"/>
      <c r="Z865" s="175"/>
      <c r="AA865" s="175"/>
      <c r="AB865" s="175"/>
      <c r="AC865" s="175"/>
      <c r="AD865" s="175"/>
    </row>
    <row r="866" spans="18:30" x14ac:dyDescent="0.25">
      <c r="R866" s="176"/>
      <c r="S866" s="175"/>
      <c r="T866" s="175"/>
      <c r="U866" s="175"/>
      <c r="V866" s="175"/>
      <c r="W866" s="175"/>
      <c r="X866" s="175"/>
      <c r="Y866" s="175"/>
      <c r="Z866" s="175"/>
      <c r="AA866" s="175"/>
      <c r="AB866" s="175"/>
      <c r="AC866" s="175"/>
      <c r="AD866" s="175"/>
    </row>
    <row r="867" spans="18:30" x14ac:dyDescent="0.25">
      <c r="R867" s="176"/>
      <c r="S867" s="175"/>
      <c r="T867" s="175"/>
      <c r="U867" s="175"/>
      <c r="V867" s="175"/>
      <c r="W867" s="175"/>
      <c r="X867" s="175"/>
      <c r="Y867" s="175"/>
      <c r="Z867" s="175"/>
      <c r="AA867" s="175"/>
      <c r="AB867" s="175"/>
      <c r="AC867" s="175"/>
      <c r="AD867" s="175"/>
    </row>
    <row r="868" spans="18:30" x14ac:dyDescent="0.25">
      <c r="R868" s="176"/>
      <c r="S868" s="175"/>
      <c r="T868" s="175"/>
      <c r="U868" s="175"/>
      <c r="V868" s="175"/>
      <c r="W868" s="175"/>
      <c r="X868" s="175"/>
      <c r="Y868" s="175"/>
      <c r="Z868" s="175"/>
      <c r="AA868" s="175"/>
      <c r="AB868" s="175"/>
      <c r="AC868" s="175"/>
      <c r="AD868" s="175"/>
    </row>
    <row r="869" spans="18:30" x14ac:dyDescent="0.25">
      <c r="R869" s="176"/>
      <c r="S869" s="175"/>
      <c r="T869" s="175"/>
      <c r="U869" s="175"/>
      <c r="V869" s="175"/>
      <c r="W869" s="175"/>
      <c r="X869" s="175"/>
      <c r="Y869" s="175"/>
      <c r="Z869" s="175"/>
      <c r="AA869" s="175"/>
      <c r="AB869" s="175"/>
      <c r="AC869" s="175"/>
      <c r="AD869" s="175"/>
    </row>
    <row r="870" spans="18:30" x14ac:dyDescent="0.25">
      <c r="R870" s="176"/>
      <c r="S870" s="175"/>
      <c r="T870" s="175"/>
      <c r="U870" s="175"/>
      <c r="V870" s="175"/>
      <c r="W870" s="175"/>
      <c r="X870" s="175"/>
      <c r="Y870" s="175"/>
      <c r="Z870" s="175"/>
      <c r="AA870" s="175"/>
      <c r="AB870" s="175"/>
      <c r="AC870" s="175"/>
      <c r="AD870" s="175"/>
    </row>
    <row r="871" spans="18:30" x14ac:dyDescent="0.25">
      <c r="R871" s="176"/>
      <c r="S871" s="175"/>
      <c r="T871" s="175"/>
      <c r="U871" s="175"/>
      <c r="V871" s="175"/>
      <c r="W871" s="175"/>
      <c r="X871" s="175"/>
      <c r="Y871" s="175"/>
      <c r="Z871" s="175"/>
      <c r="AA871" s="175"/>
      <c r="AB871" s="175"/>
      <c r="AC871" s="175"/>
      <c r="AD871" s="175"/>
    </row>
    <row r="872" spans="18:30" x14ac:dyDescent="0.25">
      <c r="R872" s="176"/>
      <c r="S872" s="175"/>
      <c r="T872" s="175"/>
      <c r="U872" s="175"/>
      <c r="V872" s="175"/>
      <c r="W872" s="175"/>
      <c r="X872" s="175"/>
      <c r="Y872" s="175"/>
      <c r="Z872" s="175"/>
      <c r="AA872" s="175"/>
      <c r="AB872" s="175"/>
      <c r="AC872" s="175"/>
      <c r="AD872" s="175"/>
    </row>
    <row r="873" spans="18:30" x14ac:dyDescent="0.25">
      <c r="R873" s="176"/>
      <c r="S873" s="175"/>
      <c r="T873" s="175"/>
      <c r="U873" s="175"/>
      <c r="V873" s="175"/>
      <c r="W873" s="175"/>
      <c r="X873" s="175"/>
      <c r="Y873" s="175"/>
      <c r="Z873" s="175"/>
      <c r="AA873" s="175"/>
      <c r="AB873" s="175"/>
      <c r="AC873" s="175"/>
      <c r="AD873" s="175"/>
    </row>
    <row r="874" spans="18:30" x14ac:dyDescent="0.25">
      <c r="R874" s="176"/>
      <c r="S874" s="175"/>
      <c r="T874" s="175"/>
      <c r="U874" s="175"/>
      <c r="V874" s="175"/>
      <c r="W874" s="175"/>
      <c r="X874" s="175"/>
      <c r="Y874" s="175"/>
      <c r="Z874" s="175"/>
      <c r="AA874" s="175"/>
      <c r="AB874" s="175"/>
      <c r="AC874" s="175"/>
      <c r="AD874" s="175"/>
    </row>
    <row r="875" spans="18:30" x14ac:dyDescent="0.25">
      <c r="R875" s="176"/>
      <c r="S875" s="175"/>
      <c r="T875" s="175"/>
      <c r="U875" s="175"/>
      <c r="V875" s="175"/>
      <c r="W875" s="175"/>
      <c r="X875" s="175"/>
      <c r="Y875" s="175"/>
      <c r="Z875" s="175"/>
      <c r="AA875" s="175"/>
      <c r="AB875" s="175"/>
      <c r="AC875" s="175"/>
      <c r="AD875" s="175"/>
    </row>
    <row r="876" spans="18:30" x14ac:dyDescent="0.25">
      <c r="R876" s="176"/>
      <c r="S876" s="175"/>
      <c r="T876" s="175"/>
      <c r="U876" s="175"/>
      <c r="V876" s="175"/>
      <c r="W876" s="175"/>
      <c r="X876" s="175"/>
      <c r="Y876" s="175"/>
      <c r="Z876" s="175"/>
      <c r="AA876" s="175"/>
      <c r="AB876" s="175"/>
      <c r="AC876" s="175"/>
      <c r="AD876" s="175"/>
    </row>
    <row r="877" spans="18:30" x14ac:dyDescent="0.25">
      <c r="R877" s="176"/>
      <c r="S877" s="175"/>
      <c r="T877" s="175"/>
      <c r="U877" s="175"/>
      <c r="V877" s="175"/>
      <c r="W877" s="175"/>
      <c r="X877" s="175"/>
      <c r="Y877" s="175"/>
      <c r="Z877" s="175"/>
      <c r="AA877" s="175"/>
      <c r="AB877" s="175"/>
      <c r="AC877" s="175"/>
      <c r="AD877" s="175"/>
    </row>
    <row r="878" spans="18:30" x14ac:dyDescent="0.25">
      <c r="R878" s="176"/>
      <c r="S878" s="175"/>
      <c r="T878" s="175"/>
      <c r="U878" s="175"/>
      <c r="V878" s="175"/>
      <c r="W878" s="175"/>
      <c r="X878" s="175"/>
      <c r="Y878" s="175"/>
      <c r="Z878" s="175"/>
      <c r="AA878" s="175"/>
      <c r="AB878" s="175"/>
      <c r="AC878" s="175"/>
      <c r="AD878" s="175"/>
    </row>
    <row r="879" spans="18:30" x14ac:dyDescent="0.25">
      <c r="R879" s="176"/>
      <c r="S879" s="175"/>
      <c r="T879" s="175"/>
      <c r="U879" s="175"/>
      <c r="V879" s="175"/>
      <c r="W879" s="175"/>
      <c r="X879" s="175"/>
      <c r="Y879" s="175"/>
      <c r="Z879" s="175"/>
      <c r="AA879" s="175"/>
      <c r="AB879" s="175"/>
      <c r="AC879" s="175"/>
      <c r="AD879" s="175"/>
    </row>
    <row r="880" spans="18:30" x14ac:dyDescent="0.25">
      <c r="R880" s="176"/>
      <c r="S880" s="175"/>
      <c r="T880" s="175"/>
      <c r="U880" s="175"/>
      <c r="V880" s="175"/>
      <c r="W880" s="175"/>
      <c r="X880" s="175"/>
      <c r="Y880" s="175"/>
      <c r="Z880" s="175"/>
      <c r="AA880" s="175"/>
      <c r="AB880" s="175"/>
      <c r="AC880" s="175"/>
      <c r="AD880" s="175"/>
    </row>
    <row r="881" spans="18:30" x14ac:dyDescent="0.25">
      <c r="R881" s="176"/>
      <c r="S881" s="175"/>
      <c r="T881" s="175"/>
      <c r="U881" s="175"/>
      <c r="V881" s="175"/>
      <c r="W881" s="175"/>
      <c r="X881" s="175"/>
      <c r="Y881" s="175"/>
      <c r="Z881" s="175"/>
      <c r="AA881" s="175"/>
      <c r="AB881" s="175"/>
      <c r="AC881" s="175"/>
      <c r="AD881" s="175"/>
    </row>
    <row r="882" spans="18:30" x14ac:dyDescent="0.25">
      <c r="R882" s="176"/>
      <c r="S882" s="175"/>
      <c r="T882" s="175"/>
      <c r="U882" s="175"/>
      <c r="V882" s="175"/>
      <c r="W882" s="175"/>
      <c r="X882" s="175"/>
      <c r="Y882" s="175"/>
      <c r="Z882" s="175"/>
      <c r="AA882" s="175"/>
      <c r="AB882" s="175"/>
      <c r="AC882" s="175"/>
      <c r="AD882" s="175"/>
    </row>
    <row r="883" spans="18:30" x14ac:dyDescent="0.25">
      <c r="R883" s="176"/>
      <c r="S883" s="175"/>
      <c r="T883" s="175"/>
      <c r="U883" s="175"/>
      <c r="V883" s="175"/>
      <c r="W883" s="175"/>
      <c r="X883" s="175"/>
      <c r="Y883" s="175"/>
      <c r="Z883" s="175"/>
      <c r="AA883" s="175"/>
      <c r="AB883" s="175"/>
      <c r="AC883" s="175"/>
      <c r="AD883" s="175"/>
    </row>
    <row r="884" spans="18:30" x14ac:dyDescent="0.25">
      <c r="R884" s="176"/>
      <c r="S884" s="175"/>
      <c r="T884" s="175"/>
      <c r="U884" s="175"/>
      <c r="V884" s="175"/>
      <c r="W884" s="175"/>
      <c r="X884" s="175"/>
      <c r="Y884" s="175"/>
      <c r="Z884" s="175"/>
      <c r="AA884" s="175"/>
      <c r="AB884" s="175"/>
      <c r="AC884" s="175"/>
      <c r="AD884" s="175"/>
    </row>
    <row r="885" spans="18:30" x14ac:dyDescent="0.25">
      <c r="R885" s="176"/>
      <c r="S885" s="175"/>
      <c r="T885" s="175"/>
      <c r="U885" s="175"/>
      <c r="V885" s="175"/>
      <c r="W885" s="175"/>
      <c r="X885" s="175"/>
      <c r="Y885" s="175"/>
      <c r="Z885" s="175"/>
      <c r="AA885" s="175"/>
      <c r="AB885" s="175"/>
      <c r="AC885" s="175"/>
      <c r="AD885" s="175"/>
    </row>
    <row r="886" spans="18:30" x14ac:dyDescent="0.25">
      <c r="R886" s="176"/>
      <c r="S886" s="175"/>
      <c r="T886" s="175"/>
      <c r="U886" s="175"/>
      <c r="V886" s="175"/>
      <c r="W886" s="175"/>
      <c r="X886" s="175"/>
      <c r="Y886" s="175"/>
      <c r="Z886" s="175"/>
      <c r="AA886" s="175"/>
      <c r="AB886" s="175"/>
      <c r="AC886" s="175"/>
      <c r="AD886" s="175"/>
    </row>
    <row r="887" spans="18:30" x14ac:dyDescent="0.25">
      <c r="R887" s="176"/>
      <c r="S887" s="175"/>
      <c r="T887" s="175"/>
      <c r="U887" s="175"/>
      <c r="V887" s="175"/>
      <c r="W887" s="175"/>
      <c r="X887" s="175"/>
      <c r="Y887" s="175"/>
      <c r="Z887" s="175"/>
      <c r="AA887" s="175"/>
      <c r="AB887" s="175"/>
      <c r="AC887" s="175"/>
      <c r="AD887" s="175"/>
    </row>
    <row r="888" spans="18:30" x14ac:dyDescent="0.25">
      <c r="R888" s="176"/>
      <c r="S888" s="175"/>
      <c r="T888" s="175"/>
      <c r="U888" s="175"/>
      <c r="V888" s="175"/>
      <c r="W888" s="175"/>
      <c r="X888" s="175"/>
      <c r="Y888" s="175"/>
      <c r="Z888" s="175"/>
      <c r="AA888" s="175"/>
      <c r="AB888" s="175"/>
      <c r="AC888" s="175"/>
      <c r="AD888" s="175"/>
    </row>
    <row r="889" spans="18:30" x14ac:dyDescent="0.25">
      <c r="R889" s="176"/>
      <c r="S889" s="175"/>
      <c r="T889" s="175"/>
      <c r="U889" s="175"/>
      <c r="V889" s="175"/>
      <c r="W889" s="175"/>
      <c r="X889" s="175"/>
      <c r="Y889" s="175"/>
      <c r="Z889" s="175"/>
      <c r="AA889" s="175"/>
      <c r="AB889" s="175"/>
      <c r="AC889" s="175"/>
      <c r="AD889" s="175"/>
    </row>
    <row r="890" spans="18:30" x14ac:dyDescent="0.25">
      <c r="R890" s="176"/>
      <c r="S890" s="175"/>
      <c r="T890" s="175"/>
      <c r="U890" s="175"/>
      <c r="V890" s="175"/>
      <c r="W890" s="175"/>
      <c r="X890" s="175"/>
      <c r="Y890" s="175"/>
      <c r="Z890" s="175"/>
      <c r="AA890" s="175"/>
      <c r="AB890" s="175"/>
      <c r="AC890" s="175"/>
      <c r="AD890" s="175"/>
    </row>
    <row r="891" spans="18:30" x14ac:dyDescent="0.25">
      <c r="R891" s="176"/>
      <c r="S891" s="175"/>
      <c r="T891" s="175"/>
      <c r="U891" s="175"/>
      <c r="V891" s="175"/>
      <c r="W891" s="175"/>
      <c r="X891" s="175"/>
      <c r="Y891" s="175"/>
      <c r="Z891" s="175"/>
      <c r="AA891" s="175"/>
      <c r="AB891" s="175"/>
      <c r="AC891" s="175"/>
      <c r="AD891" s="175"/>
    </row>
    <row r="892" spans="18:30" x14ac:dyDescent="0.25">
      <c r="R892" s="176"/>
      <c r="S892" s="175"/>
      <c r="T892" s="175"/>
      <c r="U892" s="175"/>
      <c r="V892" s="175"/>
      <c r="W892" s="175"/>
      <c r="X892" s="175"/>
      <c r="Y892" s="175"/>
      <c r="Z892" s="175"/>
      <c r="AA892" s="175"/>
      <c r="AB892" s="175"/>
      <c r="AC892" s="175"/>
      <c r="AD892" s="175"/>
    </row>
    <row r="893" spans="18:30" x14ac:dyDescent="0.25">
      <c r="R893" s="176"/>
      <c r="S893" s="175"/>
      <c r="T893" s="175"/>
      <c r="U893" s="175"/>
      <c r="V893" s="175"/>
      <c r="W893" s="175"/>
      <c r="X893" s="175"/>
      <c r="Y893" s="175"/>
      <c r="Z893" s="175"/>
      <c r="AA893" s="175"/>
      <c r="AB893" s="175"/>
      <c r="AC893" s="175"/>
      <c r="AD893" s="175"/>
    </row>
    <row r="894" spans="18:30" x14ac:dyDescent="0.25">
      <c r="R894" s="176"/>
      <c r="S894" s="175"/>
      <c r="T894" s="175"/>
      <c r="U894" s="175"/>
      <c r="V894" s="175"/>
      <c r="W894" s="175"/>
      <c r="X894" s="175"/>
      <c r="Y894" s="175"/>
      <c r="Z894" s="175"/>
      <c r="AA894" s="175"/>
      <c r="AB894" s="175"/>
      <c r="AC894" s="175"/>
      <c r="AD894" s="175"/>
    </row>
    <row r="895" spans="18:30" x14ac:dyDescent="0.25">
      <c r="R895" s="176"/>
      <c r="S895" s="175"/>
      <c r="T895" s="175"/>
      <c r="U895" s="175"/>
      <c r="V895" s="175"/>
      <c r="W895" s="175"/>
      <c r="X895" s="175"/>
      <c r="Y895" s="175"/>
      <c r="Z895" s="175"/>
      <c r="AA895" s="175"/>
      <c r="AB895" s="175"/>
      <c r="AC895" s="175"/>
      <c r="AD895" s="175"/>
    </row>
    <row r="896" spans="18:30" x14ac:dyDescent="0.25">
      <c r="R896" s="176"/>
      <c r="S896" s="175"/>
      <c r="T896" s="175"/>
      <c r="U896" s="175"/>
      <c r="V896" s="175"/>
      <c r="W896" s="175"/>
      <c r="X896" s="175"/>
      <c r="Y896" s="175"/>
      <c r="Z896" s="175"/>
      <c r="AA896" s="175"/>
      <c r="AB896" s="175"/>
      <c r="AC896" s="175"/>
      <c r="AD896" s="175"/>
    </row>
    <row r="897" spans="18:30" x14ac:dyDescent="0.25">
      <c r="R897" s="176"/>
      <c r="S897" s="175"/>
      <c r="T897" s="175"/>
      <c r="U897" s="175"/>
      <c r="V897" s="175"/>
      <c r="W897" s="175"/>
      <c r="X897" s="175"/>
      <c r="Y897" s="175"/>
      <c r="Z897" s="175"/>
      <c r="AA897" s="175"/>
      <c r="AB897" s="175"/>
      <c r="AC897" s="175"/>
      <c r="AD897" s="175"/>
    </row>
    <row r="898" spans="18:30" x14ac:dyDescent="0.25">
      <c r="R898" s="176"/>
      <c r="S898" s="175"/>
      <c r="T898" s="175"/>
      <c r="U898" s="175"/>
      <c r="V898" s="175"/>
      <c r="W898" s="175"/>
      <c r="X898" s="175"/>
      <c r="Y898" s="175"/>
      <c r="Z898" s="175"/>
      <c r="AA898" s="175"/>
      <c r="AB898" s="175"/>
      <c r="AC898" s="175"/>
      <c r="AD898" s="175"/>
    </row>
    <row r="899" spans="18:30" x14ac:dyDescent="0.25">
      <c r="R899" s="176"/>
      <c r="S899" s="175"/>
      <c r="T899" s="175"/>
      <c r="U899" s="175"/>
      <c r="V899" s="175"/>
      <c r="W899" s="175"/>
      <c r="X899" s="175"/>
      <c r="Y899" s="175"/>
      <c r="Z899" s="175"/>
      <c r="AA899" s="175"/>
      <c r="AB899" s="175"/>
      <c r="AC899" s="175"/>
      <c r="AD899" s="175"/>
    </row>
    <row r="900" spans="18:30" x14ac:dyDescent="0.25">
      <c r="R900" s="176"/>
      <c r="S900" s="175"/>
      <c r="T900" s="175"/>
      <c r="U900" s="175"/>
      <c r="V900" s="175"/>
      <c r="W900" s="175"/>
      <c r="X900" s="175"/>
      <c r="Y900" s="175"/>
      <c r="Z900" s="175"/>
      <c r="AA900" s="175"/>
      <c r="AB900" s="175"/>
      <c r="AC900" s="175"/>
      <c r="AD900" s="175"/>
    </row>
    <row r="901" spans="18:30" x14ac:dyDescent="0.25">
      <c r="R901" s="176"/>
      <c r="S901" s="175"/>
      <c r="T901" s="175"/>
      <c r="U901" s="175"/>
      <c r="V901" s="175"/>
      <c r="W901" s="175"/>
      <c r="X901" s="175"/>
      <c r="Y901" s="175"/>
      <c r="Z901" s="175"/>
      <c r="AA901" s="175"/>
      <c r="AB901" s="175"/>
      <c r="AC901" s="175"/>
      <c r="AD901" s="175"/>
    </row>
    <row r="902" spans="18:30" x14ac:dyDescent="0.25">
      <c r="R902" s="176"/>
      <c r="S902" s="175"/>
      <c r="T902" s="175"/>
      <c r="U902" s="175"/>
      <c r="V902" s="175"/>
      <c r="W902" s="175"/>
      <c r="X902" s="175"/>
      <c r="Y902" s="175"/>
      <c r="Z902" s="175"/>
      <c r="AA902" s="175"/>
      <c r="AB902" s="175"/>
      <c r="AC902" s="175"/>
      <c r="AD902" s="175"/>
    </row>
    <row r="903" spans="18:30" x14ac:dyDescent="0.25">
      <c r="R903" s="176"/>
      <c r="S903" s="175"/>
      <c r="T903" s="175"/>
      <c r="U903" s="175"/>
      <c r="V903" s="175"/>
      <c r="W903" s="175"/>
      <c r="X903" s="175"/>
      <c r="Y903" s="175"/>
      <c r="Z903" s="175"/>
      <c r="AA903" s="175"/>
      <c r="AB903" s="175"/>
      <c r="AC903" s="175"/>
      <c r="AD903" s="175"/>
    </row>
    <row r="904" spans="18:30" x14ac:dyDescent="0.25">
      <c r="R904" s="176"/>
      <c r="S904" s="175"/>
      <c r="T904" s="175"/>
      <c r="U904" s="175"/>
      <c r="V904" s="175"/>
      <c r="W904" s="175"/>
      <c r="X904" s="175"/>
      <c r="Y904" s="175"/>
      <c r="Z904" s="175"/>
      <c r="AA904" s="175"/>
      <c r="AB904" s="175"/>
      <c r="AC904" s="175"/>
      <c r="AD904" s="175"/>
    </row>
    <row r="905" spans="18:30" x14ac:dyDescent="0.25">
      <c r="R905" s="176"/>
      <c r="S905" s="175"/>
      <c r="T905" s="175"/>
      <c r="U905" s="175"/>
      <c r="V905" s="175"/>
      <c r="W905" s="175"/>
      <c r="X905" s="175"/>
      <c r="Y905" s="175"/>
      <c r="Z905" s="175"/>
      <c r="AA905" s="175"/>
      <c r="AB905" s="175"/>
      <c r="AC905" s="175"/>
      <c r="AD905" s="175"/>
    </row>
    <row r="906" spans="18:30" x14ac:dyDescent="0.25">
      <c r="R906" s="176"/>
      <c r="S906" s="175"/>
      <c r="T906" s="175"/>
      <c r="U906" s="175"/>
      <c r="V906" s="175"/>
      <c r="W906" s="175"/>
      <c r="X906" s="175"/>
      <c r="Y906" s="175"/>
      <c r="Z906" s="175"/>
      <c r="AA906" s="175"/>
      <c r="AB906" s="175"/>
      <c r="AC906" s="175"/>
      <c r="AD906" s="175"/>
    </row>
    <row r="907" spans="18:30" x14ac:dyDescent="0.25">
      <c r="R907" s="176"/>
      <c r="S907" s="175"/>
      <c r="T907" s="175"/>
      <c r="U907" s="175"/>
      <c r="V907" s="175"/>
      <c r="W907" s="175"/>
      <c r="X907" s="175"/>
      <c r="Y907" s="175"/>
      <c r="Z907" s="175"/>
      <c r="AA907" s="175"/>
      <c r="AB907" s="175"/>
      <c r="AC907" s="175"/>
      <c r="AD907" s="175"/>
    </row>
    <row r="908" spans="18:30" x14ac:dyDescent="0.25">
      <c r="R908" s="176"/>
      <c r="S908" s="175"/>
      <c r="T908" s="175"/>
      <c r="U908" s="175"/>
      <c r="V908" s="175"/>
      <c r="W908" s="175"/>
      <c r="X908" s="175"/>
      <c r="Y908" s="175"/>
      <c r="Z908" s="175"/>
      <c r="AA908" s="175"/>
      <c r="AB908" s="175"/>
      <c r="AC908" s="175"/>
      <c r="AD908" s="175"/>
    </row>
    <row r="909" spans="18:30" x14ac:dyDescent="0.25">
      <c r="R909" s="176"/>
      <c r="S909" s="175"/>
      <c r="T909" s="175"/>
      <c r="U909" s="175"/>
      <c r="V909" s="175"/>
      <c r="W909" s="175"/>
      <c r="X909" s="175"/>
      <c r="Y909" s="175"/>
      <c r="Z909" s="175"/>
      <c r="AA909" s="175"/>
      <c r="AB909" s="175"/>
      <c r="AC909" s="175"/>
      <c r="AD909" s="175"/>
    </row>
    <row r="910" spans="18:30" x14ac:dyDescent="0.25">
      <c r="R910" s="176"/>
      <c r="S910" s="175"/>
      <c r="T910" s="175"/>
      <c r="U910" s="175"/>
      <c r="V910" s="175"/>
      <c r="W910" s="175"/>
      <c r="X910" s="175"/>
      <c r="Y910" s="175"/>
      <c r="Z910" s="175"/>
      <c r="AA910" s="175"/>
      <c r="AB910" s="175"/>
      <c r="AC910" s="175"/>
      <c r="AD910" s="175"/>
    </row>
    <row r="911" spans="18:30" x14ac:dyDescent="0.25">
      <c r="R911" s="176"/>
      <c r="S911" s="175"/>
      <c r="T911" s="175"/>
      <c r="U911" s="175"/>
      <c r="V911" s="175"/>
      <c r="W911" s="175"/>
      <c r="X911" s="175"/>
      <c r="Y911" s="175"/>
      <c r="Z911" s="175"/>
      <c r="AA911" s="175"/>
      <c r="AB911" s="175"/>
      <c r="AC911" s="175"/>
      <c r="AD911" s="175"/>
    </row>
    <row r="912" spans="18:30" x14ac:dyDescent="0.25">
      <c r="R912" s="176"/>
      <c r="S912" s="175"/>
      <c r="T912" s="175"/>
      <c r="U912" s="175"/>
      <c r="V912" s="175"/>
      <c r="W912" s="175"/>
      <c r="X912" s="175"/>
      <c r="Y912" s="175"/>
      <c r="Z912" s="175"/>
      <c r="AA912" s="175"/>
      <c r="AB912" s="175"/>
      <c r="AC912" s="175"/>
      <c r="AD912" s="175"/>
    </row>
    <row r="913" spans="18:30" x14ac:dyDescent="0.25">
      <c r="R913" s="176"/>
      <c r="S913" s="175"/>
      <c r="T913" s="175"/>
      <c r="U913" s="175"/>
      <c r="V913" s="175"/>
      <c r="W913" s="175"/>
      <c r="X913" s="175"/>
      <c r="Y913" s="175"/>
      <c r="Z913" s="175"/>
      <c r="AA913" s="175"/>
      <c r="AB913" s="175"/>
      <c r="AC913" s="175"/>
      <c r="AD913" s="175"/>
    </row>
    <row r="914" spans="18:30" x14ac:dyDescent="0.25">
      <c r="R914" s="176"/>
      <c r="S914" s="175"/>
      <c r="T914" s="175"/>
      <c r="U914" s="175"/>
      <c r="V914" s="175"/>
      <c r="W914" s="175"/>
      <c r="X914" s="175"/>
      <c r="Y914" s="175"/>
      <c r="Z914" s="175"/>
      <c r="AA914" s="175"/>
      <c r="AB914" s="175"/>
      <c r="AC914" s="175"/>
      <c r="AD914" s="175"/>
    </row>
    <row r="915" spans="18:30" x14ac:dyDescent="0.25">
      <c r="R915" s="176"/>
      <c r="S915" s="175"/>
      <c r="T915" s="175"/>
      <c r="U915" s="175"/>
      <c r="V915" s="175"/>
      <c r="W915" s="175"/>
      <c r="X915" s="175"/>
      <c r="Y915" s="175"/>
      <c r="Z915" s="175"/>
      <c r="AA915" s="175"/>
      <c r="AB915" s="175"/>
      <c r="AC915" s="175"/>
      <c r="AD915" s="175"/>
    </row>
    <row r="916" spans="18:30" x14ac:dyDescent="0.25">
      <c r="R916" s="176"/>
      <c r="S916" s="175"/>
      <c r="T916" s="175"/>
      <c r="U916" s="175"/>
      <c r="V916" s="175"/>
      <c r="W916" s="175"/>
      <c r="X916" s="175"/>
      <c r="Y916" s="175"/>
      <c r="Z916" s="175"/>
      <c r="AA916" s="175"/>
      <c r="AB916" s="175"/>
      <c r="AC916" s="175"/>
      <c r="AD916" s="175"/>
    </row>
    <row r="917" spans="18:30" x14ac:dyDescent="0.25">
      <c r="R917" s="176"/>
      <c r="S917" s="175"/>
      <c r="T917" s="175"/>
      <c r="U917" s="175"/>
      <c r="V917" s="175"/>
      <c r="W917" s="175"/>
      <c r="X917" s="175"/>
      <c r="Y917" s="175"/>
      <c r="Z917" s="175"/>
      <c r="AA917" s="175"/>
      <c r="AB917" s="175"/>
      <c r="AC917" s="175"/>
      <c r="AD917" s="175"/>
    </row>
    <row r="918" spans="18:30" x14ac:dyDescent="0.25">
      <c r="R918" s="176"/>
      <c r="S918" s="175"/>
      <c r="T918" s="175"/>
      <c r="U918" s="175"/>
      <c r="V918" s="175"/>
      <c r="W918" s="175"/>
      <c r="X918" s="175"/>
      <c r="Y918" s="175"/>
      <c r="Z918" s="175"/>
      <c r="AA918" s="175"/>
      <c r="AB918" s="175"/>
      <c r="AC918" s="175"/>
      <c r="AD918" s="175"/>
    </row>
    <row r="919" spans="18:30" x14ac:dyDescent="0.25">
      <c r="R919" s="176"/>
      <c r="S919" s="175"/>
      <c r="T919" s="175"/>
      <c r="U919" s="175"/>
      <c r="V919" s="175"/>
      <c r="W919" s="175"/>
      <c r="X919" s="175"/>
      <c r="Y919" s="175"/>
      <c r="Z919" s="175"/>
      <c r="AA919" s="175"/>
      <c r="AB919" s="175"/>
      <c r="AC919" s="175"/>
      <c r="AD919" s="175"/>
    </row>
    <row r="920" spans="18:30" x14ac:dyDescent="0.25">
      <c r="R920" s="176"/>
      <c r="S920" s="175"/>
      <c r="T920" s="175"/>
      <c r="U920" s="175"/>
      <c r="V920" s="175"/>
      <c r="W920" s="175"/>
      <c r="X920" s="175"/>
      <c r="Y920" s="175"/>
      <c r="Z920" s="175"/>
      <c r="AA920" s="175"/>
      <c r="AB920" s="175"/>
      <c r="AC920" s="175"/>
      <c r="AD920" s="175"/>
    </row>
    <row r="921" spans="18:30" x14ac:dyDescent="0.25">
      <c r="R921" s="176"/>
      <c r="S921" s="175"/>
      <c r="T921" s="175"/>
      <c r="U921" s="175"/>
      <c r="V921" s="175"/>
      <c r="W921" s="175"/>
      <c r="X921" s="175"/>
      <c r="Y921" s="175"/>
      <c r="Z921" s="175"/>
      <c r="AA921" s="175"/>
      <c r="AB921" s="175"/>
      <c r="AC921" s="175"/>
      <c r="AD921" s="175"/>
    </row>
    <row r="922" spans="18:30" x14ac:dyDescent="0.25">
      <c r="R922" s="176"/>
      <c r="S922" s="175"/>
      <c r="T922" s="175"/>
      <c r="U922" s="175"/>
      <c r="V922" s="175"/>
      <c r="W922" s="175"/>
      <c r="X922" s="175"/>
      <c r="Y922" s="175"/>
      <c r="Z922" s="175"/>
      <c r="AA922" s="175"/>
      <c r="AB922" s="175"/>
      <c r="AC922" s="175"/>
      <c r="AD922" s="175"/>
    </row>
    <row r="923" spans="18:30" x14ac:dyDescent="0.25">
      <c r="R923" s="176"/>
      <c r="S923" s="175"/>
      <c r="T923" s="175"/>
      <c r="U923" s="175"/>
      <c r="V923" s="175"/>
      <c r="W923" s="175"/>
      <c r="X923" s="175"/>
      <c r="Y923" s="175"/>
      <c r="Z923" s="175"/>
      <c r="AA923" s="175"/>
      <c r="AB923" s="175"/>
      <c r="AC923" s="175"/>
      <c r="AD923" s="175"/>
    </row>
    <row r="924" spans="18:30" x14ac:dyDescent="0.25">
      <c r="R924" s="176"/>
      <c r="S924" s="175"/>
      <c r="T924" s="175"/>
      <c r="U924" s="175"/>
      <c r="V924" s="175"/>
      <c r="W924" s="175"/>
      <c r="X924" s="175"/>
      <c r="Y924" s="175"/>
      <c r="Z924" s="175"/>
      <c r="AA924" s="175"/>
      <c r="AB924" s="175"/>
      <c r="AC924" s="175"/>
      <c r="AD924" s="175"/>
    </row>
    <row r="925" spans="18:30" x14ac:dyDescent="0.25">
      <c r="R925" s="176"/>
      <c r="S925" s="175"/>
      <c r="T925" s="175"/>
      <c r="U925" s="175"/>
      <c r="V925" s="175"/>
      <c r="W925" s="175"/>
      <c r="X925" s="175"/>
      <c r="Y925" s="175"/>
      <c r="Z925" s="175"/>
      <c r="AA925" s="175"/>
      <c r="AB925" s="175"/>
      <c r="AC925" s="175"/>
      <c r="AD925" s="175"/>
    </row>
    <row r="926" spans="18:30" x14ac:dyDescent="0.25">
      <c r="R926" s="176"/>
      <c r="S926" s="175"/>
      <c r="T926" s="175"/>
      <c r="U926" s="175"/>
      <c r="V926" s="175"/>
      <c r="W926" s="175"/>
      <c r="X926" s="175"/>
      <c r="Y926" s="175"/>
      <c r="Z926" s="175"/>
      <c r="AA926" s="175"/>
      <c r="AB926" s="175"/>
      <c r="AC926" s="175"/>
      <c r="AD926" s="175"/>
    </row>
    <row r="927" spans="18:30" x14ac:dyDescent="0.25">
      <c r="R927" s="176"/>
      <c r="S927" s="175"/>
      <c r="T927" s="175"/>
      <c r="U927" s="175"/>
      <c r="V927" s="175"/>
      <c r="W927" s="175"/>
      <c r="X927" s="175"/>
      <c r="Y927" s="175"/>
      <c r="Z927" s="175"/>
      <c r="AA927" s="175"/>
      <c r="AB927" s="175"/>
      <c r="AC927" s="175"/>
      <c r="AD927" s="175"/>
    </row>
    <row r="928" spans="18:30" x14ac:dyDescent="0.25">
      <c r="R928" s="176"/>
      <c r="S928" s="175"/>
      <c r="T928" s="175"/>
      <c r="U928" s="175"/>
      <c r="V928" s="175"/>
      <c r="W928" s="175"/>
      <c r="X928" s="175"/>
      <c r="Y928" s="175"/>
      <c r="Z928" s="175"/>
      <c r="AA928" s="175"/>
      <c r="AB928" s="175"/>
      <c r="AC928" s="175"/>
      <c r="AD928" s="175"/>
    </row>
    <row r="929" spans="18:30" x14ac:dyDescent="0.25">
      <c r="R929" s="176"/>
      <c r="S929" s="175"/>
      <c r="T929" s="175"/>
      <c r="U929" s="175"/>
      <c r="V929" s="175"/>
      <c r="W929" s="175"/>
      <c r="X929" s="175"/>
      <c r="Y929" s="175"/>
      <c r="Z929" s="175"/>
      <c r="AA929" s="175"/>
      <c r="AB929" s="175"/>
      <c r="AC929" s="175"/>
      <c r="AD929" s="175"/>
    </row>
    <row r="930" spans="18:30" x14ac:dyDescent="0.25">
      <c r="R930" s="176"/>
      <c r="S930" s="175"/>
      <c r="T930" s="175"/>
      <c r="U930" s="175"/>
      <c r="V930" s="175"/>
      <c r="W930" s="175"/>
      <c r="X930" s="175"/>
      <c r="Y930" s="175"/>
      <c r="Z930" s="175"/>
      <c r="AA930" s="175"/>
      <c r="AB930" s="175"/>
      <c r="AC930" s="175"/>
      <c r="AD930" s="175"/>
    </row>
    <row r="931" spans="18:30" x14ac:dyDescent="0.25">
      <c r="R931" s="176"/>
      <c r="S931" s="175"/>
      <c r="T931" s="175"/>
      <c r="U931" s="175"/>
      <c r="V931" s="175"/>
      <c r="W931" s="175"/>
      <c r="X931" s="175"/>
      <c r="Y931" s="175"/>
      <c r="Z931" s="175"/>
      <c r="AA931" s="175"/>
      <c r="AB931" s="175"/>
      <c r="AC931" s="175"/>
      <c r="AD931" s="175"/>
    </row>
    <row r="932" spans="18:30" x14ac:dyDescent="0.25">
      <c r="R932" s="176"/>
      <c r="S932" s="175"/>
      <c r="T932" s="175"/>
      <c r="U932" s="175"/>
      <c r="V932" s="175"/>
      <c r="W932" s="175"/>
      <c r="X932" s="175"/>
      <c r="Y932" s="175"/>
      <c r="Z932" s="175"/>
      <c r="AA932" s="175"/>
      <c r="AB932" s="175"/>
      <c r="AC932" s="175"/>
      <c r="AD932" s="175"/>
    </row>
    <row r="933" spans="18:30" x14ac:dyDescent="0.25">
      <c r="R933" s="176"/>
      <c r="S933" s="175"/>
      <c r="T933" s="175"/>
      <c r="U933" s="175"/>
      <c r="V933" s="175"/>
      <c r="W933" s="175"/>
      <c r="X933" s="175"/>
      <c r="Y933" s="175"/>
      <c r="Z933" s="175"/>
      <c r="AA933" s="175"/>
      <c r="AB933" s="175"/>
      <c r="AC933" s="175"/>
      <c r="AD933" s="175"/>
    </row>
    <row r="934" spans="18:30" x14ac:dyDescent="0.25">
      <c r="R934" s="176"/>
      <c r="S934" s="175"/>
      <c r="T934" s="175"/>
      <c r="U934" s="175"/>
      <c r="V934" s="175"/>
      <c r="W934" s="175"/>
      <c r="X934" s="175"/>
      <c r="Y934" s="175"/>
      <c r="Z934" s="175"/>
      <c r="AA934" s="175"/>
      <c r="AB934" s="175"/>
      <c r="AC934" s="175"/>
      <c r="AD934" s="175"/>
    </row>
    <row r="935" spans="18:30" x14ac:dyDescent="0.25">
      <c r="R935" s="176"/>
      <c r="S935" s="175"/>
      <c r="T935" s="175"/>
      <c r="U935" s="175"/>
      <c r="V935" s="175"/>
      <c r="W935" s="175"/>
      <c r="X935" s="175"/>
      <c r="Y935" s="175"/>
      <c r="Z935" s="175"/>
      <c r="AA935" s="175"/>
      <c r="AB935" s="175"/>
      <c r="AC935" s="175"/>
      <c r="AD935" s="175"/>
    </row>
    <row r="936" spans="18:30" x14ac:dyDescent="0.25">
      <c r="R936" s="176"/>
      <c r="S936" s="175"/>
      <c r="T936" s="175"/>
      <c r="U936" s="175"/>
      <c r="V936" s="175"/>
      <c r="W936" s="175"/>
      <c r="X936" s="175"/>
      <c r="Y936" s="175"/>
      <c r="Z936" s="175"/>
      <c r="AA936" s="175"/>
      <c r="AB936" s="175"/>
      <c r="AC936" s="175"/>
      <c r="AD936" s="175"/>
    </row>
    <row r="937" spans="18:30" x14ac:dyDescent="0.25">
      <c r="R937" s="176"/>
      <c r="S937" s="175"/>
      <c r="T937" s="175"/>
      <c r="U937" s="175"/>
      <c r="V937" s="175"/>
      <c r="W937" s="175"/>
      <c r="X937" s="175"/>
      <c r="Y937" s="175"/>
      <c r="Z937" s="175"/>
      <c r="AA937" s="175"/>
      <c r="AB937" s="175"/>
      <c r="AC937" s="175"/>
      <c r="AD937" s="175"/>
    </row>
    <row r="938" spans="18:30" x14ac:dyDescent="0.25">
      <c r="R938" s="176"/>
      <c r="S938" s="175"/>
      <c r="T938" s="175"/>
      <c r="U938" s="175"/>
      <c r="V938" s="175"/>
      <c r="W938" s="175"/>
      <c r="X938" s="175"/>
      <c r="Y938" s="175"/>
      <c r="Z938" s="175"/>
      <c r="AA938" s="175"/>
      <c r="AB938" s="175"/>
      <c r="AC938" s="175"/>
      <c r="AD938" s="175"/>
    </row>
    <row r="939" spans="18:30" x14ac:dyDescent="0.25">
      <c r="R939" s="176"/>
      <c r="S939" s="175"/>
      <c r="T939" s="175"/>
      <c r="U939" s="175"/>
      <c r="V939" s="175"/>
      <c r="W939" s="175"/>
      <c r="X939" s="175"/>
      <c r="Y939" s="175"/>
      <c r="Z939" s="175"/>
      <c r="AA939" s="175"/>
      <c r="AB939" s="175"/>
      <c r="AC939" s="175"/>
      <c r="AD939" s="175"/>
    </row>
    <row r="940" spans="18:30" x14ac:dyDescent="0.25">
      <c r="R940" s="176"/>
      <c r="S940" s="175"/>
      <c r="T940" s="175"/>
      <c r="U940" s="175"/>
      <c r="V940" s="175"/>
      <c r="W940" s="175"/>
      <c r="X940" s="175"/>
      <c r="Y940" s="175"/>
      <c r="Z940" s="175"/>
      <c r="AA940" s="175"/>
      <c r="AB940" s="175"/>
      <c r="AC940" s="175"/>
      <c r="AD940" s="175"/>
    </row>
    <row r="941" spans="18:30" x14ac:dyDescent="0.25">
      <c r="R941" s="176"/>
      <c r="S941" s="175"/>
      <c r="T941" s="175"/>
      <c r="U941" s="175"/>
      <c r="V941" s="175"/>
      <c r="W941" s="175"/>
      <c r="X941" s="175"/>
      <c r="Y941" s="175"/>
      <c r="Z941" s="175"/>
      <c r="AA941" s="175"/>
      <c r="AB941" s="175"/>
      <c r="AC941" s="175"/>
      <c r="AD941" s="175"/>
    </row>
    <row r="942" spans="18:30" x14ac:dyDescent="0.25">
      <c r="R942" s="176"/>
      <c r="S942" s="175"/>
      <c r="T942" s="175"/>
      <c r="U942" s="175"/>
      <c r="V942" s="175"/>
      <c r="W942" s="175"/>
      <c r="X942" s="175"/>
      <c r="Y942" s="175"/>
      <c r="Z942" s="175"/>
      <c r="AA942" s="175"/>
      <c r="AB942" s="175"/>
      <c r="AC942" s="175"/>
      <c r="AD942" s="175"/>
    </row>
    <row r="943" spans="18:30" x14ac:dyDescent="0.25">
      <c r="R943" s="176"/>
      <c r="S943" s="175"/>
      <c r="T943" s="175"/>
      <c r="U943" s="175"/>
      <c r="V943" s="175"/>
      <c r="W943" s="175"/>
      <c r="X943" s="175"/>
      <c r="Y943" s="175"/>
      <c r="Z943" s="175"/>
      <c r="AA943" s="175"/>
      <c r="AB943" s="175"/>
      <c r="AC943" s="175"/>
      <c r="AD943" s="175"/>
    </row>
    <row r="944" spans="18:30" x14ac:dyDescent="0.25">
      <c r="R944" s="176"/>
      <c r="S944" s="175"/>
      <c r="T944" s="175"/>
      <c r="U944" s="175"/>
      <c r="V944" s="175"/>
      <c r="W944" s="175"/>
      <c r="X944" s="175"/>
      <c r="Y944" s="175"/>
      <c r="Z944" s="175"/>
      <c r="AA944" s="175"/>
      <c r="AB944" s="175"/>
      <c r="AC944" s="175"/>
      <c r="AD944" s="175"/>
    </row>
    <row r="945" spans="18:30" x14ac:dyDescent="0.25">
      <c r="R945" s="176"/>
      <c r="S945" s="175"/>
      <c r="T945" s="175"/>
      <c r="U945" s="175"/>
      <c r="V945" s="175"/>
      <c r="W945" s="175"/>
      <c r="X945" s="175"/>
      <c r="Y945" s="175"/>
      <c r="Z945" s="175"/>
      <c r="AA945" s="175"/>
      <c r="AB945" s="175"/>
      <c r="AC945" s="175"/>
      <c r="AD945" s="175"/>
    </row>
    <row r="946" spans="18:30" x14ac:dyDescent="0.25">
      <c r="R946" s="176"/>
      <c r="S946" s="175"/>
      <c r="T946" s="175"/>
      <c r="U946" s="175"/>
      <c r="V946" s="175"/>
      <c r="W946" s="175"/>
      <c r="X946" s="175"/>
      <c r="Y946" s="175"/>
      <c r="Z946" s="175"/>
      <c r="AA946" s="175"/>
      <c r="AB946" s="175"/>
      <c r="AC946" s="175"/>
      <c r="AD946" s="175"/>
    </row>
    <row r="947" spans="18:30" x14ac:dyDescent="0.25">
      <c r="R947" s="176"/>
      <c r="S947" s="175"/>
      <c r="T947" s="175"/>
      <c r="U947" s="175"/>
      <c r="V947" s="175"/>
      <c r="W947" s="175"/>
      <c r="X947" s="175"/>
      <c r="Y947" s="175"/>
      <c r="Z947" s="175"/>
      <c r="AA947" s="175"/>
      <c r="AB947" s="175"/>
      <c r="AC947" s="175"/>
      <c r="AD947" s="175"/>
    </row>
    <row r="948" spans="18:30" x14ac:dyDescent="0.25">
      <c r="R948" s="176"/>
      <c r="S948" s="175"/>
      <c r="T948" s="175"/>
      <c r="U948" s="175"/>
      <c r="V948" s="175"/>
      <c r="W948" s="175"/>
      <c r="X948" s="175"/>
      <c r="Y948" s="175"/>
      <c r="Z948" s="175"/>
      <c r="AA948" s="175"/>
      <c r="AB948" s="175"/>
      <c r="AC948" s="175"/>
      <c r="AD948" s="175"/>
    </row>
    <row r="949" spans="18:30" x14ac:dyDescent="0.25">
      <c r="R949" s="176"/>
      <c r="S949" s="175"/>
      <c r="T949" s="175"/>
      <c r="U949" s="175"/>
      <c r="V949" s="175"/>
      <c r="W949" s="175"/>
      <c r="X949" s="175"/>
      <c r="Y949" s="175"/>
      <c r="Z949" s="175"/>
      <c r="AA949" s="175"/>
      <c r="AB949" s="175"/>
      <c r="AC949" s="175"/>
      <c r="AD949" s="175"/>
    </row>
    <row r="950" spans="18:30" x14ac:dyDescent="0.25">
      <c r="R950" s="176"/>
      <c r="S950" s="175"/>
      <c r="T950" s="175"/>
      <c r="U950" s="175"/>
      <c r="V950" s="175"/>
      <c r="W950" s="175"/>
      <c r="X950" s="175"/>
      <c r="Y950" s="175"/>
      <c r="Z950" s="175"/>
      <c r="AA950" s="175"/>
      <c r="AB950" s="175"/>
      <c r="AC950" s="175"/>
      <c r="AD950" s="175"/>
    </row>
    <row r="951" spans="18:30" x14ac:dyDescent="0.25">
      <c r="R951" s="176"/>
      <c r="S951" s="175"/>
      <c r="T951" s="175"/>
      <c r="U951" s="175"/>
      <c r="V951" s="175"/>
      <c r="W951" s="175"/>
      <c r="X951" s="175"/>
      <c r="Y951" s="175"/>
      <c r="Z951" s="175"/>
      <c r="AA951" s="175"/>
      <c r="AB951" s="175"/>
      <c r="AC951" s="175"/>
      <c r="AD951" s="175"/>
    </row>
    <row r="952" spans="18:30" x14ac:dyDescent="0.25">
      <c r="R952" s="176"/>
      <c r="S952" s="175"/>
      <c r="T952" s="175"/>
      <c r="U952" s="175"/>
      <c r="V952" s="175"/>
      <c r="W952" s="175"/>
      <c r="X952" s="175"/>
      <c r="Y952" s="175"/>
      <c r="Z952" s="175"/>
      <c r="AA952" s="175"/>
      <c r="AB952" s="175"/>
      <c r="AC952" s="175"/>
      <c r="AD952" s="175"/>
    </row>
    <row r="953" spans="18:30" x14ac:dyDescent="0.25">
      <c r="R953" s="176"/>
      <c r="S953" s="175"/>
      <c r="T953" s="175"/>
      <c r="U953" s="175"/>
      <c r="V953" s="175"/>
      <c r="W953" s="175"/>
      <c r="X953" s="175"/>
      <c r="Y953" s="175"/>
      <c r="Z953" s="175"/>
      <c r="AA953" s="175"/>
      <c r="AB953" s="175"/>
      <c r="AC953" s="175"/>
      <c r="AD953" s="175"/>
    </row>
    <row r="954" spans="18:30" x14ac:dyDescent="0.25">
      <c r="R954" s="176"/>
      <c r="S954" s="175"/>
      <c r="T954" s="175"/>
      <c r="U954" s="175"/>
      <c r="V954" s="175"/>
      <c r="W954" s="175"/>
      <c r="X954" s="175"/>
      <c r="Y954" s="175"/>
      <c r="Z954" s="175"/>
      <c r="AA954" s="175"/>
      <c r="AB954" s="175"/>
      <c r="AC954" s="175"/>
      <c r="AD954" s="175"/>
    </row>
    <row r="955" spans="18:30" x14ac:dyDescent="0.25">
      <c r="R955" s="176"/>
      <c r="S955" s="175"/>
      <c r="T955" s="175"/>
      <c r="U955" s="175"/>
      <c r="V955" s="175"/>
      <c r="W955" s="175"/>
      <c r="X955" s="175"/>
      <c r="Y955" s="175"/>
      <c r="Z955" s="175"/>
      <c r="AA955" s="175"/>
      <c r="AB955" s="175"/>
      <c r="AC955" s="175"/>
      <c r="AD955" s="175"/>
    </row>
    <row r="956" spans="18:30" x14ac:dyDescent="0.25">
      <c r="R956" s="176"/>
      <c r="S956" s="175"/>
      <c r="T956" s="175"/>
      <c r="U956" s="175"/>
      <c r="V956" s="175"/>
      <c r="W956" s="175"/>
      <c r="X956" s="175"/>
      <c r="Y956" s="175"/>
      <c r="Z956" s="175"/>
      <c r="AA956" s="175"/>
      <c r="AB956" s="175"/>
      <c r="AC956" s="175"/>
      <c r="AD956" s="175"/>
    </row>
    <row r="957" spans="18:30" x14ac:dyDescent="0.25">
      <c r="R957" s="176"/>
      <c r="S957" s="175"/>
      <c r="T957" s="175"/>
      <c r="U957" s="175"/>
      <c r="V957" s="175"/>
      <c r="W957" s="175"/>
      <c r="X957" s="175"/>
      <c r="Y957" s="175"/>
      <c r="Z957" s="175"/>
      <c r="AA957" s="175"/>
      <c r="AB957" s="175"/>
      <c r="AC957" s="175"/>
      <c r="AD957" s="175"/>
    </row>
    <row r="958" spans="18:30" x14ac:dyDescent="0.25">
      <c r="R958" s="176"/>
      <c r="S958" s="175"/>
      <c r="T958" s="175"/>
      <c r="U958" s="175"/>
      <c r="V958" s="175"/>
      <c r="W958" s="175"/>
      <c r="X958" s="175"/>
      <c r="Y958" s="175"/>
      <c r="Z958" s="175"/>
      <c r="AA958" s="175"/>
      <c r="AB958" s="175"/>
      <c r="AC958" s="175"/>
      <c r="AD958" s="175"/>
    </row>
    <row r="959" spans="18:30" x14ac:dyDescent="0.25">
      <c r="R959" s="176"/>
      <c r="S959" s="175"/>
      <c r="T959" s="175"/>
      <c r="U959" s="175"/>
      <c r="V959" s="175"/>
      <c r="W959" s="175"/>
      <c r="X959" s="175"/>
      <c r="Y959" s="175"/>
      <c r="Z959" s="175"/>
      <c r="AA959" s="175"/>
      <c r="AB959" s="175"/>
      <c r="AC959" s="175"/>
      <c r="AD959" s="175"/>
    </row>
    <row r="960" spans="18:30" x14ac:dyDescent="0.25">
      <c r="R960" s="176"/>
      <c r="S960" s="175"/>
      <c r="T960" s="175"/>
      <c r="U960" s="175"/>
      <c r="V960" s="175"/>
      <c r="W960" s="175"/>
      <c r="X960" s="175"/>
      <c r="Y960" s="175"/>
      <c r="Z960" s="175"/>
      <c r="AA960" s="175"/>
      <c r="AB960" s="175"/>
      <c r="AC960" s="175"/>
      <c r="AD960" s="175"/>
    </row>
    <row r="961" spans="18:30" x14ac:dyDescent="0.25">
      <c r="R961" s="176"/>
      <c r="S961" s="175"/>
      <c r="T961" s="175"/>
      <c r="U961" s="175"/>
      <c r="V961" s="175"/>
      <c r="W961" s="175"/>
      <c r="X961" s="175"/>
      <c r="Y961" s="175"/>
      <c r="Z961" s="175"/>
      <c r="AA961" s="175"/>
      <c r="AB961" s="175"/>
      <c r="AC961" s="175"/>
      <c r="AD961" s="175"/>
    </row>
    <row r="962" spans="18:30" x14ac:dyDescent="0.25">
      <c r="R962" s="176"/>
      <c r="S962" s="175"/>
      <c r="T962" s="175"/>
      <c r="U962" s="175"/>
      <c r="V962" s="175"/>
      <c r="W962" s="175"/>
      <c r="X962" s="175"/>
      <c r="Y962" s="175"/>
      <c r="Z962" s="175"/>
      <c r="AA962" s="175"/>
      <c r="AB962" s="175"/>
      <c r="AC962" s="175"/>
      <c r="AD962" s="175"/>
    </row>
    <row r="963" spans="18:30" x14ac:dyDescent="0.25">
      <c r="R963" s="176"/>
      <c r="S963" s="175"/>
      <c r="T963" s="175"/>
      <c r="U963" s="175"/>
      <c r="V963" s="175"/>
      <c r="W963" s="175"/>
      <c r="X963" s="175"/>
      <c r="Y963" s="175"/>
      <c r="Z963" s="175"/>
      <c r="AA963" s="175"/>
      <c r="AB963" s="175"/>
      <c r="AC963" s="175"/>
      <c r="AD963" s="175"/>
    </row>
    <row r="964" spans="18:30" x14ac:dyDescent="0.25">
      <c r="R964" s="176"/>
      <c r="S964" s="175"/>
      <c r="T964" s="175"/>
      <c r="U964" s="175"/>
      <c r="V964" s="175"/>
      <c r="W964" s="175"/>
      <c r="X964" s="175"/>
      <c r="Y964" s="175"/>
      <c r="Z964" s="175"/>
      <c r="AA964" s="175"/>
      <c r="AB964" s="175"/>
      <c r="AC964" s="175"/>
      <c r="AD964" s="175"/>
    </row>
    <row r="965" spans="18:30" x14ac:dyDescent="0.25">
      <c r="R965" s="176"/>
      <c r="S965" s="175"/>
      <c r="T965" s="175"/>
      <c r="U965" s="175"/>
      <c r="V965" s="175"/>
      <c r="W965" s="175"/>
      <c r="X965" s="175"/>
      <c r="Y965" s="175"/>
      <c r="Z965" s="175"/>
      <c r="AA965" s="175"/>
      <c r="AB965" s="175"/>
      <c r="AC965" s="175"/>
      <c r="AD965" s="175"/>
    </row>
    <row r="966" spans="18:30" x14ac:dyDescent="0.25">
      <c r="R966" s="176"/>
      <c r="S966" s="175"/>
      <c r="T966" s="175"/>
      <c r="U966" s="175"/>
      <c r="V966" s="175"/>
      <c r="W966" s="175"/>
      <c r="X966" s="175"/>
      <c r="Y966" s="175"/>
      <c r="Z966" s="175"/>
      <c r="AA966" s="175"/>
      <c r="AB966" s="175"/>
      <c r="AC966" s="175"/>
      <c r="AD966" s="175"/>
    </row>
    <row r="967" spans="18:30" x14ac:dyDescent="0.25">
      <c r="R967" s="176"/>
      <c r="S967" s="175"/>
      <c r="T967" s="175"/>
      <c r="U967" s="175"/>
      <c r="V967" s="175"/>
      <c r="W967" s="175"/>
      <c r="X967" s="175"/>
      <c r="Y967" s="175"/>
      <c r="Z967" s="175"/>
      <c r="AA967" s="175"/>
      <c r="AB967" s="175"/>
      <c r="AC967" s="175"/>
      <c r="AD967" s="175"/>
    </row>
    <row r="968" spans="18:30" x14ac:dyDescent="0.25">
      <c r="R968" s="176"/>
      <c r="S968" s="175"/>
      <c r="T968" s="175"/>
      <c r="U968" s="175"/>
      <c r="V968" s="175"/>
      <c r="W968" s="175"/>
      <c r="X968" s="175"/>
      <c r="Y968" s="175"/>
      <c r="Z968" s="175"/>
      <c r="AA968" s="175"/>
      <c r="AB968" s="175"/>
      <c r="AC968" s="175"/>
      <c r="AD968" s="175"/>
    </row>
    <row r="969" spans="18:30" x14ac:dyDescent="0.25">
      <c r="R969" s="176"/>
      <c r="S969" s="175"/>
      <c r="T969" s="175"/>
      <c r="U969" s="175"/>
      <c r="V969" s="175"/>
      <c r="W969" s="175"/>
      <c r="X969" s="175"/>
      <c r="Y969" s="175"/>
      <c r="Z969" s="175"/>
      <c r="AA969" s="175"/>
      <c r="AB969" s="175"/>
      <c r="AC969" s="175"/>
      <c r="AD969" s="175"/>
    </row>
    <row r="970" spans="18:30" x14ac:dyDescent="0.25">
      <c r="R970" s="176"/>
      <c r="S970" s="175"/>
      <c r="T970" s="175"/>
      <c r="U970" s="175"/>
      <c r="V970" s="175"/>
      <c r="W970" s="175"/>
      <c r="X970" s="175"/>
      <c r="Y970" s="175"/>
      <c r="Z970" s="175"/>
      <c r="AA970" s="175"/>
      <c r="AB970" s="175"/>
      <c r="AC970" s="175"/>
      <c r="AD970" s="175"/>
    </row>
    <row r="971" spans="18:30" x14ac:dyDescent="0.25">
      <c r="R971" s="176"/>
      <c r="S971" s="175"/>
      <c r="T971" s="175"/>
      <c r="U971" s="175"/>
      <c r="V971" s="175"/>
      <c r="W971" s="175"/>
      <c r="X971" s="175"/>
      <c r="Y971" s="175"/>
      <c r="Z971" s="175"/>
      <c r="AA971" s="175"/>
      <c r="AB971" s="175"/>
      <c r="AC971" s="175"/>
      <c r="AD971" s="175"/>
    </row>
    <row r="972" spans="18:30" x14ac:dyDescent="0.25">
      <c r="R972" s="176"/>
      <c r="S972" s="175"/>
      <c r="T972" s="175"/>
      <c r="U972" s="175"/>
      <c r="V972" s="175"/>
      <c r="W972" s="175"/>
      <c r="X972" s="175"/>
      <c r="Y972" s="175"/>
      <c r="Z972" s="175"/>
      <c r="AA972" s="175"/>
      <c r="AB972" s="175"/>
      <c r="AC972" s="175"/>
      <c r="AD972" s="175"/>
    </row>
    <row r="973" spans="18:30" x14ac:dyDescent="0.25">
      <c r="R973" s="176"/>
      <c r="S973" s="175"/>
      <c r="T973" s="175"/>
      <c r="U973" s="175"/>
      <c r="V973" s="175"/>
      <c r="W973" s="175"/>
      <c r="X973" s="175"/>
      <c r="Y973" s="175"/>
      <c r="Z973" s="175"/>
      <c r="AA973" s="175"/>
      <c r="AB973" s="175"/>
      <c r="AC973" s="175"/>
      <c r="AD973" s="175"/>
    </row>
    <row r="974" spans="18:30" x14ac:dyDescent="0.25">
      <c r="R974" s="176"/>
      <c r="S974" s="175"/>
      <c r="T974" s="175"/>
      <c r="U974" s="175"/>
      <c r="V974" s="175"/>
      <c r="W974" s="175"/>
      <c r="X974" s="175"/>
      <c r="Y974" s="175"/>
      <c r="Z974" s="175"/>
      <c r="AA974" s="175"/>
      <c r="AB974" s="175"/>
      <c r="AC974" s="175"/>
      <c r="AD974" s="175"/>
    </row>
    <row r="975" spans="18:30" x14ac:dyDescent="0.25">
      <c r="R975" s="176"/>
      <c r="S975" s="175"/>
      <c r="T975" s="175"/>
      <c r="U975" s="175"/>
      <c r="V975" s="175"/>
      <c r="W975" s="175"/>
      <c r="X975" s="175"/>
      <c r="Y975" s="175"/>
      <c r="Z975" s="175"/>
      <c r="AA975" s="175"/>
      <c r="AB975" s="175"/>
      <c r="AC975" s="175"/>
      <c r="AD975" s="175"/>
    </row>
    <row r="976" spans="18:30" x14ac:dyDescent="0.25">
      <c r="R976" s="176"/>
      <c r="S976" s="175"/>
      <c r="T976" s="175"/>
      <c r="U976" s="175"/>
      <c r="V976" s="175"/>
      <c r="W976" s="175"/>
      <c r="X976" s="175"/>
      <c r="Y976" s="175"/>
      <c r="Z976" s="175"/>
      <c r="AA976" s="175"/>
      <c r="AB976" s="175"/>
      <c r="AC976" s="175"/>
      <c r="AD976" s="175"/>
    </row>
    <row r="977" spans="18:30" x14ac:dyDescent="0.25">
      <c r="R977" s="176"/>
      <c r="S977" s="175"/>
      <c r="T977" s="175"/>
      <c r="U977" s="175"/>
      <c r="V977" s="175"/>
      <c r="W977" s="175"/>
      <c r="X977" s="175"/>
      <c r="Y977" s="175"/>
      <c r="Z977" s="175"/>
      <c r="AA977" s="175"/>
      <c r="AB977" s="175"/>
      <c r="AC977" s="175"/>
      <c r="AD977" s="175"/>
    </row>
    <row r="978" spans="18:30" x14ac:dyDescent="0.25">
      <c r="R978" s="176"/>
      <c r="S978" s="175"/>
      <c r="T978" s="175"/>
      <c r="U978" s="175"/>
      <c r="V978" s="175"/>
      <c r="W978" s="175"/>
      <c r="X978" s="175"/>
      <c r="Y978" s="175"/>
      <c r="Z978" s="175"/>
      <c r="AA978" s="175"/>
      <c r="AB978" s="175"/>
      <c r="AC978" s="175"/>
      <c r="AD978" s="175"/>
    </row>
    <row r="979" spans="18:30" x14ac:dyDescent="0.25">
      <c r="R979" s="176"/>
      <c r="S979" s="175"/>
      <c r="T979" s="175"/>
      <c r="U979" s="175"/>
      <c r="V979" s="175"/>
      <c r="W979" s="175"/>
      <c r="X979" s="175"/>
      <c r="Y979" s="175"/>
      <c r="Z979" s="175"/>
      <c r="AA979" s="175"/>
      <c r="AB979" s="175"/>
      <c r="AC979" s="175"/>
      <c r="AD979" s="175"/>
    </row>
    <row r="980" spans="18:30" x14ac:dyDescent="0.25">
      <c r="R980" s="176"/>
      <c r="S980" s="175"/>
      <c r="T980" s="175"/>
      <c r="U980" s="175"/>
      <c r="V980" s="175"/>
      <c r="W980" s="175"/>
      <c r="X980" s="175"/>
      <c r="Y980" s="175"/>
      <c r="Z980" s="175"/>
      <c r="AA980" s="175"/>
      <c r="AB980" s="175"/>
      <c r="AC980" s="175"/>
      <c r="AD980" s="175"/>
    </row>
    <row r="981" spans="18:30" x14ac:dyDescent="0.25">
      <c r="R981" s="176"/>
      <c r="S981" s="175"/>
      <c r="T981" s="175"/>
      <c r="U981" s="175"/>
      <c r="V981" s="175"/>
      <c r="W981" s="175"/>
      <c r="X981" s="175"/>
      <c r="Y981" s="175"/>
      <c r="Z981" s="175"/>
      <c r="AA981" s="175"/>
      <c r="AB981" s="175"/>
      <c r="AC981" s="175"/>
      <c r="AD981" s="175"/>
    </row>
    <row r="982" spans="18:30" x14ac:dyDescent="0.25">
      <c r="R982" s="176"/>
      <c r="S982" s="175"/>
      <c r="T982" s="175"/>
      <c r="U982" s="175"/>
      <c r="V982" s="175"/>
      <c r="W982" s="175"/>
      <c r="X982" s="175"/>
      <c r="Y982" s="175"/>
      <c r="Z982" s="175"/>
      <c r="AA982" s="175"/>
      <c r="AB982" s="175"/>
      <c r="AC982" s="175"/>
      <c r="AD982" s="175"/>
    </row>
    <row r="983" spans="18:30" x14ac:dyDescent="0.25">
      <c r="R983" s="176"/>
      <c r="S983" s="175"/>
      <c r="T983" s="175"/>
      <c r="U983" s="175"/>
      <c r="V983" s="175"/>
      <c r="W983" s="175"/>
      <c r="X983" s="175"/>
      <c r="Y983" s="175"/>
      <c r="Z983" s="175"/>
      <c r="AA983" s="175"/>
      <c r="AB983" s="175"/>
      <c r="AC983" s="175"/>
      <c r="AD983" s="175"/>
    </row>
    <row r="984" spans="18:30" x14ac:dyDescent="0.25">
      <c r="R984" s="176"/>
      <c r="S984" s="175"/>
      <c r="T984" s="175"/>
      <c r="U984" s="175"/>
      <c r="V984" s="175"/>
      <c r="W984" s="175"/>
      <c r="X984" s="175"/>
      <c r="Y984" s="175"/>
      <c r="Z984" s="175"/>
      <c r="AA984" s="175"/>
      <c r="AB984" s="175"/>
      <c r="AC984" s="175"/>
      <c r="AD984" s="175"/>
    </row>
    <row r="985" spans="18:30" x14ac:dyDescent="0.25">
      <c r="R985" s="176"/>
      <c r="S985" s="175"/>
      <c r="T985" s="175"/>
      <c r="U985" s="175"/>
      <c r="V985" s="175"/>
      <c r="W985" s="175"/>
      <c r="X985" s="175"/>
      <c r="Y985" s="175"/>
      <c r="Z985" s="175"/>
      <c r="AA985" s="175"/>
      <c r="AB985" s="175"/>
      <c r="AC985" s="175"/>
      <c r="AD985" s="175"/>
    </row>
    <row r="986" spans="18:30" x14ac:dyDescent="0.25">
      <c r="R986" s="176"/>
      <c r="S986" s="175"/>
      <c r="T986" s="175"/>
      <c r="U986" s="175"/>
      <c r="V986" s="175"/>
      <c r="W986" s="175"/>
      <c r="X986" s="175"/>
      <c r="Y986" s="175"/>
      <c r="Z986" s="175"/>
      <c r="AA986" s="175"/>
      <c r="AB986" s="175"/>
      <c r="AC986" s="175"/>
      <c r="AD986" s="175"/>
    </row>
    <row r="987" spans="18:30" x14ac:dyDescent="0.25">
      <c r="R987" s="176"/>
      <c r="S987" s="175"/>
      <c r="T987" s="175"/>
      <c r="U987" s="175"/>
      <c r="V987" s="175"/>
      <c r="W987" s="175"/>
      <c r="X987" s="175"/>
      <c r="Y987" s="175"/>
      <c r="Z987" s="175"/>
      <c r="AA987" s="175"/>
      <c r="AB987" s="175"/>
      <c r="AC987" s="175"/>
      <c r="AD987" s="175"/>
    </row>
    <row r="988" spans="18:30" x14ac:dyDescent="0.25">
      <c r="R988" s="176"/>
      <c r="S988" s="175"/>
      <c r="T988" s="175"/>
      <c r="U988" s="175"/>
      <c r="V988" s="175"/>
      <c r="W988" s="175"/>
      <c r="X988" s="175"/>
      <c r="Y988" s="175"/>
      <c r="Z988" s="175"/>
      <c r="AA988" s="175"/>
      <c r="AB988" s="175"/>
      <c r="AC988" s="175"/>
      <c r="AD988" s="175"/>
    </row>
    <row r="989" spans="18:30" x14ac:dyDescent="0.25">
      <c r="R989" s="176"/>
      <c r="S989" s="175"/>
      <c r="T989" s="175"/>
      <c r="U989" s="175"/>
      <c r="V989" s="175"/>
      <c r="W989" s="175"/>
      <c r="X989" s="175"/>
      <c r="Y989" s="175"/>
      <c r="Z989" s="175"/>
      <c r="AA989" s="175"/>
      <c r="AB989" s="175"/>
      <c r="AC989" s="175"/>
      <c r="AD989" s="175"/>
    </row>
    <row r="990" spans="18:30" x14ac:dyDescent="0.25">
      <c r="R990" s="176"/>
      <c r="S990" s="175"/>
      <c r="T990" s="175"/>
      <c r="U990" s="175"/>
      <c r="V990" s="175"/>
      <c r="W990" s="175"/>
      <c r="X990" s="175"/>
      <c r="Y990" s="175"/>
      <c r="Z990" s="175"/>
      <c r="AA990" s="175"/>
      <c r="AB990" s="175"/>
      <c r="AC990" s="175"/>
      <c r="AD990" s="175"/>
    </row>
    <row r="991" spans="18:30" x14ac:dyDescent="0.25">
      <c r="R991" s="176"/>
      <c r="S991" s="175"/>
      <c r="T991" s="175"/>
      <c r="U991" s="175"/>
      <c r="V991" s="175"/>
      <c r="W991" s="175"/>
      <c r="X991" s="175"/>
      <c r="Y991" s="175"/>
      <c r="Z991" s="175"/>
      <c r="AA991" s="175"/>
      <c r="AB991" s="175"/>
      <c r="AC991" s="175"/>
      <c r="AD991" s="175"/>
    </row>
    <row r="992" spans="18:30" x14ac:dyDescent="0.25">
      <c r="R992" s="176"/>
      <c r="S992" s="175"/>
      <c r="T992" s="175"/>
      <c r="U992" s="175"/>
      <c r="V992" s="175"/>
      <c r="W992" s="175"/>
      <c r="X992" s="175"/>
      <c r="Y992" s="175"/>
      <c r="Z992" s="175"/>
      <c r="AA992" s="175"/>
      <c r="AB992" s="175"/>
      <c r="AC992" s="175"/>
      <c r="AD992" s="175"/>
    </row>
    <row r="993" spans="18:30" x14ac:dyDescent="0.25">
      <c r="R993" s="176"/>
      <c r="S993" s="175"/>
      <c r="T993" s="175"/>
      <c r="U993" s="175"/>
      <c r="V993" s="175"/>
      <c r="W993" s="175"/>
      <c r="X993" s="175"/>
      <c r="Y993" s="175"/>
      <c r="Z993" s="175"/>
      <c r="AA993" s="175"/>
      <c r="AB993" s="175"/>
      <c r="AC993" s="175"/>
      <c r="AD993" s="175"/>
    </row>
    <row r="994" spans="18:30" x14ac:dyDescent="0.25">
      <c r="R994" s="176"/>
      <c r="S994" s="175"/>
      <c r="T994" s="175"/>
      <c r="U994" s="175"/>
      <c r="V994" s="175"/>
      <c r="W994" s="175"/>
      <c r="X994" s="175"/>
      <c r="Y994" s="175"/>
      <c r="Z994" s="175"/>
      <c r="AA994" s="175"/>
      <c r="AB994" s="175"/>
      <c r="AC994" s="175"/>
      <c r="AD994" s="175"/>
    </row>
    <row r="995" spans="18:30" x14ac:dyDescent="0.25">
      <c r="R995" s="176"/>
      <c r="S995" s="175"/>
      <c r="T995" s="175"/>
      <c r="U995" s="175"/>
      <c r="V995" s="175"/>
      <c r="W995" s="175"/>
      <c r="X995" s="175"/>
      <c r="Y995" s="175"/>
      <c r="Z995" s="175"/>
      <c r="AA995" s="175"/>
      <c r="AB995" s="175"/>
      <c r="AC995" s="175"/>
      <c r="AD995" s="175"/>
    </row>
    <row r="996" spans="18:30" x14ac:dyDescent="0.25">
      <c r="R996" s="176"/>
      <c r="S996" s="175"/>
      <c r="T996" s="175"/>
      <c r="U996" s="175"/>
      <c r="V996" s="175"/>
      <c r="W996" s="175"/>
      <c r="X996" s="175"/>
      <c r="Y996" s="175"/>
      <c r="Z996" s="175"/>
      <c r="AA996" s="175"/>
      <c r="AB996" s="175"/>
      <c r="AC996" s="175"/>
      <c r="AD996" s="175"/>
    </row>
    <row r="997" spans="18:30" x14ac:dyDescent="0.25">
      <c r="R997" s="176"/>
      <c r="S997" s="175"/>
      <c r="T997" s="175"/>
      <c r="U997" s="175"/>
      <c r="V997" s="175"/>
      <c r="W997" s="175"/>
      <c r="X997" s="175"/>
      <c r="Y997" s="175"/>
      <c r="Z997" s="175"/>
      <c r="AA997" s="175"/>
      <c r="AB997" s="175"/>
      <c r="AC997" s="175"/>
      <c r="AD997" s="175"/>
    </row>
    <row r="998" spans="18:30" x14ac:dyDescent="0.25">
      <c r="R998" s="176"/>
      <c r="S998" s="175"/>
      <c r="T998" s="175"/>
      <c r="U998" s="175"/>
      <c r="V998" s="175"/>
      <c r="W998" s="175"/>
      <c r="X998" s="175"/>
      <c r="Y998" s="175"/>
      <c r="Z998" s="175"/>
      <c r="AA998" s="175"/>
      <c r="AB998" s="175"/>
      <c r="AC998" s="175"/>
      <c r="AD998" s="175"/>
    </row>
    <row r="999" spans="18:30" x14ac:dyDescent="0.25">
      <c r="R999" s="176"/>
      <c r="S999" s="175"/>
      <c r="T999" s="175"/>
      <c r="U999" s="175"/>
      <c r="V999" s="175"/>
      <c r="W999" s="175"/>
      <c r="X999" s="175"/>
      <c r="Y999" s="175"/>
      <c r="Z999" s="175"/>
      <c r="AA999" s="175"/>
      <c r="AB999" s="175"/>
      <c r="AC999" s="175"/>
      <c r="AD999" s="175"/>
    </row>
    <row r="1000" spans="18:30" x14ac:dyDescent="0.25">
      <c r="R1000" s="176"/>
      <c r="S1000" s="175"/>
      <c r="T1000" s="175"/>
      <c r="U1000" s="175"/>
      <c r="V1000" s="175"/>
      <c r="W1000" s="175"/>
      <c r="X1000" s="175"/>
      <c r="Y1000" s="175"/>
      <c r="Z1000" s="175"/>
      <c r="AA1000" s="175"/>
      <c r="AB1000" s="175"/>
      <c r="AC1000" s="175"/>
      <c r="AD1000" s="175"/>
    </row>
    <row r="1001" spans="18:30" x14ac:dyDescent="0.25">
      <c r="R1001" s="176"/>
      <c r="S1001" s="175"/>
      <c r="T1001" s="175"/>
      <c r="U1001" s="175"/>
      <c r="V1001" s="175"/>
      <c r="W1001" s="175"/>
      <c r="X1001" s="175"/>
      <c r="Y1001" s="175"/>
      <c r="Z1001" s="175"/>
      <c r="AA1001" s="175"/>
      <c r="AB1001" s="175"/>
      <c r="AC1001" s="175"/>
      <c r="AD1001" s="175"/>
    </row>
    <row r="1002" spans="18:30" x14ac:dyDescent="0.25">
      <c r="R1002" s="176"/>
      <c r="S1002" s="175"/>
      <c r="T1002" s="175"/>
      <c r="U1002" s="175"/>
      <c r="V1002" s="175"/>
      <c r="W1002" s="175"/>
      <c r="X1002" s="175"/>
      <c r="Y1002" s="175"/>
      <c r="Z1002" s="175"/>
      <c r="AA1002" s="175"/>
      <c r="AB1002" s="175"/>
      <c r="AC1002" s="175"/>
      <c r="AD1002" s="175"/>
    </row>
    <row r="1003" spans="18:30" x14ac:dyDescent="0.25">
      <c r="R1003" s="176"/>
      <c r="S1003" s="175"/>
      <c r="T1003" s="175"/>
      <c r="U1003" s="175"/>
      <c r="V1003" s="175"/>
      <c r="W1003" s="175"/>
      <c r="X1003" s="175"/>
      <c r="Y1003" s="175"/>
      <c r="Z1003" s="175"/>
      <c r="AA1003" s="175"/>
      <c r="AB1003" s="175"/>
      <c r="AC1003" s="175"/>
      <c r="AD1003" s="175"/>
    </row>
    <row r="1004" spans="18:30" x14ac:dyDescent="0.25">
      <c r="R1004" s="176"/>
      <c r="S1004" s="175"/>
      <c r="T1004" s="175"/>
      <c r="U1004" s="175"/>
      <c r="V1004" s="175"/>
      <c r="W1004" s="175"/>
      <c r="X1004" s="175"/>
      <c r="Y1004" s="175"/>
      <c r="Z1004" s="175"/>
      <c r="AA1004" s="175"/>
      <c r="AB1004" s="175"/>
      <c r="AC1004" s="175"/>
      <c r="AD1004" s="175"/>
    </row>
    <row r="1005" spans="18:30" x14ac:dyDescent="0.25">
      <c r="R1005" s="176"/>
      <c r="S1005" s="175"/>
      <c r="T1005" s="175"/>
      <c r="U1005" s="175"/>
      <c r="V1005" s="175"/>
      <c r="W1005" s="175"/>
      <c r="X1005" s="175"/>
      <c r="Y1005" s="175"/>
      <c r="Z1005" s="175"/>
      <c r="AA1005" s="175"/>
      <c r="AB1005" s="175"/>
      <c r="AC1005" s="175"/>
      <c r="AD1005" s="175"/>
    </row>
    <row r="1006" spans="18:30" x14ac:dyDescent="0.25">
      <c r="R1006" s="176"/>
      <c r="S1006" s="175"/>
      <c r="T1006" s="175"/>
      <c r="U1006" s="175"/>
      <c r="V1006" s="175"/>
      <c r="W1006" s="175"/>
      <c r="X1006" s="175"/>
      <c r="Y1006" s="175"/>
      <c r="Z1006" s="175"/>
      <c r="AA1006" s="175"/>
      <c r="AB1006" s="175"/>
      <c r="AC1006" s="175"/>
      <c r="AD1006" s="175"/>
    </row>
    <row r="1007" spans="18:30" x14ac:dyDescent="0.25">
      <c r="R1007" s="176"/>
      <c r="S1007" s="175"/>
      <c r="T1007" s="175"/>
      <c r="U1007" s="175"/>
      <c r="V1007" s="175"/>
      <c r="W1007" s="175"/>
      <c r="X1007" s="175"/>
      <c r="Y1007" s="175"/>
      <c r="Z1007" s="175"/>
      <c r="AA1007" s="175"/>
      <c r="AB1007" s="175"/>
      <c r="AC1007" s="175"/>
      <c r="AD1007" s="175"/>
    </row>
    <row r="1008" spans="18:30" x14ac:dyDescent="0.25">
      <c r="R1008" s="176"/>
      <c r="S1008" s="175"/>
      <c r="T1008" s="175"/>
      <c r="U1008" s="175"/>
      <c r="V1008" s="175"/>
      <c r="W1008" s="175"/>
      <c r="X1008" s="175"/>
      <c r="Y1008" s="175"/>
      <c r="Z1008" s="175"/>
      <c r="AA1008" s="175"/>
      <c r="AB1008" s="175"/>
      <c r="AC1008" s="175"/>
      <c r="AD1008" s="175"/>
    </row>
    <row r="1009" spans="18:30" x14ac:dyDescent="0.25">
      <c r="R1009" s="176"/>
      <c r="S1009" s="175"/>
      <c r="T1009" s="175"/>
      <c r="U1009" s="175"/>
      <c r="V1009" s="175"/>
      <c r="W1009" s="175"/>
      <c r="X1009" s="175"/>
      <c r="Y1009" s="175"/>
      <c r="Z1009" s="175"/>
      <c r="AA1009" s="175"/>
      <c r="AB1009" s="175"/>
      <c r="AC1009" s="175"/>
      <c r="AD1009" s="175"/>
    </row>
    <row r="1010" spans="18:30" x14ac:dyDescent="0.25">
      <c r="R1010" s="176"/>
      <c r="S1010" s="175"/>
      <c r="T1010" s="175"/>
      <c r="U1010" s="175"/>
      <c r="V1010" s="175"/>
      <c r="W1010" s="175"/>
      <c r="X1010" s="175"/>
      <c r="Y1010" s="175"/>
      <c r="Z1010" s="175"/>
      <c r="AA1010" s="175"/>
      <c r="AB1010" s="175"/>
      <c r="AC1010" s="175"/>
      <c r="AD1010" s="175"/>
    </row>
    <row r="1011" spans="18:30" x14ac:dyDescent="0.25">
      <c r="R1011" s="176"/>
      <c r="S1011" s="175"/>
      <c r="T1011" s="175"/>
      <c r="U1011" s="175"/>
      <c r="V1011" s="175"/>
      <c r="W1011" s="175"/>
      <c r="X1011" s="175"/>
      <c r="Y1011" s="175"/>
      <c r="Z1011" s="175"/>
      <c r="AA1011" s="175"/>
      <c r="AB1011" s="175"/>
      <c r="AC1011" s="175"/>
      <c r="AD1011" s="175"/>
    </row>
    <row r="1012" spans="18:30" x14ac:dyDescent="0.25">
      <c r="R1012" s="176"/>
      <c r="S1012" s="175"/>
      <c r="T1012" s="175"/>
      <c r="U1012" s="175"/>
      <c r="V1012" s="175"/>
      <c r="W1012" s="175"/>
      <c r="X1012" s="175"/>
      <c r="Y1012" s="175"/>
      <c r="Z1012" s="175"/>
      <c r="AA1012" s="175"/>
      <c r="AB1012" s="175"/>
      <c r="AC1012" s="175"/>
      <c r="AD1012" s="175"/>
    </row>
    <row r="1013" spans="18:30" x14ac:dyDescent="0.25">
      <c r="R1013" s="176"/>
      <c r="S1013" s="175"/>
      <c r="T1013" s="175"/>
      <c r="U1013" s="175"/>
      <c r="V1013" s="175"/>
      <c r="W1013" s="175"/>
      <c r="X1013" s="175"/>
      <c r="Y1013" s="175"/>
      <c r="Z1013" s="175"/>
      <c r="AA1013" s="175"/>
      <c r="AB1013" s="175"/>
      <c r="AC1013" s="175"/>
      <c r="AD1013" s="175"/>
    </row>
    <row r="1014" spans="18:30" x14ac:dyDescent="0.25">
      <c r="R1014" s="176"/>
      <c r="S1014" s="175"/>
      <c r="T1014" s="175"/>
      <c r="U1014" s="175"/>
      <c r="V1014" s="175"/>
      <c r="W1014" s="175"/>
      <c r="X1014" s="175"/>
      <c r="Y1014" s="175"/>
      <c r="Z1014" s="175"/>
      <c r="AA1014" s="175"/>
      <c r="AB1014" s="175"/>
      <c r="AC1014" s="175"/>
      <c r="AD1014" s="175"/>
    </row>
    <row r="1015" spans="18:30" x14ac:dyDescent="0.25">
      <c r="R1015" s="176"/>
      <c r="S1015" s="175"/>
      <c r="T1015" s="175"/>
      <c r="U1015" s="175"/>
      <c r="V1015" s="175"/>
      <c r="W1015" s="175"/>
      <c r="X1015" s="175"/>
      <c r="Y1015" s="175"/>
      <c r="Z1015" s="175"/>
      <c r="AA1015" s="175"/>
      <c r="AB1015" s="175"/>
      <c r="AC1015" s="175"/>
      <c r="AD1015" s="175"/>
    </row>
    <row r="1016" spans="18:30" x14ac:dyDescent="0.25">
      <c r="R1016" s="176"/>
      <c r="S1016" s="175"/>
      <c r="T1016" s="175"/>
      <c r="U1016" s="175"/>
      <c r="V1016" s="175"/>
      <c r="W1016" s="175"/>
      <c r="X1016" s="175"/>
      <c r="Y1016" s="175"/>
      <c r="Z1016" s="175"/>
      <c r="AA1016" s="175"/>
      <c r="AB1016" s="175"/>
      <c r="AC1016" s="175"/>
      <c r="AD1016" s="175"/>
    </row>
    <row r="1017" spans="18:30" x14ac:dyDescent="0.25">
      <c r="R1017" s="176"/>
      <c r="S1017" s="175"/>
      <c r="T1017" s="175"/>
      <c r="U1017" s="175"/>
      <c r="V1017" s="175"/>
      <c r="W1017" s="175"/>
      <c r="X1017" s="175"/>
      <c r="Y1017" s="175"/>
      <c r="Z1017" s="175"/>
      <c r="AA1017" s="175"/>
      <c r="AB1017" s="175"/>
      <c r="AC1017" s="175"/>
      <c r="AD1017" s="175"/>
    </row>
    <row r="1018" spans="18:30" x14ac:dyDescent="0.25">
      <c r="R1018" s="176"/>
      <c r="S1018" s="175"/>
      <c r="T1018" s="175"/>
      <c r="U1018" s="175"/>
      <c r="V1018" s="175"/>
      <c r="W1018" s="175"/>
      <c r="X1018" s="175"/>
      <c r="Y1018" s="175"/>
      <c r="Z1018" s="175"/>
      <c r="AA1018" s="175"/>
      <c r="AB1018" s="175"/>
      <c r="AC1018" s="175"/>
      <c r="AD1018" s="175"/>
    </row>
    <row r="1019" spans="18:30" x14ac:dyDescent="0.25">
      <c r="R1019" s="176"/>
      <c r="S1019" s="175"/>
      <c r="T1019" s="175"/>
      <c r="U1019" s="175"/>
      <c r="V1019" s="175"/>
      <c r="W1019" s="175"/>
      <c r="X1019" s="175"/>
      <c r="Y1019" s="175"/>
      <c r="Z1019" s="175"/>
      <c r="AA1019" s="175"/>
      <c r="AB1019" s="175"/>
      <c r="AC1019" s="175"/>
      <c r="AD1019" s="175"/>
    </row>
    <row r="1020" spans="18:30" x14ac:dyDescent="0.25">
      <c r="R1020" s="176"/>
      <c r="S1020" s="175"/>
      <c r="T1020" s="175"/>
      <c r="U1020" s="175"/>
      <c r="V1020" s="175"/>
      <c r="W1020" s="175"/>
      <c r="X1020" s="175"/>
      <c r="Y1020" s="175"/>
      <c r="Z1020" s="175"/>
      <c r="AA1020" s="175"/>
      <c r="AB1020" s="175"/>
      <c r="AC1020" s="175"/>
      <c r="AD1020" s="175"/>
    </row>
    <row r="1021" spans="18:30" x14ac:dyDescent="0.25">
      <c r="R1021" s="176"/>
      <c r="S1021" s="175"/>
      <c r="T1021" s="175"/>
      <c r="U1021" s="175"/>
      <c r="V1021" s="175"/>
      <c r="W1021" s="175"/>
      <c r="X1021" s="175"/>
      <c r="Y1021" s="175"/>
      <c r="Z1021" s="175"/>
      <c r="AA1021" s="175"/>
      <c r="AB1021" s="175"/>
      <c r="AC1021" s="175"/>
      <c r="AD1021" s="175"/>
    </row>
    <row r="1022" spans="18:30" x14ac:dyDescent="0.25">
      <c r="R1022" s="176"/>
      <c r="S1022" s="175"/>
      <c r="T1022" s="175"/>
      <c r="U1022" s="175"/>
      <c r="V1022" s="175"/>
      <c r="W1022" s="175"/>
      <c r="X1022" s="175"/>
      <c r="Y1022" s="175"/>
      <c r="Z1022" s="175"/>
      <c r="AA1022" s="175"/>
      <c r="AB1022" s="175"/>
      <c r="AC1022" s="175"/>
      <c r="AD1022" s="175"/>
    </row>
    <row r="1023" spans="18:30" x14ac:dyDescent="0.25">
      <c r="R1023" s="176"/>
      <c r="S1023" s="175"/>
      <c r="T1023" s="175"/>
      <c r="U1023" s="175"/>
      <c r="V1023" s="175"/>
      <c r="W1023" s="175"/>
      <c r="X1023" s="175"/>
      <c r="Y1023" s="175"/>
      <c r="Z1023" s="175"/>
      <c r="AA1023" s="175"/>
      <c r="AB1023" s="175"/>
      <c r="AC1023" s="175"/>
      <c r="AD1023" s="175"/>
    </row>
    <row r="1024" spans="18:30" x14ac:dyDescent="0.25">
      <c r="R1024" s="176"/>
      <c r="S1024" s="175"/>
      <c r="T1024" s="175"/>
      <c r="U1024" s="175"/>
      <c r="V1024" s="175"/>
      <c r="W1024" s="175"/>
      <c r="X1024" s="175"/>
      <c r="Y1024" s="175"/>
      <c r="Z1024" s="175"/>
      <c r="AA1024" s="175"/>
      <c r="AB1024" s="175"/>
      <c r="AC1024" s="175"/>
      <c r="AD1024" s="175"/>
    </row>
    <row r="1025" spans="18:30" x14ac:dyDescent="0.25">
      <c r="R1025" s="176"/>
      <c r="S1025" s="175"/>
      <c r="T1025" s="175"/>
      <c r="U1025" s="175"/>
      <c r="V1025" s="175"/>
      <c r="W1025" s="175"/>
      <c r="X1025" s="175"/>
      <c r="Y1025" s="175"/>
      <c r="Z1025" s="175"/>
      <c r="AA1025" s="175"/>
      <c r="AB1025" s="175"/>
      <c r="AC1025" s="175"/>
      <c r="AD1025" s="175"/>
    </row>
    <row r="1026" spans="18:30" x14ac:dyDescent="0.25">
      <c r="R1026" s="176"/>
      <c r="S1026" s="175"/>
      <c r="T1026" s="175"/>
      <c r="U1026" s="175"/>
      <c r="V1026" s="175"/>
      <c r="W1026" s="175"/>
      <c r="X1026" s="175"/>
      <c r="Y1026" s="175"/>
      <c r="Z1026" s="175"/>
      <c r="AA1026" s="175"/>
      <c r="AB1026" s="175"/>
      <c r="AC1026" s="175"/>
      <c r="AD1026" s="175"/>
    </row>
    <row r="1027" spans="18:30" x14ac:dyDescent="0.25">
      <c r="R1027" s="176"/>
      <c r="S1027" s="175"/>
      <c r="T1027" s="175"/>
      <c r="U1027" s="175"/>
      <c r="V1027" s="175"/>
      <c r="W1027" s="175"/>
      <c r="X1027" s="175"/>
      <c r="Y1027" s="175"/>
      <c r="Z1027" s="175"/>
      <c r="AA1027" s="175"/>
      <c r="AB1027" s="175"/>
      <c r="AC1027" s="175"/>
      <c r="AD1027" s="175"/>
    </row>
    <row r="1028" spans="18:30" x14ac:dyDescent="0.25">
      <c r="R1028" s="176"/>
      <c r="S1028" s="175"/>
      <c r="T1028" s="175"/>
      <c r="U1028" s="175"/>
      <c r="V1028" s="175"/>
      <c r="W1028" s="175"/>
      <c r="X1028" s="175"/>
      <c r="Y1028" s="175"/>
      <c r="Z1028" s="175"/>
      <c r="AA1028" s="175"/>
      <c r="AB1028" s="175"/>
      <c r="AC1028" s="175"/>
      <c r="AD1028" s="175"/>
    </row>
    <row r="1029" spans="18:30" x14ac:dyDescent="0.25">
      <c r="R1029" s="176"/>
      <c r="S1029" s="175"/>
      <c r="T1029" s="175"/>
      <c r="U1029" s="175"/>
      <c r="V1029" s="175"/>
      <c r="W1029" s="175"/>
      <c r="X1029" s="175"/>
      <c r="Y1029" s="175"/>
      <c r="Z1029" s="175"/>
      <c r="AA1029" s="175"/>
      <c r="AB1029" s="175"/>
      <c r="AC1029" s="175"/>
      <c r="AD1029" s="175"/>
    </row>
    <row r="1030" spans="18:30" x14ac:dyDescent="0.25">
      <c r="R1030" s="176"/>
      <c r="S1030" s="175"/>
      <c r="T1030" s="175"/>
      <c r="U1030" s="175"/>
      <c r="V1030" s="175"/>
      <c r="W1030" s="175"/>
      <c r="X1030" s="175"/>
      <c r="Y1030" s="175"/>
      <c r="Z1030" s="175"/>
      <c r="AA1030" s="175"/>
      <c r="AB1030" s="175"/>
      <c r="AC1030" s="175"/>
      <c r="AD1030" s="175"/>
    </row>
    <row r="1031" spans="18:30" x14ac:dyDescent="0.25">
      <c r="R1031" s="176"/>
      <c r="S1031" s="175"/>
      <c r="T1031" s="175"/>
      <c r="U1031" s="175"/>
      <c r="V1031" s="175"/>
      <c r="W1031" s="175"/>
      <c r="X1031" s="175"/>
      <c r="Y1031" s="175"/>
      <c r="Z1031" s="175"/>
      <c r="AA1031" s="175"/>
      <c r="AB1031" s="175"/>
      <c r="AC1031" s="175"/>
      <c r="AD1031" s="175"/>
    </row>
    <row r="1032" spans="18:30" x14ac:dyDescent="0.25">
      <c r="R1032" s="176"/>
      <c r="S1032" s="175"/>
      <c r="T1032" s="175"/>
      <c r="U1032" s="175"/>
      <c r="V1032" s="175"/>
      <c r="W1032" s="175"/>
      <c r="X1032" s="175"/>
      <c r="Y1032" s="175"/>
      <c r="Z1032" s="175"/>
      <c r="AA1032" s="175"/>
      <c r="AB1032" s="175"/>
      <c r="AC1032" s="175"/>
      <c r="AD1032" s="175"/>
    </row>
    <row r="1033" spans="18:30" x14ac:dyDescent="0.25">
      <c r="R1033" s="176"/>
      <c r="S1033" s="175"/>
      <c r="T1033" s="175"/>
      <c r="U1033" s="175"/>
      <c r="V1033" s="175"/>
      <c r="W1033" s="175"/>
      <c r="X1033" s="175"/>
      <c r="Y1033" s="175"/>
      <c r="Z1033" s="175"/>
      <c r="AA1033" s="175"/>
      <c r="AB1033" s="175"/>
      <c r="AC1033" s="175"/>
      <c r="AD1033" s="175"/>
    </row>
    <row r="1034" spans="18:30" x14ac:dyDescent="0.25">
      <c r="R1034" s="176"/>
      <c r="S1034" s="175"/>
      <c r="T1034" s="175"/>
      <c r="U1034" s="175"/>
      <c r="V1034" s="175"/>
      <c r="W1034" s="175"/>
      <c r="X1034" s="175"/>
      <c r="Y1034" s="175"/>
      <c r="Z1034" s="175"/>
      <c r="AA1034" s="175"/>
      <c r="AB1034" s="175"/>
      <c r="AC1034" s="175"/>
      <c r="AD1034" s="175"/>
    </row>
    <row r="1035" spans="18:30" x14ac:dyDescent="0.25">
      <c r="R1035" s="176"/>
      <c r="S1035" s="175"/>
      <c r="T1035" s="175"/>
      <c r="U1035" s="175"/>
      <c r="V1035" s="175"/>
      <c r="W1035" s="175"/>
      <c r="X1035" s="175"/>
      <c r="Y1035" s="175"/>
      <c r="Z1035" s="175"/>
      <c r="AA1035" s="175"/>
      <c r="AB1035" s="175"/>
      <c r="AC1035" s="175"/>
      <c r="AD1035" s="175"/>
    </row>
    <row r="1036" spans="18:30" x14ac:dyDescent="0.25">
      <c r="R1036" s="176"/>
      <c r="S1036" s="175"/>
      <c r="T1036" s="175"/>
      <c r="U1036" s="175"/>
      <c r="V1036" s="175"/>
      <c r="W1036" s="175"/>
      <c r="X1036" s="175"/>
      <c r="Y1036" s="175"/>
      <c r="Z1036" s="175"/>
      <c r="AA1036" s="175"/>
      <c r="AB1036" s="175"/>
      <c r="AC1036" s="175"/>
      <c r="AD1036" s="175"/>
    </row>
    <row r="1037" spans="18:30" x14ac:dyDescent="0.25">
      <c r="R1037" s="176"/>
      <c r="S1037" s="175"/>
      <c r="T1037" s="175"/>
      <c r="U1037" s="175"/>
      <c r="V1037" s="175"/>
      <c r="W1037" s="175"/>
      <c r="X1037" s="175"/>
      <c r="Y1037" s="175"/>
      <c r="Z1037" s="175"/>
      <c r="AA1037" s="175"/>
      <c r="AB1037" s="175"/>
      <c r="AC1037" s="175"/>
      <c r="AD1037" s="175"/>
    </row>
    <row r="1038" spans="18:30" x14ac:dyDescent="0.25">
      <c r="R1038" s="176"/>
      <c r="S1038" s="175"/>
      <c r="T1038" s="175"/>
      <c r="U1038" s="175"/>
      <c r="V1038" s="175"/>
      <c r="W1038" s="175"/>
      <c r="X1038" s="175"/>
      <c r="Y1038" s="175"/>
      <c r="Z1038" s="175"/>
      <c r="AA1038" s="175"/>
      <c r="AB1038" s="175"/>
      <c r="AC1038" s="175"/>
      <c r="AD1038" s="175"/>
    </row>
    <row r="1039" spans="18:30" x14ac:dyDescent="0.25">
      <c r="R1039" s="176"/>
      <c r="S1039" s="175"/>
      <c r="T1039" s="175"/>
      <c r="U1039" s="175"/>
      <c r="V1039" s="175"/>
      <c r="W1039" s="175"/>
      <c r="X1039" s="175"/>
      <c r="Y1039" s="175"/>
      <c r="Z1039" s="175"/>
      <c r="AA1039" s="175"/>
      <c r="AB1039" s="175"/>
      <c r="AC1039" s="175"/>
      <c r="AD1039" s="175"/>
    </row>
    <row r="1040" spans="18:30" x14ac:dyDescent="0.25">
      <c r="R1040" s="176"/>
      <c r="S1040" s="175"/>
      <c r="T1040" s="175"/>
      <c r="U1040" s="175"/>
      <c r="V1040" s="175"/>
      <c r="W1040" s="175"/>
      <c r="X1040" s="175"/>
      <c r="Y1040" s="175"/>
      <c r="Z1040" s="175"/>
      <c r="AA1040" s="175"/>
      <c r="AB1040" s="175"/>
      <c r="AC1040" s="175"/>
      <c r="AD1040" s="175"/>
    </row>
    <row r="1041" spans="18:30" x14ac:dyDescent="0.25">
      <c r="R1041" s="176"/>
      <c r="S1041" s="175"/>
      <c r="T1041" s="175"/>
      <c r="U1041" s="175"/>
      <c r="V1041" s="175"/>
      <c r="W1041" s="175"/>
      <c r="X1041" s="175"/>
      <c r="Y1041" s="175"/>
      <c r="Z1041" s="175"/>
      <c r="AA1041" s="175"/>
      <c r="AB1041" s="175"/>
      <c r="AC1041" s="175"/>
      <c r="AD1041" s="175"/>
    </row>
    <row r="1042" spans="18:30" x14ac:dyDescent="0.25">
      <c r="R1042" s="176"/>
      <c r="S1042" s="175"/>
      <c r="T1042" s="175"/>
      <c r="U1042" s="175"/>
      <c r="V1042" s="175"/>
      <c r="W1042" s="175"/>
      <c r="X1042" s="175"/>
      <c r="Y1042" s="175"/>
      <c r="Z1042" s="175"/>
      <c r="AA1042" s="175"/>
      <c r="AB1042" s="175"/>
      <c r="AC1042" s="175"/>
      <c r="AD1042" s="175"/>
    </row>
    <row r="1043" spans="18:30" x14ac:dyDescent="0.25">
      <c r="R1043" s="176"/>
      <c r="S1043" s="175"/>
      <c r="T1043" s="175"/>
      <c r="U1043" s="175"/>
      <c r="V1043" s="175"/>
      <c r="W1043" s="175"/>
      <c r="X1043" s="175"/>
      <c r="Y1043" s="175"/>
      <c r="Z1043" s="175"/>
      <c r="AA1043" s="175"/>
      <c r="AB1043" s="175"/>
      <c r="AC1043" s="175"/>
      <c r="AD1043" s="175"/>
    </row>
    <row r="1044" spans="18:30" x14ac:dyDescent="0.25">
      <c r="R1044" s="176"/>
      <c r="S1044" s="175"/>
      <c r="T1044" s="175"/>
      <c r="U1044" s="175"/>
      <c r="V1044" s="175"/>
      <c r="W1044" s="175"/>
      <c r="X1044" s="175"/>
      <c r="Y1044" s="175"/>
      <c r="Z1044" s="175"/>
      <c r="AA1044" s="175"/>
      <c r="AB1044" s="175"/>
      <c r="AC1044" s="175"/>
      <c r="AD1044" s="175"/>
    </row>
    <row r="1045" spans="18:30" x14ac:dyDescent="0.25">
      <c r="R1045" s="176"/>
      <c r="S1045" s="175"/>
      <c r="T1045" s="175"/>
      <c r="U1045" s="175"/>
      <c r="V1045" s="175"/>
      <c r="W1045" s="175"/>
      <c r="X1045" s="175"/>
      <c r="Y1045" s="175"/>
      <c r="Z1045" s="175"/>
      <c r="AA1045" s="175"/>
      <c r="AB1045" s="175"/>
      <c r="AC1045" s="175"/>
      <c r="AD1045" s="175"/>
    </row>
    <row r="1046" spans="18:30" x14ac:dyDescent="0.25">
      <c r="R1046" s="176"/>
      <c r="S1046" s="175"/>
      <c r="T1046" s="175"/>
      <c r="U1046" s="175"/>
      <c r="V1046" s="175"/>
      <c r="W1046" s="175"/>
      <c r="X1046" s="175"/>
      <c r="Y1046" s="175"/>
      <c r="Z1046" s="175"/>
      <c r="AA1046" s="175"/>
      <c r="AB1046" s="175"/>
      <c r="AC1046" s="175"/>
      <c r="AD1046" s="175"/>
    </row>
    <row r="1047" spans="18:30" x14ac:dyDescent="0.25">
      <c r="R1047" s="176"/>
      <c r="S1047" s="175"/>
      <c r="T1047" s="175"/>
      <c r="U1047" s="175"/>
      <c r="V1047" s="175"/>
      <c r="W1047" s="175"/>
      <c r="X1047" s="175"/>
      <c r="Y1047" s="175"/>
      <c r="Z1047" s="175"/>
      <c r="AA1047" s="175"/>
      <c r="AB1047" s="175"/>
      <c r="AC1047" s="175"/>
      <c r="AD1047" s="175"/>
    </row>
    <row r="1048" spans="18:30" x14ac:dyDescent="0.25">
      <c r="R1048" s="176"/>
      <c r="S1048" s="175"/>
      <c r="T1048" s="175"/>
      <c r="U1048" s="175"/>
      <c r="V1048" s="175"/>
      <c r="W1048" s="175"/>
      <c r="X1048" s="175"/>
      <c r="Y1048" s="175"/>
      <c r="Z1048" s="175"/>
      <c r="AA1048" s="175"/>
      <c r="AB1048" s="175"/>
      <c r="AC1048" s="175"/>
      <c r="AD1048" s="175"/>
    </row>
    <row r="1049" spans="18:30" x14ac:dyDescent="0.25">
      <c r="R1049" s="176"/>
      <c r="S1049" s="175"/>
      <c r="T1049" s="175"/>
      <c r="U1049" s="175"/>
      <c r="V1049" s="175"/>
      <c r="W1049" s="175"/>
      <c r="X1049" s="175"/>
      <c r="Y1049" s="175"/>
      <c r="Z1049" s="175"/>
      <c r="AA1049" s="175"/>
      <c r="AB1049" s="175"/>
      <c r="AC1049" s="175"/>
      <c r="AD1049" s="175"/>
    </row>
    <row r="1050" spans="18:30" x14ac:dyDescent="0.25">
      <c r="R1050" s="176"/>
      <c r="S1050" s="175"/>
      <c r="T1050" s="175"/>
      <c r="U1050" s="175"/>
      <c r="V1050" s="175"/>
      <c r="W1050" s="175"/>
      <c r="X1050" s="175"/>
      <c r="Y1050" s="175"/>
      <c r="Z1050" s="175"/>
      <c r="AA1050" s="175"/>
      <c r="AB1050" s="175"/>
      <c r="AC1050" s="175"/>
      <c r="AD1050" s="175"/>
    </row>
    <row r="1051" spans="18:30" x14ac:dyDescent="0.25">
      <c r="R1051" s="176"/>
      <c r="S1051" s="175"/>
      <c r="T1051" s="175"/>
      <c r="U1051" s="175"/>
      <c r="V1051" s="175"/>
      <c r="W1051" s="175"/>
      <c r="X1051" s="175"/>
      <c r="Y1051" s="175"/>
      <c r="Z1051" s="175"/>
      <c r="AA1051" s="175"/>
      <c r="AB1051" s="175"/>
      <c r="AC1051" s="175"/>
      <c r="AD1051" s="175"/>
    </row>
    <row r="1052" spans="18:30" x14ac:dyDescent="0.25">
      <c r="R1052" s="176"/>
      <c r="S1052" s="175"/>
      <c r="T1052" s="175"/>
      <c r="U1052" s="175"/>
      <c r="V1052" s="175"/>
      <c r="W1052" s="175"/>
      <c r="X1052" s="175"/>
      <c r="Y1052" s="175"/>
      <c r="Z1052" s="175"/>
      <c r="AA1052" s="175"/>
      <c r="AB1052" s="175"/>
      <c r="AC1052" s="175"/>
      <c r="AD1052" s="175"/>
    </row>
    <row r="1053" spans="18:30" x14ac:dyDescent="0.25">
      <c r="R1053" s="176"/>
      <c r="S1053" s="175"/>
      <c r="T1053" s="175"/>
      <c r="U1053" s="175"/>
      <c r="V1053" s="175"/>
      <c r="W1053" s="175"/>
      <c r="X1053" s="175"/>
      <c r="Y1053" s="175"/>
      <c r="Z1053" s="175"/>
      <c r="AA1053" s="175"/>
      <c r="AB1053" s="175"/>
      <c r="AC1053" s="175"/>
      <c r="AD1053" s="175"/>
    </row>
    <row r="1054" spans="18:30" x14ac:dyDescent="0.25">
      <c r="R1054" s="176"/>
      <c r="S1054" s="175"/>
      <c r="T1054" s="175"/>
      <c r="U1054" s="175"/>
      <c r="V1054" s="175"/>
      <c r="W1054" s="175"/>
      <c r="X1054" s="175"/>
      <c r="Y1054" s="175"/>
      <c r="Z1054" s="175"/>
      <c r="AA1054" s="175"/>
      <c r="AB1054" s="175"/>
      <c r="AC1054" s="175"/>
      <c r="AD1054" s="175"/>
    </row>
    <row r="1055" spans="18:30" x14ac:dyDescent="0.25">
      <c r="R1055" s="176"/>
      <c r="S1055" s="175"/>
      <c r="T1055" s="175"/>
      <c r="U1055" s="175"/>
      <c r="V1055" s="175"/>
      <c r="W1055" s="175"/>
      <c r="X1055" s="175"/>
      <c r="Y1055" s="175"/>
      <c r="Z1055" s="175"/>
      <c r="AA1055" s="175"/>
      <c r="AB1055" s="175"/>
      <c r="AC1055" s="175"/>
      <c r="AD1055" s="175"/>
    </row>
    <row r="1056" spans="18:30" x14ac:dyDescent="0.25">
      <c r="R1056" s="176"/>
      <c r="S1056" s="175"/>
      <c r="T1056" s="175"/>
      <c r="U1056" s="175"/>
      <c r="V1056" s="175"/>
      <c r="W1056" s="175"/>
      <c r="X1056" s="175"/>
      <c r="Y1056" s="175"/>
      <c r="Z1056" s="175"/>
      <c r="AA1056" s="175"/>
      <c r="AB1056" s="175"/>
      <c r="AC1056" s="175"/>
      <c r="AD1056" s="175"/>
    </row>
    <row r="1057" spans="18:30" x14ac:dyDescent="0.25">
      <c r="R1057" s="176"/>
      <c r="S1057" s="175"/>
      <c r="T1057" s="175"/>
      <c r="U1057" s="175"/>
      <c r="V1057" s="175"/>
      <c r="W1057" s="175"/>
      <c r="X1057" s="175"/>
      <c r="Y1057" s="175"/>
      <c r="Z1057" s="175"/>
      <c r="AA1057" s="175"/>
      <c r="AB1057" s="175"/>
      <c r="AC1057" s="175"/>
      <c r="AD1057" s="175"/>
    </row>
    <row r="1058" spans="18:30" x14ac:dyDescent="0.25">
      <c r="R1058" s="176"/>
      <c r="S1058" s="175"/>
      <c r="T1058" s="175"/>
      <c r="U1058" s="175"/>
      <c r="V1058" s="175"/>
      <c r="W1058" s="175"/>
      <c r="X1058" s="175"/>
      <c r="Y1058" s="175"/>
      <c r="Z1058" s="175"/>
      <c r="AA1058" s="175"/>
      <c r="AB1058" s="175"/>
      <c r="AC1058" s="175"/>
      <c r="AD1058" s="175"/>
    </row>
    <row r="1059" spans="18:30" x14ac:dyDescent="0.25">
      <c r="R1059" s="176"/>
      <c r="S1059" s="175"/>
      <c r="T1059" s="175"/>
      <c r="U1059" s="175"/>
      <c r="V1059" s="175"/>
      <c r="W1059" s="175"/>
      <c r="X1059" s="175"/>
      <c r="Y1059" s="175"/>
      <c r="Z1059" s="175"/>
      <c r="AA1059" s="175"/>
      <c r="AB1059" s="175"/>
      <c r="AC1059" s="175"/>
      <c r="AD1059" s="175"/>
    </row>
    <row r="1060" spans="18:30" x14ac:dyDescent="0.25">
      <c r="R1060" s="176"/>
      <c r="S1060" s="175"/>
      <c r="T1060" s="175"/>
      <c r="U1060" s="175"/>
      <c r="V1060" s="175"/>
      <c r="W1060" s="175"/>
      <c r="X1060" s="175"/>
      <c r="Y1060" s="175"/>
      <c r="Z1060" s="175"/>
      <c r="AA1060" s="175"/>
      <c r="AB1060" s="175"/>
      <c r="AC1060" s="175"/>
      <c r="AD1060" s="175"/>
    </row>
    <row r="1061" spans="18:30" x14ac:dyDescent="0.25">
      <c r="R1061" s="176"/>
      <c r="S1061" s="175"/>
      <c r="T1061" s="175"/>
      <c r="U1061" s="175"/>
      <c r="V1061" s="175"/>
      <c r="W1061" s="175"/>
      <c r="X1061" s="175"/>
      <c r="Y1061" s="175"/>
      <c r="Z1061" s="175"/>
      <c r="AA1061" s="175"/>
      <c r="AB1061" s="175"/>
      <c r="AC1061" s="175"/>
      <c r="AD1061" s="175"/>
    </row>
    <row r="1062" spans="18:30" x14ac:dyDescent="0.25">
      <c r="R1062" s="176"/>
      <c r="S1062" s="175"/>
      <c r="T1062" s="175"/>
      <c r="U1062" s="175"/>
      <c r="V1062" s="175"/>
      <c r="W1062" s="175"/>
      <c r="X1062" s="175"/>
      <c r="Y1062" s="175"/>
      <c r="Z1062" s="175"/>
      <c r="AA1062" s="175"/>
      <c r="AB1062" s="175"/>
      <c r="AC1062" s="175"/>
      <c r="AD1062" s="175"/>
    </row>
    <row r="1063" spans="18:30" x14ac:dyDescent="0.25">
      <c r="R1063" s="176"/>
      <c r="S1063" s="175"/>
      <c r="T1063" s="175"/>
      <c r="U1063" s="175"/>
      <c r="V1063" s="175"/>
      <c r="W1063" s="175"/>
      <c r="X1063" s="175"/>
      <c r="Y1063" s="175"/>
      <c r="Z1063" s="175"/>
      <c r="AA1063" s="175"/>
      <c r="AB1063" s="175"/>
      <c r="AC1063" s="175"/>
      <c r="AD1063" s="175"/>
    </row>
    <row r="1064" spans="18:30" x14ac:dyDescent="0.25">
      <c r="R1064" s="176"/>
      <c r="S1064" s="175"/>
      <c r="T1064" s="175"/>
      <c r="U1064" s="175"/>
      <c r="V1064" s="175"/>
      <c r="W1064" s="175"/>
      <c r="X1064" s="175"/>
      <c r="Y1064" s="175"/>
      <c r="Z1064" s="175"/>
      <c r="AA1064" s="175"/>
      <c r="AB1064" s="175"/>
      <c r="AC1064" s="175"/>
      <c r="AD1064" s="175"/>
    </row>
    <row r="1065" spans="18:30" x14ac:dyDescent="0.25">
      <c r="R1065" s="176"/>
      <c r="S1065" s="175"/>
      <c r="T1065" s="175"/>
      <c r="U1065" s="175"/>
      <c r="V1065" s="175"/>
      <c r="W1065" s="175"/>
      <c r="X1065" s="175"/>
      <c r="Y1065" s="175"/>
      <c r="Z1065" s="175"/>
      <c r="AA1065" s="175"/>
      <c r="AB1065" s="175"/>
      <c r="AC1065" s="175"/>
      <c r="AD1065" s="175"/>
    </row>
    <row r="1066" spans="18:30" x14ac:dyDescent="0.25">
      <c r="R1066" s="176"/>
      <c r="S1066" s="175"/>
      <c r="T1066" s="175"/>
      <c r="U1066" s="175"/>
      <c r="V1066" s="175"/>
      <c r="W1066" s="175"/>
      <c r="X1066" s="175"/>
      <c r="Y1066" s="175"/>
      <c r="Z1066" s="175"/>
      <c r="AA1066" s="175"/>
      <c r="AB1066" s="175"/>
      <c r="AC1066" s="175"/>
      <c r="AD1066" s="175"/>
    </row>
    <row r="1067" spans="18:30" x14ac:dyDescent="0.25">
      <c r="R1067" s="176"/>
      <c r="S1067" s="175"/>
      <c r="T1067" s="175"/>
      <c r="U1067" s="175"/>
      <c r="V1067" s="175"/>
      <c r="W1067" s="175"/>
      <c r="X1067" s="175"/>
      <c r="Y1067" s="175"/>
      <c r="Z1067" s="175"/>
      <c r="AA1067" s="175"/>
      <c r="AB1067" s="175"/>
      <c r="AC1067" s="175"/>
      <c r="AD1067" s="175"/>
    </row>
    <row r="1068" spans="18:30" x14ac:dyDescent="0.25">
      <c r="R1068" s="176"/>
      <c r="S1068" s="175"/>
      <c r="T1068" s="175"/>
      <c r="U1068" s="175"/>
      <c r="V1068" s="175"/>
      <c r="W1068" s="175"/>
      <c r="X1068" s="175"/>
      <c r="Y1068" s="175"/>
      <c r="Z1068" s="175"/>
      <c r="AA1068" s="175"/>
      <c r="AB1068" s="175"/>
      <c r="AC1068" s="175"/>
      <c r="AD1068" s="175"/>
    </row>
    <row r="1069" spans="18:30" x14ac:dyDescent="0.25">
      <c r="R1069" s="176"/>
      <c r="S1069" s="175"/>
      <c r="T1069" s="175"/>
      <c r="U1069" s="175"/>
      <c r="V1069" s="175"/>
      <c r="W1069" s="175"/>
      <c r="X1069" s="175"/>
      <c r="Y1069" s="175"/>
      <c r="Z1069" s="175"/>
      <c r="AA1069" s="175"/>
      <c r="AB1069" s="175"/>
      <c r="AC1069" s="175"/>
      <c r="AD1069" s="175"/>
    </row>
    <row r="1070" spans="18:30" x14ac:dyDescent="0.25">
      <c r="R1070" s="176"/>
      <c r="S1070" s="175"/>
      <c r="T1070" s="175"/>
      <c r="U1070" s="175"/>
      <c r="V1070" s="175"/>
      <c r="W1070" s="175"/>
      <c r="X1070" s="175"/>
      <c r="Y1070" s="175"/>
      <c r="Z1070" s="175"/>
      <c r="AA1070" s="175"/>
      <c r="AB1070" s="175"/>
      <c r="AC1070" s="175"/>
      <c r="AD1070" s="175"/>
    </row>
    <row r="1071" spans="18:30" x14ac:dyDescent="0.25">
      <c r="R1071" s="176"/>
      <c r="S1071" s="175"/>
      <c r="T1071" s="175"/>
      <c r="U1071" s="175"/>
      <c r="V1071" s="175"/>
      <c r="W1071" s="175"/>
      <c r="X1071" s="175"/>
      <c r="Y1071" s="175"/>
      <c r="Z1071" s="175"/>
      <c r="AA1071" s="175"/>
      <c r="AB1071" s="175"/>
      <c r="AC1071" s="175"/>
      <c r="AD1071" s="175"/>
    </row>
    <row r="1072" spans="18:30" x14ac:dyDescent="0.25">
      <c r="R1072" s="176"/>
      <c r="S1072" s="175"/>
      <c r="T1072" s="175"/>
      <c r="U1072" s="175"/>
      <c r="V1072" s="175"/>
      <c r="W1072" s="175"/>
      <c r="X1072" s="175"/>
      <c r="Y1072" s="175"/>
      <c r="Z1072" s="175"/>
      <c r="AA1072" s="175"/>
      <c r="AB1072" s="175"/>
      <c r="AC1072" s="175"/>
      <c r="AD1072" s="175"/>
    </row>
    <row r="1073" spans="18:30" x14ac:dyDescent="0.25">
      <c r="R1073" s="176"/>
      <c r="S1073" s="175"/>
      <c r="T1073" s="175"/>
      <c r="U1073" s="175"/>
      <c r="V1073" s="175"/>
      <c r="W1073" s="175"/>
      <c r="X1073" s="175"/>
      <c r="Y1073" s="175"/>
      <c r="Z1073" s="175"/>
      <c r="AA1073" s="175"/>
      <c r="AB1073" s="175"/>
      <c r="AC1073" s="175"/>
      <c r="AD1073" s="175"/>
    </row>
    <row r="1074" spans="18:30" x14ac:dyDescent="0.25">
      <c r="R1074" s="176"/>
      <c r="S1074" s="175"/>
      <c r="T1074" s="175"/>
      <c r="U1074" s="175"/>
      <c r="V1074" s="175"/>
      <c r="W1074" s="175"/>
      <c r="X1074" s="175"/>
      <c r="Y1074" s="175"/>
      <c r="Z1074" s="175"/>
      <c r="AA1074" s="175"/>
      <c r="AB1074" s="175"/>
      <c r="AC1074" s="175"/>
      <c r="AD1074" s="175"/>
    </row>
    <row r="1075" spans="18:30" x14ac:dyDescent="0.25">
      <c r="R1075" s="176"/>
      <c r="S1075" s="175"/>
      <c r="T1075" s="175"/>
      <c r="U1075" s="175"/>
      <c r="V1075" s="175"/>
      <c r="W1075" s="175"/>
      <c r="X1075" s="175"/>
      <c r="Y1075" s="175"/>
      <c r="Z1075" s="175"/>
      <c r="AA1075" s="175"/>
      <c r="AB1075" s="175"/>
      <c r="AC1075" s="175"/>
      <c r="AD1075" s="175"/>
    </row>
    <row r="1076" spans="18:30" x14ac:dyDescent="0.25">
      <c r="R1076" s="176"/>
      <c r="S1076" s="175"/>
      <c r="T1076" s="175"/>
      <c r="U1076" s="175"/>
      <c r="V1076" s="175"/>
      <c r="W1076" s="175"/>
      <c r="X1076" s="175"/>
      <c r="Y1076" s="175"/>
      <c r="Z1076" s="175"/>
      <c r="AA1076" s="175"/>
      <c r="AB1076" s="175"/>
      <c r="AC1076" s="175"/>
      <c r="AD1076" s="175"/>
    </row>
    <row r="1077" spans="18:30" x14ac:dyDescent="0.25">
      <c r="R1077" s="176"/>
      <c r="S1077" s="175"/>
      <c r="T1077" s="175"/>
      <c r="U1077" s="175"/>
      <c r="V1077" s="175"/>
      <c r="W1077" s="175"/>
      <c r="X1077" s="175"/>
      <c r="Y1077" s="175"/>
      <c r="Z1077" s="175"/>
      <c r="AA1077" s="175"/>
      <c r="AB1077" s="175"/>
      <c r="AC1077" s="175"/>
      <c r="AD1077" s="175"/>
    </row>
    <row r="1078" spans="18:30" x14ac:dyDescent="0.25">
      <c r="R1078" s="176"/>
      <c r="S1078" s="175"/>
      <c r="T1078" s="175"/>
      <c r="U1078" s="175"/>
      <c r="V1078" s="175"/>
      <c r="W1078" s="175"/>
      <c r="X1078" s="175"/>
      <c r="Y1078" s="175"/>
      <c r="Z1078" s="175"/>
      <c r="AA1078" s="175"/>
      <c r="AB1078" s="175"/>
      <c r="AC1078" s="175"/>
      <c r="AD1078" s="175"/>
    </row>
    <row r="1079" spans="18:30" x14ac:dyDescent="0.25">
      <c r="R1079" s="176"/>
      <c r="S1079" s="175"/>
      <c r="T1079" s="175"/>
      <c r="U1079" s="175"/>
      <c r="V1079" s="175"/>
      <c r="W1079" s="175"/>
      <c r="X1079" s="175"/>
      <c r="Y1079" s="175"/>
      <c r="Z1079" s="175"/>
      <c r="AA1079" s="175"/>
      <c r="AB1079" s="175"/>
      <c r="AC1079" s="175"/>
      <c r="AD1079" s="175"/>
    </row>
    <row r="1080" spans="18:30" x14ac:dyDescent="0.25">
      <c r="R1080" s="176"/>
      <c r="S1080" s="175"/>
      <c r="T1080" s="175"/>
      <c r="U1080" s="175"/>
      <c r="V1080" s="175"/>
      <c r="W1080" s="175"/>
      <c r="X1080" s="175"/>
      <c r="Y1080" s="175"/>
      <c r="Z1080" s="175"/>
      <c r="AA1080" s="175"/>
      <c r="AB1080" s="175"/>
      <c r="AC1080" s="175"/>
      <c r="AD1080" s="175"/>
    </row>
    <row r="1081" spans="18:30" x14ac:dyDescent="0.25">
      <c r="R1081" s="176"/>
      <c r="S1081" s="175"/>
      <c r="T1081" s="175"/>
      <c r="U1081" s="175"/>
      <c r="V1081" s="175"/>
      <c r="W1081" s="175"/>
      <c r="X1081" s="175"/>
      <c r="Y1081" s="175"/>
      <c r="Z1081" s="175"/>
      <c r="AA1081" s="175"/>
      <c r="AB1081" s="175"/>
      <c r="AC1081" s="175"/>
      <c r="AD1081" s="175"/>
    </row>
    <row r="1082" spans="18:30" x14ac:dyDescent="0.25">
      <c r="R1082" s="176"/>
      <c r="S1082" s="175"/>
      <c r="T1082" s="175"/>
      <c r="U1082" s="175"/>
      <c r="V1082" s="175"/>
      <c r="W1082" s="175"/>
      <c r="X1082" s="175"/>
      <c r="Y1082" s="175"/>
      <c r="Z1082" s="175"/>
      <c r="AA1082" s="175"/>
      <c r="AB1082" s="175"/>
      <c r="AC1082" s="175"/>
      <c r="AD1082" s="175"/>
    </row>
    <row r="1083" spans="18:30" x14ac:dyDescent="0.25">
      <c r="R1083" s="176"/>
      <c r="S1083" s="175"/>
      <c r="T1083" s="175"/>
      <c r="U1083" s="175"/>
      <c r="V1083" s="175"/>
      <c r="W1083" s="175"/>
      <c r="X1083" s="175"/>
      <c r="Y1083" s="175"/>
      <c r="Z1083" s="175"/>
      <c r="AA1083" s="175"/>
      <c r="AB1083" s="175"/>
      <c r="AC1083" s="175"/>
      <c r="AD1083" s="175"/>
    </row>
    <row r="1084" spans="18:30" x14ac:dyDescent="0.25">
      <c r="R1084" s="176"/>
      <c r="S1084" s="175"/>
      <c r="T1084" s="175"/>
      <c r="U1084" s="175"/>
      <c r="V1084" s="175"/>
      <c r="W1084" s="175"/>
      <c r="X1084" s="175"/>
      <c r="Y1084" s="175"/>
      <c r="Z1084" s="175"/>
      <c r="AA1084" s="175"/>
      <c r="AB1084" s="175"/>
      <c r="AC1084" s="175"/>
      <c r="AD1084" s="175"/>
    </row>
    <row r="1085" spans="18:30" x14ac:dyDescent="0.25">
      <c r="R1085" s="176"/>
      <c r="S1085" s="175"/>
      <c r="T1085" s="175"/>
      <c r="U1085" s="175"/>
      <c r="V1085" s="175"/>
      <c r="W1085" s="175"/>
      <c r="X1085" s="175"/>
      <c r="Y1085" s="175"/>
      <c r="Z1085" s="175"/>
      <c r="AA1085" s="175"/>
      <c r="AB1085" s="175"/>
      <c r="AC1085" s="175"/>
      <c r="AD1085" s="175"/>
    </row>
    <row r="1086" spans="18:30" x14ac:dyDescent="0.25">
      <c r="R1086" s="176"/>
      <c r="S1086" s="175"/>
      <c r="T1086" s="175"/>
      <c r="U1086" s="175"/>
      <c r="V1086" s="175"/>
      <c r="W1086" s="175"/>
      <c r="X1086" s="175"/>
      <c r="Y1086" s="175"/>
      <c r="Z1086" s="175"/>
      <c r="AA1086" s="175"/>
      <c r="AB1086" s="175"/>
      <c r="AC1086" s="175"/>
      <c r="AD1086" s="175"/>
    </row>
    <row r="1087" spans="18:30" x14ac:dyDescent="0.25">
      <c r="R1087" s="176"/>
      <c r="S1087" s="175"/>
      <c r="T1087" s="175"/>
      <c r="U1087" s="175"/>
      <c r="V1087" s="175"/>
      <c r="W1087" s="175"/>
      <c r="X1087" s="175"/>
      <c r="Y1087" s="175"/>
      <c r="Z1087" s="175"/>
      <c r="AA1087" s="175"/>
      <c r="AB1087" s="175"/>
      <c r="AC1087" s="175"/>
      <c r="AD1087" s="175"/>
    </row>
    <row r="1088" spans="18:30" x14ac:dyDescent="0.25">
      <c r="R1088" s="176"/>
      <c r="S1088" s="175"/>
      <c r="T1088" s="175"/>
      <c r="U1088" s="175"/>
      <c r="V1088" s="175"/>
      <c r="W1088" s="175"/>
      <c r="X1088" s="175"/>
      <c r="Y1088" s="175"/>
      <c r="Z1088" s="175"/>
      <c r="AA1088" s="175"/>
      <c r="AB1088" s="175"/>
      <c r="AC1088" s="175"/>
      <c r="AD1088" s="175"/>
    </row>
    <row r="1089" spans="18:30" x14ac:dyDescent="0.25">
      <c r="R1089" s="176"/>
      <c r="S1089" s="175"/>
      <c r="T1089" s="175"/>
      <c r="U1089" s="175"/>
      <c r="V1089" s="175"/>
      <c r="W1089" s="175"/>
      <c r="X1089" s="175"/>
      <c r="Y1089" s="175"/>
      <c r="Z1089" s="175"/>
      <c r="AA1089" s="175"/>
      <c r="AB1089" s="175"/>
      <c r="AC1089" s="175"/>
      <c r="AD1089" s="175"/>
    </row>
    <row r="1090" spans="18:30" x14ac:dyDescent="0.25">
      <c r="R1090" s="176"/>
      <c r="S1090" s="175"/>
      <c r="T1090" s="175"/>
      <c r="U1090" s="175"/>
      <c r="V1090" s="175"/>
      <c r="W1090" s="175"/>
      <c r="X1090" s="175"/>
      <c r="Y1090" s="175"/>
      <c r="Z1090" s="175"/>
      <c r="AA1090" s="175"/>
      <c r="AB1090" s="175"/>
      <c r="AC1090" s="175"/>
      <c r="AD1090" s="175"/>
    </row>
    <row r="1091" spans="18:30" x14ac:dyDescent="0.25">
      <c r="R1091" s="176"/>
      <c r="S1091" s="175"/>
      <c r="T1091" s="175"/>
      <c r="U1091" s="175"/>
      <c r="V1091" s="175"/>
      <c r="W1091" s="175"/>
      <c r="X1091" s="175"/>
      <c r="Y1091" s="175"/>
      <c r="Z1091" s="175"/>
      <c r="AA1091" s="175"/>
      <c r="AB1091" s="175"/>
      <c r="AC1091" s="175"/>
      <c r="AD1091" s="175"/>
    </row>
    <row r="1092" spans="18:30" x14ac:dyDescent="0.25">
      <c r="R1092" s="176"/>
      <c r="S1092" s="175"/>
      <c r="T1092" s="175"/>
      <c r="U1092" s="175"/>
      <c r="V1092" s="175"/>
      <c r="W1092" s="175"/>
      <c r="X1092" s="175"/>
      <c r="Y1092" s="175"/>
      <c r="Z1092" s="175"/>
      <c r="AA1092" s="175"/>
      <c r="AB1092" s="175"/>
      <c r="AC1092" s="175"/>
      <c r="AD1092" s="175"/>
    </row>
    <row r="1093" spans="18:30" x14ac:dyDescent="0.25">
      <c r="R1093" s="176"/>
      <c r="S1093" s="175"/>
      <c r="T1093" s="175"/>
      <c r="U1093" s="175"/>
      <c r="V1093" s="175"/>
      <c r="W1093" s="175"/>
      <c r="X1093" s="175"/>
      <c r="Y1093" s="175"/>
      <c r="Z1093" s="175"/>
      <c r="AA1093" s="175"/>
      <c r="AB1093" s="175"/>
      <c r="AC1093" s="175"/>
      <c r="AD1093" s="175"/>
    </row>
    <row r="1094" spans="18:30" x14ac:dyDescent="0.25">
      <c r="R1094" s="176"/>
      <c r="S1094" s="175"/>
      <c r="T1094" s="175"/>
      <c r="U1094" s="175"/>
      <c r="V1094" s="175"/>
      <c r="W1094" s="175"/>
      <c r="X1094" s="175"/>
      <c r="Y1094" s="175"/>
      <c r="Z1094" s="175"/>
      <c r="AA1094" s="175"/>
      <c r="AB1094" s="175"/>
      <c r="AC1094" s="175"/>
      <c r="AD1094" s="175"/>
    </row>
    <row r="1095" spans="18:30" x14ac:dyDescent="0.25">
      <c r="R1095" s="176"/>
      <c r="S1095" s="175"/>
      <c r="T1095" s="175"/>
      <c r="U1095" s="175"/>
      <c r="V1095" s="175"/>
      <c r="W1095" s="175"/>
      <c r="X1095" s="175"/>
      <c r="Y1095" s="175"/>
      <c r="Z1095" s="175"/>
      <c r="AA1095" s="175"/>
      <c r="AB1095" s="175"/>
      <c r="AC1095" s="175"/>
      <c r="AD1095" s="175"/>
    </row>
    <row r="1096" spans="18:30" x14ac:dyDescent="0.25">
      <c r="R1096" s="176"/>
      <c r="S1096" s="175"/>
      <c r="T1096" s="175"/>
      <c r="U1096" s="175"/>
      <c r="V1096" s="175"/>
      <c r="W1096" s="175"/>
      <c r="X1096" s="175"/>
      <c r="Y1096" s="175"/>
      <c r="Z1096" s="175"/>
      <c r="AA1096" s="175"/>
      <c r="AB1096" s="175"/>
      <c r="AC1096" s="175"/>
      <c r="AD1096" s="175"/>
    </row>
    <row r="1097" spans="18:30" x14ac:dyDescent="0.25">
      <c r="R1097" s="176"/>
      <c r="S1097" s="175"/>
      <c r="T1097" s="175"/>
      <c r="U1097" s="175"/>
      <c r="V1097" s="175"/>
      <c r="W1097" s="175"/>
      <c r="X1097" s="175"/>
      <c r="Y1097" s="175"/>
      <c r="Z1097" s="175"/>
      <c r="AA1097" s="175"/>
      <c r="AB1097" s="175"/>
      <c r="AC1097" s="175"/>
      <c r="AD1097" s="175"/>
    </row>
    <row r="1098" spans="18:30" x14ac:dyDescent="0.25">
      <c r="R1098" s="176"/>
      <c r="S1098" s="175"/>
      <c r="T1098" s="175"/>
      <c r="U1098" s="175"/>
      <c r="V1098" s="175"/>
      <c r="W1098" s="175"/>
      <c r="X1098" s="175"/>
      <c r="Y1098" s="175"/>
      <c r="Z1098" s="175"/>
      <c r="AA1098" s="175"/>
      <c r="AB1098" s="175"/>
      <c r="AC1098" s="175"/>
      <c r="AD1098" s="175"/>
    </row>
    <row r="1099" spans="18:30" x14ac:dyDescent="0.25">
      <c r="R1099" s="176"/>
      <c r="S1099" s="175"/>
      <c r="T1099" s="175"/>
      <c r="U1099" s="175"/>
      <c r="V1099" s="175"/>
      <c r="W1099" s="175"/>
      <c r="X1099" s="175"/>
      <c r="Y1099" s="175"/>
      <c r="Z1099" s="175"/>
      <c r="AA1099" s="175"/>
      <c r="AB1099" s="175"/>
      <c r="AC1099" s="175"/>
      <c r="AD1099" s="175"/>
    </row>
    <row r="1100" spans="18:30" x14ac:dyDescent="0.25">
      <c r="R1100" s="176"/>
      <c r="S1100" s="175"/>
      <c r="T1100" s="175"/>
      <c r="U1100" s="175"/>
      <c r="V1100" s="175"/>
      <c r="W1100" s="175"/>
      <c r="X1100" s="175"/>
      <c r="Y1100" s="175"/>
      <c r="Z1100" s="175"/>
      <c r="AA1100" s="175"/>
      <c r="AB1100" s="175"/>
      <c r="AC1100" s="175"/>
      <c r="AD1100" s="175"/>
    </row>
    <row r="1101" spans="18:30" x14ac:dyDescent="0.25">
      <c r="R1101" s="176"/>
      <c r="S1101" s="175"/>
      <c r="T1101" s="175"/>
      <c r="U1101" s="175"/>
      <c r="V1101" s="175"/>
      <c r="W1101" s="175"/>
      <c r="X1101" s="175"/>
      <c r="Y1101" s="175"/>
      <c r="Z1101" s="175"/>
      <c r="AA1101" s="175"/>
      <c r="AB1101" s="175"/>
      <c r="AC1101" s="175"/>
      <c r="AD1101" s="175"/>
    </row>
    <row r="1102" spans="18:30" x14ac:dyDescent="0.25">
      <c r="R1102" s="176"/>
      <c r="S1102" s="175"/>
      <c r="T1102" s="175"/>
      <c r="U1102" s="175"/>
      <c r="V1102" s="175"/>
      <c r="W1102" s="175"/>
      <c r="X1102" s="175"/>
      <c r="Y1102" s="175"/>
      <c r="Z1102" s="175"/>
      <c r="AA1102" s="175"/>
      <c r="AB1102" s="175"/>
      <c r="AC1102" s="175"/>
      <c r="AD1102" s="175"/>
    </row>
    <row r="1103" spans="18:30" x14ac:dyDescent="0.25">
      <c r="R1103" s="176"/>
      <c r="S1103" s="175"/>
      <c r="T1103" s="175"/>
      <c r="U1103" s="175"/>
      <c r="V1103" s="175"/>
      <c r="W1103" s="175"/>
      <c r="X1103" s="175"/>
      <c r="Y1103" s="175"/>
      <c r="Z1103" s="175"/>
      <c r="AA1103" s="175"/>
      <c r="AB1103" s="175"/>
      <c r="AC1103" s="175"/>
      <c r="AD1103" s="175"/>
    </row>
    <row r="1104" spans="18:30" x14ac:dyDescent="0.25">
      <c r="R1104" s="176"/>
      <c r="S1104" s="175"/>
      <c r="T1104" s="175"/>
      <c r="U1104" s="175"/>
      <c r="V1104" s="175"/>
      <c r="W1104" s="175"/>
      <c r="X1104" s="175"/>
      <c r="Y1104" s="175"/>
      <c r="Z1104" s="175"/>
      <c r="AA1104" s="175"/>
      <c r="AB1104" s="175"/>
      <c r="AC1104" s="175"/>
      <c r="AD1104" s="175"/>
    </row>
    <row r="1105" spans="18:30" x14ac:dyDescent="0.25">
      <c r="R1105" s="176"/>
      <c r="S1105" s="175"/>
      <c r="T1105" s="175"/>
      <c r="U1105" s="175"/>
      <c r="V1105" s="175"/>
      <c r="W1105" s="175"/>
      <c r="X1105" s="175"/>
      <c r="Y1105" s="175"/>
      <c r="Z1105" s="175"/>
      <c r="AA1105" s="175"/>
      <c r="AB1105" s="175"/>
      <c r="AC1105" s="175"/>
      <c r="AD1105" s="175"/>
    </row>
    <row r="1106" spans="18:30" x14ac:dyDescent="0.25">
      <c r="R1106" s="176"/>
      <c r="S1106" s="175"/>
      <c r="T1106" s="175"/>
      <c r="U1106" s="175"/>
      <c r="V1106" s="175"/>
      <c r="W1106" s="175"/>
      <c r="X1106" s="175"/>
      <c r="Y1106" s="175"/>
      <c r="Z1106" s="175"/>
      <c r="AA1106" s="175"/>
      <c r="AB1106" s="175"/>
      <c r="AC1106" s="175"/>
      <c r="AD1106" s="175"/>
    </row>
    <row r="1107" spans="18:30" x14ac:dyDescent="0.25">
      <c r="R1107" s="176"/>
      <c r="S1107" s="175"/>
      <c r="T1107" s="175"/>
      <c r="U1107" s="175"/>
      <c r="V1107" s="175"/>
      <c r="W1107" s="175"/>
      <c r="X1107" s="175"/>
      <c r="Y1107" s="175"/>
      <c r="Z1107" s="175"/>
      <c r="AA1107" s="175"/>
      <c r="AB1107" s="175"/>
      <c r="AC1107" s="175"/>
      <c r="AD1107" s="175"/>
    </row>
    <row r="1108" spans="18:30" x14ac:dyDescent="0.25">
      <c r="R1108" s="176"/>
      <c r="S1108" s="175"/>
      <c r="T1108" s="175"/>
      <c r="U1108" s="175"/>
      <c r="V1108" s="175"/>
      <c r="W1108" s="175"/>
      <c r="X1108" s="175"/>
      <c r="Y1108" s="175"/>
      <c r="Z1108" s="175"/>
      <c r="AA1108" s="175"/>
      <c r="AB1108" s="175"/>
      <c r="AC1108" s="175"/>
      <c r="AD1108" s="175"/>
    </row>
    <row r="1109" spans="18:30" x14ac:dyDescent="0.25">
      <c r="R1109" s="176"/>
      <c r="S1109" s="175"/>
      <c r="T1109" s="175"/>
      <c r="U1109" s="175"/>
      <c r="V1109" s="175"/>
      <c r="W1109" s="175"/>
      <c r="X1109" s="175"/>
      <c r="Y1109" s="175"/>
      <c r="Z1109" s="175"/>
      <c r="AA1109" s="175"/>
      <c r="AB1109" s="175"/>
      <c r="AC1109" s="175"/>
      <c r="AD1109" s="175"/>
    </row>
    <row r="1110" spans="18:30" x14ac:dyDescent="0.25">
      <c r="R1110" s="176"/>
      <c r="S1110" s="175"/>
      <c r="T1110" s="175"/>
      <c r="U1110" s="175"/>
      <c r="V1110" s="175"/>
      <c r="W1110" s="175"/>
      <c r="X1110" s="175"/>
      <c r="Y1110" s="175"/>
      <c r="Z1110" s="175"/>
      <c r="AA1110" s="175"/>
      <c r="AB1110" s="175"/>
      <c r="AC1110" s="175"/>
      <c r="AD1110" s="175"/>
    </row>
    <row r="1111" spans="18:30" x14ac:dyDescent="0.25">
      <c r="R1111" s="176"/>
      <c r="S1111" s="175"/>
      <c r="T1111" s="175"/>
      <c r="U1111" s="175"/>
      <c r="V1111" s="175"/>
      <c r="W1111" s="175"/>
      <c r="X1111" s="175"/>
      <c r="Y1111" s="175"/>
      <c r="Z1111" s="175"/>
      <c r="AA1111" s="175"/>
      <c r="AB1111" s="175"/>
      <c r="AC1111" s="175"/>
      <c r="AD1111" s="175"/>
    </row>
    <row r="1112" spans="18:30" x14ac:dyDescent="0.25">
      <c r="R1112" s="176"/>
      <c r="S1112" s="175"/>
      <c r="T1112" s="175"/>
      <c r="U1112" s="175"/>
      <c r="V1112" s="175"/>
      <c r="W1112" s="175"/>
      <c r="X1112" s="175"/>
      <c r="Y1112" s="175"/>
      <c r="Z1112" s="175"/>
      <c r="AA1112" s="175"/>
      <c r="AB1112" s="175"/>
      <c r="AC1112" s="175"/>
      <c r="AD1112" s="175"/>
    </row>
    <row r="1113" spans="18:30" x14ac:dyDescent="0.25">
      <c r="R1113" s="176"/>
      <c r="S1113" s="175"/>
      <c r="T1113" s="175"/>
      <c r="U1113" s="175"/>
      <c r="V1113" s="175"/>
      <c r="W1113" s="175"/>
      <c r="X1113" s="175"/>
      <c r="Y1113" s="175"/>
      <c r="Z1113" s="175"/>
      <c r="AA1113" s="175"/>
      <c r="AB1113" s="175"/>
      <c r="AC1113" s="175"/>
      <c r="AD1113" s="175"/>
    </row>
    <row r="1114" spans="18:30" x14ac:dyDescent="0.25">
      <c r="R1114" s="176"/>
      <c r="S1114" s="175"/>
      <c r="T1114" s="175"/>
      <c r="U1114" s="175"/>
      <c r="V1114" s="175"/>
      <c r="W1114" s="175"/>
      <c r="X1114" s="175"/>
      <c r="Y1114" s="175"/>
      <c r="Z1114" s="175"/>
      <c r="AA1114" s="175"/>
      <c r="AB1114" s="175"/>
      <c r="AC1114" s="175"/>
      <c r="AD1114" s="175"/>
    </row>
    <row r="1115" spans="18:30" x14ac:dyDescent="0.25">
      <c r="R1115" s="176"/>
      <c r="S1115" s="175"/>
      <c r="T1115" s="175"/>
      <c r="U1115" s="175"/>
      <c r="V1115" s="175"/>
      <c r="W1115" s="175"/>
      <c r="X1115" s="175"/>
      <c r="Y1115" s="175"/>
      <c r="Z1115" s="175"/>
      <c r="AA1115" s="175"/>
      <c r="AB1115" s="175"/>
      <c r="AC1115" s="175"/>
      <c r="AD1115" s="175"/>
    </row>
    <row r="1116" spans="18:30" x14ac:dyDescent="0.25">
      <c r="R1116" s="176"/>
      <c r="S1116" s="175"/>
      <c r="T1116" s="175"/>
      <c r="U1116" s="175"/>
      <c r="V1116" s="175"/>
      <c r="W1116" s="175"/>
      <c r="X1116" s="175"/>
      <c r="Y1116" s="175"/>
      <c r="Z1116" s="175"/>
      <c r="AA1116" s="175"/>
      <c r="AB1116" s="175"/>
      <c r="AC1116" s="175"/>
      <c r="AD1116" s="175"/>
    </row>
    <row r="1117" spans="18:30" x14ac:dyDescent="0.25">
      <c r="R1117" s="176"/>
      <c r="S1117" s="175"/>
      <c r="T1117" s="175"/>
      <c r="U1117" s="175"/>
      <c r="V1117" s="175"/>
      <c r="W1117" s="175"/>
      <c r="X1117" s="175"/>
      <c r="Y1117" s="175"/>
      <c r="Z1117" s="175"/>
      <c r="AA1117" s="175"/>
      <c r="AB1117" s="175"/>
      <c r="AC1117" s="175"/>
      <c r="AD1117" s="175"/>
    </row>
    <row r="1118" spans="18:30" x14ac:dyDescent="0.25">
      <c r="R1118" s="176"/>
      <c r="S1118" s="175"/>
      <c r="T1118" s="175"/>
      <c r="U1118" s="175"/>
      <c r="V1118" s="175"/>
      <c r="W1118" s="175"/>
      <c r="X1118" s="175"/>
      <c r="Y1118" s="175"/>
      <c r="Z1118" s="175"/>
      <c r="AA1118" s="175"/>
      <c r="AB1118" s="175"/>
      <c r="AC1118" s="175"/>
      <c r="AD1118" s="175"/>
    </row>
    <row r="1119" spans="18:30" x14ac:dyDescent="0.25">
      <c r="R1119" s="176"/>
      <c r="S1119" s="175"/>
      <c r="T1119" s="175"/>
      <c r="U1119" s="175"/>
      <c r="V1119" s="175"/>
      <c r="W1119" s="175"/>
      <c r="X1119" s="175"/>
      <c r="Y1119" s="175"/>
      <c r="Z1119" s="175"/>
      <c r="AA1119" s="175"/>
      <c r="AB1119" s="175"/>
      <c r="AC1119" s="175"/>
      <c r="AD1119" s="175"/>
    </row>
    <row r="1120" spans="18:30" x14ac:dyDescent="0.25">
      <c r="R1120" s="176"/>
      <c r="S1120" s="175"/>
      <c r="T1120" s="175"/>
      <c r="U1120" s="175"/>
      <c r="V1120" s="175"/>
      <c r="W1120" s="175"/>
      <c r="X1120" s="175"/>
      <c r="Y1120" s="175"/>
      <c r="Z1120" s="175"/>
      <c r="AA1120" s="175"/>
      <c r="AB1120" s="175"/>
      <c r="AC1120" s="175"/>
      <c r="AD1120" s="175"/>
    </row>
    <row r="1121" spans="18:30" x14ac:dyDescent="0.25">
      <c r="R1121" s="176"/>
      <c r="S1121" s="175"/>
      <c r="T1121" s="175"/>
      <c r="U1121" s="175"/>
      <c r="V1121" s="175"/>
      <c r="W1121" s="175"/>
      <c r="X1121" s="175"/>
      <c r="Y1121" s="175"/>
      <c r="Z1121" s="175"/>
      <c r="AA1121" s="175"/>
      <c r="AB1121" s="175"/>
      <c r="AC1121" s="175"/>
      <c r="AD1121" s="175"/>
    </row>
    <row r="1122" spans="18:30" x14ac:dyDescent="0.25">
      <c r="R1122" s="176"/>
      <c r="S1122" s="175"/>
      <c r="T1122" s="175"/>
      <c r="U1122" s="175"/>
      <c r="V1122" s="175"/>
      <c r="W1122" s="175"/>
      <c r="X1122" s="175"/>
      <c r="Y1122" s="175"/>
      <c r="Z1122" s="175"/>
      <c r="AA1122" s="175"/>
      <c r="AB1122" s="175"/>
      <c r="AC1122" s="175"/>
      <c r="AD1122" s="175"/>
    </row>
    <row r="1123" spans="18:30" x14ac:dyDescent="0.25">
      <c r="R1123" s="176"/>
      <c r="S1123" s="175"/>
      <c r="T1123" s="175"/>
      <c r="U1123" s="175"/>
      <c r="V1123" s="175"/>
      <c r="W1123" s="175"/>
      <c r="X1123" s="175"/>
      <c r="Y1123" s="175"/>
      <c r="Z1123" s="175"/>
      <c r="AA1123" s="175"/>
      <c r="AB1123" s="175"/>
      <c r="AC1123" s="175"/>
      <c r="AD1123" s="175"/>
    </row>
    <row r="1124" spans="18:30" x14ac:dyDescent="0.25">
      <c r="R1124" s="176"/>
      <c r="S1124" s="175"/>
      <c r="T1124" s="175"/>
      <c r="U1124" s="175"/>
      <c r="V1124" s="175"/>
      <c r="W1124" s="175"/>
      <c r="X1124" s="175"/>
      <c r="Y1124" s="175"/>
      <c r="Z1124" s="175"/>
      <c r="AA1124" s="175"/>
      <c r="AB1124" s="175"/>
      <c r="AC1124" s="175"/>
      <c r="AD1124" s="175"/>
    </row>
    <row r="1125" spans="18:30" x14ac:dyDescent="0.25">
      <c r="R1125" s="176"/>
      <c r="S1125" s="175"/>
      <c r="T1125" s="175"/>
      <c r="U1125" s="175"/>
      <c r="V1125" s="175"/>
      <c r="W1125" s="175"/>
      <c r="X1125" s="175"/>
      <c r="Y1125" s="175"/>
      <c r="Z1125" s="175"/>
      <c r="AA1125" s="175"/>
      <c r="AB1125" s="175"/>
      <c r="AC1125" s="175"/>
      <c r="AD1125" s="175"/>
    </row>
    <row r="1126" spans="18:30" x14ac:dyDescent="0.25">
      <c r="R1126" s="176"/>
      <c r="S1126" s="175"/>
      <c r="T1126" s="175"/>
      <c r="U1126" s="175"/>
      <c r="V1126" s="175"/>
      <c r="W1126" s="175"/>
      <c r="X1126" s="175"/>
      <c r="Y1126" s="175"/>
      <c r="Z1126" s="175"/>
      <c r="AA1126" s="175"/>
      <c r="AB1126" s="175"/>
      <c r="AC1126" s="175"/>
      <c r="AD1126" s="175"/>
    </row>
    <row r="1127" spans="18:30" x14ac:dyDescent="0.25">
      <c r="R1127" s="176"/>
      <c r="S1127" s="175"/>
      <c r="T1127" s="175"/>
      <c r="U1127" s="175"/>
      <c r="V1127" s="175"/>
      <c r="W1127" s="175"/>
      <c r="X1127" s="175"/>
      <c r="Y1127" s="175"/>
      <c r="Z1127" s="175"/>
      <c r="AA1127" s="175"/>
      <c r="AB1127" s="175"/>
      <c r="AC1127" s="175"/>
      <c r="AD1127" s="175"/>
    </row>
    <row r="1128" spans="18:30" x14ac:dyDescent="0.25">
      <c r="R1128" s="176"/>
      <c r="S1128" s="175"/>
      <c r="T1128" s="175"/>
      <c r="U1128" s="175"/>
      <c r="V1128" s="175"/>
      <c r="W1128" s="175"/>
      <c r="X1128" s="175"/>
      <c r="Y1128" s="175"/>
      <c r="Z1128" s="175"/>
      <c r="AA1128" s="175"/>
      <c r="AB1128" s="175"/>
      <c r="AC1128" s="175"/>
      <c r="AD1128" s="175"/>
    </row>
    <row r="1129" spans="18:30" x14ac:dyDescent="0.25">
      <c r="R1129" s="176"/>
      <c r="S1129" s="175"/>
      <c r="T1129" s="175"/>
      <c r="U1129" s="175"/>
      <c r="V1129" s="175"/>
      <c r="W1129" s="175"/>
      <c r="X1129" s="175"/>
      <c r="Y1129" s="175"/>
      <c r="Z1129" s="175"/>
      <c r="AA1129" s="175"/>
      <c r="AB1129" s="175"/>
      <c r="AC1129" s="175"/>
      <c r="AD1129" s="175"/>
    </row>
    <row r="1130" spans="18:30" x14ac:dyDescent="0.25">
      <c r="R1130" s="176"/>
      <c r="S1130" s="175"/>
      <c r="T1130" s="175"/>
      <c r="U1130" s="175"/>
      <c r="V1130" s="175"/>
      <c r="W1130" s="175"/>
      <c r="X1130" s="175"/>
      <c r="Y1130" s="175"/>
      <c r="Z1130" s="175"/>
      <c r="AA1130" s="175"/>
      <c r="AB1130" s="175"/>
      <c r="AC1130" s="175"/>
      <c r="AD1130" s="175"/>
    </row>
    <row r="1131" spans="18:30" x14ac:dyDescent="0.25">
      <c r="R1131" s="176"/>
      <c r="S1131" s="175"/>
      <c r="T1131" s="175"/>
      <c r="U1131" s="175"/>
      <c r="V1131" s="175"/>
      <c r="W1131" s="175"/>
      <c r="X1131" s="175"/>
      <c r="Y1131" s="175"/>
      <c r="Z1131" s="175"/>
      <c r="AA1131" s="175"/>
      <c r="AB1131" s="175"/>
      <c r="AC1131" s="175"/>
      <c r="AD1131" s="175"/>
    </row>
    <row r="1132" spans="18:30" x14ac:dyDescent="0.25">
      <c r="R1132" s="176"/>
      <c r="S1132" s="175"/>
      <c r="T1132" s="175"/>
      <c r="U1132" s="175"/>
      <c r="V1132" s="175"/>
      <c r="W1132" s="175"/>
      <c r="X1132" s="175"/>
      <c r="Y1132" s="175"/>
      <c r="Z1132" s="175"/>
      <c r="AA1132" s="175"/>
      <c r="AB1132" s="175"/>
      <c r="AC1132" s="175"/>
      <c r="AD1132" s="175"/>
    </row>
    <row r="1133" spans="18:30" x14ac:dyDescent="0.25">
      <c r="R1133" s="176"/>
      <c r="S1133" s="175"/>
      <c r="T1133" s="175"/>
      <c r="U1133" s="175"/>
      <c r="V1133" s="175"/>
      <c r="W1133" s="175"/>
      <c r="X1133" s="175"/>
      <c r="Y1133" s="175"/>
      <c r="Z1133" s="175"/>
      <c r="AA1133" s="175"/>
      <c r="AB1133" s="175"/>
      <c r="AC1133" s="175"/>
      <c r="AD1133" s="175"/>
    </row>
    <row r="1134" spans="18:30" x14ac:dyDescent="0.25">
      <c r="R1134" s="176"/>
      <c r="S1134" s="175"/>
      <c r="T1134" s="175"/>
      <c r="U1134" s="175"/>
      <c r="V1134" s="175"/>
      <c r="W1134" s="175"/>
      <c r="X1134" s="175"/>
      <c r="Y1134" s="175"/>
      <c r="Z1134" s="175"/>
      <c r="AA1134" s="175"/>
      <c r="AB1134" s="175"/>
      <c r="AC1134" s="175"/>
      <c r="AD1134" s="175"/>
    </row>
    <row r="1135" spans="18:30" x14ac:dyDescent="0.25">
      <c r="R1135" s="176"/>
      <c r="S1135" s="175"/>
      <c r="T1135" s="175"/>
      <c r="U1135" s="175"/>
      <c r="V1135" s="175"/>
      <c r="W1135" s="175"/>
      <c r="X1135" s="175"/>
      <c r="Y1135" s="175"/>
      <c r="Z1135" s="175"/>
      <c r="AA1135" s="175"/>
      <c r="AB1135" s="175"/>
      <c r="AC1135" s="175"/>
      <c r="AD1135" s="175"/>
    </row>
    <row r="1136" spans="18:30" x14ac:dyDescent="0.25">
      <c r="R1136" s="176"/>
      <c r="S1136" s="175"/>
      <c r="T1136" s="175"/>
      <c r="U1136" s="175"/>
      <c r="V1136" s="175"/>
      <c r="W1136" s="175"/>
      <c r="X1136" s="175"/>
      <c r="Y1136" s="175"/>
      <c r="Z1136" s="175"/>
      <c r="AA1136" s="175"/>
      <c r="AB1136" s="175"/>
      <c r="AC1136" s="175"/>
      <c r="AD1136" s="175"/>
    </row>
    <row r="1137" spans="18:30" x14ac:dyDescent="0.25">
      <c r="R1137" s="176"/>
      <c r="S1137" s="175"/>
      <c r="T1137" s="175"/>
      <c r="U1137" s="175"/>
      <c r="V1137" s="175"/>
      <c r="W1137" s="175"/>
      <c r="X1137" s="175"/>
      <c r="Y1137" s="175"/>
      <c r="Z1137" s="175"/>
      <c r="AA1137" s="175"/>
      <c r="AB1137" s="175"/>
      <c r="AC1137" s="175"/>
      <c r="AD1137" s="175"/>
    </row>
    <row r="1138" spans="18:30" x14ac:dyDescent="0.25">
      <c r="R1138" s="176"/>
      <c r="S1138" s="175"/>
      <c r="T1138" s="175"/>
      <c r="U1138" s="175"/>
      <c r="V1138" s="175"/>
      <c r="W1138" s="175"/>
      <c r="X1138" s="175"/>
      <c r="Y1138" s="175"/>
      <c r="Z1138" s="175"/>
      <c r="AA1138" s="175"/>
      <c r="AB1138" s="175"/>
      <c r="AC1138" s="175"/>
      <c r="AD1138" s="175"/>
    </row>
    <row r="1139" spans="18:30" x14ac:dyDescent="0.25">
      <c r="R1139" s="176"/>
      <c r="S1139" s="175"/>
      <c r="T1139" s="175"/>
      <c r="U1139" s="175"/>
      <c r="V1139" s="175"/>
      <c r="W1139" s="175"/>
      <c r="X1139" s="175"/>
      <c r="Y1139" s="175"/>
      <c r="Z1139" s="175"/>
      <c r="AA1139" s="175"/>
      <c r="AB1139" s="175"/>
      <c r="AC1139" s="175"/>
      <c r="AD1139" s="175"/>
    </row>
    <row r="1140" spans="18:30" x14ac:dyDescent="0.25">
      <c r="R1140" s="176"/>
      <c r="S1140" s="175"/>
      <c r="T1140" s="175"/>
      <c r="U1140" s="175"/>
      <c r="V1140" s="175"/>
      <c r="W1140" s="175"/>
      <c r="X1140" s="175"/>
      <c r="Y1140" s="175"/>
      <c r="Z1140" s="175"/>
      <c r="AA1140" s="175"/>
      <c r="AB1140" s="175"/>
      <c r="AC1140" s="175"/>
      <c r="AD1140" s="175"/>
    </row>
    <row r="1141" spans="18:30" x14ac:dyDescent="0.25">
      <c r="R1141" s="176"/>
      <c r="S1141" s="175"/>
      <c r="T1141" s="175"/>
      <c r="U1141" s="175"/>
      <c r="V1141" s="175"/>
      <c r="W1141" s="175"/>
      <c r="X1141" s="175"/>
      <c r="Y1141" s="175"/>
      <c r="Z1141" s="175"/>
      <c r="AA1141" s="175"/>
      <c r="AB1141" s="175"/>
      <c r="AC1141" s="175"/>
      <c r="AD1141" s="175"/>
    </row>
    <row r="1142" spans="18:30" x14ac:dyDescent="0.25">
      <c r="R1142" s="176"/>
      <c r="S1142" s="175"/>
      <c r="T1142" s="175"/>
      <c r="U1142" s="175"/>
      <c r="V1142" s="175"/>
      <c r="W1142" s="175"/>
      <c r="X1142" s="175"/>
      <c r="Y1142" s="175"/>
      <c r="Z1142" s="175"/>
      <c r="AA1142" s="175"/>
      <c r="AB1142" s="175"/>
      <c r="AC1142" s="175"/>
      <c r="AD1142" s="175"/>
    </row>
    <row r="1143" spans="18:30" x14ac:dyDescent="0.25">
      <c r="R1143" s="176"/>
      <c r="S1143" s="175"/>
      <c r="T1143" s="175"/>
      <c r="U1143" s="175"/>
      <c r="V1143" s="175"/>
      <c r="W1143" s="175"/>
      <c r="X1143" s="175"/>
      <c r="Y1143" s="175"/>
      <c r="Z1143" s="175"/>
      <c r="AA1143" s="175"/>
      <c r="AB1143" s="175"/>
      <c r="AC1143" s="175"/>
      <c r="AD1143" s="175"/>
    </row>
    <row r="1144" spans="18:30" x14ac:dyDescent="0.25">
      <c r="R1144" s="176"/>
      <c r="S1144" s="175"/>
      <c r="T1144" s="175"/>
      <c r="U1144" s="175"/>
      <c r="V1144" s="175"/>
      <c r="W1144" s="175"/>
      <c r="X1144" s="175"/>
      <c r="Y1144" s="175"/>
      <c r="Z1144" s="175"/>
      <c r="AA1144" s="175"/>
      <c r="AB1144" s="175"/>
      <c r="AC1144" s="175"/>
      <c r="AD1144" s="175"/>
    </row>
    <row r="1145" spans="18:30" x14ac:dyDescent="0.25">
      <c r="R1145" s="176"/>
      <c r="S1145" s="175"/>
      <c r="T1145" s="175"/>
      <c r="U1145" s="175"/>
      <c r="V1145" s="175"/>
      <c r="W1145" s="175"/>
      <c r="X1145" s="175"/>
      <c r="Y1145" s="175"/>
      <c r="Z1145" s="175"/>
      <c r="AA1145" s="175"/>
      <c r="AB1145" s="175"/>
      <c r="AC1145" s="175"/>
      <c r="AD1145" s="175"/>
    </row>
    <row r="1146" spans="18:30" x14ac:dyDescent="0.25">
      <c r="R1146" s="176"/>
      <c r="S1146" s="175"/>
      <c r="T1146" s="175"/>
      <c r="U1146" s="175"/>
      <c r="V1146" s="175"/>
      <c r="W1146" s="175"/>
      <c r="X1146" s="175"/>
      <c r="Y1146" s="175"/>
      <c r="Z1146" s="175"/>
      <c r="AA1146" s="175"/>
      <c r="AB1146" s="175"/>
      <c r="AC1146" s="175"/>
      <c r="AD1146" s="175"/>
    </row>
    <row r="1147" spans="18:30" x14ac:dyDescent="0.25">
      <c r="R1147" s="176"/>
      <c r="S1147" s="175"/>
      <c r="T1147" s="175"/>
      <c r="U1147" s="175"/>
      <c r="V1147" s="175"/>
      <c r="W1147" s="175"/>
      <c r="X1147" s="175"/>
      <c r="Y1147" s="175"/>
      <c r="Z1147" s="175"/>
      <c r="AA1147" s="175"/>
      <c r="AB1147" s="175"/>
      <c r="AC1147" s="175"/>
      <c r="AD1147" s="175"/>
    </row>
    <row r="1148" spans="18:30" x14ac:dyDescent="0.25">
      <c r="R1148" s="176"/>
      <c r="S1148" s="175"/>
      <c r="T1148" s="175"/>
      <c r="U1148" s="175"/>
      <c r="V1148" s="175"/>
      <c r="W1148" s="175"/>
      <c r="X1148" s="175"/>
      <c r="Y1148" s="175"/>
      <c r="Z1148" s="175"/>
      <c r="AA1148" s="175"/>
      <c r="AB1148" s="175"/>
      <c r="AC1148" s="175"/>
      <c r="AD1148" s="175"/>
    </row>
    <row r="1149" spans="18:30" x14ac:dyDescent="0.25">
      <c r="R1149" s="176"/>
      <c r="S1149" s="175"/>
      <c r="T1149" s="175"/>
      <c r="U1149" s="175"/>
      <c r="V1149" s="175"/>
      <c r="W1149" s="175"/>
      <c r="X1149" s="175"/>
      <c r="Y1149" s="175"/>
      <c r="Z1149" s="175"/>
      <c r="AA1149" s="175"/>
      <c r="AB1149" s="175"/>
      <c r="AC1149" s="175"/>
      <c r="AD1149" s="175"/>
    </row>
    <row r="1150" spans="18:30" x14ac:dyDescent="0.25">
      <c r="R1150" s="176"/>
      <c r="S1150" s="175"/>
      <c r="T1150" s="175"/>
      <c r="U1150" s="175"/>
      <c r="V1150" s="175"/>
      <c r="W1150" s="175"/>
      <c r="X1150" s="175"/>
      <c r="Y1150" s="175"/>
      <c r="Z1150" s="175"/>
      <c r="AA1150" s="175"/>
      <c r="AB1150" s="175"/>
      <c r="AC1150" s="175"/>
      <c r="AD1150" s="175"/>
    </row>
    <row r="1151" spans="18:30" x14ac:dyDescent="0.25">
      <c r="R1151" s="176"/>
      <c r="S1151" s="175"/>
      <c r="T1151" s="175"/>
      <c r="U1151" s="175"/>
      <c r="V1151" s="175"/>
      <c r="W1151" s="175"/>
      <c r="X1151" s="175"/>
      <c r="Y1151" s="175"/>
      <c r="Z1151" s="175"/>
      <c r="AA1151" s="175"/>
      <c r="AB1151" s="175"/>
      <c r="AC1151" s="175"/>
      <c r="AD1151" s="175"/>
    </row>
    <row r="1152" spans="18:30" x14ac:dyDescent="0.25">
      <c r="R1152" s="176"/>
      <c r="S1152" s="175"/>
      <c r="T1152" s="175"/>
      <c r="U1152" s="175"/>
      <c r="V1152" s="175"/>
      <c r="W1152" s="175"/>
      <c r="X1152" s="175"/>
      <c r="Y1152" s="175"/>
      <c r="Z1152" s="175"/>
      <c r="AA1152" s="175"/>
      <c r="AB1152" s="175"/>
      <c r="AC1152" s="175"/>
      <c r="AD1152" s="175"/>
    </row>
    <row r="1153" spans="18:30" x14ac:dyDescent="0.25">
      <c r="R1153" s="176"/>
      <c r="S1153" s="175"/>
      <c r="T1153" s="175"/>
      <c r="U1153" s="175"/>
      <c r="V1153" s="175"/>
      <c r="W1153" s="175"/>
      <c r="X1153" s="175"/>
      <c r="Y1153" s="175"/>
      <c r="Z1153" s="175"/>
      <c r="AA1153" s="175"/>
      <c r="AB1153" s="175"/>
      <c r="AC1153" s="175"/>
      <c r="AD1153" s="175"/>
    </row>
    <row r="1154" spans="18:30" x14ac:dyDescent="0.25">
      <c r="R1154" s="176"/>
      <c r="S1154" s="175"/>
      <c r="T1154" s="175"/>
      <c r="U1154" s="175"/>
      <c r="V1154" s="175"/>
      <c r="W1154" s="175"/>
      <c r="X1154" s="175"/>
      <c r="Y1154" s="175"/>
      <c r="Z1154" s="175"/>
      <c r="AA1154" s="175"/>
      <c r="AB1154" s="175"/>
      <c r="AC1154" s="175"/>
      <c r="AD1154" s="175"/>
    </row>
    <row r="1155" spans="18:30" x14ac:dyDescent="0.25">
      <c r="R1155" s="176"/>
      <c r="S1155" s="175"/>
      <c r="T1155" s="175"/>
      <c r="U1155" s="175"/>
      <c r="V1155" s="175"/>
      <c r="W1155" s="175"/>
      <c r="X1155" s="175"/>
      <c r="Y1155" s="175"/>
      <c r="Z1155" s="175"/>
      <c r="AA1155" s="175"/>
      <c r="AB1155" s="175"/>
      <c r="AC1155" s="175"/>
      <c r="AD1155" s="175"/>
    </row>
    <row r="1156" spans="18:30" x14ac:dyDescent="0.25">
      <c r="R1156" s="176"/>
      <c r="S1156" s="175"/>
      <c r="T1156" s="175"/>
      <c r="U1156" s="175"/>
      <c r="V1156" s="175"/>
      <c r="W1156" s="175"/>
      <c r="X1156" s="175"/>
      <c r="Y1156" s="175"/>
      <c r="Z1156" s="175"/>
      <c r="AA1156" s="175"/>
      <c r="AB1156" s="175"/>
      <c r="AC1156" s="175"/>
      <c r="AD1156" s="175"/>
    </row>
    <row r="1157" spans="18:30" x14ac:dyDescent="0.25">
      <c r="R1157" s="176"/>
      <c r="S1157" s="175"/>
      <c r="T1157" s="175"/>
      <c r="U1157" s="175"/>
      <c r="V1157" s="175"/>
      <c r="W1157" s="175"/>
      <c r="X1157" s="175"/>
      <c r="Y1157" s="175"/>
      <c r="Z1157" s="175"/>
      <c r="AA1157" s="175"/>
      <c r="AB1157" s="175"/>
      <c r="AC1157" s="175"/>
      <c r="AD1157" s="175"/>
    </row>
    <row r="1158" spans="18:30" x14ac:dyDescent="0.25">
      <c r="R1158" s="176"/>
      <c r="S1158" s="175"/>
      <c r="T1158" s="175"/>
      <c r="U1158" s="175"/>
      <c r="V1158" s="175"/>
      <c r="W1158" s="175"/>
      <c r="X1158" s="175"/>
      <c r="Y1158" s="175"/>
      <c r="Z1158" s="175"/>
      <c r="AA1158" s="175"/>
      <c r="AB1158" s="175"/>
      <c r="AC1158" s="175"/>
      <c r="AD1158" s="175"/>
    </row>
    <row r="1159" spans="18:30" x14ac:dyDescent="0.25">
      <c r="R1159" s="176"/>
      <c r="S1159" s="175"/>
      <c r="T1159" s="175"/>
      <c r="U1159" s="175"/>
      <c r="V1159" s="175"/>
      <c r="W1159" s="175"/>
      <c r="X1159" s="175"/>
      <c r="Y1159" s="175"/>
      <c r="Z1159" s="175"/>
      <c r="AA1159" s="175"/>
      <c r="AB1159" s="175"/>
      <c r="AC1159" s="175"/>
      <c r="AD1159" s="175"/>
    </row>
    <row r="1160" spans="18:30" x14ac:dyDescent="0.25">
      <c r="R1160" s="176"/>
      <c r="S1160" s="175"/>
      <c r="T1160" s="175"/>
      <c r="U1160" s="175"/>
      <c r="V1160" s="175"/>
      <c r="W1160" s="175"/>
      <c r="X1160" s="175"/>
      <c r="Y1160" s="175"/>
      <c r="Z1160" s="175"/>
      <c r="AA1160" s="175"/>
      <c r="AB1160" s="175"/>
      <c r="AC1160" s="175"/>
      <c r="AD1160" s="175"/>
    </row>
    <row r="1161" spans="18:30" x14ac:dyDescent="0.25">
      <c r="R1161" s="176"/>
      <c r="S1161" s="175"/>
      <c r="T1161" s="175"/>
      <c r="U1161" s="175"/>
      <c r="V1161" s="175"/>
      <c r="W1161" s="175"/>
      <c r="X1161" s="175"/>
      <c r="Y1161" s="175"/>
      <c r="Z1161" s="175"/>
      <c r="AA1161" s="175"/>
      <c r="AB1161" s="175"/>
      <c r="AC1161" s="175"/>
      <c r="AD1161" s="175"/>
    </row>
    <row r="1162" spans="18:30" x14ac:dyDescent="0.25">
      <c r="R1162" s="176"/>
      <c r="S1162" s="175"/>
      <c r="T1162" s="175"/>
      <c r="U1162" s="175"/>
      <c r="V1162" s="175"/>
      <c r="W1162" s="175"/>
      <c r="X1162" s="175"/>
      <c r="Y1162" s="175"/>
      <c r="Z1162" s="175"/>
      <c r="AA1162" s="175"/>
      <c r="AB1162" s="175"/>
      <c r="AC1162" s="175"/>
      <c r="AD1162" s="175"/>
    </row>
    <row r="1163" spans="18:30" x14ac:dyDescent="0.25">
      <c r="R1163" s="176"/>
      <c r="S1163" s="175"/>
      <c r="T1163" s="175"/>
      <c r="U1163" s="175"/>
      <c r="V1163" s="175"/>
      <c r="W1163" s="175"/>
      <c r="X1163" s="175"/>
      <c r="Y1163" s="175"/>
      <c r="Z1163" s="175"/>
      <c r="AA1163" s="175"/>
      <c r="AB1163" s="175"/>
      <c r="AC1163" s="175"/>
      <c r="AD1163" s="175"/>
    </row>
    <row r="1164" spans="18:30" x14ac:dyDescent="0.25">
      <c r="R1164" s="176"/>
      <c r="S1164" s="175"/>
      <c r="T1164" s="175"/>
      <c r="U1164" s="175"/>
      <c r="V1164" s="175"/>
      <c r="W1164" s="175"/>
      <c r="X1164" s="175"/>
      <c r="Y1164" s="175"/>
      <c r="Z1164" s="175"/>
      <c r="AA1164" s="175"/>
      <c r="AB1164" s="175"/>
      <c r="AC1164" s="175"/>
      <c r="AD1164" s="175"/>
    </row>
    <row r="1165" spans="18:30" x14ac:dyDescent="0.25">
      <c r="R1165" s="176"/>
      <c r="S1165" s="175"/>
      <c r="T1165" s="175"/>
      <c r="U1165" s="175"/>
      <c r="V1165" s="175"/>
      <c r="W1165" s="175"/>
      <c r="X1165" s="175"/>
      <c r="Y1165" s="175"/>
      <c r="Z1165" s="175"/>
      <c r="AA1165" s="175"/>
      <c r="AB1165" s="175"/>
      <c r="AC1165" s="175"/>
      <c r="AD1165" s="175"/>
    </row>
    <row r="1166" spans="18:30" x14ac:dyDescent="0.25">
      <c r="R1166" s="176"/>
      <c r="S1166" s="175"/>
      <c r="T1166" s="175"/>
      <c r="U1166" s="175"/>
      <c r="V1166" s="175"/>
      <c r="W1166" s="175"/>
      <c r="X1166" s="175"/>
      <c r="Y1166" s="175"/>
      <c r="Z1166" s="175"/>
      <c r="AA1166" s="175"/>
      <c r="AB1166" s="175"/>
      <c r="AC1166" s="175"/>
      <c r="AD1166" s="175"/>
    </row>
    <row r="1167" spans="18:30" x14ac:dyDescent="0.25">
      <c r="R1167" s="176"/>
      <c r="S1167" s="175"/>
      <c r="T1167" s="175"/>
      <c r="U1167" s="175"/>
      <c r="V1167" s="175"/>
      <c r="W1167" s="175"/>
      <c r="X1167" s="175"/>
      <c r="Y1167" s="175"/>
      <c r="Z1167" s="175"/>
      <c r="AA1167" s="175"/>
      <c r="AB1167" s="175"/>
      <c r="AC1167" s="175"/>
      <c r="AD1167" s="175"/>
    </row>
    <row r="1168" spans="18:30" x14ac:dyDescent="0.25">
      <c r="R1168" s="176"/>
      <c r="S1168" s="175"/>
      <c r="T1168" s="175"/>
      <c r="U1168" s="175"/>
      <c r="V1168" s="175"/>
      <c r="W1168" s="175"/>
      <c r="X1168" s="175"/>
      <c r="Y1168" s="175"/>
      <c r="Z1168" s="175"/>
      <c r="AA1168" s="175"/>
      <c r="AB1168" s="175"/>
      <c r="AC1168" s="175"/>
      <c r="AD1168" s="175"/>
    </row>
    <row r="1169" spans="18:30" x14ac:dyDescent="0.25">
      <c r="R1169" s="176"/>
      <c r="S1169" s="175"/>
      <c r="T1169" s="175"/>
      <c r="U1169" s="175"/>
      <c r="V1169" s="175"/>
      <c r="W1169" s="175"/>
      <c r="X1169" s="175"/>
      <c r="Y1169" s="175"/>
      <c r="Z1169" s="175"/>
      <c r="AA1169" s="175"/>
      <c r="AB1169" s="175"/>
      <c r="AC1169" s="175"/>
      <c r="AD1169" s="175"/>
    </row>
    <row r="1170" spans="18:30" x14ac:dyDescent="0.25">
      <c r="R1170" s="176"/>
      <c r="S1170" s="175"/>
      <c r="T1170" s="175"/>
      <c r="U1170" s="175"/>
      <c r="V1170" s="175"/>
      <c r="W1170" s="175"/>
      <c r="X1170" s="175"/>
      <c r="Y1170" s="175"/>
      <c r="Z1170" s="175"/>
      <c r="AA1170" s="175"/>
      <c r="AB1170" s="175"/>
      <c r="AC1170" s="175"/>
      <c r="AD1170" s="175"/>
    </row>
    <row r="1171" spans="18:30" x14ac:dyDescent="0.25">
      <c r="R1171" s="176"/>
      <c r="S1171" s="175"/>
      <c r="T1171" s="175"/>
      <c r="U1171" s="175"/>
      <c r="V1171" s="175"/>
      <c r="W1171" s="175"/>
      <c r="X1171" s="175"/>
      <c r="Y1171" s="175"/>
      <c r="Z1171" s="175"/>
      <c r="AA1171" s="175"/>
      <c r="AB1171" s="175"/>
      <c r="AC1171" s="175"/>
      <c r="AD1171" s="175"/>
    </row>
    <row r="1172" spans="18:30" x14ac:dyDescent="0.25">
      <c r="R1172" s="176"/>
      <c r="S1172" s="175"/>
      <c r="T1172" s="175"/>
      <c r="U1172" s="175"/>
      <c r="V1172" s="175"/>
      <c r="W1172" s="175"/>
      <c r="X1172" s="175"/>
      <c r="Y1172" s="175"/>
      <c r="Z1172" s="175"/>
      <c r="AA1172" s="175"/>
      <c r="AB1172" s="175"/>
      <c r="AC1172" s="175"/>
      <c r="AD1172" s="175"/>
    </row>
    <row r="1173" spans="18:30" x14ac:dyDescent="0.25">
      <c r="R1173" s="176"/>
      <c r="S1173" s="175"/>
      <c r="T1173" s="175"/>
      <c r="U1173" s="175"/>
      <c r="V1173" s="175"/>
      <c r="W1173" s="175"/>
      <c r="X1173" s="175"/>
      <c r="Y1173" s="175"/>
      <c r="Z1173" s="175"/>
      <c r="AA1173" s="175"/>
      <c r="AB1173" s="175"/>
      <c r="AC1173" s="175"/>
      <c r="AD1173" s="175"/>
    </row>
    <row r="1174" spans="18:30" x14ac:dyDescent="0.25">
      <c r="R1174" s="176"/>
      <c r="S1174" s="175"/>
      <c r="T1174" s="175"/>
      <c r="U1174" s="175"/>
      <c r="V1174" s="175"/>
      <c r="W1174" s="175"/>
      <c r="X1174" s="175"/>
      <c r="Y1174" s="175"/>
      <c r="Z1174" s="175"/>
      <c r="AA1174" s="175"/>
      <c r="AB1174" s="175"/>
      <c r="AC1174" s="175"/>
      <c r="AD1174" s="175"/>
    </row>
    <row r="1175" spans="18:30" x14ac:dyDescent="0.25">
      <c r="R1175" s="176"/>
      <c r="S1175" s="175"/>
      <c r="T1175" s="175"/>
      <c r="U1175" s="175"/>
      <c r="V1175" s="175"/>
      <c r="W1175" s="175"/>
      <c r="X1175" s="175"/>
      <c r="Y1175" s="175"/>
      <c r="Z1175" s="175"/>
      <c r="AA1175" s="175"/>
      <c r="AB1175" s="175"/>
      <c r="AC1175" s="175"/>
      <c r="AD1175" s="175"/>
    </row>
    <row r="1176" spans="18:30" x14ac:dyDescent="0.25">
      <c r="R1176" s="176"/>
      <c r="S1176" s="175"/>
      <c r="T1176" s="175"/>
      <c r="U1176" s="175"/>
      <c r="V1176" s="175"/>
      <c r="W1176" s="175"/>
      <c r="X1176" s="175"/>
      <c r="Y1176" s="175"/>
      <c r="Z1176" s="175"/>
      <c r="AA1176" s="175"/>
      <c r="AB1176" s="175"/>
      <c r="AC1176" s="175"/>
      <c r="AD1176" s="175"/>
    </row>
    <row r="1177" spans="18:30" x14ac:dyDescent="0.25">
      <c r="R1177" s="176"/>
      <c r="S1177" s="175"/>
      <c r="T1177" s="175"/>
      <c r="U1177" s="175"/>
      <c r="V1177" s="175"/>
      <c r="W1177" s="175"/>
      <c r="X1177" s="175"/>
      <c r="Y1177" s="175"/>
      <c r="Z1177" s="175"/>
      <c r="AA1177" s="175"/>
      <c r="AB1177" s="175"/>
      <c r="AC1177" s="175"/>
      <c r="AD1177" s="175"/>
    </row>
    <row r="1178" spans="18:30" x14ac:dyDescent="0.25">
      <c r="R1178" s="176"/>
      <c r="S1178" s="175"/>
      <c r="T1178" s="175"/>
      <c r="U1178" s="175"/>
      <c r="V1178" s="175"/>
      <c r="W1178" s="175"/>
      <c r="X1178" s="175"/>
      <c r="Y1178" s="175"/>
      <c r="Z1178" s="175"/>
      <c r="AA1178" s="175"/>
      <c r="AB1178" s="175"/>
      <c r="AC1178" s="175"/>
      <c r="AD1178" s="175"/>
    </row>
    <row r="1179" spans="18:30" x14ac:dyDescent="0.25">
      <c r="R1179" s="176"/>
      <c r="S1179" s="175"/>
      <c r="T1179" s="175"/>
      <c r="U1179" s="175"/>
      <c r="V1179" s="175"/>
      <c r="W1179" s="175"/>
      <c r="X1179" s="175"/>
      <c r="Y1179" s="175"/>
      <c r="Z1179" s="175"/>
      <c r="AA1179" s="175"/>
      <c r="AB1179" s="175"/>
      <c r="AC1179" s="175"/>
      <c r="AD1179" s="175"/>
    </row>
    <row r="1180" spans="18:30" x14ac:dyDescent="0.25">
      <c r="R1180" s="176"/>
      <c r="S1180" s="175"/>
      <c r="T1180" s="175"/>
      <c r="U1180" s="175"/>
      <c r="V1180" s="175"/>
      <c r="W1180" s="175"/>
      <c r="X1180" s="175"/>
      <c r="Y1180" s="175"/>
      <c r="Z1180" s="175"/>
      <c r="AA1180" s="175"/>
      <c r="AB1180" s="175"/>
      <c r="AC1180" s="175"/>
      <c r="AD1180" s="175"/>
    </row>
    <row r="1181" spans="18:30" x14ac:dyDescent="0.25">
      <c r="R1181" s="176"/>
      <c r="S1181" s="175"/>
      <c r="T1181" s="175"/>
      <c r="U1181" s="175"/>
      <c r="V1181" s="175"/>
      <c r="W1181" s="175"/>
      <c r="X1181" s="175"/>
      <c r="Y1181" s="175"/>
      <c r="Z1181" s="175"/>
      <c r="AA1181" s="175"/>
      <c r="AB1181" s="175"/>
      <c r="AC1181" s="175"/>
      <c r="AD1181" s="175"/>
    </row>
    <row r="1182" spans="18:30" x14ac:dyDescent="0.25">
      <c r="R1182" s="176"/>
      <c r="S1182" s="175"/>
      <c r="T1182" s="175"/>
      <c r="U1182" s="175"/>
      <c r="V1182" s="175"/>
      <c r="W1182" s="175"/>
      <c r="X1182" s="175"/>
      <c r="Y1182" s="175"/>
      <c r="Z1182" s="175"/>
      <c r="AA1182" s="175"/>
      <c r="AB1182" s="175"/>
      <c r="AC1182" s="175"/>
      <c r="AD1182" s="175"/>
    </row>
    <row r="1183" spans="18:30" x14ac:dyDescent="0.25">
      <c r="R1183" s="176"/>
      <c r="S1183" s="175"/>
      <c r="T1183" s="175"/>
      <c r="U1183" s="175"/>
      <c r="V1183" s="175"/>
      <c r="W1183" s="175"/>
      <c r="X1183" s="175"/>
      <c r="Y1183" s="175"/>
      <c r="Z1183" s="175"/>
      <c r="AA1183" s="175"/>
      <c r="AB1183" s="175"/>
      <c r="AC1183" s="175"/>
      <c r="AD1183" s="175"/>
    </row>
    <row r="1184" spans="18:30" x14ac:dyDescent="0.25">
      <c r="R1184" s="176"/>
      <c r="S1184" s="175"/>
      <c r="T1184" s="175"/>
      <c r="U1184" s="175"/>
      <c r="V1184" s="175"/>
      <c r="W1184" s="175"/>
      <c r="X1184" s="175"/>
      <c r="Y1184" s="175"/>
      <c r="Z1184" s="175"/>
      <c r="AA1184" s="175"/>
      <c r="AB1184" s="175"/>
      <c r="AC1184" s="175"/>
      <c r="AD1184" s="175"/>
    </row>
    <row r="1185" spans="18:30" x14ac:dyDescent="0.25">
      <c r="R1185" s="176"/>
      <c r="S1185" s="175"/>
      <c r="T1185" s="175"/>
      <c r="U1185" s="175"/>
      <c r="V1185" s="175"/>
      <c r="W1185" s="175"/>
      <c r="X1185" s="175"/>
      <c r="Y1185" s="175"/>
      <c r="Z1185" s="175"/>
      <c r="AA1185" s="175"/>
      <c r="AB1185" s="175"/>
      <c r="AC1185" s="175"/>
      <c r="AD1185" s="175"/>
    </row>
    <row r="1186" spans="18:30" x14ac:dyDescent="0.25">
      <c r="R1186" s="176"/>
      <c r="S1186" s="175"/>
      <c r="T1186" s="175"/>
      <c r="U1186" s="175"/>
      <c r="V1186" s="175"/>
      <c r="W1186" s="175"/>
      <c r="X1186" s="175"/>
      <c r="Y1186" s="175"/>
      <c r="Z1186" s="175"/>
      <c r="AA1186" s="175"/>
      <c r="AB1186" s="175"/>
      <c r="AC1186" s="175"/>
      <c r="AD1186" s="175"/>
    </row>
    <row r="1187" spans="18:30" x14ac:dyDescent="0.25">
      <c r="R1187" s="176"/>
      <c r="S1187" s="175"/>
      <c r="T1187" s="175"/>
      <c r="U1187" s="175"/>
      <c r="V1187" s="175"/>
      <c r="W1187" s="175"/>
      <c r="X1187" s="175"/>
      <c r="Y1187" s="175"/>
      <c r="Z1187" s="175"/>
      <c r="AA1187" s="175"/>
      <c r="AB1187" s="175"/>
      <c r="AC1187" s="175"/>
      <c r="AD1187" s="175"/>
    </row>
    <row r="1188" spans="18:30" x14ac:dyDescent="0.25">
      <c r="R1188" s="176"/>
      <c r="S1188" s="175"/>
      <c r="T1188" s="175"/>
      <c r="U1188" s="175"/>
      <c r="V1188" s="175"/>
      <c r="W1188" s="175"/>
      <c r="X1188" s="175"/>
      <c r="Y1188" s="175"/>
      <c r="Z1188" s="175"/>
      <c r="AA1188" s="175"/>
      <c r="AB1188" s="175"/>
      <c r="AC1188" s="175"/>
      <c r="AD1188" s="175"/>
    </row>
    <row r="1189" spans="18:30" x14ac:dyDescent="0.25">
      <c r="R1189" s="176"/>
      <c r="S1189" s="175"/>
      <c r="T1189" s="175"/>
      <c r="U1189" s="175"/>
      <c r="V1189" s="175"/>
      <c r="W1189" s="175"/>
      <c r="X1189" s="175"/>
      <c r="Y1189" s="175"/>
      <c r="Z1189" s="175"/>
      <c r="AA1189" s="175"/>
      <c r="AB1189" s="175"/>
      <c r="AC1189" s="175"/>
      <c r="AD1189" s="175"/>
    </row>
    <row r="1190" spans="18:30" x14ac:dyDescent="0.25">
      <c r="R1190" s="176"/>
      <c r="S1190" s="175"/>
      <c r="T1190" s="175"/>
      <c r="U1190" s="175"/>
      <c r="V1190" s="175"/>
      <c r="W1190" s="175"/>
      <c r="X1190" s="175"/>
      <c r="Y1190" s="175"/>
      <c r="Z1190" s="175"/>
      <c r="AA1190" s="175"/>
      <c r="AB1190" s="175"/>
      <c r="AC1190" s="175"/>
      <c r="AD1190" s="175"/>
    </row>
    <row r="1191" spans="18:30" x14ac:dyDescent="0.25">
      <c r="R1191" s="176"/>
      <c r="S1191" s="175"/>
      <c r="T1191" s="175"/>
      <c r="U1191" s="175"/>
      <c r="V1191" s="175"/>
      <c r="W1191" s="175"/>
      <c r="X1191" s="175"/>
      <c r="Y1191" s="175"/>
      <c r="Z1191" s="175"/>
      <c r="AA1191" s="175"/>
      <c r="AB1191" s="175"/>
      <c r="AC1191" s="175"/>
      <c r="AD1191" s="175"/>
    </row>
    <row r="1192" spans="18:30" x14ac:dyDescent="0.25">
      <c r="R1192" s="176"/>
      <c r="S1192" s="175"/>
      <c r="T1192" s="175"/>
      <c r="U1192" s="175"/>
      <c r="V1192" s="175"/>
      <c r="W1192" s="175"/>
      <c r="X1192" s="175"/>
      <c r="Y1192" s="175"/>
      <c r="Z1192" s="175"/>
      <c r="AA1192" s="175"/>
      <c r="AB1192" s="175"/>
      <c r="AC1192" s="175"/>
      <c r="AD1192" s="175"/>
    </row>
    <row r="1193" spans="18:30" x14ac:dyDescent="0.25">
      <c r="R1193" s="176"/>
      <c r="S1193" s="175"/>
      <c r="T1193" s="175"/>
      <c r="U1193" s="175"/>
      <c r="V1193" s="175"/>
      <c r="W1193" s="175"/>
      <c r="X1193" s="175"/>
      <c r="Y1193" s="175"/>
      <c r="Z1193" s="175"/>
      <c r="AA1193" s="175"/>
      <c r="AB1193" s="175"/>
      <c r="AC1193" s="175"/>
      <c r="AD1193" s="175"/>
    </row>
    <row r="1194" spans="18:30" x14ac:dyDescent="0.25">
      <c r="R1194" s="176"/>
      <c r="S1194" s="175"/>
      <c r="T1194" s="175"/>
      <c r="U1194" s="175"/>
      <c r="V1194" s="175"/>
      <c r="W1194" s="175"/>
      <c r="X1194" s="175"/>
      <c r="Y1194" s="175"/>
      <c r="Z1194" s="175"/>
      <c r="AA1194" s="175"/>
      <c r="AB1194" s="175"/>
      <c r="AC1194" s="175"/>
      <c r="AD1194" s="175"/>
    </row>
    <row r="1195" spans="18:30" x14ac:dyDescent="0.25">
      <c r="R1195" s="176"/>
      <c r="S1195" s="175"/>
      <c r="T1195" s="175"/>
      <c r="U1195" s="175"/>
      <c r="V1195" s="175"/>
      <c r="W1195" s="175"/>
      <c r="X1195" s="175"/>
      <c r="Y1195" s="175"/>
      <c r="Z1195" s="175"/>
      <c r="AA1195" s="175"/>
      <c r="AB1195" s="175"/>
      <c r="AC1195" s="175"/>
      <c r="AD1195" s="175"/>
    </row>
    <row r="1196" spans="18:30" x14ac:dyDescent="0.25">
      <c r="R1196" s="176"/>
      <c r="S1196" s="175"/>
      <c r="T1196" s="175"/>
      <c r="U1196" s="175"/>
      <c r="V1196" s="175"/>
      <c r="W1196" s="175"/>
      <c r="X1196" s="175"/>
      <c r="Y1196" s="175"/>
      <c r="Z1196" s="175"/>
      <c r="AA1196" s="175"/>
      <c r="AB1196" s="175"/>
      <c r="AC1196" s="175"/>
      <c r="AD1196" s="175"/>
    </row>
    <row r="1197" spans="18:30" x14ac:dyDescent="0.25">
      <c r="R1197" s="176"/>
      <c r="S1197" s="175"/>
      <c r="T1197" s="175"/>
      <c r="U1197" s="175"/>
      <c r="V1197" s="175"/>
      <c r="W1197" s="175"/>
      <c r="X1197" s="175"/>
      <c r="Y1197" s="175"/>
      <c r="Z1197" s="175"/>
      <c r="AA1197" s="175"/>
      <c r="AB1197" s="175"/>
      <c r="AC1197" s="175"/>
      <c r="AD1197" s="175"/>
    </row>
    <row r="1198" spans="18:30" x14ac:dyDescent="0.25">
      <c r="R1198" s="176"/>
      <c r="S1198" s="175"/>
      <c r="T1198" s="175"/>
      <c r="U1198" s="175"/>
      <c r="V1198" s="175"/>
      <c r="W1198" s="175"/>
      <c r="X1198" s="175"/>
      <c r="Y1198" s="175"/>
      <c r="Z1198" s="175"/>
      <c r="AA1198" s="175"/>
      <c r="AB1198" s="175"/>
      <c r="AC1198" s="175"/>
      <c r="AD1198" s="175"/>
    </row>
    <row r="1199" spans="18:30" x14ac:dyDescent="0.25">
      <c r="R1199" s="176"/>
      <c r="S1199" s="175"/>
      <c r="T1199" s="175"/>
      <c r="U1199" s="175"/>
      <c r="V1199" s="175"/>
      <c r="W1199" s="175"/>
      <c r="X1199" s="175"/>
      <c r="Y1199" s="175"/>
      <c r="Z1199" s="175"/>
      <c r="AA1199" s="175"/>
      <c r="AB1199" s="175"/>
      <c r="AC1199" s="175"/>
      <c r="AD1199" s="175"/>
    </row>
    <row r="1200" spans="18:30" x14ac:dyDescent="0.25">
      <c r="R1200" s="176"/>
      <c r="S1200" s="175"/>
      <c r="T1200" s="175"/>
      <c r="U1200" s="175"/>
      <c r="V1200" s="175"/>
      <c r="W1200" s="175"/>
      <c r="X1200" s="175"/>
      <c r="Y1200" s="175"/>
      <c r="Z1200" s="175"/>
      <c r="AA1200" s="175"/>
      <c r="AB1200" s="175"/>
      <c r="AC1200" s="175"/>
      <c r="AD1200" s="175"/>
    </row>
    <row r="1201" spans="18:30" x14ac:dyDescent="0.25">
      <c r="R1201" s="176"/>
      <c r="S1201" s="175"/>
      <c r="T1201" s="175"/>
      <c r="U1201" s="175"/>
      <c r="V1201" s="175"/>
      <c r="W1201" s="175"/>
      <c r="X1201" s="175"/>
      <c r="Y1201" s="175"/>
      <c r="Z1201" s="175"/>
      <c r="AA1201" s="175"/>
      <c r="AB1201" s="175"/>
      <c r="AC1201" s="175"/>
      <c r="AD1201" s="175"/>
    </row>
    <row r="1202" spans="18:30" x14ac:dyDescent="0.25">
      <c r="R1202" s="176"/>
      <c r="S1202" s="175"/>
      <c r="T1202" s="175"/>
      <c r="U1202" s="175"/>
      <c r="V1202" s="175"/>
      <c r="W1202" s="175"/>
      <c r="X1202" s="175"/>
      <c r="Y1202" s="175"/>
      <c r="Z1202" s="175"/>
      <c r="AA1202" s="175"/>
      <c r="AB1202" s="175"/>
      <c r="AC1202" s="175"/>
      <c r="AD1202" s="175"/>
    </row>
    <row r="1203" spans="18:30" x14ac:dyDescent="0.25">
      <c r="R1203" s="176"/>
      <c r="S1203" s="175"/>
      <c r="T1203" s="175"/>
      <c r="U1203" s="175"/>
      <c r="V1203" s="175"/>
      <c r="W1203" s="175"/>
      <c r="X1203" s="175"/>
      <c r="Y1203" s="175"/>
      <c r="Z1203" s="175"/>
      <c r="AA1203" s="175"/>
      <c r="AB1203" s="175"/>
      <c r="AC1203" s="175"/>
      <c r="AD1203" s="175"/>
    </row>
    <row r="1204" spans="18:30" x14ac:dyDescent="0.25">
      <c r="R1204" s="176"/>
      <c r="S1204" s="175"/>
      <c r="T1204" s="175"/>
      <c r="U1204" s="175"/>
      <c r="V1204" s="175"/>
      <c r="W1204" s="175"/>
      <c r="X1204" s="175"/>
      <c r="Y1204" s="175"/>
      <c r="Z1204" s="175"/>
      <c r="AA1204" s="175"/>
      <c r="AB1204" s="175"/>
      <c r="AC1204" s="175"/>
      <c r="AD1204" s="175"/>
    </row>
    <row r="1205" spans="18:30" x14ac:dyDescent="0.25">
      <c r="R1205" s="176"/>
      <c r="S1205" s="175"/>
      <c r="T1205" s="175"/>
      <c r="U1205" s="175"/>
      <c r="V1205" s="175"/>
      <c r="W1205" s="175"/>
      <c r="X1205" s="175"/>
      <c r="Y1205" s="175"/>
      <c r="Z1205" s="175"/>
      <c r="AA1205" s="175"/>
      <c r="AB1205" s="175"/>
      <c r="AC1205" s="175"/>
      <c r="AD1205" s="175"/>
    </row>
    <row r="1206" spans="18:30" x14ac:dyDescent="0.25">
      <c r="R1206" s="176"/>
      <c r="S1206" s="175"/>
      <c r="T1206" s="175"/>
      <c r="U1206" s="175"/>
      <c r="V1206" s="175"/>
      <c r="W1206" s="175"/>
      <c r="X1206" s="175"/>
      <c r="Y1206" s="175"/>
      <c r="Z1206" s="175"/>
      <c r="AA1206" s="175"/>
      <c r="AB1206" s="175"/>
      <c r="AC1206" s="175"/>
      <c r="AD1206" s="175"/>
    </row>
    <row r="1207" spans="18:30" x14ac:dyDescent="0.25">
      <c r="R1207" s="176"/>
      <c r="S1207" s="175"/>
      <c r="T1207" s="175"/>
      <c r="U1207" s="175"/>
      <c r="V1207" s="175"/>
      <c r="W1207" s="175"/>
      <c r="X1207" s="175"/>
      <c r="Y1207" s="175"/>
      <c r="Z1207" s="175"/>
      <c r="AA1207" s="175"/>
      <c r="AB1207" s="175"/>
      <c r="AC1207" s="175"/>
      <c r="AD1207" s="175"/>
    </row>
    <row r="1208" spans="18:30" x14ac:dyDescent="0.25">
      <c r="R1208" s="176"/>
      <c r="S1208" s="175"/>
      <c r="T1208" s="175"/>
      <c r="U1208" s="175"/>
      <c r="V1208" s="175"/>
      <c r="W1208" s="175"/>
      <c r="X1208" s="175"/>
      <c r="Y1208" s="175"/>
      <c r="Z1208" s="175"/>
      <c r="AA1208" s="175"/>
      <c r="AB1208" s="175"/>
      <c r="AC1208" s="175"/>
      <c r="AD1208" s="175"/>
    </row>
    <row r="1209" spans="18:30" x14ac:dyDescent="0.25">
      <c r="R1209" s="176"/>
      <c r="S1209" s="175"/>
      <c r="T1209" s="175"/>
      <c r="U1209" s="175"/>
      <c r="V1209" s="175"/>
      <c r="W1209" s="175"/>
      <c r="X1209" s="175"/>
      <c r="Y1209" s="175"/>
      <c r="Z1209" s="175"/>
      <c r="AA1209" s="175"/>
      <c r="AB1209" s="175"/>
      <c r="AC1209" s="175"/>
      <c r="AD1209" s="175"/>
    </row>
    <row r="1210" spans="18:30" x14ac:dyDescent="0.25">
      <c r="R1210" s="176"/>
      <c r="S1210" s="175"/>
      <c r="T1210" s="175"/>
      <c r="U1210" s="175"/>
      <c r="V1210" s="175"/>
      <c r="W1210" s="175"/>
      <c r="X1210" s="175"/>
      <c r="Y1210" s="175"/>
      <c r="Z1210" s="175"/>
      <c r="AA1210" s="175"/>
      <c r="AB1210" s="175"/>
      <c r="AC1210" s="175"/>
      <c r="AD1210" s="175"/>
    </row>
    <row r="1211" spans="18:30" x14ac:dyDescent="0.25">
      <c r="R1211" s="176"/>
      <c r="S1211" s="175"/>
      <c r="T1211" s="175"/>
      <c r="U1211" s="175"/>
      <c r="V1211" s="175"/>
      <c r="W1211" s="175"/>
      <c r="X1211" s="175"/>
      <c r="Y1211" s="175"/>
      <c r="Z1211" s="175"/>
      <c r="AA1211" s="175"/>
      <c r="AB1211" s="175"/>
      <c r="AC1211" s="175"/>
      <c r="AD1211" s="175"/>
    </row>
    <row r="1212" spans="18:30" x14ac:dyDescent="0.25">
      <c r="R1212" s="176"/>
      <c r="S1212" s="175"/>
      <c r="T1212" s="175"/>
      <c r="U1212" s="175"/>
      <c r="V1212" s="175"/>
      <c r="W1212" s="175"/>
      <c r="X1212" s="175"/>
      <c r="Y1212" s="175"/>
      <c r="Z1212" s="175"/>
      <c r="AA1212" s="175"/>
      <c r="AB1212" s="175"/>
      <c r="AC1212" s="175"/>
      <c r="AD1212" s="175"/>
    </row>
    <row r="1213" spans="18:30" x14ac:dyDescent="0.25">
      <c r="R1213" s="176"/>
      <c r="S1213" s="175"/>
      <c r="T1213" s="175"/>
      <c r="U1213" s="175"/>
      <c r="V1213" s="175"/>
      <c r="W1213" s="175"/>
      <c r="X1213" s="175"/>
      <c r="Y1213" s="175"/>
      <c r="Z1213" s="175"/>
      <c r="AA1213" s="175"/>
      <c r="AB1213" s="175"/>
      <c r="AC1213" s="175"/>
      <c r="AD1213" s="175"/>
    </row>
    <row r="1214" spans="18:30" x14ac:dyDescent="0.25">
      <c r="R1214" s="176"/>
      <c r="S1214" s="175"/>
      <c r="T1214" s="175"/>
      <c r="U1214" s="175"/>
      <c r="V1214" s="175"/>
      <c r="W1214" s="175"/>
      <c r="X1214" s="175"/>
      <c r="Y1214" s="175"/>
      <c r="Z1214" s="175"/>
      <c r="AA1214" s="175"/>
      <c r="AB1214" s="175"/>
      <c r="AC1214" s="175"/>
      <c r="AD1214" s="175"/>
    </row>
    <row r="1215" spans="18:30" x14ac:dyDescent="0.25">
      <c r="R1215" s="176"/>
      <c r="S1215" s="175"/>
      <c r="T1215" s="175"/>
      <c r="U1215" s="175"/>
      <c r="V1215" s="175"/>
      <c r="W1215" s="175"/>
      <c r="X1215" s="175"/>
      <c r="Y1215" s="175"/>
      <c r="Z1215" s="175"/>
      <c r="AA1215" s="175"/>
      <c r="AB1215" s="175"/>
      <c r="AC1215" s="175"/>
      <c r="AD1215" s="175"/>
    </row>
    <row r="1216" spans="18:30" x14ac:dyDescent="0.25">
      <c r="R1216" s="176"/>
      <c r="S1216" s="175"/>
      <c r="T1216" s="175"/>
      <c r="U1216" s="175"/>
      <c r="V1216" s="175"/>
      <c r="W1216" s="175"/>
      <c r="X1216" s="175"/>
      <c r="Y1216" s="175"/>
      <c r="Z1216" s="175"/>
      <c r="AA1216" s="175"/>
      <c r="AB1216" s="175"/>
      <c r="AC1216" s="175"/>
      <c r="AD1216" s="175"/>
    </row>
    <row r="1217" spans="18:30" x14ac:dyDescent="0.25">
      <c r="R1217" s="176"/>
      <c r="S1217" s="175"/>
      <c r="T1217" s="175"/>
      <c r="U1217" s="175"/>
      <c r="V1217" s="175"/>
      <c r="W1217" s="175"/>
      <c r="X1217" s="175"/>
      <c r="Y1217" s="175"/>
      <c r="Z1217" s="175"/>
      <c r="AA1217" s="175"/>
      <c r="AB1217" s="175"/>
      <c r="AC1217" s="175"/>
      <c r="AD1217" s="175"/>
    </row>
    <row r="1218" spans="18:30" x14ac:dyDescent="0.25">
      <c r="R1218" s="176"/>
      <c r="S1218" s="175"/>
      <c r="T1218" s="175"/>
      <c r="U1218" s="175"/>
      <c r="V1218" s="175"/>
      <c r="W1218" s="175"/>
      <c r="X1218" s="175"/>
      <c r="Y1218" s="175"/>
      <c r="Z1218" s="175"/>
      <c r="AA1218" s="175"/>
      <c r="AB1218" s="175"/>
      <c r="AC1218" s="175"/>
      <c r="AD1218" s="175"/>
    </row>
    <row r="1219" spans="18:30" x14ac:dyDescent="0.25">
      <c r="R1219" s="176"/>
      <c r="S1219" s="175"/>
      <c r="T1219" s="175"/>
      <c r="U1219" s="175"/>
      <c r="V1219" s="175"/>
      <c r="W1219" s="175"/>
      <c r="X1219" s="175"/>
      <c r="Y1219" s="175"/>
      <c r="Z1219" s="175"/>
      <c r="AA1219" s="175"/>
      <c r="AB1219" s="175"/>
      <c r="AC1219" s="175"/>
      <c r="AD1219" s="175"/>
    </row>
    <row r="1220" spans="18:30" x14ac:dyDescent="0.25">
      <c r="R1220" s="176"/>
      <c r="S1220" s="175"/>
      <c r="T1220" s="175"/>
      <c r="U1220" s="175"/>
      <c r="V1220" s="175"/>
      <c r="W1220" s="175"/>
      <c r="X1220" s="175"/>
      <c r="Y1220" s="175"/>
      <c r="Z1220" s="175"/>
      <c r="AA1220" s="175"/>
      <c r="AB1220" s="175"/>
      <c r="AC1220" s="175"/>
      <c r="AD1220" s="175"/>
    </row>
    <row r="1221" spans="18:30" x14ac:dyDescent="0.25">
      <c r="R1221" s="176"/>
      <c r="S1221" s="175"/>
      <c r="T1221" s="175"/>
      <c r="U1221" s="175"/>
      <c r="V1221" s="175"/>
      <c r="W1221" s="175"/>
      <c r="X1221" s="175"/>
      <c r="Y1221" s="175"/>
      <c r="Z1221" s="175"/>
      <c r="AA1221" s="175"/>
      <c r="AB1221" s="175"/>
      <c r="AC1221" s="175"/>
      <c r="AD1221" s="175"/>
    </row>
    <row r="1222" spans="18:30" x14ac:dyDescent="0.25">
      <c r="R1222" s="176"/>
      <c r="S1222" s="175"/>
      <c r="T1222" s="175"/>
      <c r="U1222" s="175"/>
      <c r="V1222" s="175"/>
      <c r="W1222" s="175"/>
      <c r="X1222" s="175"/>
      <c r="Y1222" s="175"/>
      <c r="Z1222" s="175"/>
      <c r="AA1222" s="175"/>
      <c r="AB1222" s="175"/>
      <c r="AC1222" s="175"/>
      <c r="AD1222" s="175"/>
    </row>
    <row r="1223" spans="18:30" x14ac:dyDescent="0.25">
      <c r="R1223" s="176"/>
      <c r="S1223" s="175"/>
      <c r="T1223" s="175"/>
      <c r="U1223" s="175"/>
      <c r="V1223" s="175"/>
      <c r="W1223" s="175"/>
      <c r="X1223" s="175"/>
      <c r="Y1223" s="175"/>
      <c r="Z1223" s="175"/>
      <c r="AA1223" s="175"/>
      <c r="AB1223" s="175"/>
      <c r="AC1223" s="175"/>
      <c r="AD1223" s="175"/>
    </row>
    <row r="1224" spans="18:30" x14ac:dyDescent="0.25">
      <c r="R1224" s="176"/>
      <c r="S1224" s="175"/>
      <c r="T1224" s="175"/>
      <c r="U1224" s="175"/>
      <c r="V1224" s="175"/>
      <c r="W1224" s="175"/>
      <c r="X1224" s="175"/>
      <c r="Y1224" s="175"/>
      <c r="Z1224" s="175"/>
      <c r="AA1224" s="175"/>
      <c r="AB1224" s="175"/>
      <c r="AC1224" s="175"/>
      <c r="AD1224" s="175"/>
    </row>
    <row r="1225" spans="18:30" x14ac:dyDescent="0.25">
      <c r="R1225" s="176"/>
      <c r="S1225" s="175"/>
      <c r="T1225" s="175"/>
      <c r="U1225" s="175"/>
      <c r="V1225" s="175"/>
      <c r="W1225" s="175"/>
      <c r="X1225" s="175"/>
      <c r="Y1225" s="175"/>
      <c r="Z1225" s="175"/>
      <c r="AA1225" s="175"/>
      <c r="AB1225" s="175"/>
      <c r="AC1225" s="175"/>
      <c r="AD1225" s="175"/>
    </row>
    <row r="1226" spans="18:30" x14ac:dyDescent="0.25">
      <c r="R1226" s="176"/>
      <c r="S1226" s="175"/>
      <c r="T1226" s="175"/>
      <c r="U1226" s="175"/>
      <c r="V1226" s="175"/>
      <c r="W1226" s="175"/>
      <c r="X1226" s="175"/>
      <c r="Y1226" s="175"/>
      <c r="Z1226" s="175"/>
      <c r="AA1226" s="175"/>
      <c r="AB1226" s="175"/>
      <c r="AC1226" s="175"/>
      <c r="AD1226" s="175"/>
    </row>
    <row r="1227" spans="18:30" x14ac:dyDescent="0.25">
      <c r="R1227" s="176"/>
      <c r="S1227" s="175"/>
      <c r="T1227" s="175"/>
      <c r="U1227" s="175"/>
      <c r="V1227" s="175"/>
      <c r="W1227" s="175"/>
      <c r="X1227" s="175"/>
      <c r="Y1227" s="175"/>
      <c r="Z1227" s="175"/>
      <c r="AA1227" s="175"/>
      <c r="AB1227" s="175"/>
      <c r="AC1227" s="175"/>
      <c r="AD1227" s="175"/>
    </row>
    <row r="1228" spans="18:30" x14ac:dyDescent="0.25">
      <c r="R1228" s="176"/>
      <c r="S1228" s="175"/>
      <c r="T1228" s="175"/>
      <c r="U1228" s="175"/>
      <c r="V1228" s="175"/>
      <c r="W1228" s="175"/>
      <c r="X1228" s="175"/>
      <c r="Y1228" s="175"/>
      <c r="Z1228" s="175"/>
      <c r="AA1228" s="175"/>
      <c r="AB1228" s="175"/>
      <c r="AC1228" s="175"/>
      <c r="AD1228" s="175"/>
    </row>
    <row r="1229" spans="18:30" x14ac:dyDescent="0.25">
      <c r="R1229" s="176"/>
      <c r="S1229" s="175"/>
      <c r="T1229" s="175"/>
      <c r="U1229" s="175"/>
      <c r="V1229" s="175"/>
      <c r="W1229" s="175"/>
      <c r="X1229" s="175"/>
      <c r="Y1229" s="175"/>
      <c r="Z1229" s="175"/>
      <c r="AA1229" s="175"/>
      <c r="AB1229" s="175"/>
      <c r="AC1229" s="175"/>
      <c r="AD1229" s="175"/>
    </row>
    <row r="1230" spans="18:30" x14ac:dyDescent="0.25">
      <c r="R1230" s="176"/>
      <c r="S1230" s="175"/>
      <c r="T1230" s="175"/>
      <c r="U1230" s="175"/>
      <c r="V1230" s="175"/>
      <c r="W1230" s="175"/>
      <c r="X1230" s="175"/>
      <c r="Y1230" s="175"/>
      <c r="Z1230" s="175"/>
      <c r="AA1230" s="175"/>
      <c r="AB1230" s="175"/>
      <c r="AC1230" s="175"/>
      <c r="AD1230" s="175"/>
    </row>
    <row r="1231" spans="18:30" x14ac:dyDescent="0.25">
      <c r="R1231" s="176"/>
      <c r="S1231" s="175"/>
      <c r="T1231" s="175"/>
      <c r="U1231" s="175"/>
      <c r="V1231" s="175"/>
      <c r="W1231" s="175"/>
      <c r="X1231" s="175"/>
      <c r="Y1231" s="175"/>
      <c r="Z1231" s="175"/>
      <c r="AA1231" s="175"/>
      <c r="AB1231" s="175"/>
      <c r="AC1231" s="175"/>
      <c r="AD1231" s="175"/>
    </row>
    <row r="1232" spans="18:30" x14ac:dyDescent="0.25">
      <c r="R1232" s="176"/>
      <c r="S1232" s="175"/>
      <c r="T1232" s="175"/>
      <c r="U1232" s="175"/>
      <c r="V1232" s="175"/>
      <c r="W1232" s="175"/>
      <c r="X1232" s="175"/>
      <c r="Y1232" s="175"/>
      <c r="Z1232" s="175"/>
      <c r="AA1232" s="175"/>
      <c r="AB1232" s="175"/>
      <c r="AC1232" s="175"/>
      <c r="AD1232" s="175"/>
    </row>
    <row r="1233" spans="18:30" x14ac:dyDescent="0.25">
      <c r="R1233" s="176"/>
      <c r="S1233" s="175"/>
      <c r="T1233" s="175"/>
      <c r="U1233" s="175"/>
      <c r="V1233" s="175"/>
      <c r="W1233" s="175"/>
      <c r="X1233" s="175"/>
      <c r="Y1233" s="175"/>
      <c r="Z1233" s="175"/>
      <c r="AA1233" s="175"/>
      <c r="AB1233" s="175"/>
      <c r="AC1233" s="175"/>
      <c r="AD1233" s="175"/>
    </row>
    <row r="1234" spans="18:30" x14ac:dyDescent="0.25">
      <c r="R1234" s="176"/>
      <c r="S1234" s="175"/>
      <c r="T1234" s="175"/>
      <c r="U1234" s="175"/>
      <c r="V1234" s="175"/>
      <c r="W1234" s="175"/>
      <c r="X1234" s="175"/>
      <c r="Y1234" s="175"/>
      <c r="Z1234" s="175"/>
      <c r="AA1234" s="175"/>
      <c r="AB1234" s="175"/>
      <c r="AC1234" s="175"/>
      <c r="AD1234" s="175"/>
    </row>
    <row r="1235" spans="18:30" x14ac:dyDescent="0.25">
      <c r="R1235" s="176"/>
      <c r="S1235" s="175"/>
      <c r="T1235" s="175"/>
      <c r="U1235" s="175"/>
      <c r="V1235" s="175"/>
      <c r="W1235" s="175"/>
      <c r="X1235" s="175"/>
      <c r="Y1235" s="175"/>
      <c r="Z1235" s="175"/>
      <c r="AA1235" s="175"/>
      <c r="AB1235" s="175"/>
      <c r="AC1235" s="175"/>
      <c r="AD1235" s="175"/>
    </row>
    <row r="1236" spans="18:30" x14ac:dyDescent="0.25">
      <c r="R1236" s="176"/>
      <c r="S1236" s="175"/>
      <c r="T1236" s="175"/>
      <c r="U1236" s="175"/>
      <c r="V1236" s="175"/>
      <c r="W1236" s="175"/>
      <c r="X1236" s="175"/>
      <c r="Y1236" s="175"/>
      <c r="Z1236" s="175"/>
      <c r="AA1236" s="175"/>
      <c r="AB1236" s="175"/>
      <c r="AC1236" s="175"/>
      <c r="AD1236" s="175"/>
    </row>
    <row r="1237" spans="18:30" x14ac:dyDescent="0.25">
      <c r="R1237" s="176"/>
      <c r="S1237" s="175"/>
      <c r="T1237" s="175"/>
      <c r="U1237" s="175"/>
      <c r="V1237" s="175"/>
      <c r="W1237" s="175"/>
      <c r="X1237" s="175"/>
      <c r="Y1237" s="175"/>
      <c r="Z1237" s="175"/>
      <c r="AA1237" s="175"/>
      <c r="AB1237" s="175"/>
      <c r="AC1237" s="175"/>
      <c r="AD1237" s="175"/>
    </row>
    <row r="1238" spans="18:30" x14ac:dyDescent="0.25">
      <c r="R1238" s="176"/>
      <c r="S1238" s="175"/>
      <c r="T1238" s="175"/>
      <c r="U1238" s="175"/>
      <c r="V1238" s="175"/>
      <c r="W1238" s="175"/>
      <c r="X1238" s="175"/>
      <c r="Y1238" s="175"/>
      <c r="Z1238" s="175"/>
      <c r="AA1238" s="175"/>
      <c r="AB1238" s="175"/>
      <c r="AC1238" s="175"/>
      <c r="AD1238" s="175"/>
    </row>
    <row r="1239" spans="18:30" x14ac:dyDescent="0.25">
      <c r="R1239" s="176"/>
      <c r="S1239" s="175"/>
      <c r="T1239" s="175"/>
      <c r="U1239" s="175"/>
      <c r="V1239" s="175"/>
      <c r="W1239" s="175"/>
      <c r="X1239" s="175"/>
      <c r="Y1239" s="175"/>
      <c r="Z1239" s="175"/>
      <c r="AA1239" s="175"/>
      <c r="AB1239" s="175"/>
      <c r="AC1239" s="175"/>
      <c r="AD1239" s="175"/>
    </row>
    <row r="1240" spans="18:30" x14ac:dyDescent="0.25">
      <c r="R1240" s="176"/>
      <c r="S1240" s="175"/>
      <c r="T1240" s="175"/>
      <c r="U1240" s="175"/>
      <c r="V1240" s="175"/>
      <c r="W1240" s="175"/>
      <c r="X1240" s="175"/>
      <c r="Y1240" s="175"/>
      <c r="Z1240" s="175"/>
      <c r="AA1240" s="175"/>
      <c r="AB1240" s="175"/>
      <c r="AC1240" s="175"/>
      <c r="AD1240" s="175"/>
    </row>
    <row r="1241" spans="18:30" x14ac:dyDescent="0.25">
      <c r="R1241" s="176"/>
      <c r="S1241" s="175"/>
      <c r="T1241" s="175"/>
      <c r="U1241" s="175"/>
      <c r="V1241" s="175"/>
      <c r="W1241" s="175"/>
      <c r="X1241" s="175"/>
      <c r="Y1241" s="175"/>
      <c r="Z1241" s="175"/>
      <c r="AA1241" s="175"/>
      <c r="AB1241" s="175"/>
      <c r="AC1241" s="175"/>
      <c r="AD1241" s="175"/>
    </row>
    <row r="1242" spans="18:30" x14ac:dyDescent="0.25">
      <c r="R1242" s="176"/>
      <c r="S1242" s="175"/>
      <c r="T1242" s="175"/>
      <c r="U1242" s="175"/>
      <c r="V1242" s="175"/>
      <c r="W1242" s="175"/>
      <c r="X1242" s="175"/>
      <c r="Y1242" s="175"/>
      <c r="Z1242" s="175"/>
      <c r="AA1242" s="175"/>
      <c r="AB1242" s="175"/>
      <c r="AC1242" s="175"/>
      <c r="AD1242" s="175"/>
    </row>
    <row r="1243" spans="18:30" x14ac:dyDescent="0.25">
      <c r="R1243" s="176"/>
      <c r="S1243" s="175"/>
      <c r="T1243" s="175"/>
      <c r="U1243" s="175"/>
      <c r="V1243" s="175"/>
      <c r="W1243" s="175"/>
      <c r="X1243" s="175"/>
      <c r="Y1243" s="175"/>
      <c r="Z1243" s="175"/>
      <c r="AA1243" s="175"/>
      <c r="AB1243" s="175"/>
      <c r="AC1243" s="175"/>
      <c r="AD1243" s="175"/>
    </row>
    <row r="1244" spans="18:30" x14ac:dyDescent="0.25">
      <c r="R1244" s="176"/>
      <c r="S1244" s="175"/>
      <c r="T1244" s="175"/>
      <c r="U1244" s="175"/>
      <c r="V1244" s="175"/>
      <c r="W1244" s="175"/>
      <c r="X1244" s="175"/>
      <c r="Y1244" s="175"/>
      <c r="Z1244" s="175"/>
      <c r="AA1244" s="175"/>
      <c r="AB1244" s="175"/>
      <c r="AC1244" s="175"/>
      <c r="AD1244" s="175"/>
    </row>
    <row r="1245" spans="18:30" x14ac:dyDescent="0.25">
      <c r="R1245" s="176"/>
      <c r="S1245" s="175"/>
      <c r="T1245" s="175"/>
      <c r="U1245" s="175"/>
      <c r="V1245" s="175"/>
      <c r="W1245" s="175"/>
      <c r="X1245" s="175"/>
      <c r="Y1245" s="175"/>
      <c r="Z1245" s="175"/>
      <c r="AA1245" s="175"/>
      <c r="AB1245" s="175"/>
      <c r="AC1245" s="175"/>
      <c r="AD1245" s="175"/>
    </row>
    <row r="1246" spans="18:30" x14ac:dyDescent="0.25">
      <c r="R1246" s="176"/>
      <c r="S1246" s="175"/>
      <c r="T1246" s="175"/>
      <c r="U1246" s="175"/>
      <c r="V1246" s="175"/>
      <c r="W1246" s="175"/>
      <c r="X1246" s="175"/>
      <c r="Y1246" s="175"/>
      <c r="Z1246" s="175"/>
      <c r="AA1246" s="175"/>
      <c r="AB1246" s="175"/>
      <c r="AC1246" s="175"/>
      <c r="AD1246" s="175"/>
    </row>
    <row r="1247" spans="18:30" x14ac:dyDescent="0.25">
      <c r="R1247" s="176"/>
      <c r="S1247" s="175"/>
      <c r="T1247" s="175"/>
      <c r="U1247" s="175"/>
      <c r="V1247" s="175"/>
      <c r="W1247" s="175"/>
      <c r="X1247" s="175"/>
      <c r="Y1247" s="175"/>
      <c r="Z1247" s="175"/>
      <c r="AA1247" s="175"/>
      <c r="AB1247" s="175"/>
      <c r="AC1247" s="175"/>
      <c r="AD1247" s="175"/>
    </row>
    <row r="1248" spans="18:30" x14ac:dyDescent="0.25">
      <c r="R1248" s="176"/>
      <c r="S1248" s="175"/>
      <c r="T1248" s="175"/>
      <c r="U1248" s="175"/>
      <c r="V1248" s="175"/>
      <c r="W1248" s="175"/>
      <c r="X1248" s="175"/>
      <c r="Y1248" s="175"/>
      <c r="Z1248" s="175"/>
      <c r="AA1248" s="175"/>
      <c r="AB1248" s="175"/>
      <c r="AC1248" s="175"/>
      <c r="AD1248" s="175"/>
    </row>
    <row r="1249" spans="18:30" x14ac:dyDescent="0.25">
      <c r="R1249" s="176"/>
      <c r="S1249" s="175"/>
      <c r="T1249" s="175"/>
      <c r="U1249" s="175"/>
      <c r="V1249" s="175"/>
      <c r="W1249" s="175"/>
      <c r="X1249" s="175"/>
      <c r="Y1249" s="175"/>
      <c r="Z1249" s="175"/>
      <c r="AA1249" s="175"/>
      <c r="AB1249" s="175"/>
      <c r="AC1249" s="175"/>
      <c r="AD1249" s="175"/>
    </row>
    <row r="1250" spans="18:30" x14ac:dyDescent="0.25">
      <c r="R1250" s="176"/>
      <c r="S1250" s="175"/>
      <c r="T1250" s="175"/>
      <c r="U1250" s="175"/>
      <c r="V1250" s="175"/>
      <c r="W1250" s="175"/>
      <c r="X1250" s="175"/>
      <c r="Y1250" s="175"/>
      <c r="Z1250" s="175"/>
      <c r="AA1250" s="175"/>
      <c r="AB1250" s="175"/>
      <c r="AC1250" s="175"/>
      <c r="AD1250" s="175"/>
    </row>
    <row r="1251" spans="18:30" x14ac:dyDescent="0.25">
      <c r="R1251" s="176"/>
      <c r="S1251" s="175"/>
      <c r="T1251" s="175"/>
      <c r="U1251" s="175"/>
      <c r="V1251" s="175"/>
      <c r="W1251" s="175"/>
      <c r="X1251" s="175"/>
      <c r="Y1251" s="175"/>
      <c r="Z1251" s="175"/>
      <c r="AA1251" s="175"/>
      <c r="AB1251" s="175"/>
      <c r="AC1251" s="175"/>
      <c r="AD1251" s="175"/>
    </row>
    <row r="1252" spans="18:30" x14ac:dyDescent="0.25">
      <c r="R1252" s="176"/>
      <c r="S1252" s="175"/>
      <c r="T1252" s="175"/>
      <c r="U1252" s="175"/>
      <c r="V1252" s="175"/>
      <c r="W1252" s="175"/>
      <c r="X1252" s="175"/>
      <c r="Y1252" s="175"/>
      <c r="Z1252" s="175"/>
      <c r="AA1252" s="175"/>
      <c r="AB1252" s="175"/>
      <c r="AC1252" s="175"/>
      <c r="AD1252" s="175"/>
    </row>
    <row r="1253" spans="18:30" x14ac:dyDescent="0.25">
      <c r="R1253" s="176"/>
      <c r="S1253" s="175"/>
      <c r="T1253" s="175"/>
      <c r="U1253" s="175"/>
      <c r="V1253" s="175"/>
      <c r="W1253" s="175"/>
      <c r="X1253" s="175"/>
      <c r="Y1253" s="175"/>
      <c r="Z1253" s="175"/>
      <c r="AA1253" s="175"/>
      <c r="AB1253" s="175"/>
      <c r="AC1253" s="175"/>
      <c r="AD1253" s="175"/>
    </row>
    <row r="1254" spans="18:30" x14ac:dyDescent="0.25">
      <c r="R1254" s="176"/>
      <c r="S1254" s="175"/>
      <c r="T1254" s="175"/>
      <c r="U1254" s="175"/>
      <c r="V1254" s="175"/>
      <c r="W1254" s="175"/>
      <c r="X1254" s="175"/>
      <c r="Y1254" s="175"/>
      <c r="Z1254" s="175"/>
      <c r="AA1254" s="175"/>
      <c r="AB1254" s="175"/>
      <c r="AC1254" s="175"/>
      <c r="AD1254" s="175"/>
    </row>
    <row r="1255" spans="18:30" x14ac:dyDescent="0.25">
      <c r="R1255" s="176"/>
      <c r="S1255" s="175"/>
      <c r="T1255" s="175"/>
      <c r="U1255" s="175"/>
      <c r="V1255" s="175"/>
      <c r="W1255" s="175"/>
      <c r="X1255" s="175"/>
      <c r="Y1255" s="175"/>
      <c r="Z1255" s="175"/>
      <c r="AA1255" s="175"/>
      <c r="AB1255" s="175"/>
      <c r="AC1255" s="175"/>
      <c r="AD1255" s="175"/>
    </row>
    <row r="1256" spans="18:30" x14ac:dyDescent="0.25">
      <c r="R1256" s="176"/>
      <c r="S1256" s="175"/>
      <c r="T1256" s="175"/>
      <c r="U1256" s="175"/>
      <c r="V1256" s="175"/>
      <c r="W1256" s="175"/>
      <c r="X1256" s="175"/>
      <c r="Y1256" s="175"/>
      <c r="Z1256" s="175"/>
      <c r="AA1256" s="175"/>
      <c r="AB1256" s="175"/>
      <c r="AC1256" s="175"/>
      <c r="AD1256" s="175"/>
    </row>
    <row r="1257" spans="18:30" x14ac:dyDescent="0.25">
      <c r="R1257" s="176"/>
      <c r="S1257" s="175"/>
      <c r="T1257" s="175"/>
      <c r="U1257" s="175"/>
      <c r="V1257" s="175"/>
      <c r="W1257" s="175"/>
      <c r="X1257" s="175"/>
      <c r="Y1257" s="175"/>
      <c r="Z1257" s="175"/>
      <c r="AA1257" s="175"/>
      <c r="AB1257" s="175"/>
      <c r="AC1257" s="175"/>
      <c r="AD1257" s="175"/>
    </row>
    <row r="1258" spans="18:30" x14ac:dyDescent="0.25">
      <c r="R1258" s="176"/>
      <c r="S1258" s="175"/>
      <c r="T1258" s="175"/>
      <c r="U1258" s="175"/>
      <c r="V1258" s="175"/>
      <c r="W1258" s="175"/>
      <c r="X1258" s="175"/>
      <c r="Y1258" s="175"/>
      <c r="Z1258" s="175"/>
      <c r="AA1258" s="175"/>
      <c r="AB1258" s="175"/>
      <c r="AC1258" s="175"/>
      <c r="AD1258" s="175"/>
    </row>
    <row r="1259" spans="18:30" x14ac:dyDescent="0.25">
      <c r="R1259" s="176"/>
      <c r="S1259" s="175"/>
      <c r="T1259" s="175"/>
      <c r="U1259" s="175"/>
      <c r="V1259" s="175"/>
      <c r="W1259" s="175"/>
      <c r="X1259" s="175"/>
      <c r="Y1259" s="175"/>
      <c r="Z1259" s="175"/>
      <c r="AA1259" s="175"/>
      <c r="AB1259" s="175"/>
      <c r="AC1259" s="175"/>
      <c r="AD1259" s="175"/>
    </row>
    <row r="1260" spans="18:30" x14ac:dyDescent="0.25">
      <c r="R1260" s="176"/>
      <c r="S1260" s="175"/>
      <c r="T1260" s="175"/>
      <c r="U1260" s="175"/>
      <c r="V1260" s="175"/>
      <c r="W1260" s="175"/>
      <c r="X1260" s="175"/>
      <c r="Y1260" s="175"/>
      <c r="Z1260" s="175"/>
      <c r="AA1260" s="175"/>
      <c r="AB1260" s="175"/>
      <c r="AC1260" s="175"/>
      <c r="AD1260" s="175"/>
    </row>
    <row r="1261" spans="18:30" x14ac:dyDescent="0.25">
      <c r="R1261" s="176"/>
      <c r="S1261" s="175"/>
      <c r="T1261" s="175"/>
      <c r="U1261" s="175"/>
      <c r="V1261" s="175"/>
      <c r="W1261" s="175"/>
      <c r="X1261" s="175"/>
      <c r="Y1261" s="175"/>
      <c r="Z1261" s="175"/>
      <c r="AA1261" s="175"/>
      <c r="AB1261" s="175"/>
      <c r="AC1261" s="175"/>
      <c r="AD1261" s="175"/>
    </row>
    <row r="1262" spans="18:30" x14ac:dyDescent="0.25">
      <c r="R1262" s="176"/>
      <c r="S1262" s="175"/>
      <c r="T1262" s="175"/>
      <c r="U1262" s="175"/>
      <c r="V1262" s="175"/>
      <c r="W1262" s="175"/>
      <c r="X1262" s="175"/>
      <c r="Y1262" s="175"/>
      <c r="Z1262" s="175"/>
      <c r="AA1262" s="175"/>
      <c r="AB1262" s="175"/>
      <c r="AC1262" s="175"/>
      <c r="AD1262" s="175"/>
    </row>
    <row r="1263" spans="18:30" x14ac:dyDescent="0.25">
      <c r="R1263" s="176"/>
      <c r="S1263" s="175"/>
      <c r="T1263" s="175"/>
      <c r="U1263" s="175"/>
      <c r="V1263" s="175"/>
      <c r="W1263" s="175"/>
      <c r="X1263" s="175"/>
      <c r="Y1263" s="175"/>
      <c r="Z1263" s="175"/>
      <c r="AA1263" s="175"/>
      <c r="AB1263" s="175"/>
      <c r="AC1263" s="175"/>
      <c r="AD1263" s="175"/>
    </row>
    <row r="1264" spans="18:30" x14ac:dyDescent="0.25">
      <c r="R1264" s="176"/>
      <c r="S1264" s="175"/>
      <c r="T1264" s="175"/>
      <c r="U1264" s="175"/>
      <c r="V1264" s="175"/>
      <c r="W1264" s="175"/>
      <c r="X1264" s="175"/>
      <c r="Y1264" s="175"/>
      <c r="Z1264" s="175"/>
      <c r="AA1264" s="175"/>
      <c r="AB1264" s="175"/>
      <c r="AC1264" s="175"/>
      <c r="AD1264" s="175"/>
    </row>
    <row r="1265" spans="18:30" x14ac:dyDescent="0.25">
      <c r="R1265" s="176"/>
      <c r="S1265" s="175"/>
      <c r="T1265" s="175"/>
      <c r="U1265" s="175"/>
      <c r="V1265" s="175"/>
      <c r="W1265" s="175"/>
      <c r="X1265" s="175"/>
      <c r="Y1265" s="175"/>
      <c r="Z1265" s="175"/>
      <c r="AA1265" s="175"/>
      <c r="AB1265" s="175"/>
      <c r="AC1265" s="175"/>
      <c r="AD1265" s="175"/>
    </row>
    <row r="1266" spans="18:30" x14ac:dyDescent="0.25">
      <c r="R1266" s="176"/>
      <c r="S1266" s="175"/>
      <c r="T1266" s="175"/>
      <c r="U1266" s="175"/>
      <c r="V1266" s="175"/>
      <c r="W1266" s="175"/>
      <c r="X1266" s="175"/>
      <c r="Y1266" s="175"/>
      <c r="Z1266" s="175"/>
      <c r="AA1266" s="175"/>
      <c r="AB1266" s="175"/>
      <c r="AC1266" s="175"/>
      <c r="AD1266" s="175"/>
    </row>
    <row r="1267" spans="18:30" x14ac:dyDescent="0.25">
      <c r="R1267" s="176"/>
      <c r="S1267" s="175"/>
      <c r="T1267" s="175"/>
      <c r="U1267" s="175"/>
      <c r="V1267" s="175"/>
      <c r="W1267" s="175"/>
      <c r="X1267" s="175"/>
      <c r="Y1267" s="175"/>
      <c r="Z1267" s="175"/>
      <c r="AA1267" s="175"/>
      <c r="AB1267" s="175"/>
      <c r="AC1267" s="175"/>
      <c r="AD1267" s="175"/>
    </row>
    <row r="1268" spans="18:30" x14ac:dyDescent="0.25">
      <c r="R1268" s="176"/>
      <c r="S1268" s="175"/>
      <c r="T1268" s="175"/>
      <c r="U1268" s="175"/>
      <c r="V1268" s="175"/>
      <c r="W1268" s="175"/>
      <c r="X1268" s="175"/>
      <c r="Y1268" s="175"/>
      <c r="Z1268" s="175"/>
      <c r="AA1268" s="175"/>
      <c r="AB1268" s="175"/>
      <c r="AC1268" s="175"/>
      <c r="AD1268" s="175"/>
    </row>
    <row r="1269" spans="18:30" x14ac:dyDescent="0.25">
      <c r="R1269" s="176"/>
      <c r="S1269" s="175"/>
      <c r="T1269" s="175"/>
      <c r="U1269" s="175"/>
      <c r="V1269" s="175"/>
      <c r="W1269" s="175"/>
      <c r="X1269" s="175"/>
      <c r="Y1269" s="175"/>
      <c r="Z1269" s="175"/>
      <c r="AA1269" s="175"/>
      <c r="AB1269" s="175"/>
      <c r="AC1269" s="175"/>
      <c r="AD1269" s="175"/>
    </row>
    <row r="1270" spans="18:30" x14ac:dyDescent="0.25">
      <c r="R1270" s="176"/>
      <c r="S1270" s="175"/>
      <c r="T1270" s="175"/>
      <c r="U1270" s="175"/>
      <c r="V1270" s="175"/>
      <c r="W1270" s="175"/>
      <c r="X1270" s="175"/>
      <c r="Y1270" s="175"/>
      <c r="Z1270" s="175"/>
      <c r="AA1270" s="175"/>
      <c r="AB1270" s="175"/>
      <c r="AC1270" s="175"/>
      <c r="AD1270" s="175"/>
    </row>
    <row r="1271" spans="18:30" x14ac:dyDescent="0.25">
      <c r="R1271" s="176"/>
      <c r="S1271" s="175"/>
      <c r="T1271" s="175"/>
      <c r="U1271" s="175"/>
      <c r="V1271" s="175"/>
      <c r="W1271" s="175"/>
      <c r="X1271" s="175"/>
      <c r="Y1271" s="175"/>
      <c r="Z1271" s="175"/>
      <c r="AA1271" s="175"/>
      <c r="AB1271" s="175"/>
      <c r="AC1271" s="175"/>
      <c r="AD1271" s="175"/>
    </row>
    <row r="1272" spans="18:30" x14ac:dyDescent="0.25">
      <c r="R1272" s="176"/>
      <c r="S1272" s="175"/>
      <c r="T1272" s="175"/>
      <c r="U1272" s="175"/>
      <c r="V1272" s="175"/>
      <c r="W1272" s="175"/>
      <c r="X1272" s="175"/>
      <c r="Y1272" s="175"/>
      <c r="Z1272" s="175"/>
      <c r="AA1272" s="175"/>
      <c r="AB1272" s="175"/>
      <c r="AC1272" s="175"/>
      <c r="AD1272" s="175"/>
    </row>
    <row r="1273" spans="18:30" x14ac:dyDescent="0.25">
      <c r="R1273" s="176"/>
      <c r="S1273" s="175"/>
      <c r="T1273" s="175"/>
      <c r="U1273" s="175"/>
      <c r="V1273" s="175"/>
      <c r="W1273" s="175"/>
      <c r="X1273" s="175"/>
      <c r="Y1273" s="175"/>
      <c r="Z1273" s="175"/>
      <c r="AA1273" s="175"/>
      <c r="AB1273" s="175"/>
      <c r="AC1273" s="175"/>
      <c r="AD1273" s="175"/>
    </row>
    <row r="1274" spans="18:30" x14ac:dyDescent="0.25">
      <c r="R1274" s="176"/>
      <c r="S1274" s="175"/>
      <c r="T1274" s="175"/>
      <c r="U1274" s="175"/>
      <c r="V1274" s="175"/>
      <c r="W1274" s="175"/>
      <c r="X1274" s="175"/>
      <c r="Y1274" s="175"/>
      <c r="Z1274" s="175"/>
      <c r="AA1274" s="175"/>
      <c r="AB1274" s="175"/>
      <c r="AC1274" s="175"/>
      <c r="AD1274" s="175"/>
    </row>
    <row r="1275" spans="18:30" x14ac:dyDescent="0.25">
      <c r="R1275" s="176"/>
      <c r="S1275" s="175"/>
      <c r="T1275" s="175"/>
      <c r="U1275" s="175"/>
      <c r="V1275" s="175"/>
      <c r="W1275" s="175"/>
      <c r="X1275" s="175"/>
      <c r="Y1275" s="175"/>
      <c r="Z1275" s="175"/>
      <c r="AA1275" s="175"/>
      <c r="AB1275" s="175"/>
      <c r="AC1275" s="175"/>
      <c r="AD1275" s="175"/>
    </row>
    <row r="1276" spans="18:30" x14ac:dyDescent="0.25">
      <c r="R1276" s="176"/>
      <c r="S1276" s="175"/>
      <c r="T1276" s="175"/>
      <c r="U1276" s="175"/>
      <c r="V1276" s="175"/>
      <c r="W1276" s="175"/>
      <c r="X1276" s="175"/>
      <c r="Y1276" s="175"/>
      <c r="Z1276" s="175"/>
      <c r="AA1276" s="175"/>
      <c r="AB1276" s="175"/>
      <c r="AC1276" s="175"/>
      <c r="AD1276" s="175"/>
    </row>
    <row r="1277" spans="18:30" x14ac:dyDescent="0.25">
      <c r="R1277" s="176"/>
      <c r="S1277" s="175"/>
      <c r="T1277" s="175"/>
      <c r="U1277" s="175"/>
      <c r="V1277" s="175"/>
      <c r="W1277" s="175"/>
      <c r="X1277" s="175"/>
      <c r="Y1277" s="175"/>
      <c r="Z1277" s="175"/>
      <c r="AA1277" s="175"/>
      <c r="AB1277" s="175"/>
      <c r="AC1277" s="175"/>
      <c r="AD1277" s="175"/>
    </row>
    <row r="1278" spans="18:30" x14ac:dyDescent="0.25">
      <c r="R1278" s="176"/>
      <c r="S1278" s="175"/>
      <c r="T1278" s="175"/>
      <c r="U1278" s="175"/>
      <c r="V1278" s="175"/>
      <c r="W1278" s="175"/>
      <c r="X1278" s="175"/>
      <c r="Y1278" s="175"/>
      <c r="Z1278" s="175"/>
      <c r="AA1278" s="175"/>
      <c r="AB1278" s="175"/>
      <c r="AC1278" s="175"/>
      <c r="AD1278" s="175"/>
    </row>
    <row r="1279" spans="18:30" x14ac:dyDescent="0.25">
      <c r="R1279" s="176"/>
      <c r="S1279" s="175"/>
      <c r="T1279" s="175"/>
      <c r="U1279" s="175"/>
      <c r="V1279" s="175"/>
      <c r="W1279" s="175"/>
      <c r="X1279" s="175"/>
      <c r="Y1279" s="175"/>
      <c r="Z1279" s="175"/>
      <c r="AA1279" s="175"/>
      <c r="AB1279" s="175"/>
      <c r="AC1279" s="175"/>
      <c r="AD1279" s="175"/>
    </row>
    <row r="1280" spans="18:30" x14ac:dyDescent="0.25">
      <c r="R1280" s="176"/>
      <c r="S1280" s="175"/>
      <c r="T1280" s="175"/>
      <c r="U1280" s="175"/>
      <c r="V1280" s="175"/>
      <c r="W1280" s="175"/>
      <c r="X1280" s="175"/>
      <c r="Y1280" s="175"/>
      <c r="Z1280" s="175"/>
      <c r="AA1280" s="175"/>
      <c r="AB1280" s="175"/>
      <c r="AC1280" s="175"/>
      <c r="AD1280" s="175"/>
    </row>
    <row r="1281" spans="18:30" x14ac:dyDescent="0.25">
      <c r="R1281" s="176"/>
      <c r="S1281" s="175"/>
      <c r="T1281" s="175"/>
      <c r="U1281" s="175"/>
      <c r="V1281" s="175"/>
      <c r="W1281" s="175"/>
      <c r="X1281" s="175"/>
      <c r="Y1281" s="175"/>
      <c r="Z1281" s="175"/>
      <c r="AA1281" s="175"/>
      <c r="AB1281" s="175"/>
      <c r="AC1281" s="175"/>
      <c r="AD1281" s="175"/>
    </row>
    <row r="1282" spans="18:30" x14ac:dyDescent="0.25">
      <c r="R1282" s="176"/>
      <c r="S1282" s="175"/>
      <c r="T1282" s="175"/>
      <c r="U1282" s="175"/>
      <c r="V1282" s="175"/>
      <c r="W1282" s="175"/>
      <c r="X1282" s="175"/>
      <c r="Y1282" s="175"/>
      <c r="Z1282" s="175"/>
      <c r="AA1282" s="175"/>
      <c r="AB1282" s="175"/>
      <c r="AC1282" s="175"/>
      <c r="AD1282" s="175"/>
    </row>
    <row r="1283" spans="18:30" x14ac:dyDescent="0.25">
      <c r="R1283" s="176"/>
      <c r="S1283" s="175"/>
      <c r="T1283" s="175"/>
      <c r="U1283" s="175"/>
      <c r="V1283" s="175"/>
      <c r="W1283" s="175"/>
      <c r="X1283" s="175"/>
      <c r="Y1283" s="175"/>
      <c r="Z1283" s="175"/>
      <c r="AA1283" s="175"/>
      <c r="AB1283" s="175"/>
      <c r="AC1283" s="175"/>
      <c r="AD1283" s="175"/>
    </row>
    <row r="1284" spans="18:30" x14ac:dyDescent="0.25">
      <c r="R1284" s="176"/>
      <c r="S1284" s="175"/>
      <c r="T1284" s="175"/>
      <c r="U1284" s="175"/>
      <c r="V1284" s="175"/>
      <c r="W1284" s="175"/>
      <c r="X1284" s="175"/>
      <c r="Y1284" s="175"/>
      <c r="Z1284" s="175"/>
      <c r="AA1284" s="175"/>
      <c r="AB1284" s="175"/>
      <c r="AC1284" s="175"/>
      <c r="AD1284" s="175"/>
    </row>
    <row r="1285" spans="18:30" x14ac:dyDescent="0.25">
      <c r="R1285" s="176"/>
      <c r="S1285" s="175"/>
      <c r="T1285" s="175"/>
      <c r="U1285" s="175"/>
      <c r="V1285" s="175"/>
      <c r="W1285" s="175"/>
      <c r="X1285" s="175"/>
      <c r="Y1285" s="175"/>
      <c r="Z1285" s="175"/>
      <c r="AA1285" s="175"/>
      <c r="AB1285" s="175"/>
      <c r="AC1285" s="175"/>
      <c r="AD1285" s="175"/>
    </row>
    <row r="1286" spans="18:30" x14ac:dyDescent="0.25">
      <c r="R1286" s="176"/>
      <c r="S1286" s="175"/>
      <c r="T1286" s="175"/>
      <c r="U1286" s="175"/>
      <c r="V1286" s="175"/>
      <c r="W1286" s="175"/>
      <c r="X1286" s="175"/>
      <c r="Y1286" s="175"/>
      <c r="Z1286" s="175"/>
      <c r="AA1286" s="175"/>
      <c r="AB1286" s="175"/>
      <c r="AC1286" s="175"/>
      <c r="AD1286" s="175"/>
    </row>
    <row r="1287" spans="18:30" x14ac:dyDescent="0.25">
      <c r="R1287" s="176"/>
      <c r="S1287" s="175"/>
      <c r="T1287" s="175"/>
      <c r="U1287" s="175"/>
      <c r="V1287" s="175"/>
      <c r="W1287" s="175"/>
      <c r="X1287" s="175"/>
      <c r="Y1287" s="175"/>
      <c r="Z1287" s="175"/>
      <c r="AA1287" s="175"/>
      <c r="AB1287" s="175"/>
      <c r="AC1287" s="175"/>
      <c r="AD1287" s="175"/>
    </row>
    <row r="1288" spans="18:30" x14ac:dyDescent="0.25">
      <c r="R1288" s="176"/>
      <c r="S1288" s="175"/>
      <c r="T1288" s="175"/>
      <c r="U1288" s="175"/>
      <c r="V1288" s="175"/>
      <c r="W1288" s="175"/>
      <c r="X1288" s="175"/>
      <c r="Y1288" s="175"/>
      <c r="Z1288" s="175"/>
      <c r="AA1288" s="175"/>
      <c r="AB1288" s="175"/>
      <c r="AC1288" s="175"/>
      <c r="AD1288" s="175"/>
    </row>
    <row r="1289" spans="18:30" x14ac:dyDescent="0.25">
      <c r="R1289" s="176"/>
      <c r="S1289" s="175"/>
      <c r="T1289" s="175"/>
      <c r="U1289" s="175"/>
      <c r="V1289" s="175"/>
      <c r="W1289" s="175"/>
      <c r="X1289" s="175"/>
      <c r="Y1289" s="175"/>
      <c r="Z1289" s="175"/>
      <c r="AA1289" s="175"/>
      <c r="AB1289" s="175"/>
      <c r="AC1289" s="175"/>
      <c r="AD1289" s="175"/>
    </row>
    <row r="1290" spans="18:30" x14ac:dyDescent="0.25">
      <c r="R1290" s="176"/>
      <c r="S1290" s="175"/>
      <c r="T1290" s="175"/>
      <c r="U1290" s="175"/>
      <c r="V1290" s="175"/>
      <c r="W1290" s="175"/>
      <c r="X1290" s="175"/>
      <c r="Y1290" s="175"/>
      <c r="Z1290" s="175"/>
      <c r="AA1290" s="175"/>
      <c r="AB1290" s="175"/>
      <c r="AC1290" s="175"/>
      <c r="AD1290" s="175"/>
    </row>
    <row r="1291" spans="18:30" x14ac:dyDescent="0.25">
      <c r="R1291" s="176"/>
      <c r="S1291" s="175"/>
      <c r="T1291" s="175"/>
      <c r="U1291" s="175"/>
      <c r="V1291" s="175"/>
      <c r="W1291" s="175"/>
      <c r="X1291" s="175"/>
      <c r="Y1291" s="175"/>
      <c r="Z1291" s="175"/>
      <c r="AA1291" s="175"/>
      <c r="AB1291" s="175"/>
      <c r="AC1291" s="175"/>
      <c r="AD1291" s="175"/>
    </row>
    <row r="1292" spans="18:30" x14ac:dyDescent="0.25">
      <c r="R1292" s="176"/>
      <c r="S1292" s="175"/>
      <c r="T1292" s="175"/>
      <c r="U1292" s="175"/>
      <c r="V1292" s="175"/>
      <c r="W1292" s="175"/>
      <c r="X1292" s="175"/>
      <c r="Y1292" s="175"/>
      <c r="Z1292" s="175"/>
      <c r="AA1292" s="175"/>
      <c r="AB1292" s="175"/>
      <c r="AC1292" s="175"/>
      <c r="AD1292" s="175"/>
    </row>
    <row r="1293" spans="18:30" x14ac:dyDescent="0.25">
      <c r="R1293" s="176"/>
      <c r="S1293" s="175"/>
      <c r="T1293" s="175"/>
      <c r="U1293" s="175"/>
      <c r="V1293" s="175"/>
      <c r="W1293" s="175"/>
      <c r="X1293" s="175"/>
      <c r="Y1293" s="175"/>
      <c r="Z1293" s="175"/>
      <c r="AA1293" s="175"/>
      <c r="AB1293" s="175"/>
      <c r="AC1293" s="175"/>
      <c r="AD1293" s="175"/>
    </row>
    <row r="1294" spans="18:30" x14ac:dyDescent="0.25">
      <c r="R1294" s="176"/>
      <c r="S1294" s="175"/>
      <c r="T1294" s="175"/>
      <c r="U1294" s="175"/>
      <c r="V1294" s="175"/>
      <c r="W1294" s="175"/>
      <c r="X1294" s="175"/>
      <c r="Y1294" s="175"/>
      <c r="Z1294" s="175"/>
      <c r="AA1294" s="175"/>
      <c r="AB1294" s="175"/>
      <c r="AC1294" s="175"/>
      <c r="AD1294" s="175"/>
    </row>
    <row r="1295" spans="18:30" x14ac:dyDescent="0.25">
      <c r="R1295" s="176"/>
      <c r="S1295" s="175"/>
      <c r="T1295" s="175"/>
      <c r="U1295" s="175"/>
      <c r="V1295" s="175"/>
      <c r="W1295" s="175"/>
      <c r="X1295" s="175"/>
      <c r="Y1295" s="175"/>
      <c r="Z1295" s="175"/>
      <c r="AA1295" s="175"/>
      <c r="AB1295" s="175"/>
      <c r="AC1295" s="175"/>
      <c r="AD1295" s="175"/>
    </row>
    <row r="1296" spans="18:30" x14ac:dyDescent="0.25">
      <c r="R1296" s="176"/>
      <c r="S1296" s="175"/>
      <c r="T1296" s="175"/>
      <c r="U1296" s="175"/>
      <c r="V1296" s="175"/>
      <c r="W1296" s="175"/>
      <c r="X1296" s="175"/>
      <c r="Y1296" s="175"/>
      <c r="Z1296" s="175"/>
      <c r="AA1296" s="175"/>
      <c r="AB1296" s="175"/>
      <c r="AC1296" s="175"/>
      <c r="AD1296" s="175"/>
    </row>
    <row r="1297" spans="18:30" x14ac:dyDescent="0.25">
      <c r="R1297" s="176"/>
      <c r="S1297" s="175"/>
      <c r="T1297" s="175"/>
      <c r="U1297" s="175"/>
      <c r="V1297" s="175"/>
      <c r="W1297" s="175"/>
      <c r="X1297" s="175"/>
      <c r="Y1297" s="175"/>
      <c r="Z1297" s="175"/>
      <c r="AA1297" s="175"/>
      <c r="AB1297" s="175"/>
      <c r="AC1297" s="175"/>
      <c r="AD1297" s="175"/>
    </row>
    <row r="1298" spans="18:30" x14ac:dyDescent="0.25">
      <c r="R1298" s="176"/>
      <c r="S1298" s="175"/>
      <c r="T1298" s="175"/>
      <c r="U1298" s="175"/>
      <c r="V1298" s="175"/>
      <c r="W1298" s="175"/>
      <c r="X1298" s="175"/>
      <c r="Y1298" s="175"/>
      <c r="Z1298" s="175"/>
      <c r="AA1298" s="175"/>
      <c r="AB1298" s="175"/>
      <c r="AC1298" s="175"/>
      <c r="AD1298" s="175"/>
    </row>
    <row r="1299" spans="18:30" x14ac:dyDescent="0.25">
      <c r="R1299" s="176"/>
      <c r="S1299" s="175"/>
      <c r="T1299" s="175"/>
      <c r="U1299" s="175"/>
      <c r="V1299" s="175"/>
      <c r="W1299" s="175"/>
      <c r="X1299" s="175"/>
      <c r="Y1299" s="175"/>
      <c r="Z1299" s="175"/>
      <c r="AA1299" s="175"/>
      <c r="AB1299" s="175"/>
      <c r="AC1299" s="175"/>
      <c r="AD1299" s="175"/>
    </row>
    <row r="1300" spans="18:30" x14ac:dyDescent="0.25">
      <c r="R1300" s="176"/>
      <c r="S1300" s="175"/>
      <c r="T1300" s="175"/>
      <c r="U1300" s="175"/>
      <c r="V1300" s="175"/>
      <c r="W1300" s="175"/>
      <c r="X1300" s="175"/>
      <c r="Y1300" s="175"/>
      <c r="Z1300" s="175"/>
      <c r="AA1300" s="175"/>
      <c r="AB1300" s="175"/>
      <c r="AC1300" s="175"/>
      <c r="AD1300" s="175"/>
    </row>
    <row r="1301" spans="18:30" x14ac:dyDescent="0.25">
      <c r="R1301" s="176"/>
      <c r="S1301" s="175"/>
      <c r="T1301" s="175"/>
      <c r="U1301" s="175"/>
      <c r="V1301" s="175"/>
      <c r="W1301" s="175"/>
      <c r="X1301" s="175"/>
      <c r="Y1301" s="175"/>
      <c r="Z1301" s="175"/>
      <c r="AA1301" s="175"/>
      <c r="AB1301" s="175"/>
      <c r="AC1301" s="175"/>
      <c r="AD1301" s="175"/>
    </row>
    <row r="1302" spans="18:30" x14ac:dyDescent="0.25">
      <c r="R1302" s="176"/>
      <c r="S1302" s="175"/>
      <c r="T1302" s="175"/>
      <c r="U1302" s="175"/>
      <c r="V1302" s="175"/>
      <c r="W1302" s="175"/>
      <c r="X1302" s="175"/>
      <c r="Y1302" s="175"/>
      <c r="Z1302" s="175"/>
      <c r="AA1302" s="175"/>
      <c r="AB1302" s="175"/>
      <c r="AC1302" s="175"/>
      <c r="AD1302" s="175"/>
    </row>
    <row r="1303" spans="18:30" x14ac:dyDescent="0.25">
      <c r="R1303" s="176"/>
      <c r="S1303" s="175"/>
      <c r="T1303" s="175"/>
      <c r="U1303" s="175"/>
      <c r="V1303" s="175"/>
      <c r="W1303" s="175"/>
      <c r="X1303" s="175"/>
      <c r="Y1303" s="175"/>
      <c r="Z1303" s="175"/>
      <c r="AA1303" s="175"/>
      <c r="AB1303" s="175"/>
      <c r="AC1303" s="175"/>
      <c r="AD1303" s="175"/>
    </row>
    <row r="1304" spans="18:30" x14ac:dyDescent="0.25">
      <c r="R1304" s="176"/>
      <c r="S1304" s="175"/>
      <c r="T1304" s="175"/>
      <c r="U1304" s="175"/>
      <c r="V1304" s="175"/>
      <c r="W1304" s="175"/>
      <c r="X1304" s="175"/>
      <c r="Y1304" s="175"/>
      <c r="Z1304" s="175"/>
      <c r="AA1304" s="175"/>
      <c r="AB1304" s="175"/>
      <c r="AC1304" s="175"/>
      <c r="AD1304" s="175"/>
    </row>
    <row r="1305" spans="18:30" x14ac:dyDescent="0.25">
      <c r="R1305" s="176"/>
      <c r="S1305" s="175"/>
      <c r="T1305" s="175"/>
      <c r="U1305" s="175"/>
      <c r="V1305" s="175"/>
      <c r="W1305" s="175"/>
      <c r="X1305" s="175"/>
      <c r="Y1305" s="175"/>
      <c r="Z1305" s="175"/>
      <c r="AA1305" s="175"/>
      <c r="AB1305" s="175"/>
      <c r="AC1305" s="175"/>
      <c r="AD1305" s="175"/>
    </row>
    <row r="1306" spans="18:30" x14ac:dyDescent="0.25">
      <c r="R1306" s="176"/>
      <c r="S1306" s="175"/>
      <c r="T1306" s="175"/>
      <c r="U1306" s="175"/>
      <c r="V1306" s="175"/>
      <c r="W1306" s="175"/>
      <c r="X1306" s="175"/>
      <c r="Y1306" s="175"/>
      <c r="Z1306" s="175"/>
      <c r="AA1306" s="175"/>
      <c r="AB1306" s="175"/>
      <c r="AC1306" s="175"/>
      <c r="AD1306" s="175"/>
    </row>
    <row r="1307" spans="18:30" x14ac:dyDescent="0.25">
      <c r="R1307" s="176"/>
      <c r="S1307" s="175"/>
      <c r="T1307" s="175"/>
      <c r="U1307" s="175"/>
      <c r="V1307" s="175"/>
      <c r="W1307" s="175"/>
      <c r="X1307" s="175"/>
      <c r="Y1307" s="175"/>
      <c r="Z1307" s="175"/>
      <c r="AA1307" s="175"/>
      <c r="AB1307" s="175"/>
      <c r="AC1307" s="175"/>
      <c r="AD1307" s="175"/>
    </row>
    <row r="1308" spans="18:30" x14ac:dyDescent="0.25">
      <c r="R1308" s="176"/>
      <c r="S1308" s="175"/>
      <c r="T1308" s="175"/>
      <c r="U1308" s="175"/>
      <c r="V1308" s="175"/>
      <c r="W1308" s="175"/>
      <c r="X1308" s="175"/>
      <c r="Y1308" s="175"/>
      <c r="Z1308" s="175"/>
      <c r="AA1308" s="175"/>
      <c r="AB1308" s="175"/>
      <c r="AC1308" s="175"/>
      <c r="AD1308" s="175"/>
    </row>
    <row r="1309" spans="18:30" x14ac:dyDescent="0.25">
      <c r="R1309" s="176"/>
      <c r="S1309" s="175"/>
      <c r="T1309" s="175"/>
      <c r="U1309" s="175"/>
      <c r="V1309" s="175"/>
      <c r="W1309" s="175"/>
      <c r="X1309" s="175"/>
      <c r="Y1309" s="175"/>
      <c r="Z1309" s="175"/>
      <c r="AA1309" s="175"/>
      <c r="AB1309" s="175"/>
      <c r="AC1309" s="175"/>
      <c r="AD1309" s="175"/>
    </row>
    <row r="1310" spans="18:30" x14ac:dyDescent="0.25">
      <c r="R1310" s="176"/>
      <c r="S1310" s="175"/>
      <c r="T1310" s="175"/>
      <c r="U1310" s="175"/>
      <c r="V1310" s="175"/>
      <c r="W1310" s="175"/>
      <c r="X1310" s="175"/>
      <c r="Y1310" s="175"/>
      <c r="Z1310" s="175"/>
      <c r="AA1310" s="175"/>
      <c r="AB1310" s="175"/>
      <c r="AC1310" s="175"/>
      <c r="AD1310" s="175"/>
    </row>
    <row r="1311" spans="18:30" x14ac:dyDescent="0.25">
      <c r="R1311" s="176"/>
      <c r="S1311" s="175"/>
      <c r="T1311" s="175"/>
      <c r="U1311" s="175"/>
      <c r="V1311" s="175"/>
      <c r="W1311" s="175"/>
      <c r="X1311" s="175"/>
      <c r="Y1311" s="175"/>
      <c r="Z1311" s="175"/>
      <c r="AA1311" s="175"/>
      <c r="AB1311" s="175"/>
      <c r="AC1311" s="175"/>
      <c r="AD1311" s="175"/>
    </row>
    <row r="1312" spans="18:30" x14ac:dyDescent="0.25">
      <c r="R1312" s="176"/>
      <c r="S1312" s="175"/>
      <c r="T1312" s="175"/>
      <c r="U1312" s="175"/>
      <c r="V1312" s="175"/>
      <c r="W1312" s="175"/>
      <c r="X1312" s="175"/>
      <c r="Y1312" s="175"/>
      <c r="Z1312" s="175"/>
      <c r="AA1312" s="175"/>
      <c r="AB1312" s="175"/>
      <c r="AC1312" s="175"/>
      <c r="AD1312" s="175"/>
    </row>
    <row r="1313" spans="18:30" x14ac:dyDescent="0.25">
      <c r="R1313" s="176"/>
      <c r="S1313" s="175"/>
      <c r="T1313" s="175"/>
      <c r="U1313" s="175"/>
      <c r="V1313" s="175"/>
      <c r="W1313" s="175"/>
      <c r="X1313" s="175"/>
      <c r="Y1313" s="175"/>
      <c r="Z1313" s="175"/>
      <c r="AA1313" s="175"/>
      <c r="AB1313" s="175"/>
      <c r="AC1313" s="175"/>
      <c r="AD1313" s="175"/>
    </row>
    <row r="1314" spans="18:30" x14ac:dyDescent="0.25">
      <c r="R1314" s="176"/>
      <c r="S1314" s="175"/>
      <c r="T1314" s="175"/>
      <c r="U1314" s="175"/>
      <c r="V1314" s="175"/>
      <c r="W1314" s="175"/>
      <c r="X1314" s="175"/>
      <c r="Y1314" s="175"/>
      <c r="Z1314" s="175"/>
      <c r="AA1314" s="175"/>
      <c r="AB1314" s="175"/>
      <c r="AC1314" s="175"/>
      <c r="AD1314" s="175"/>
    </row>
    <row r="1315" spans="18:30" x14ac:dyDescent="0.25">
      <c r="R1315" s="176"/>
      <c r="S1315" s="175"/>
      <c r="T1315" s="175"/>
      <c r="U1315" s="175"/>
      <c r="V1315" s="175"/>
      <c r="W1315" s="175"/>
      <c r="X1315" s="175"/>
      <c r="Y1315" s="175"/>
      <c r="Z1315" s="175"/>
      <c r="AA1315" s="175"/>
      <c r="AB1315" s="175"/>
      <c r="AC1315" s="175"/>
      <c r="AD1315" s="175"/>
    </row>
    <row r="1316" spans="18:30" x14ac:dyDescent="0.25">
      <c r="R1316" s="176"/>
      <c r="S1316" s="175"/>
      <c r="T1316" s="175"/>
      <c r="U1316" s="175"/>
      <c r="V1316" s="175"/>
      <c r="W1316" s="175"/>
      <c r="X1316" s="175"/>
      <c r="Y1316" s="175"/>
      <c r="Z1316" s="175"/>
      <c r="AA1316" s="175"/>
      <c r="AB1316" s="175"/>
      <c r="AC1316" s="175"/>
      <c r="AD1316" s="175"/>
    </row>
    <row r="1317" spans="18:30" x14ac:dyDescent="0.25">
      <c r="R1317" s="176"/>
      <c r="S1317" s="175"/>
      <c r="T1317" s="175"/>
      <c r="U1317" s="175"/>
      <c r="V1317" s="175"/>
      <c r="W1317" s="175"/>
      <c r="X1317" s="175"/>
      <c r="Y1317" s="175"/>
      <c r="Z1317" s="175"/>
      <c r="AA1317" s="175"/>
      <c r="AB1317" s="175"/>
      <c r="AC1317" s="175"/>
      <c r="AD1317" s="175"/>
    </row>
    <row r="1318" spans="18:30" x14ac:dyDescent="0.25">
      <c r="R1318" s="176"/>
      <c r="S1318" s="175"/>
      <c r="T1318" s="175"/>
      <c r="U1318" s="175"/>
      <c r="V1318" s="175"/>
      <c r="W1318" s="175"/>
      <c r="X1318" s="175"/>
      <c r="Y1318" s="175"/>
      <c r="Z1318" s="175"/>
      <c r="AA1318" s="175"/>
      <c r="AB1318" s="175"/>
      <c r="AC1318" s="175"/>
      <c r="AD1318" s="175"/>
    </row>
    <row r="1319" spans="18:30" x14ac:dyDescent="0.25">
      <c r="R1319" s="176"/>
      <c r="S1319" s="175"/>
      <c r="T1319" s="175"/>
      <c r="U1319" s="175"/>
      <c r="V1319" s="175"/>
      <c r="W1319" s="175"/>
      <c r="X1319" s="175"/>
      <c r="Y1319" s="175"/>
      <c r="Z1319" s="175"/>
      <c r="AA1319" s="175"/>
      <c r="AB1319" s="175"/>
      <c r="AC1319" s="175"/>
      <c r="AD1319" s="175"/>
    </row>
    <row r="1320" spans="18:30" x14ac:dyDescent="0.25">
      <c r="R1320" s="176"/>
      <c r="S1320" s="175"/>
      <c r="T1320" s="175"/>
      <c r="U1320" s="175"/>
      <c r="V1320" s="175"/>
      <c r="W1320" s="175"/>
      <c r="X1320" s="175"/>
      <c r="Y1320" s="175"/>
      <c r="Z1320" s="175"/>
      <c r="AA1320" s="175"/>
      <c r="AB1320" s="175"/>
      <c r="AC1320" s="175"/>
      <c r="AD1320" s="175"/>
    </row>
    <row r="1321" spans="18:30" x14ac:dyDescent="0.25">
      <c r="R1321" s="176"/>
      <c r="S1321" s="175"/>
      <c r="T1321" s="175"/>
      <c r="U1321" s="175"/>
      <c r="V1321" s="175"/>
      <c r="W1321" s="175"/>
      <c r="X1321" s="175"/>
      <c r="Y1321" s="175"/>
      <c r="Z1321" s="175"/>
      <c r="AA1321" s="175"/>
      <c r="AB1321" s="175"/>
      <c r="AC1321" s="175"/>
      <c r="AD1321" s="175"/>
    </row>
    <row r="1322" spans="18:30" x14ac:dyDescent="0.25">
      <c r="R1322" s="176"/>
      <c r="S1322" s="175"/>
      <c r="T1322" s="175"/>
      <c r="U1322" s="175"/>
      <c r="V1322" s="175"/>
      <c r="W1322" s="175"/>
      <c r="X1322" s="175"/>
      <c r="Y1322" s="175"/>
      <c r="Z1322" s="175"/>
      <c r="AA1322" s="175"/>
      <c r="AB1322" s="175"/>
      <c r="AC1322" s="175"/>
      <c r="AD1322" s="175"/>
    </row>
    <row r="1323" spans="18:30" x14ac:dyDescent="0.25">
      <c r="R1323" s="176"/>
      <c r="S1323" s="175"/>
      <c r="T1323" s="175"/>
      <c r="U1323" s="175"/>
      <c r="V1323" s="175"/>
      <c r="W1323" s="175"/>
      <c r="X1323" s="175"/>
      <c r="Y1323" s="175"/>
      <c r="Z1323" s="175"/>
      <c r="AA1323" s="175"/>
      <c r="AB1323" s="175"/>
      <c r="AC1323" s="175"/>
      <c r="AD1323" s="175"/>
    </row>
    <row r="1324" spans="18:30" x14ac:dyDescent="0.25">
      <c r="R1324" s="176"/>
      <c r="S1324" s="175"/>
      <c r="T1324" s="175"/>
      <c r="U1324" s="175"/>
      <c r="V1324" s="175"/>
      <c r="W1324" s="175"/>
      <c r="X1324" s="175"/>
      <c r="Y1324" s="175"/>
      <c r="Z1324" s="175"/>
      <c r="AA1324" s="175"/>
      <c r="AB1324" s="175"/>
      <c r="AC1324" s="175"/>
      <c r="AD1324" s="175"/>
    </row>
    <row r="1325" spans="18:30" x14ac:dyDescent="0.25">
      <c r="R1325" s="176"/>
      <c r="S1325" s="175"/>
      <c r="T1325" s="175"/>
      <c r="U1325" s="175"/>
      <c r="V1325" s="175"/>
      <c r="W1325" s="175"/>
      <c r="X1325" s="175"/>
      <c r="Y1325" s="175"/>
      <c r="Z1325" s="175"/>
      <c r="AA1325" s="175"/>
      <c r="AB1325" s="175"/>
      <c r="AC1325" s="175"/>
      <c r="AD1325" s="175"/>
    </row>
    <row r="1326" spans="18:30" x14ac:dyDescent="0.25">
      <c r="R1326" s="176"/>
      <c r="S1326" s="175"/>
      <c r="T1326" s="175"/>
      <c r="U1326" s="175"/>
      <c r="V1326" s="175"/>
      <c r="W1326" s="175"/>
      <c r="X1326" s="175"/>
      <c r="Y1326" s="175"/>
      <c r="Z1326" s="175"/>
      <c r="AA1326" s="175"/>
      <c r="AB1326" s="175"/>
      <c r="AC1326" s="175"/>
      <c r="AD1326" s="175"/>
    </row>
    <row r="1327" spans="18:30" x14ac:dyDescent="0.25">
      <c r="R1327" s="176"/>
      <c r="S1327" s="175"/>
      <c r="T1327" s="175"/>
      <c r="U1327" s="175"/>
      <c r="V1327" s="175"/>
      <c r="W1327" s="175"/>
      <c r="X1327" s="175"/>
      <c r="Y1327" s="175"/>
      <c r="Z1327" s="175"/>
      <c r="AA1327" s="175"/>
      <c r="AB1327" s="175"/>
      <c r="AC1327" s="175"/>
      <c r="AD1327" s="175"/>
    </row>
    <row r="1328" spans="18:30" x14ac:dyDescent="0.25">
      <c r="R1328" s="176"/>
      <c r="S1328" s="175"/>
      <c r="T1328" s="175"/>
      <c r="U1328" s="175"/>
      <c r="V1328" s="175"/>
      <c r="W1328" s="175"/>
      <c r="X1328" s="175"/>
      <c r="Y1328" s="175"/>
      <c r="Z1328" s="175"/>
      <c r="AA1328" s="175"/>
      <c r="AB1328" s="175"/>
      <c r="AC1328" s="175"/>
      <c r="AD1328" s="175"/>
    </row>
    <row r="1329" spans="18:30" x14ac:dyDescent="0.25">
      <c r="R1329" s="176"/>
      <c r="S1329" s="175"/>
      <c r="T1329" s="175"/>
      <c r="U1329" s="175"/>
      <c r="V1329" s="175"/>
      <c r="W1329" s="175"/>
      <c r="X1329" s="175"/>
      <c r="Y1329" s="175"/>
      <c r="Z1329" s="175"/>
      <c r="AA1329" s="175"/>
      <c r="AB1329" s="175"/>
      <c r="AC1329" s="175"/>
      <c r="AD1329" s="175"/>
    </row>
    <row r="1330" spans="18:30" x14ac:dyDescent="0.25">
      <c r="R1330" s="176"/>
      <c r="S1330" s="175"/>
      <c r="T1330" s="175"/>
      <c r="U1330" s="175"/>
      <c r="V1330" s="175"/>
      <c r="W1330" s="175"/>
      <c r="X1330" s="175"/>
      <c r="Y1330" s="175"/>
      <c r="Z1330" s="175"/>
      <c r="AA1330" s="175"/>
      <c r="AB1330" s="175"/>
      <c r="AC1330" s="175"/>
      <c r="AD1330" s="175"/>
    </row>
    <row r="1331" spans="18:30" x14ac:dyDescent="0.25">
      <c r="R1331" s="176"/>
      <c r="S1331" s="175"/>
      <c r="T1331" s="175"/>
      <c r="U1331" s="175"/>
      <c r="V1331" s="175"/>
      <c r="W1331" s="175"/>
      <c r="X1331" s="175"/>
      <c r="Y1331" s="175"/>
      <c r="Z1331" s="175"/>
      <c r="AA1331" s="175"/>
      <c r="AB1331" s="175"/>
      <c r="AC1331" s="175"/>
      <c r="AD1331" s="175"/>
    </row>
    <row r="1332" spans="18:30" x14ac:dyDescent="0.25">
      <c r="R1332" s="176"/>
      <c r="S1332" s="175"/>
      <c r="T1332" s="175"/>
      <c r="U1332" s="175"/>
      <c r="V1332" s="175"/>
      <c r="W1332" s="175"/>
      <c r="X1332" s="175"/>
      <c r="Y1332" s="175"/>
      <c r="Z1332" s="175"/>
      <c r="AA1332" s="175"/>
      <c r="AB1332" s="175"/>
      <c r="AC1332" s="175"/>
      <c r="AD1332" s="175"/>
    </row>
    <row r="1333" spans="18:30" x14ac:dyDescent="0.25">
      <c r="R1333" s="176"/>
      <c r="S1333" s="175"/>
      <c r="T1333" s="175"/>
      <c r="U1333" s="175"/>
      <c r="V1333" s="175"/>
      <c r="W1333" s="175"/>
      <c r="X1333" s="175"/>
      <c r="Y1333" s="175"/>
      <c r="Z1333" s="175"/>
      <c r="AA1333" s="175"/>
      <c r="AB1333" s="175"/>
      <c r="AC1333" s="175"/>
      <c r="AD1333" s="175"/>
    </row>
    <row r="1334" spans="18:30" x14ac:dyDescent="0.25">
      <c r="R1334" s="176"/>
      <c r="S1334" s="175"/>
      <c r="T1334" s="175"/>
      <c r="U1334" s="175"/>
      <c r="V1334" s="175"/>
      <c r="W1334" s="175"/>
      <c r="X1334" s="175"/>
      <c r="Y1334" s="175"/>
      <c r="Z1334" s="175"/>
      <c r="AA1334" s="175"/>
      <c r="AB1334" s="175"/>
      <c r="AC1334" s="175"/>
      <c r="AD1334" s="175"/>
    </row>
    <row r="1335" spans="18:30" x14ac:dyDescent="0.25">
      <c r="R1335" s="176"/>
      <c r="S1335" s="175"/>
      <c r="T1335" s="175"/>
      <c r="U1335" s="175"/>
      <c r="V1335" s="175"/>
      <c r="W1335" s="175"/>
      <c r="X1335" s="175"/>
      <c r="Y1335" s="175"/>
      <c r="Z1335" s="175"/>
      <c r="AA1335" s="175"/>
      <c r="AB1335" s="175"/>
      <c r="AC1335" s="175"/>
      <c r="AD1335" s="175"/>
    </row>
    <row r="1336" spans="18:30" x14ac:dyDescent="0.25">
      <c r="R1336" s="176"/>
      <c r="S1336" s="175"/>
      <c r="T1336" s="175"/>
      <c r="U1336" s="175"/>
      <c r="V1336" s="175"/>
      <c r="W1336" s="175"/>
      <c r="X1336" s="175"/>
      <c r="Y1336" s="175"/>
      <c r="Z1336" s="175"/>
      <c r="AA1336" s="175"/>
      <c r="AB1336" s="175"/>
      <c r="AC1336" s="175"/>
      <c r="AD1336" s="175"/>
    </row>
    <row r="1337" spans="18:30" x14ac:dyDescent="0.25">
      <c r="R1337" s="176"/>
      <c r="S1337" s="175"/>
      <c r="T1337" s="175"/>
      <c r="U1337" s="175"/>
      <c r="V1337" s="175"/>
      <c r="W1337" s="175"/>
      <c r="X1337" s="175"/>
      <c r="Y1337" s="175"/>
      <c r="Z1337" s="175"/>
      <c r="AA1337" s="175"/>
      <c r="AB1337" s="175"/>
      <c r="AC1337" s="175"/>
      <c r="AD1337" s="175"/>
    </row>
    <row r="1338" spans="18:30" x14ac:dyDescent="0.25">
      <c r="R1338" s="176"/>
      <c r="S1338" s="175"/>
      <c r="T1338" s="175"/>
      <c r="U1338" s="175"/>
      <c r="V1338" s="175"/>
      <c r="W1338" s="175"/>
      <c r="X1338" s="175"/>
      <c r="Y1338" s="175"/>
      <c r="Z1338" s="175"/>
      <c r="AA1338" s="175"/>
      <c r="AB1338" s="175"/>
      <c r="AC1338" s="175"/>
      <c r="AD1338" s="175"/>
    </row>
    <row r="1339" spans="18:30" x14ac:dyDescent="0.25">
      <c r="R1339" s="176"/>
      <c r="S1339" s="175"/>
      <c r="T1339" s="175"/>
      <c r="U1339" s="175"/>
      <c r="V1339" s="175"/>
      <c r="W1339" s="175"/>
      <c r="X1339" s="175"/>
      <c r="Y1339" s="175"/>
      <c r="Z1339" s="175"/>
      <c r="AA1339" s="175"/>
      <c r="AB1339" s="175"/>
      <c r="AC1339" s="175"/>
      <c r="AD1339" s="175"/>
    </row>
    <row r="1340" spans="18:30" x14ac:dyDescent="0.25">
      <c r="R1340" s="176"/>
      <c r="S1340" s="175"/>
      <c r="T1340" s="175"/>
      <c r="U1340" s="175"/>
      <c r="V1340" s="175"/>
      <c r="W1340" s="175"/>
      <c r="X1340" s="175"/>
      <c r="Y1340" s="175"/>
      <c r="Z1340" s="175"/>
      <c r="AA1340" s="175"/>
      <c r="AB1340" s="175"/>
      <c r="AC1340" s="175"/>
      <c r="AD1340" s="175"/>
    </row>
    <row r="1341" spans="18:30" x14ac:dyDescent="0.25">
      <c r="R1341" s="176"/>
      <c r="S1341" s="175"/>
      <c r="T1341" s="175"/>
      <c r="U1341" s="175"/>
      <c r="V1341" s="175"/>
      <c r="W1341" s="175"/>
      <c r="X1341" s="175"/>
      <c r="Y1341" s="175"/>
      <c r="Z1341" s="175"/>
      <c r="AA1341" s="175"/>
      <c r="AB1341" s="175"/>
      <c r="AC1341" s="175"/>
      <c r="AD1341" s="175"/>
    </row>
    <row r="1342" spans="18:30" x14ac:dyDescent="0.25">
      <c r="R1342" s="176"/>
      <c r="S1342" s="175"/>
      <c r="T1342" s="175"/>
      <c r="U1342" s="175"/>
      <c r="V1342" s="175"/>
      <c r="W1342" s="175"/>
      <c r="X1342" s="175"/>
      <c r="Y1342" s="175"/>
      <c r="Z1342" s="175"/>
      <c r="AA1342" s="175"/>
      <c r="AB1342" s="175"/>
      <c r="AC1342" s="175"/>
      <c r="AD1342" s="175"/>
    </row>
    <row r="1343" spans="18:30" x14ac:dyDescent="0.25">
      <c r="R1343" s="176"/>
      <c r="S1343" s="175"/>
      <c r="T1343" s="175"/>
      <c r="U1343" s="175"/>
      <c r="V1343" s="175"/>
      <c r="W1343" s="175"/>
      <c r="X1343" s="175"/>
      <c r="Y1343" s="175"/>
      <c r="Z1343" s="175"/>
      <c r="AA1343" s="175"/>
      <c r="AB1343" s="175"/>
      <c r="AC1343" s="175"/>
      <c r="AD1343" s="175"/>
    </row>
    <row r="1344" spans="18:30" x14ac:dyDescent="0.25">
      <c r="R1344" s="176"/>
      <c r="S1344" s="175"/>
      <c r="T1344" s="175"/>
      <c r="U1344" s="175"/>
      <c r="V1344" s="175"/>
      <c r="W1344" s="175"/>
      <c r="X1344" s="175"/>
      <c r="Y1344" s="175"/>
      <c r="Z1344" s="175"/>
      <c r="AA1344" s="175"/>
      <c r="AB1344" s="175"/>
      <c r="AC1344" s="175"/>
      <c r="AD1344" s="175"/>
    </row>
    <row r="1345" spans="18:30" x14ac:dyDescent="0.25">
      <c r="R1345" s="176"/>
      <c r="S1345" s="175"/>
      <c r="T1345" s="175"/>
      <c r="U1345" s="175"/>
      <c r="V1345" s="175"/>
      <c r="W1345" s="175"/>
      <c r="X1345" s="175"/>
      <c r="Y1345" s="175"/>
      <c r="Z1345" s="175"/>
      <c r="AA1345" s="175"/>
      <c r="AB1345" s="175"/>
      <c r="AC1345" s="175"/>
      <c r="AD1345" s="175"/>
    </row>
    <row r="1346" spans="18:30" x14ac:dyDescent="0.25">
      <c r="R1346" s="176"/>
      <c r="S1346" s="175"/>
      <c r="T1346" s="175"/>
      <c r="U1346" s="175"/>
      <c r="V1346" s="175"/>
      <c r="W1346" s="175"/>
      <c r="X1346" s="175"/>
      <c r="Y1346" s="175"/>
      <c r="Z1346" s="175"/>
      <c r="AA1346" s="175"/>
      <c r="AB1346" s="175"/>
      <c r="AC1346" s="175"/>
      <c r="AD1346" s="175"/>
    </row>
    <row r="1347" spans="18:30" x14ac:dyDescent="0.25">
      <c r="R1347" s="176"/>
      <c r="S1347" s="175"/>
      <c r="T1347" s="175"/>
      <c r="U1347" s="175"/>
      <c r="V1347" s="175"/>
      <c r="W1347" s="175"/>
      <c r="X1347" s="175"/>
      <c r="Y1347" s="175"/>
      <c r="Z1347" s="175"/>
      <c r="AA1347" s="175"/>
      <c r="AB1347" s="175"/>
      <c r="AC1347" s="175"/>
      <c r="AD1347" s="175"/>
    </row>
    <row r="1348" spans="18:30" x14ac:dyDescent="0.25">
      <c r="R1348" s="176"/>
      <c r="S1348" s="175"/>
      <c r="T1348" s="175"/>
      <c r="U1348" s="175"/>
      <c r="V1348" s="175"/>
      <c r="W1348" s="175"/>
      <c r="X1348" s="175"/>
      <c r="Y1348" s="175"/>
      <c r="Z1348" s="175"/>
      <c r="AA1348" s="175"/>
      <c r="AB1348" s="175"/>
      <c r="AC1348" s="175"/>
      <c r="AD1348" s="175"/>
    </row>
    <row r="1349" spans="18:30" x14ac:dyDescent="0.25">
      <c r="R1349" s="176"/>
      <c r="S1349" s="175"/>
      <c r="T1349" s="175"/>
      <c r="U1349" s="175"/>
      <c r="V1349" s="175"/>
      <c r="W1349" s="175"/>
      <c r="X1349" s="175"/>
      <c r="Y1349" s="175"/>
      <c r="Z1349" s="175"/>
      <c r="AA1349" s="175"/>
      <c r="AB1349" s="175"/>
      <c r="AC1349" s="175"/>
      <c r="AD1349" s="175"/>
    </row>
    <row r="1350" spans="18:30" x14ac:dyDescent="0.25">
      <c r="R1350" s="176"/>
      <c r="S1350" s="175"/>
      <c r="T1350" s="175"/>
      <c r="U1350" s="175"/>
      <c r="V1350" s="175"/>
      <c r="W1350" s="175"/>
      <c r="X1350" s="175"/>
      <c r="Y1350" s="175"/>
      <c r="Z1350" s="175"/>
      <c r="AA1350" s="175"/>
      <c r="AB1350" s="175"/>
      <c r="AC1350" s="175"/>
      <c r="AD1350" s="175"/>
    </row>
    <row r="1351" spans="18:30" x14ac:dyDescent="0.25">
      <c r="R1351" s="176"/>
      <c r="S1351" s="175"/>
      <c r="T1351" s="175"/>
      <c r="U1351" s="175"/>
      <c r="V1351" s="175"/>
      <c r="W1351" s="175"/>
      <c r="X1351" s="175"/>
      <c r="Y1351" s="175"/>
      <c r="Z1351" s="175"/>
      <c r="AA1351" s="175"/>
      <c r="AB1351" s="175"/>
      <c r="AC1351" s="175"/>
      <c r="AD1351" s="175"/>
    </row>
    <row r="1352" spans="18:30" x14ac:dyDescent="0.25">
      <c r="R1352" s="176"/>
      <c r="S1352" s="175"/>
      <c r="T1352" s="175"/>
      <c r="U1352" s="175"/>
      <c r="V1352" s="175"/>
      <c r="W1352" s="175"/>
      <c r="X1352" s="175"/>
      <c r="Y1352" s="175"/>
      <c r="Z1352" s="175"/>
      <c r="AA1352" s="175"/>
      <c r="AB1352" s="175"/>
      <c r="AC1352" s="175"/>
      <c r="AD1352" s="175"/>
    </row>
    <row r="1353" spans="18:30" x14ac:dyDescent="0.25">
      <c r="R1353" s="176"/>
      <c r="S1353" s="175"/>
      <c r="T1353" s="175"/>
      <c r="U1353" s="175"/>
      <c r="V1353" s="175"/>
      <c r="W1353" s="175"/>
      <c r="X1353" s="175"/>
      <c r="Y1353" s="175"/>
      <c r="Z1353" s="175"/>
      <c r="AA1353" s="175"/>
      <c r="AB1353" s="175"/>
      <c r="AC1353" s="175"/>
      <c r="AD1353" s="175"/>
    </row>
    <row r="1354" spans="18:30" x14ac:dyDescent="0.25">
      <c r="R1354" s="176"/>
      <c r="S1354" s="175"/>
      <c r="T1354" s="175"/>
      <c r="U1354" s="175"/>
      <c r="V1354" s="175"/>
      <c r="W1354" s="175"/>
      <c r="X1354" s="175"/>
      <c r="Y1354" s="175"/>
      <c r="Z1354" s="175"/>
      <c r="AA1354" s="175"/>
      <c r="AB1354" s="175"/>
      <c r="AC1354" s="175"/>
      <c r="AD1354" s="175"/>
    </row>
    <row r="1355" spans="18:30" x14ac:dyDescent="0.25">
      <c r="R1355" s="176"/>
      <c r="S1355" s="175"/>
      <c r="T1355" s="175"/>
      <c r="U1355" s="175"/>
      <c r="V1355" s="175"/>
      <c r="W1355" s="175"/>
      <c r="X1355" s="175"/>
      <c r="Y1355" s="175"/>
      <c r="Z1355" s="175"/>
      <c r="AA1355" s="175"/>
      <c r="AB1355" s="175"/>
      <c r="AC1355" s="175"/>
      <c r="AD1355" s="175"/>
    </row>
    <row r="1356" spans="18:30" x14ac:dyDescent="0.25">
      <c r="R1356" s="176"/>
      <c r="S1356" s="175"/>
      <c r="T1356" s="175"/>
      <c r="U1356" s="175"/>
      <c r="V1356" s="175"/>
      <c r="W1356" s="175"/>
      <c r="X1356" s="175"/>
      <c r="Y1356" s="175"/>
      <c r="Z1356" s="175"/>
      <c r="AA1356" s="175"/>
      <c r="AB1356" s="175"/>
      <c r="AC1356" s="175"/>
      <c r="AD1356" s="175"/>
    </row>
    <row r="1357" spans="18:30" x14ac:dyDescent="0.25">
      <c r="R1357" s="176"/>
      <c r="S1357" s="175"/>
      <c r="T1357" s="175"/>
      <c r="U1357" s="175"/>
      <c r="V1357" s="175"/>
      <c r="W1357" s="175"/>
      <c r="X1357" s="175"/>
      <c r="Y1357" s="175"/>
      <c r="Z1357" s="175"/>
      <c r="AA1357" s="175"/>
      <c r="AB1357" s="175"/>
      <c r="AC1357" s="175"/>
      <c r="AD1357" s="175"/>
    </row>
    <row r="1358" spans="18:30" x14ac:dyDescent="0.25">
      <c r="R1358" s="176"/>
      <c r="S1358" s="175"/>
      <c r="T1358" s="175"/>
      <c r="U1358" s="175"/>
      <c r="V1358" s="175"/>
      <c r="W1358" s="175"/>
      <c r="X1358" s="175"/>
      <c r="Y1358" s="175"/>
      <c r="Z1358" s="175"/>
      <c r="AA1358" s="175"/>
      <c r="AB1358" s="175"/>
      <c r="AC1358" s="175"/>
      <c r="AD1358" s="175"/>
    </row>
    <row r="1359" spans="18:30" x14ac:dyDescent="0.25">
      <c r="R1359" s="176"/>
      <c r="S1359" s="175"/>
      <c r="T1359" s="175"/>
      <c r="U1359" s="175"/>
      <c r="V1359" s="175"/>
      <c r="W1359" s="175"/>
      <c r="X1359" s="175"/>
      <c r="Y1359" s="175"/>
      <c r="Z1359" s="175"/>
      <c r="AA1359" s="175"/>
      <c r="AB1359" s="175"/>
      <c r="AC1359" s="175"/>
      <c r="AD1359" s="175"/>
    </row>
    <row r="1360" spans="18:30" x14ac:dyDescent="0.25">
      <c r="R1360" s="176"/>
      <c r="S1360" s="175"/>
      <c r="T1360" s="175"/>
      <c r="U1360" s="175"/>
      <c r="V1360" s="175"/>
      <c r="W1360" s="175"/>
      <c r="X1360" s="175"/>
      <c r="Y1360" s="175"/>
      <c r="Z1360" s="175"/>
      <c r="AA1360" s="175"/>
      <c r="AB1360" s="175"/>
      <c r="AC1360" s="175"/>
      <c r="AD1360" s="175"/>
    </row>
    <row r="1361" spans="18:30" x14ac:dyDescent="0.25">
      <c r="R1361" s="176"/>
      <c r="S1361" s="175"/>
      <c r="T1361" s="175"/>
      <c r="U1361" s="175"/>
      <c r="V1361" s="175"/>
      <c r="W1361" s="175"/>
      <c r="X1361" s="175"/>
      <c r="Y1361" s="175"/>
      <c r="Z1361" s="175"/>
      <c r="AA1361" s="175"/>
      <c r="AB1361" s="175"/>
      <c r="AC1361" s="175"/>
      <c r="AD1361" s="175"/>
    </row>
    <row r="1362" spans="18:30" x14ac:dyDescent="0.25">
      <c r="R1362" s="176"/>
      <c r="S1362" s="175"/>
      <c r="T1362" s="175"/>
      <c r="U1362" s="175"/>
      <c r="V1362" s="175"/>
      <c r="W1362" s="175"/>
      <c r="X1362" s="175"/>
      <c r="Y1362" s="175"/>
      <c r="Z1362" s="175"/>
      <c r="AA1362" s="175"/>
      <c r="AB1362" s="175"/>
      <c r="AC1362" s="175"/>
      <c r="AD1362" s="175"/>
    </row>
    <row r="1363" spans="18:30" x14ac:dyDescent="0.25">
      <c r="R1363" s="176"/>
      <c r="S1363" s="175"/>
      <c r="T1363" s="175"/>
      <c r="U1363" s="175"/>
      <c r="V1363" s="175"/>
      <c r="W1363" s="175"/>
      <c r="X1363" s="175"/>
      <c r="Y1363" s="175"/>
      <c r="Z1363" s="175"/>
      <c r="AA1363" s="175"/>
      <c r="AB1363" s="175"/>
      <c r="AC1363" s="175"/>
      <c r="AD1363" s="175"/>
    </row>
    <row r="1364" spans="18:30" x14ac:dyDescent="0.25">
      <c r="R1364" s="176"/>
      <c r="S1364" s="175"/>
      <c r="T1364" s="175"/>
      <c r="U1364" s="175"/>
      <c r="V1364" s="175"/>
      <c r="W1364" s="175"/>
      <c r="X1364" s="175"/>
      <c r="Y1364" s="175"/>
      <c r="Z1364" s="175"/>
      <c r="AA1364" s="175"/>
      <c r="AB1364" s="175"/>
      <c r="AC1364" s="175"/>
      <c r="AD1364" s="175"/>
    </row>
    <row r="1365" spans="18:30" x14ac:dyDescent="0.25">
      <c r="R1365" s="176"/>
      <c r="S1365" s="175"/>
      <c r="T1365" s="175"/>
      <c r="U1365" s="175"/>
      <c r="V1365" s="175"/>
      <c r="W1365" s="175"/>
      <c r="X1365" s="175"/>
      <c r="Y1365" s="175"/>
      <c r="Z1365" s="175"/>
      <c r="AA1365" s="175"/>
      <c r="AB1365" s="175"/>
      <c r="AC1365" s="175"/>
      <c r="AD1365" s="175"/>
    </row>
    <row r="1366" spans="18:30" x14ac:dyDescent="0.25">
      <c r="R1366" s="176"/>
      <c r="S1366" s="175"/>
      <c r="T1366" s="175"/>
      <c r="U1366" s="175"/>
      <c r="V1366" s="175"/>
      <c r="W1366" s="175"/>
      <c r="X1366" s="175"/>
      <c r="Y1366" s="175"/>
      <c r="Z1366" s="175"/>
      <c r="AA1366" s="175"/>
      <c r="AB1366" s="175"/>
      <c r="AC1366" s="175"/>
      <c r="AD1366" s="175"/>
    </row>
    <row r="1367" spans="18:30" x14ac:dyDescent="0.25">
      <c r="R1367" s="176"/>
      <c r="S1367" s="175"/>
      <c r="T1367" s="175"/>
      <c r="U1367" s="175"/>
      <c r="V1367" s="175"/>
      <c r="W1367" s="175"/>
      <c r="X1367" s="175"/>
      <c r="Y1367" s="175"/>
      <c r="Z1367" s="175"/>
      <c r="AA1367" s="175"/>
      <c r="AB1367" s="175"/>
      <c r="AC1367" s="175"/>
      <c r="AD1367" s="175"/>
    </row>
    <row r="1368" spans="18:30" x14ac:dyDescent="0.25">
      <c r="R1368" s="176"/>
      <c r="S1368" s="175"/>
      <c r="T1368" s="175"/>
      <c r="U1368" s="175"/>
      <c r="V1368" s="175"/>
      <c r="W1368" s="175"/>
      <c r="X1368" s="175"/>
      <c r="Y1368" s="175"/>
      <c r="Z1368" s="175"/>
      <c r="AA1368" s="175"/>
      <c r="AB1368" s="175"/>
      <c r="AC1368" s="175"/>
      <c r="AD1368" s="175"/>
    </row>
    <row r="1369" spans="18:30" x14ac:dyDescent="0.25">
      <c r="R1369" s="176"/>
      <c r="S1369" s="175"/>
      <c r="T1369" s="175"/>
      <c r="U1369" s="175"/>
      <c r="V1369" s="175"/>
      <c r="W1369" s="175"/>
      <c r="X1369" s="175"/>
      <c r="Y1369" s="175"/>
      <c r="Z1369" s="175"/>
      <c r="AA1369" s="175"/>
      <c r="AB1369" s="175"/>
      <c r="AC1369" s="175"/>
      <c r="AD1369" s="175"/>
    </row>
    <row r="1370" spans="18:30" x14ac:dyDescent="0.25">
      <c r="R1370" s="176"/>
      <c r="S1370" s="175"/>
      <c r="T1370" s="175"/>
      <c r="U1370" s="175"/>
      <c r="V1370" s="175"/>
      <c r="W1370" s="175"/>
      <c r="X1370" s="175"/>
      <c r="Y1370" s="175"/>
      <c r="Z1370" s="175"/>
      <c r="AA1370" s="175"/>
      <c r="AB1370" s="175"/>
      <c r="AC1370" s="175"/>
      <c r="AD1370" s="175"/>
    </row>
    <row r="1371" spans="18:30" x14ac:dyDescent="0.25">
      <c r="R1371" s="176"/>
      <c r="S1371" s="175"/>
      <c r="T1371" s="175"/>
      <c r="U1371" s="175"/>
      <c r="V1371" s="175"/>
      <c r="W1371" s="175"/>
      <c r="X1371" s="175"/>
      <c r="Y1371" s="175"/>
      <c r="Z1371" s="175"/>
      <c r="AA1371" s="175"/>
      <c r="AB1371" s="175"/>
      <c r="AC1371" s="175"/>
      <c r="AD1371" s="175"/>
    </row>
    <row r="1372" spans="18:30" x14ac:dyDescent="0.25">
      <c r="R1372" s="176"/>
      <c r="S1372" s="175"/>
      <c r="T1372" s="175"/>
      <c r="U1372" s="175"/>
      <c r="V1372" s="175"/>
      <c r="W1372" s="175"/>
      <c r="X1372" s="175"/>
      <c r="Y1372" s="175"/>
      <c r="Z1372" s="175"/>
      <c r="AA1372" s="175"/>
      <c r="AB1372" s="175"/>
      <c r="AC1372" s="175"/>
      <c r="AD1372" s="175"/>
    </row>
    <row r="1373" spans="18:30" x14ac:dyDescent="0.25">
      <c r="R1373" s="176"/>
      <c r="S1373" s="175"/>
      <c r="T1373" s="175"/>
      <c r="U1373" s="175"/>
      <c r="V1373" s="175"/>
      <c r="W1373" s="175"/>
      <c r="X1373" s="175"/>
      <c r="Y1373" s="175"/>
      <c r="Z1373" s="175"/>
      <c r="AA1373" s="175"/>
      <c r="AB1373" s="175"/>
      <c r="AC1373" s="175"/>
      <c r="AD1373" s="175"/>
    </row>
    <row r="1374" spans="18:30" x14ac:dyDescent="0.25">
      <c r="R1374" s="176"/>
      <c r="S1374" s="175"/>
      <c r="T1374" s="175"/>
      <c r="U1374" s="175"/>
      <c r="V1374" s="175"/>
      <c r="W1374" s="175"/>
      <c r="X1374" s="175"/>
      <c r="Y1374" s="175"/>
      <c r="Z1374" s="175"/>
      <c r="AA1374" s="175"/>
      <c r="AB1374" s="175"/>
      <c r="AC1374" s="175"/>
      <c r="AD1374" s="175"/>
    </row>
    <row r="1375" spans="18:30" x14ac:dyDescent="0.25">
      <c r="R1375" s="176"/>
      <c r="S1375" s="175"/>
      <c r="T1375" s="175"/>
      <c r="U1375" s="175"/>
      <c r="V1375" s="175"/>
      <c r="W1375" s="175"/>
      <c r="X1375" s="175"/>
      <c r="Y1375" s="175"/>
      <c r="Z1375" s="175"/>
      <c r="AA1375" s="175"/>
      <c r="AB1375" s="175"/>
      <c r="AC1375" s="175"/>
      <c r="AD1375" s="175"/>
    </row>
    <row r="1376" spans="18:30" x14ac:dyDescent="0.25">
      <c r="R1376" s="176"/>
      <c r="S1376" s="175"/>
      <c r="T1376" s="175"/>
      <c r="U1376" s="175"/>
      <c r="V1376" s="175"/>
      <c r="W1376" s="175"/>
      <c r="X1376" s="175"/>
      <c r="Y1376" s="175"/>
      <c r="Z1376" s="175"/>
      <c r="AA1376" s="175"/>
      <c r="AB1376" s="175"/>
      <c r="AC1376" s="175"/>
      <c r="AD1376" s="175"/>
    </row>
    <row r="1377" spans="18:30" x14ac:dyDescent="0.25">
      <c r="R1377" s="176"/>
      <c r="S1377" s="175"/>
      <c r="T1377" s="175"/>
      <c r="U1377" s="175"/>
      <c r="V1377" s="175"/>
      <c r="W1377" s="175"/>
      <c r="X1377" s="175"/>
      <c r="Y1377" s="175"/>
      <c r="Z1377" s="175"/>
      <c r="AA1377" s="175"/>
      <c r="AB1377" s="175"/>
      <c r="AC1377" s="175"/>
      <c r="AD1377" s="175"/>
    </row>
    <row r="1378" spans="18:30" x14ac:dyDescent="0.25">
      <c r="R1378" s="176"/>
      <c r="S1378" s="175"/>
      <c r="T1378" s="175"/>
      <c r="U1378" s="175"/>
      <c r="V1378" s="175"/>
      <c r="W1378" s="175"/>
      <c r="X1378" s="175"/>
      <c r="Y1378" s="175"/>
      <c r="Z1378" s="175"/>
      <c r="AA1378" s="175"/>
      <c r="AB1378" s="175"/>
      <c r="AC1378" s="175"/>
      <c r="AD1378" s="175"/>
    </row>
    <row r="1379" spans="18:30" x14ac:dyDescent="0.25">
      <c r="R1379" s="176"/>
      <c r="S1379" s="175"/>
      <c r="T1379" s="175"/>
      <c r="U1379" s="175"/>
      <c r="V1379" s="175"/>
      <c r="W1379" s="175"/>
      <c r="X1379" s="175"/>
      <c r="Y1379" s="175"/>
      <c r="Z1379" s="175"/>
      <c r="AA1379" s="175"/>
      <c r="AB1379" s="175"/>
      <c r="AC1379" s="175"/>
      <c r="AD1379" s="175"/>
    </row>
    <row r="1380" spans="18:30" x14ac:dyDescent="0.25">
      <c r="R1380" s="176"/>
      <c r="S1380" s="175"/>
      <c r="T1380" s="175"/>
      <c r="U1380" s="175"/>
      <c r="V1380" s="175"/>
      <c r="W1380" s="175"/>
      <c r="X1380" s="175"/>
      <c r="Y1380" s="175"/>
      <c r="Z1380" s="175"/>
      <c r="AA1380" s="175"/>
      <c r="AB1380" s="175"/>
      <c r="AC1380" s="175"/>
      <c r="AD1380" s="175"/>
    </row>
    <row r="1381" spans="18:30" x14ac:dyDescent="0.25">
      <c r="R1381" s="176"/>
      <c r="S1381" s="175"/>
      <c r="T1381" s="175"/>
      <c r="U1381" s="175"/>
      <c r="V1381" s="175"/>
      <c r="W1381" s="175"/>
      <c r="X1381" s="175"/>
      <c r="Y1381" s="175"/>
      <c r="Z1381" s="175"/>
      <c r="AA1381" s="175"/>
      <c r="AB1381" s="175"/>
      <c r="AC1381" s="175"/>
      <c r="AD1381" s="175"/>
    </row>
    <row r="1382" spans="18:30" x14ac:dyDescent="0.25">
      <c r="R1382" s="176"/>
      <c r="S1382" s="175"/>
      <c r="T1382" s="175"/>
      <c r="U1382" s="175"/>
      <c r="V1382" s="175"/>
      <c r="W1382" s="175"/>
      <c r="X1382" s="175"/>
      <c r="Y1382" s="175"/>
      <c r="Z1382" s="175"/>
      <c r="AA1382" s="175"/>
      <c r="AB1382" s="175"/>
      <c r="AC1382" s="175"/>
      <c r="AD1382" s="175"/>
    </row>
    <row r="1383" spans="18:30" x14ac:dyDescent="0.25">
      <c r="R1383" s="176"/>
      <c r="S1383" s="175"/>
      <c r="T1383" s="175"/>
      <c r="U1383" s="175"/>
      <c r="V1383" s="175"/>
      <c r="W1383" s="175"/>
      <c r="X1383" s="175"/>
      <c r="Y1383" s="175"/>
      <c r="Z1383" s="175"/>
      <c r="AA1383" s="175"/>
      <c r="AB1383" s="175"/>
      <c r="AC1383" s="175"/>
      <c r="AD1383" s="175"/>
    </row>
    <row r="1384" spans="18:30" x14ac:dyDescent="0.25">
      <c r="R1384" s="176"/>
      <c r="S1384" s="175"/>
      <c r="T1384" s="175"/>
      <c r="U1384" s="175"/>
      <c r="V1384" s="175"/>
      <c r="W1384" s="175"/>
      <c r="X1384" s="175"/>
      <c r="Y1384" s="175"/>
      <c r="Z1384" s="175"/>
      <c r="AA1384" s="175"/>
      <c r="AB1384" s="175"/>
      <c r="AC1384" s="175"/>
      <c r="AD1384" s="175"/>
    </row>
    <row r="1385" spans="18:30" x14ac:dyDescent="0.25">
      <c r="R1385" s="176"/>
      <c r="S1385" s="175"/>
      <c r="T1385" s="175"/>
      <c r="U1385" s="175"/>
      <c r="V1385" s="175"/>
      <c r="W1385" s="175"/>
      <c r="X1385" s="175"/>
      <c r="Y1385" s="175"/>
      <c r="Z1385" s="175"/>
      <c r="AA1385" s="175"/>
      <c r="AB1385" s="175"/>
      <c r="AC1385" s="175"/>
      <c r="AD1385" s="175"/>
    </row>
    <row r="1386" spans="18:30" x14ac:dyDescent="0.25">
      <c r="R1386" s="176"/>
      <c r="S1386" s="175"/>
      <c r="T1386" s="175"/>
      <c r="U1386" s="175"/>
      <c r="V1386" s="175"/>
      <c r="W1386" s="175"/>
      <c r="X1386" s="175"/>
      <c r="Y1386" s="175"/>
      <c r="Z1386" s="175"/>
      <c r="AA1386" s="175"/>
      <c r="AB1386" s="175"/>
      <c r="AC1386" s="175"/>
      <c r="AD1386" s="175"/>
    </row>
    <row r="1387" spans="18:30" x14ac:dyDescent="0.25">
      <c r="R1387" s="176"/>
      <c r="S1387" s="175"/>
      <c r="T1387" s="175"/>
      <c r="U1387" s="175"/>
      <c r="V1387" s="175"/>
      <c r="W1387" s="175"/>
      <c r="X1387" s="175"/>
      <c r="Y1387" s="175"/>
      <c r="Z1387" s="175"/>
      <c r="AA1387" s="175"/>
      <c r="AB1387" s="175"/>
      <c r="AC1387" s="175"/>
      <c r="AD1387" s="175"/>
    </row>
    <row r="1388" spans="18:30" x14ac:dyDescent="0.25">
      <c r="R1388" s="176"/>
      <c r="S1388" s="175"/>
      <c r="T1388" s="175"/>
      <c r="U1388" s="175"/>
      <c r="V1388" s="175"/>
      <c r="W1388" s="175"/>
      <c r="X1388" s="175"/>
      <c r="Y1388" s="175"/>
      <c r="Z1388" s="175"/>
      <c r="AA1388" s="175"/>
      <c r="AB1388" s="175"/>
      <c r="AC1388" s="175"/>
      <c r="AD1388" s="175"/>
    </row>
    <row r="1389" spans="18:30" x14ac:dyDescent="0.25">
      <c r="R1389" s="176"/>
      <c r="S1389" s="175"/>
      <c r="T1389" s="175"/>
      <c r="U1389" s="175"/>
      <c r="V1389" s="175"/>
      <c r="W1389" s="175"/>
      <c r="X1389" s="175"/>
      <c r="Y1389" s="175"/>
      <c r="Z1389" s="175"/>
      <c r="AA1389" s="175"/>
      <c r="AB1389" s="175"/>
      <c r="AC1389" s="175"/>
      <c r="AD1389" s="175"/>
    </row>
    <row r="1390" spans="18:30" x14ac:dyDescent="0.25">
      <c r="R1390" s="176"/>
      <c r="S1390" s="175"/>
      <c r="T1390" s="175"/>
      <c r="U1390" s="175"/>
      <c r="V1390" s="175"/>
      <c r="W1390" s="175"/>
      <c r="X1390" s="175"/>
      <c r="Y1390" s="175"/>
      <c r="Z1390" s="175"/>
      <c r="AA1390" s="175"/>
      <c r="AB1390" s="175"/>
      <c r="AC1390" s="175"/>
      <c r="AD1390" s="175"/>
    </row>
    <row r="1391" spans="18:30" x14ac:dyDescent="0.25">
      <c r="R1391" s="176"/>
      <c r="S1391" s="175"/>
      <c r="T1391" s="175"/>
      <c r="U1391" s="175"/>
      <c r="V1391" s="175"/>
      <c r="W1391" s="175"/>
      <c r="X1391" s="175"/>
      <c r="Y1391" s="175"/>
      <c r="Z1391" s="175"/>
      <c r="AA1391" s="175"/>
      <c r="AB1391" s="175"/>
      <c r="AC1391" s="175"/>
      <c r="AD1391" s="175"/>
    </row>
    <row r="1392" spans="18:30" x14ac:dyDescent="0.25">
      <c r="R1392" s="176"/>
      <c r="S1392" s="175"/>
      <c r="T1392" s="175"/>
      <c r="U1392" s="175"/>
      <c r="V1392" s="175"/>
      <c r="W1392" s="175"/>
      <c r="X1392" s="175"/>
      <c r="Y1392" s="175"/>
      <c r="Z1392" s="175"/>
      <c r="AA1392" s="175"/>
      <c r="AB1392" s="175"/>
      <c r="AC1392" s="175"/>
      <c r="AD1392" s="175"/>
    </row>
    <row r="1393" spans="18:30" x14ac:dyDescent="0.25">
      <c r="R1393" s="176"/>
      <c r="S1393" s="175"/>
      <c r="T1393" s="175"/>
      <c r="U1393" s="175"/>
      <c r="V1393" s="175"/>
      <c r="W1393" s="175"/>
      <c r="X1393" s="175"/>
      <c r="Y1393" s="175"/>
      <c r="Z1393" s="175"/>
      <c r="AA1393" s="175"/>
      <c r="AB1393" s="175"/>
      <c r="AC1393" s="175"/>
      <c r="AD1393" s="175"/>
    </row>
    <row r="1394" spans="18:30" x14ac:dyDescent="0.25">
      <c r="R1394" s="176"/>
      <c r="S1394" s="175"/>
      <c r="T1394" s="175"/>
      <c r="U1394" s="175"/>
      <c r="V1394" s="175"/>
      <c r="W1394" s="175"/>
      <c r="X1394" s="175"/>
      <c r="Y1394" s="175"/>
      <c r="Z1394" s="175"/>
      <c r="AA1394" s="175"/>
      <c r="AB1394" s="175"/>
      <c r="AC1394" s="175"/>
      <c r="AD1394" s="175"/>
    </row>
    <row r="1395" spans="18:30" x14ac:dyDescent="0.25">
      <c r="R1395" s="176"/>
      <c r="S1395" s="175"/>
      <c r="T1395" s="175"/>
      <c r="U1395" s="175"/>
      <c r="V1395" s="175"/>
      <c r="W1395" s="175"/>
      <c r="X1395" s="175"/>
      <c r="Y1395" s="175"/>
      <c r="Z1395" s="175"/>
      <c r="AA1395" s="175"/>
      <c r="AB1395" s="175"/>
      <c r="AC1395" s="175"/>
      <c r="AD1395" s="175"/>
    </row>
    <row r="1396" spans="18:30" x14ac:dyDescent="0.25">
      <c r="R1396" s="176"/>
      <c r="S1396" s="175"/>
      <c r="T1396" s="175"/>
      <c r="U1396" s="175"/>
      <c r="V1396" s="175"/>
      <c r="W1396" s="175"/>
      <c r="X1396" s="175"/>
      <c r="Y1396" s="175"/>
      <c r="Z1396" s="175"/>
      <c r="AA1396" s="175"/>
      <c r="AB1396" s="175"/>
      <c r="AC1396" s="175"/>
      <c r="AD1396" s="175"/>
    </row>
    <row r="1397" spans="18:30" x14ac:dyDescent="0.25">
      <c r="R1397" s="176"/>
      <c r="S1397" s="175"/>
      <c r="T1397" s="175"/>
      <c r="U1397" s="175"/>
      <c r="V1397" s="175"/>
      <c r="W1397" s="175"/>
      <c r="X1397" s="175"/>
      <c r="Y1397" s="175"/>
      <c r="Z1397" s="175"/>
      <c r="AA1397" s="175"/>
      <c r="AB1397" s="175"/>
      <c r="AC1397" s="175"/>
      <c r="AD1397" s="175"/>
    </row>
    <row r="1398" spans="18:30" x14ac:dyDescent="0.25">
      <c r="R1398" s="176"/>
      <c r="S1398" s="175"/>
      <c r="T1398" s="175"/>
      <c r="U1398" s="175"/>
      <c r="V1398" s="175"/>
      <c r="W1398" s="175"/>
      <c r="X1398" s="175"/>
      <c r="Y1398" s="175"/>
      <c r="Z1398" s="175"/>
      <c r="AA1398" s="175"/>
      <c r="AB1398" s="175"/>
      <c r="AC1398" s="175"/>
      <c r="AD1398" s="175"/>
    </row>
    <row r="1399" spans="18:30" x14ac:dyDescent="0.25">
      <c r="R1399" s="176"/>
      <c r="S1399" s="175"/>
      <c r="T1399" s="175"/>
      <c r="U1399" s="175"/>
      <c r="V1399" s="175"/>
      <c r="W1399" s="175"/>
      <c r="X1399" s="175"/>
      <c r="Y1399" s="175"/>
      <c r="Z1399" s="175"/>
      <c r="AA1399" s="175"/>
      <c r="AB1399" s="175"/>
      <c r="AC1399" s="175"/>
      <c r="AD1399" s="175"/>
    </row>
    <row r="1400" spans="18:30" x14ac:dyDescent="0.25">
      <c r="R1400" s="176"/>
      <c r="S1400" s="175"/>
      <c r="T1400" s="175"/>
      <c r="U1400" s="175"/>
      <c r="V1400" s="175"/>
      <c r="W1400" s="175"/>
      <c r="X1400" s="175"/>
      <c r="Y1400" s="175"/>
      <c r="Z1400" s="175"/>
      <c r="AA1400" s="175"/>
      <c r="AB1400" s="175"/>
      <c r="AC1400" s="175"/>
      <c r="AD1400" s="175"/>
    </row>
    <row r="1401" spans="18:30" x14ac:dyDescent="0.25">
      <c r="R1401" s="176"/>
      <c r="S1401" s="175"/>
      <c r="T1401" s="175"/>
      <c r="U1401" s="175"/>
      <c r="V1401" s="175"/>
      <c r="W1401" s="175"/>
      <c r="X1401" s="175"/>
      <c r="Y1401" s="175"/>
      <c r="Z1401" s="175"/>
      <c r="AA1401" s="175"/>
      <c r="AB1401" s="175"/>
      <c r="AC1401" s="175"/>
      <c r="AD1401" s="175"/>
    </row>
    <row r="1402" spans="18:30" x14ac:dyDescent="0.25">
      <c r="R1402" s="176"/>
      <c r="S1402" s="175"/>
      <c r="T1402" s="175"/>
      <c r="U1402" s="175"/>
      <c r="V1402" s="175"/>
      <c r="W1402" s="175"/>
      <c r="X1402" s="175"/>
      <c r="Y1402" s="175"/>
      <c r="Z1402" s="175"/>
      <c r="AA1402" s="175"/>
      <c r="AB1402" s="175"/>
      <c r="AC1402" s="175"/>
      <c r="AD1402" s="175"/>
    </row>
    <row r="1403" spans="18:30" x14ac:dyDescent="0.25">
      <c r="R1403" s="176"/>
      <c r="S1403" s="175"/>
      <c r="T1403" s="175"/>
      <c r="U1403" s="175"/>
      <c r="V1403" s="175"/>
      <c r="W1403" s="175"/>
      <c r="X1403" s="175"/>
      <c r="Y1403" s="175"/>
      <c r="Z1403" s="175"/>
      <c r="AA1403" s="175"/>
      <c r="AB1403" s="175"/>
      <c r="AC1403" s="175"/>
      <c r="AD1403" s="175"/>
    </row>
    <row r="1404" spans="18:30" x14ac:dyDescent="0.25">
      <c r="R1404" s="176"/>
      <c r="S1404" s="175"/>
      <c r="T1404" s="175"/>
      <c r="U1404" s="175"/>
      <c r="V1404" s="175"/>
      <c r="W1404" s="175"/>
      <c r="X1404" s="175"/>
      <c r="Y1404" s="175"/>
      <c r="Z1404" s="175"/>
      <c r="AA1404" s="175"/>
      <c r="AB1404" s="175"/>
      <c r="AC1404" s="175"/>
      <c r="AD1404" s="175"/>
    </row>
    <row r="1405" spans="18:30" x14ac:dyDescent="0.25">
      <c r="R1405" s="176"/>
      <c r="S1405" s="175"/>
      <c r="T1405" s="175"/>
      <c r="U1405" s="175"/>
      <c r="V1405" s="175"/>
      <c r="W1405" s="175"/>
      <c r="X1405" s="175"/>
      <c r="Y1405" s="175"/>
      <c r="Z1405" s="175"/>
      <c r="AA1405" s="175"/>
      <c r="AB1405" s="175"/>
      <c r="AC1405" s="175"/>
      <c r="AD1405" s="175"/>
    </row>
    <row r="1406" spans="18:30" x14ac:dyDescent="0.25">
      <c r="R1406" s="176"/>
      <c r="S1406" s="175"/>
      <c r="T1406" s="175"/>
      <c r="U1406" s="175"/>
      <c r="V1406" s="175"/>
      <c r="W1406" s="175"/>
      <c r="X1406" s="175"/>
      <c r="Y1406" s="175"/>
      <c r="Z1406" s="175"/>
      <c r="AA1406" s="175"/>
      <c r="AB1406" s="175"/>
      <c r="AC1406" s="175"/>
      <c r="AD1406" s="175"/>
    </row>
    <row r="1407" spans="18:30" x14ac:dyDescent="0.25">
      <c r="R1407" s="176"/>
      <c r="S1407" s="175"/>
      <c r="T1407" s="175"/>
      <c r="U1407" s="175"/>
      <c r="V1407" s="175"/>
      <c r="W1407" s="175"/>
      <c r="X1407" s="175"/>
      <c r="Y1407" s="175"/>
      <c r="Z1407" s="175"/>
      <c r="AA1407" s="175"/>
      <c r="AB1407" s="175"/>
      <c r="AC1407" s="175"/>
      <c r="AD1407" s="175"/>
    </row>
    <row r="1408" spans="18:30" x14ac:dyDescent="0.25">
      <c r="R1408" s="176"/>
      <c r="S1408" s="175"/>
      <c r="T1408" s="175"/>
      <c r="U1408" s="175"/>
      <c r="V1408" s="175"/>
      <c r="W1408" s="175"/>
      <c r="X1408" s="175"/>
      <c r="Y1408" s="175"/>
      <c r="Z1408" s="175"/>
      <c r="AA1408" s="175"/>
      <c r="AB1408" s="175"/>
      <c r="AC1408" s="175"/>
      <c r="AD1408" s="175"/>
    </row>
    <row r="1409" spans="18:30" x14ac:dyDescent="0.25">
      <c r="R1409" s="176"/>
      <c r="S1409" s="175"/>
      <c r="T1409" s="175"/>
      <c r="U1409" s="175"/>
      <c r="V1409" s="175"/>
      <c r="W1409" s="175"/>
      <c r="X1409" s="175"/>
      <c r="Y1409" s="175"/>
      <c r="Z1409" s="175"/>
      <c r="AA1409" s="175"/>
      <c r="AB1409" s="175"/>
      <c r="AC1409" s="175"/>
      <c r="AD1409" s="175"/>
    </row>
    <row r="1410" spans="18:30" x14ac:dyDescent="0.25">
      <c r="R1410" s="176"/>
      <c r="S1410" s="175"/>
      <c r="T1410" s="175"/>
      <c r="U1410" s="175"/>
      <c r="V1410" s="175"/>
      <c r="W1410" s="175"/>
      <c r="X1410" s="175"/>
      <c r="Y1410" s="175"/>
      <c r="Z1410" s="175"/>
      <c r="AA1410" s="175"/>
      <c r="AB1410" s="175"/>
      <c r="AC1410" s="175"/>
      <c r="AD1410" s="175"/>
    </row>
    <row r="1411" spans="18:30" x14ac:dyDescent="0.25">
      <c r="R1411" s="176"/>
      <c r="S1411" s="175"/>
      <c r="T1411" s="175"/>
      <c r="U1411" s="175"/>
      <c r="V1411" s="175"/>
      <c r="W1411" s="175"/>
      <c r="X1411" s="175"/>
      <c r="Y1411" s="175"/>
      <c r="Z1411" s="175"/>
      <c r="AA1411" s="175"/>
      <c r="AB1411" s="175"/>
      <c r="AC1411" s="175"/>
      <c r="AD1411" s="175"/>
    </row>
    <row r="1412" spans="18:30" x14ac:dyDescent="0.25">
      <c r="R1412" s="176"/>
      <c r="S1412" s="175"/>
      <c r="T1412" s="175"/>
      <c r="U1412" s="175"/>
      <c r="V1412" s="175"/>
      <c r="W1412" s="175"/>
      <c r="X1412" s="175"/>
      <c r="Y1412" s="175"/>
      <c r="Z1412" s="175"/>
      <c r="AA1412" s="175"/>
      <c r="AB1412" s="175"/>
      <c r="AC1412" s="175"/>
      <c r="AD1412" s="175"/>
    </row>
    <row r="1413" spans="18:30" x14ac:dyDescent="0.25">
      <c r="R1413" s="176"/>
      <c r="S1413" s="175"/>
      <c r="T1413" s="175"/>
      <c r="U1413" s="175"/>
      <c r="V1413" s="175"/>
      <c r="W1413" s="175"/>
      <c r="X1413" s="175"/>
      <c r="Y1413" s="175"/>
      <c r="Z1413" s="175"/>
      <c r="AA1413" s="175"/>
      <c r="AB1413" s="175"/>
      <c r="AC1413" s="175"/>
      <c r="AD1413" s="175"/>
    </row>
    <row r="1414" spans="18:30" x14ac:dyDescent="0.25">
      <c r="R1414" s="176"/>
      <c r="S1414" s="175"/>
      <c r="T1414" s="175"/>
      <c r="U1414" s="175"/>
      <c r="V1414" s="175"/>
      <c r="W1414" s="175"/>
      <c r="X1414" s="175"/>
      <c r="Y1414" s="175"/>
      <c r="Z1414" s="175"/>
      <c r="AA1414" s="175"/>
      <c r="AB1414" s="175"/>
      <c r="AC1414" s="175"/>
      <c r="AD1414" s="175"/>
    </row>
    <row r="1415" spans="18:30" x14ac:dyDescent="0.25">
      <c r="R1415" s="176"/>
      <c r="S1415" s="175"/>
      <c r="T1415" s="175"/>
      <c r="U1415" s="175"/>
      <c r="V1415" s="175"/>
      <c r="W1415" s="175"/>
      <c r="X1415" s="175"/>
      <c r="Y1415" s="175"/>
      <c r="Z1415" s="175"/>
      <c r="AA1415" s="175"/>
      <c r="AB1415" s="175"/>
      <c r="AC1415" s="175"/>
      <c r="AD1415" s="175"/>
    </row>
    <row r="1416" spans="18:30" x14ac:dyDescent="0.25">
      <c r="R1416" s="176"/>
      <c r="S1416" s="175"/>
      <c r="T1416" s="175"/>
      <c r="U1416" s="175"/>
      <c r="V1416" s="175"/>
      <c r="W1416" s="175"/>
      <c r="X1416" s="175"/>
      <c r="Y1416" s="175"/>
      <c r="Z1416" s="175"/>
      <c r="AA1416" s="175"/>
      <c r="AB1416" s="175"/>
      <c r="AC1416" s="175"/>
      <c r="AD1416" s="175"/>
    </row>
    <row r="1417" spans="18:30" x14ac:dyDescent="0.25">
      <c r="R1417" s="176"/>
      <c r="S1417" s="175"/>
      <c r="T1417" s="175"/>
      <c r="U1417" s="175"/>
      <c r="V1417" s="175"/>
      <c r="W1417" s="175"/>
      <c r="X1417" s="175"/>
      <c r="Y1417" s="175"/>
      <c r="Z1417" s="175"/>
      <c r="AA1417" s="175"/>
      <c r="AB1417" s="175"/>
      <c r="AC1417" s="175"/>
      <c r="AD1417" s="175"/>
    </row>
    <row r="1418" spans="18:30" x14ac:dyDescent="0.25">
      <c r="R1418" s="176"/>
      <c r="S1418" s="175"/>
      <c r="T1418" s="175"/>
      <c r="U1418" s="175"/>
      <c r="V1418" s="175"/>
      <c r="W1418" s="175"/>
      <c r="X1418" s="175"/>
      <c r="Y1418" s="175"/>
      <c r="Z1418" s="175"/>
      <c r="AA1418" s="175"/>
      <c r="AB1418" s="175"/>
      <c r="AC1418" s="175"/>
      <c r="AD1418" s="175"/>
    </row>
    <row r="1419" spans="18:30" x14ac:dyDescent="0.25">
      <c r="R1419" s="176"/>
      <c r="S1419" s="175"/>
      <c r="T1419" s="175"/>
      <c r="U1419" s="175"/>
      <c r="V1419" s="175"/>
      <c r="W1419" s="175"/>
      <c r="X1419" s="175"/>
      <c r="Y1419" s="175"/>
      <c r="Z1419" s="175"/>
      <c r="AA1419" s="175"/>
      <c r="AB1419" s="175"/>
      <c r="AC1419" s="175"/>
      <c r="AD1419" s="175"/>
    </row>
    <row r="1420" spans="18:30" x14ac:dyDescent="0.25">
      <c r="R1420" s="176"/>
      <c r="S1420" s="175"/>
      <c r="T1420" s="175"/>
      <c r="U1420" s="175"/>
      <c r="V1420" s="175"/>
      <c r="W1420" s="175"/>
      <c r="X1420" s="175"/>
      <c r="Y1420" s="175"/>
      <c r="Z1420" s="175"/>
      <c r="AA1420" s="175"/>
      <c r="AB1420" s="175"/>
      <c r="AC1420" s="175"/>
      <c r="AD1420" s="175"/>
    </row>
    <row r="1421" spans="18:30" x14ac:dyDescent="0.25">
      <c r="R1421" s="176"/>
      <c r="S1421" s="175"/>
      <c r="T1421" s="175"/>
      <c r="U1421" s="175"/>
      <c r="V1421" s="175"/>
      <c r="W1421" s="175"/>
      <c r="X1421" s="175"/>
      <c r="Y1421" s="175"/>
      <c r="Z1421" s="175"/>
      <c r="AA1421" s="175"/>
      <c r="AB1421" s="175"/>
      <c r="AC1421" s="175"/>
      <c r="AD1421" s="175"/>
    </row>
    <row r="1422" spans="18:30" x14ac:dyDescent="0.25">
      <c r="R1422" s="176"/>
      <c r="S1422" s="175"/>
      <c r="T1422" s="175"/>
      <c r="U1422" s="175"/>
      <c r="V1422" s="175"/>
      <c r="W1422" s="175"/>
      <c r="X1422" s="175"/>
      <c r="Y1422" s="175"/>
      <c r="Z1422" s="175"/>
      <c r="AA1422" s="175"/>
      <c r="AB1422" s="175"/>
      <c r="AC1422" s="175"/>
      <c r="AD1422" s="175"/>
    </row>
    <row r="1423" spans="18:30" x14ac:dyDescent="0.25">
      <c r="R1423" s="176"/>
      <c r="S1423" s="175"/>
      <c r="T1423" s="175"/>
      <c r="U1423" s="175"/>
      <c r="V1423" s="175"/>
      <c r="W1423" s="175"/>
      <c r="X1423" s="175"/>
      <c r="Y1423" s="175"/>
      <c r="Z1423" s="175"/>
      <c r="AA1423" s="175"/>
      <c r="AB1423" s="175"/>
      <c r="AC1423" s="175"/>
      <c r="AD1423" s="175"/>
    </row>
    <row r="1424" spans="18:30" x14ac:dyDescent="0.25">
      <c r="R1424" s="176"/>
      <c r="S1424" s="175"/>
      <c r="T1424" s="175"/>
      <c r="U1424" s="175"/>
      <c r="V1424" s="175"/>
      <c r="W1424" s="175"/>
      <c r="X1424" s="175"/>
      <c r="Y1424" s="175"/>
      <c r="Z1424" s="175"/>
      <c r="AA1424" s="175"/>
      <c r="AB1424" s="175"/>
      <c r="AC1424" s="175"/>
      <c r="AD1424" s="175"/>
    </row>
    <row r="1425" spans="18:30" x14ac:dyDescent="0.25">
      <c r="R1425" s="176"/>
      <c r="S1425" s="175"/>
      <c r="T1425" s="175"/>
      <c r="U1425" s="175"/>
      <c r="V1425" s="175"/>
      <c r="W1425" s="175"/>
      <c r="X1425" s="175"/>
      <c r="Y1425" s="175"/>
      <c r="Z1425" s="175"/>
      <c r="AA1425" s="175"/>
      <c r="AB1425" s="175"/>
      <c r="AC1425" s="175"/>
      <c r="AD1425" s="175"/>
    </row>
    <row r="1426" spans="18:30" x14ac:dyDescent="0.25">
      <c r="R1426" s="176"/>
      <c r="S1426" s="175"/>
      <c r="T1426" s="175"/>
      <c r="U1426" s="175"/>
      <c r="V1426" s="175"/>
      <c r="W1426" s="175"/>
      <c r="X1426" s="175"/>
      <c r="Y1426" s="175"/>
      <c r="Z1426" s="175"/>
      <c r="AA1426" s="175"/>
      <c r="AB1426" s="175"/>
      <c r="AC1426" s="175"/>
      <c r="AD1426" s="175"/>
    </row>
    <row r="1427" spans="18:30" x14ac:dyDescent="0.25">
      <c r="R1427" s="176"/>
      <c r="S1427" s="175"/>
      <c r="T1427" s="175"/>
      <c r="U1427" s="175"/>
      <c r="V1427" s="175"/>
      <c r="W1427" s="175"/>
      <c r="X1427" s="175"/>
      <c r="Y1427" s="175"/>
      <c r="Z1427" s="175"/>
      <c r="AA1427" s="175"/>
      <c r="AB1427" s="175"/>
      <c r="AC1427" s="175"/>
      <c r="AD1427" s="175"/>
    </row>
    <row r="1428" spans="18:30" x14ac:dyDescent="0.25">
      <c r="R1428" s="176"/>
      <c r="S1428" s="175"/>
      <c r="T1428" s="175"/>
      <c r="U1428" s="175"/>
      <c r="V1428" s="175"/>
      <c r="W1428" s="175"/>
      <c r="X1428" s="175"/>
      <c r="Y1428" s="175"/>
      <c r="Z1428" s="175"/>
      <c r="AA1428" s="175"/>
      <c r="AB1428" s="175"/>
      <c r="AC1428" s="175"/>
      <c r="AD1428" s="175"/>
    </row>
    <row r="1429" spans="18:30" x14ac:dyDescent="0.25">
      <c r="R1429" s="176"/>
      <c r="S1429" s="175"/>
      <c r="T1429" s="175"/>
      <c r="U1429" s="175"/>
      <c r="V1429" s="175"/>
      <c r="W1429" s="175"/>
      <c r="X1429" s="175"/>
      <c r="Y1429" s="175"/>
      <c r="Z1429" s="175"/>
      <c r="AA1429" s="175"/>
      <c r="AB1429" s="175"/>
      <c r="AC1429" s="175"/>
      <c r="AD1429" s="175"/>
    </row>
    <row r="1430" spans="18:30" x14ac:dyDescent="0.25">
      <c r="R1430" s="176"/>
      <c r="S1430" s="175"/>
      <c r="T1430" s="175"/>
      <c r="U1430" s="175"/>
      <c r="V1430" s="175"/>
      <c r="W1430" s="175"/>
      <c r="X1430" s="175"/>
      <c r="Y1430" s="175"/>
      <c r="Z1430" s="175"/>
      <c r="AA1430" s="175"/>
      <c r="AB1430" s="175"/>
      <c r="AC1430" s="175"/>
      <c r="AD1430" s="175"/>
    </row>
    <row r="1431" spans="18:30" x14ac:dyDescent="0.25">
      <c r="R1431" s="176"/>
      <c r="S1431" s="175"/>
      <c r="T1431" s="175"/>
      <c r="U1431" s="175"/>
      <c r="V1431" s="175"/>
      <c r="W1431" s="175"/>
      <c r="X1431" s="175"/>
      <c r="Y1431" s="175"/>
      <c r="Z1431" s="175"/>
      <c r="AA1431" s="175"/>
      <c r="AB1431" s="175"/>
      <c r="AC1431" s="175"/>
      <c r="AD1431" s="175"/>
    </row>
    <row r="1432" spans="18:30" x14ac:dyDescent="0.25">
      <c r="R1432" s="176"/>
      <c r="S1432" s="175"/>
      <c r="T1432" s="175"/>
      <c r="U1432" s="175"/>
      <c r="V1432" s="175"/>
      <c r="W1432" s="175"/>
      <c r="X1432" s="175"/>
      <c r="Y1432" s="175"/>
      <c r="Z1432" s="175"/>
      <c r="AA1432" s="175"/>
      <c r="AB1432" s="175"/>
      <c r="AC1432" s="175"/>
      <c r="AD1432" s="175"/>
    </row>
    <row r="1433" spans="18:30" x14ac:dyDescent="0.25">
      <c r="R1433" s="176"/>
      <c r="S1433" s="175"/>
      <c r="T1433" s="175"/>
      <c r="U1433" s="175"/>
      <c r="V1433" s="175"/>
      <c r="W1433" s="175"/>
      <c r="X1433" s="175"/>
      <c r="Y1433" s="175"/>
      <c r="Z1433" s="175"/>
      <c r="AA1433" s="175"/>
      <c r="AB1433" s="175"/>
      <c r="AC1433" s="175"/>
      <c r="AD1433" s="175"/>
    </row>
    <row r="1434" spans="18:30" x14ac:dyDescent="0.25">
      <c r="R1434" s="176"/>
      <c r="S1434" s="175"/>
      <c r="T1434" s="175"/>
      <c r="U1434" s="175"/>
      <c r="V1434" s="175"/>
      <c r="W1434" s="175"/>
      <c r="X1434" s="175"/>
      <c r="Y1434" s="175"/>
      <c r="Z1434" s="175"/>
      <c r="AA1434" s="175"/>
      <c r="AB1434" s="175"/>
      <c r="AC1434" s="175"/>
      <c r="AD1434" s="175"/>
    </row>
    <row r="1435" spans="18:30" x14ac:dyDescent="0.25">
      <c r="R1435" s="176"/>
      <c r="S1435" s="175"/>
      <c r="T1435" s="175"/>
      <c r="U1435" s="175"/>
      <c r="V1435" s="175"/>
      <c r="W1435" s="175"/>
      <c r="X1435" s="175"/>
      <c r="Y1435" s="175"/>
      <c r="Z1435" s="175"/>
      <c r="AA1435" s="175"/>
      <c r="AB1435" s="175"/>
      <c r="AC1435" s="175"/>
      <c r="AD1435" s="175"/>
    </row>
    <row r="1436" spans="18:30" x14ac:dyDescent="0.25">
      <c r="R1436" s="176"/>
      <c r="S1436" s="175"/>
      <c r="T1436" s="175"/>
      <c r="U1436" s="175"/>
      <c r="V1436" s="175"/>
      <c r="W1436" s="175"/>
      <c r="X1436" s="175"/>
      <c r="Y1436" s="175"/>
      <c r="Z1436" s="175"/>
      <c r="AA1436" s="175"/>
      <c r="AB1436" s="175"/>
      <c r="AC1436" s="175"/>
      <c r="AD1436" s="175"/>
    </row>
    <row r="1437" spans="18:30" x14ac:dyDescent="0.25">
      <c r="R1437" s="176"/>
      <c r="S1437" s="175"/>
      <c r="T1437" s="175"/>
      <c r="U1437" s="175"/>
      <c r="V1437" s="175"/>
      <c r="W1437" s="175"/>
      <c r="X1437" s="175"/>
      <c r="Y1437" s="175"/>
      <c r="Z1437" s="175"/>
      <c r="AA1437" s="175"/>
      <c r="AB1437" s="175"/>
      <c r="AC1437" s="175"/>
      <c r="AD1437" s="175"/>
    </row>
    <row r="1438" spans="18:30" x14ac:dyDescent="0.25">
      <c r="R1438" s="176"/>
      <c r="S1438" s="175"/>
      <c r="T1438" s="175"/>
      <c r="U1438" s="175"/>
      <c r="V1438" s="175"/>
      <c r="W1438" s="175"/>
      <c r="X1438" s="175"/>
      <c r="Y1438" s="175"/>
      <c r="Z1438" s="175"/>
      <c r="AA1438" s="175"/>
      <c r="AB1438" s="175"/>
      <c r="AC1438" s="175"/>
      <c r="AD1438" s="175"/>
    </row>
    <row r="1439" spans="18:30" x14ac:dyDescent="0.25">
      <c r="R1439" s="176"/>
      <c r="S1439" s="175"/>
      <c r="T1439" s="175"/>
      <c r="U1439" s="175"/>
      <c r="V1439" s="175"/>
      <c r="W1439" s="175"/>
      <c r="X1439" s="175"/>
      <c r="Y1439" s="175"/>
      <c r="Z1439" s="175"/>
      <c r="AA1439" s="175"/>
      <c r="AB1439" s="175"/>
      <c r="AC1439" s="175"/>
      <c r="AD1439" s="175"/>
    </row>
    <row r="1440" spans="18:30" x14ac:dyDescent="0.25">
      <c r="R1440" s="176"/>
      <c r="S1440" s="175"/>
      <c r="T1440" s="175"/>
      <c r="U1440" s="175"/>
      <c r="V1440" s="175"/>
      <c r="W1440" s="175"/>
      <c r="X1440" s="175"/>
      <c r="Y1440" s="175"/>
      <c r="Z1440" s="175"/>
      <c r="AA1440" s="175"/>
      <c r="AB1440" s="175"/>
      <c r="AC1440" s="175"/>
      <c r="AD1440" s="175"/>
    </row>
    <row r="1441" spans="18:30" x14ac:dyDescent="0.25">
      <c r="R1441" s="176"/>
      <c r="S1441" s="175"/>
      <c r="T1441" s="175"/>
      <c r="U1441" s="175"/>
      <c r="V1441" s="175"/>
      <c r="W1441" s="175"/>
      <c r="X1441" s="175"/>
      <c r="Y1441" s="175"/>
      <c r="Z1441" s="175"/>
      <c r="AA1441" s="175"/>
      <c r="AB1441" s="175"/>
      <c r="AC1441" s="175"/>
      <c r="AD1441" s="175"/>
    </row>
    <row r="1442" spans="18:30" x14ac:dyDescent="0.25">
      <c r="R1442" s="176"/>
      <c r="S1442" s="175"/>
      <c r="T1442" s="175"/>
      <c r="U1442" s="175"/>
      <c r="V1442" s="175"/>
      <c r="W1442" s="175"/>
      <c r="X1442" s="175"/>
      <c r="Y1442" s="175"/>
      <c r="Z1442" s="175"/>
      <c r="AA1442" s="175"/>
      <c r="AB1442" s="175"/>
      <c r="AC1442" s="175"/>
      <c r="AD1442" s="175"/>
    </row>
    <row r="1443" spans="18:30" x14ac:dyDescent="0.25">
      <c r="R1443" s="176"/>
      <c r="S1443" s="175"/>
      <c r="T1443" s="175"/>
      <c r="U1443" s="175"/>
      <c r="V1443" s="175"/>
      <c r="W1443" s="175"/>
      <c r="X1443" s="175"/>
      <c r="Y1443" s="175"/>
      <c r="Z1443" s="175"/>
      <c r="AA1443" s="175"/>
      <c r="AB1443" s="175"/>
      <c r="AC1443" s="175"/>
      <c r="AD1443" s="175"/>
    </row>
    <row r="1444" spans="18:30" x14ac:dyDescent="0.25">
      <c r="R1444" s="176"/>
      <c r="S1444" s="175"/>
      <c r="T1444" s="175"/>
      <c r="U1444" s="175"/>
      <c r="V1444" s="175"/>
      <c r="W1444" s="175"/>
      <c r="X1444" s="175"/>
      <c r="Y1444" s="175"/>
      <c r="Z1444" s="175"/>
      <c r="AA1444" s="175"/>
      <c r="AB1444" s="175"/>
      <c r="AC1444" s="175"/>
      <c r="AD1444" s="175"/>
    </row>
    <row r="1445" spans="18:30" x14ac:dyDescent="0.25">
      <c r="R1445" s="176"/>
      <c r="S1445" s="175"/>
      <c r="T1445" s="175"/>
      <c r="U1445" s="175"/>
      <c r="V1445" s="175"/>
      <c r="W1445" s="175"/>
      <c r="X1445" s="175"/>
      <c r="Y1445" s="175"/>
      <c r="Z1445" s="175"/>
      <c r="AA1445" s="175"/>
      <c r="AB1445" s="175"/>
      <c r="AC1445" s="175"/>
      <c r="AD1445" s="175"/>
    </row>
    <row r="1446" spans="18:30" x14ac:dyDescent="0.25">
      <c r="R1446" s="176"/>
      <c r="S1446" s="175"/>
      <c r="T1446" s="175"/>
      <c r="U1446" s="175"/>
      <c r="V1446" s="175"/>
      <c r="W1446" s="175"/>
      <c r="X1446" s="175"/>
      <c r="Y1446" s="175"/>
      <c r="Z1446" s="175"/>
      <c r="AA1446" s="175"/>
      <c r="AB1446" s="175"/>
      <c r="AC1446" s="175"/>
      <c r="AD1446" s="175"/>
    </row>
    <row r="1447" spans="18:30" x14ac:dyDescent="0.25">
      <c r="R1447" s="176"/>
      <c r="S1447" s="175"/>
      <c r="T1447" s="175"/>
      <c r="U1447" s="175"/>
      <c r="V1447" s="175"/>
      <c r="W1447" s="175"/>
      <c r="X1447" s="175"/>
      <c r="Y1447" s="175"/>
      <c r="Z1447" s="175"/>
      <c r="AA1447" s="175"/>
      <c r="AB1447" s="175"/>
      <c r="AC1447" s="175"/>
      <c r="AD1447" s="175"/>
    </row>
    <row r="1448" spans="18:30" x14ac:dyDescent="0.25">
      <c r="R1448" s="176"/>
      <c r="S1448" s="175"/>
      <c r="T1448" s="175"/>
      <c r="U1448" s="175"/>
      <c r="V1448" s="175"/>
      <c r="W1448" s="175"/>
      <c r="X1448" s="175"/>
      <c r="Y1448" s="175"/>
      <c r="Z1448" s="175"/>
      <c r="AA1448" s="175"/>
      <c r="AB1448" s="175"/>
      <c r="AC1448" s="175"/>
      <c r="AD1448" s="175"/>
    </row>
    <row r="1449" spans="18:30" x14ac:dyDescent="0.25">
      <c r="R1449" s="176"/>
      <c r="S1449" s="175"/>
      <c r="T1449" s="175"/>
      <c r="U1449" s="175"/>
      <c r="V1449" s="175"/>
      <c r="W1449" s="175"/>
      <c r="X1449" s="175"/>
      <c r="Y1449" s="175"/>
      <c r="Z1449" s="175"/>
      <c r="AA1449" s="175"/>
      <c r="AB1449" s="175"/>
      <c r="AC1449" s="175"/>
      <c r="AD1449" s="175"/>
    </row>
    <row r="1450" spans="18:30" x14ac:dyDescent="0.25">
      <c r="R1450" s="176"/>
      <c r="S1450" s="175"/>
      <c r="T1450" s="175"/>
      <c r="U1450" s="175"/>
      <c r="V1450" s="175"/>
      <c r="W1450" s="175"/>
      <c r="X1450" s="175"/>
      <c r="Y1450" s="175"/>
      <c r="Z1450" s="175"/>
      <c r="AA1450" s="175"/>
      <c r="AB1450" s="175"/>
      <c r="AC1450" s="175"/>
      <c r="AD1450" s="175"/>
    </row>
    <row r="1451" spans="18:30" x14ac:dyDescent="0.25">
      <c r="R1451" s="176"/>
      <c r="S1451" s="175"/>
      <c r="T1451" s="175"/>
      <c r="U1451" s="175"/>
      <c r="V1451" s="175"/>
      <c r="W1451" s="175"/>
      <c r="X1451" s="175"/>
      <c r="Y1451" s="175"/>
      <c r="Z1451" s="175"/>
      <c r="AA1451" s="175"/>
      <c r="AB1451" s="175"/>
      <c r="AC1451" s="175"/>
      <c r="AD1451" s="175"/>
    </row>
    <row r="1452" spans="18:30" x14ac:dyDescent="0.25">
      <c r="R1452" s="176"/>
      <c r="S1452" s="175"/>
      <c r="T1452" s="175"/>
      <c r="U1452" s="175"/>
      <c r="V1452" s="175"/>
      <c r="W1452" s="175"/>
      <c r="X1452" s="175"/>
      <c r="Y1452" s="175"/>
      <c r="Z1452" s="175"/>
      <c r="AA1452" s="175"/>
      <c r="AB1452" s="175"/>
      <c r="AC1452" s="175"/>
      <c r="AD1452" s="175"/>
    </row>
    <row r="1453" spans="18:30" x14ac:dyDescent="0.25">
      <c r="R1453" s="176"/>
      <c r="S1453" s="175"/>
      <c r="T1453" s="175"/>
      <c r="U1453" s="175"/>
      <c r="V1453" s="175"/>
      <c r="W1453" s="175"/>
      <c r="X1453" s="175"/>
      <c r="Y1453" s="175"/>
      <c r="Z1453" s="175"/>
      <c r="AA1453" s="175"/>
      <c r="AB1453" s="175"/>
      <c r="AC1453" s="175"/>
      <c r="AD1453" s="175"/>
    </row>
    <row r="1454" spans="18:30" x14ac:dyDescent="0.25">
      <c r="R1454" s="176"/>
      <c r="S1454" s="175"/>
      <c r="T1454" s="175"/>
      <c r="U1454" s="175"/>
      <c r="V1454" s="175"/>
      <c r="W1454" s="175"/>
      <c r="X1454" s="175"/>
      <c r="Y1454" s="175"/>
      <c r="Z1454" s="175"/>
      <c r="AA1454" s="175"/>
      <c r="AB1454" s="175"/>
      <c r="AC1454" s="175"/>
      <c r="AD1454" s="175"/>
    </row>
    <row r="1455" spans="18:30" x14ac:dyDescent="0.25">
      <c r="R1455" s="176"/>
      <c r="S1455" s="175"/>
      <c r="T1455" s="175"/>
      <c r="U1455" s="175"/>
      <c r="V1455" s="175"/>
      <c r="W1455" s="175"/>
      <c r="X1455" s="175"/>
      <c r="Y1455" s="175"/>
      <c r="Z1455" s="175"/>
      <c r="AA1455" s="175"/>
      <c r="AB1455" s="175"/>
      <c r="AC1455" s="175"/>
      <c r="AD1455" s="175"/>
    </row>
    <row r="1456" spans="18:30" x14ac:dyDescent="0.25">
      <c r="R1456" s="176"/>
      <c r="S1456" s="175"/>
      <c r="T1456" s="175"/>
      <c r="U1456" s="175"/>
      <c r="V1456" s="175"/>
      <c r="W1456" s="175"/>
      <c r="X1456" s="175"/>
      <c r="Y1456" s="175"/>
      <c r="Z1456" s="175"/>
      <c r="AA1456" s="175"/>
      <c r="AB1456" s="175"/>
      <c r="AC1456" s="175"/>
      <c r="AD1456" s="175"/>
    </row>
    <row r="1457" spans="18:30" x14ac:dyDescent="0.25">
      <c r="R1457" s="176"/>
      <c r="S1457" s="175"/>
      <c r="T1457" s="175"/>
      <c r="U1457" s="175"/>
      <c r="V1457" s="175"/>
      <c r="W1457" s="175"/>
      <c r="X1457" s="175"/>
      <c r="Y1457" s="175"/>
      <c r="Z1457" s="175"/>
      <c r="AA1457" s="175"/>
      <c r="AB1457" s="175"/>
      <c r="AC1457" s="175"/>
      <c r="AD1457" s="175"/>
    </row>
    <row r="1458" spans="18:30" x14ac:dyDescent="0.25">
      <c r="R1458" s="176"/>
      <c r="S1458" s="175"/>
      <c r="T1458" s="175"/>
      <c r="U1458" s="175"/>
      <c r="V1458" s="175"/>
      <c r="W1458" s="175"/>
      <c r="X1458" s="175"/>
      <c r="Y1458" s="175"/>
      <c r="Z1458" s="175"/>
      <c r="AA1458" s="175"/>
      <c r="AB1458" s="175"/>
      <c r="AC1458" s="175"/>
      <c r="AD1458" s="175"/>
    </row>
    <row r="1459" spans="18:30" x14ac:dyDescent="0.25">
      <c r="R1459" s="176"/>
      <c r="S1459" s="175"/>
      <c r="T1459" s="175"/>
      <c r="U1459" s="175"/>
      <c r="V1459" s="175"/>
      <c r="W1459" s="175"/>
      <c r="X1459" s="175"/>
      <c r="Y1459" s="175"/>
      <c r="Z1459" s="175"/>
      <c r="AA1459" s="175"/>
      <c r="AB1459" s="175"/>
      <c r="AC1459" s="175"/>
      <c r="AD1459" s="175"/>
    </row>
    <row r="1460" spans="18:30" x14ac:dyDescent="0.25">
      <c r="R1460" s="176"/>
      <c r="S1460" s="175"/>
      <c r="T1460" s="175"/>
      <c r="U1460" s="175"/>
      <c r="V1460" s="175"/>
      <c r="W1460" s="175"/>
      <c r="X1460" s="175"/>
      <c r="Y1460" s="175"/>
      <c r="Z1460" s="175"/>
      <c r="AA1460" s="175"/>
      <c r="AB1460" s="175"/>
      <c r="AC1460" s="175"/>
      <c r="AD1460" s="175"/>
    </row>
    <row r="1461" spans="18:30" x14ac:dyDescent="0.25">
      <c r="R1461" s="176"/>
      <c r="S1461" s="175"/>
      <c r="T1461" s="175"/>
      <c r="U1461" s="175"/>
      <c r="V1461" s="175"/>
      <c r="W1461" s="175"/>
      <c r="X1461" s="175"/>
      <c r="Y1461" s="175"/>
      <c r="Z1461" s="175"/>
      <c r="AA1461" s="175"/>
      <c r="AB1461" s="175"/>
      <c r="AC1461" s="175"/>
      <c r="AD1461" s="175"/>
    </row>
    <row r="1462" spans="18:30" x14ac:dyDescent="0.25">
      <c r="R1462" s="176"/>
      <c r="S1462" s="175"/>
      <c r="T1462" s="175"/>
      <c r="U1462" s="175"/>
      <c r="V1462" s="175"/>
      <c r="W1462" s="175"/>
      <c r="X1462" s="175"/>
      <c r="Y1462" s="175"/>
      <c r="Z1462" s="175"/>
      <c r="AA1462" s="175"/>
      <c r="AB1462" s="175"/>
      <c r="AC1462" s="175"/>
      <c r="AD1462" s="175"/>
    </row>
    <row r="1463" spans="18:30" x14ac:dyDescent="0.25">
      <c r="R1463" s="176"/>
      <c r="S1463" s="175"/>
      <c r="T1463" s="175"/>
      <c r="U1463" s="175"/>
      <c r="V1463" s="175"/>
      <c r="W1463" s="175"/>
      <c r="X1463" s="175"/>
      <c r="Y1463" s="175"/>
      <c r="Z1463" s="175"/>
      <c r="AA1463" s="175"/>
      <c r="AB1463" s="175"/>
      <c r="AC1463" s="175"/>
      <c r="AD1463" s="175"/>
    </row>
    <row r="1464" spans="18:30" x14ac:dyDescent="0.25">
      <c r="R1464" s="176"/>
      <c r="S1464" s="175"/>
      <c r="T1464" s="175"/>
      <c r="U1464" s="175"/>
      <c r="V1464" s="175"/>
      <c r="W1464" s="175"/>
      <c r="X1464" s="175"/>
      <c r="Y1464" s="175"/>
      <c r="Z1464" s="175"/>
      <c r="AA1464" s="175"/>
      <c r="AB1464" s="175"/>
      <c r="AC1464" s="175"/>
      <c r="AD1464" s="175"/>
    </row>
    <row r="1465" spans="18:30" x14ac:dyDescent="0.25">
      <c r="R1465" s="176"/>
      <c r="S1465" s="175"/>
      <c r="T1465" s="175"/>
      <c r="U1465" s="175"/>
      <c r="V1465" s="175"/>
      <c r="W1465" s="175"/>
      <c r="X1465" s="175"/>
      <c r="Y1465" s="175"/>
      <c r="Z1465" s="175"/>
      <c r="AA1465" s="175"/>
      <c r="AB1465" s="175"/>
      <c r="AC1465" s="175"/>
      <c r="AD1465" s="175"/>
    </row>
    <row r="1466" spans="18:30" x14ac:dyDescent="0.25">
      <c r="R1466" s="176"/>
      <c r="S1466" s="175"/>
      <c r="T1466" s="175"/>
      <c r="U1466" s="175"/>
      <c r="V1466" s="175"/>
      <c r="W1466" s="175"/>
      <c r="X1466" s="175"/>
      <c r="Y1466" s="175"/>
      <c r="Z1466" s="175"/>
      <c r="AA1466" s="175"/>
      <c r="AB1466" s="175"/>
      <c r="AC1466" s="175"/>
      <c r="AD1466" s="175"/>
    </row>
    <row r="1467" spans="18:30" x14ac:dyDescent="0.25">
      <c r="R1467" s="176"/>
      <c r="S1467" s="175"/>
      <c r="T1467" s="175"/>
      <c r="U1467" s="175"/>
      <c r="V1467" s="175"/>
      <c r="W1467" s="175"/>
      <c r="X1467" s="175"/>
      <c r="Y1467" s="175"/>
      <c r="Z1467" s="175"/>
      <c r="AA1467" s="175"/>
      <c r="AB1467" s="175"/>
      <c r="AC1467" s="175"/>
      <c r="AD1467" s="175"/>
    </row>
    <row r="1468" spans="18:30" x14ac:dyDescent="0.25">
      <c r="R1468" s="176"/>
      <c r="S1468" s="175"/>
      <c r="T1468" s="175"/>
      <c r="U1468" s="175"/>
      <c r="V1468" s="175"/>
      <c r="W1468" s="175"/>
      <c r="X1468" s="175"/>
      <c r="Y1468" s="175"/>
      <c r="Z1468" s="175"/>
      <c r="AA1468" s="175"/>
      <c r="AB1468" s="175"/>
      <c r="AC1468" s="175"/>
      <c r="AD1468" s="175"/>
    </row>
    <row r="1469" spans="18:30" x14ac:dyDescent="0.25">
      <c r="R1469" s="176"/>
      <c r="S1469" s="175"/>
      <c r="T1469" s="175"/>
      <c r="U1469" s="175"/>
      <c r="V1469" s="175"/>
      <c r="W1469" s="175"/>
      <c r="X1469" s="175"/>
      <c r="Y1469" s="175"/>
      <c r="Z1469" s="175"/>
      <c r="AA1469" s="175"/>
      <c r="AB1469" s="175"/>
      <c r="AC1469" s="175"/>
      <c r="AD1469" s="175"/>
    </row>
    <row r="1470" spans="18:30" x14ac:dyDescent="0.25">
      <c r="R1470" s="176"/>
      <c r="S1470" s="175"/>
      <c r="T1470" s="175"/>
      <c r="U1470" s="175"/>
      <c r="V1470" s="175"/>
      <c r="W1470" s="175"/>
      <c r="X1470" s="175"/>
      <c r="Y1470" s="175"/>
      <c r="Z1470" s="175"/>
      <c r="AA1470" s="175"/>
      <c r="AB1470" s="175"/>
      <c r="AC1470" s="175"/>
      <c r="AD1470" s="175"/>
    </row>
    <row r="1471" spans="18:30" x14ac:dyDescent="0.25">
      <c r="R1471" s="176"/>
      <c r="S1471" s="175"/>
      <c r="T1471" s="175"/>
      <c r="U1471" s="175"/>
      <c r="V1471" s="175"/>
      <c r="W1471" s="175"/>
      <c r="X1471" s="175"/>
      <c r="Y1471" s="175"/>
      <c r="Z1471" s="175"/>
      <c r="AA1471" s="175"/>
      <c r="AB1471" s="175"/>
      <c r="AC1471" s="175"/>
      <c r="AD1471" s="175"/>
    </row>
    <row r="1472" spans="18:30" x14ac:dyDescent="0.25">
      <c r="R1472" s="176"/>
      <c r="S1472" s="175"/>
      <c r="T1472" s="175"/>
      <c r="U1472" s="175"/>
      <c r="V1472" s="175"/>
      <c r="W1472" s="175"/>
      <c r="X1472" s="175"/>
      <c r="Y1472" s="175"/>
      <c r="Z1472" s="175"/>
      <c r="AA1472" s="175"/>
      <c r="AB1472" s="175"/>
      <c r="AC1472" s="175"/>
      <c r="AD1472" s="175"/>
    </row>
    <row r="1473" spans="18:30" x14ac:dyDescent="0.25">
      <c r="R1473" s="176"/>
      <c r="S1473" s="175"/>
      <c r="T1473" s="175"/>
      <c r="U1473" s="175"/>
      <c r="V1473" s="175"/>
      <c r="W1473" s="175"/>
      <c r="X1473" s="175"/>
      <c r="Y1473" s="175"/>
      <c r="Z1473" s="175"/>
      <c r="AA1473" s="175"/>
      <c r="AB1473" s="175"/>
      <c r="AC1473" s="175"/>
      <c r="AD1473" s="175"/>
    </row>
    <row r="1474" spans="18:30" x14ac:dyDescent="0.25">
      <c r="R1474" s="176"/>
      <c r="S1474" s="175"/>
      <c r="T1474" s="175"/>
      <c r="U1474" s="175"/>
      <c r="V1474" s="175"/>
      <c r="W1474" s="175"/>
      <c r="X1474" s="175"/>
      <c r="Y1474" s="175"/>
      <c r="Z1474" s="175"/>
      <c r="AA1474" s="175"/>
      <c r="AB1474" s="175"/>
      <c r="AC1474" s="175"/>
      <c r="AD1474" s="175"/>
    </row>
    <row r="1475" spans="18:30" x14ac:dyDescent="0.25">
      <c r="R1475" s="176"/>
      <c r="S1475" s="175"/>
      <c r="T1475" s="175"/>
      <c r="U1475" s="175"/>
      <c r="V1475" s="175"/>
      <c r="W1475" s="175"/>
      <c r="X1475" s="175"/>
      <c r="Y1475" s="175"/>
      <c r="Z1475" s="175"/>
      <c r="AA1475" s="175"/>
      <c r="AB1475" s="175"/>
      <c r="AC1475" s="175"/>
      <c r="AD1475" s="175"/>
    </row>
    <row r="1476" spans="18:30" x14ac:dyDescent="0.25">
      <c r="R1476" s="176"/>
      <c r="S1476" s="175"/>
      <c r="T1476" s="175"/>
      <c r="U1476" s="175"/>
      <c r="V1476" s="175"/>
      <c r="W1476" s="175"/>
      <c r="X1476" s="175"/>
      <c r="Y1476" s="175"/>
      <c r="Z1476" s="175"/>
      <c r="AA1476" s="175"/>
      <c r="AB1476" s="175"/>
      <c r="AC1476" s="175"/>
      <c r="AD1476" s="175"/>
    </row>
    <row r="1477" spans="18:30" x14ac:dyDescent="0.25">
      <c r="R1477" s="176"/>
      <c r="S1477" s="175"/>
      <c r="T1477" s="175"/>
      <c r="U1477" s="175"/>
      <c r="V1477" s="175"/>
      <c r="W1477" s="175"/>
      <c r="X1477" s="175"/>
      <c r="Y1477" s="175"/>
      <c r="Z1477" s="175"/>
      <c r="AA1477" s="175"/>
      <c r="AB1477" s="175"/>
      <c r="AC1477" s="175"/>
      <c r="AD1477" s="175"/>
    </row>
    <row r="1478" spans="18:30" x14ac:dyDescent="0.25">
      <c r="R1478" s="176"/>
      <c r="S1478" s="175"/>
      <c r="T1478" s="175"/>
      <c r="U1478" s="175"/>
      <c r="V1478" s="175"/>
      <c r="W1478" s="175"/>
      <c r="X1478" s="175"/>
      <c r="Y1478" s="175"/>
      <c r="Z1478" s="175"/>
      <c r="AA1478" s="175"/>
      <c r="AB1478" s="175"/>
      <c r="AC1478" s="175"/>
      <c r="AD1478" s="175"/>
    </row>
    <row r="1479" spans="18:30" x14ac:dyDescent="0.25">
      <c r="R1479" s="176"/>
      <c r="S1479" s="175"/>
      <c r="T1479" s="175"/>
      <c r="U1479" s="175"/>
      <c r="V1479" s="175"/>
      <c r="W1479" s="175"/>
      <c r="X1479" s="175"/>
      <c r="Y1479" s="175"/>
      <c r="Z1479" s="175"/>
      <c r="AA1479" s="175"/>
      <c r="AB1479" s="175"/>
      <c r="AC1479" s="175"/>
      <c r="AD1479" s="175"/>
    </row>
    <row r="1480" spans="18:30" x14ac:dyDescent="0.25">
      <c r="R1480" s="176"/>
      <c r="S1480" s="175"/>
      <c r="T1480" s="175"/>
      <c r="U1480" s="175"/>
      <c r="V1480" s="175"/>
      <c r="W1480" s="175"/>
      <c r="X1480" s="175"/>
      <c r="Y1480" s="175"/>
      <c r="Z1480" s="175"/>
      <c r="AA1480" s="175"/>
      <c r="AB1480" s="175"/>
      <c r="AC1480" s="175"/>
      <c r="AD1480" s="175"/>
    </row>
    <row r="1481" spans="18:30" x14ac:dyDescent="0.25">
      <c r="R1481" s="176"/>
      <c r="S1481" s="175"/>
      <c r="T1481" s="175"/>
      <c r="U1481" s="175"/>
      <c r="V1481" s="175"/>
      <c r="W1481" s="175"/>
      <c r="X1481" s="175"/>
      <c r="Y1481" s="175"/>
      <c r="Z1481" s="175"/>
      <c r="AA1481" s="175"/>
      <c r="AB1481" s="175"/>
      <c r="AC1481" s="175"/>
      <c r="AD1481" s="175"/>
    </row>
    <row r="1482" spans="18:30" x14ac:dyDescent="0.25">
      <c r="R1482" s="176"/>
      <c r="S1482" s="175"/>
      <c r="T1482" s="175"/>
      <c r="U1482" s="175"/>
      <c r="V1482" s="175"/>
      <c r="W1482" s="175"/>
      <c r="X1482" s="175"/>
      <c r="Y1482" s="175"/>
      <c r="Z1482" s="175"/>
      <c r="AA1482" s="175"/>
      <c r="AB1482" s="175"/>
      <c r="AC1482" s="175"/>
      <c r="AD1482" s="175"/>
    </row>
    <row r="1483" spans="18:30" x14ac:dyDescent="0.25">
      <c r="R1483" s="176"/>
      <c r="S1483" s="175"/>
      <c r="T1483" s="175"/>
      <c r="U1483" s="175"/>
      <c r="V1483" s="175"/>
      <c r="W1483" s="175"/>
      <c r="X1483" s="175"/>
      <c r="Y1483" s="175"/>
      <c r="Z1483" s="175"/>
      <c r="AA1483" s="175"/>
      <c r="AB1483" s="175"/>
      <c r="AC1483" s="175"/>
      <c r="AD1483" s="175"/>
    </row>
    <row r="1484" spans="18:30" x14ac:dyDescent="0.25">
      <c r="R1484" s="176"/>
      <c r="S1484" s="175"/>
      <c r="T1484" s="175"/>
      <c r="U1484" s="175"/>
      <c r="V1484" s="175"/>
      <c r="W1484" s="175"/>
      <c r="X1484" s="175"/>
      <c r="Y1484" s="175"/>
      <c r="Z1484" s="175"/>
      <c r="AA1484" s="175"/>
      <c r="AB1484" s="175"/>
      <c r="AC1484" s="175"/>
      <c r="AD1484" s="175"/>
    </row>
    <row r="1485" spans="18:30" x14ac:dyDescent="0.25">
      <c r="R1485" s="176"/>
      <c r="S1485" s="175"/>
      <c r="T1485" s="175"/>
      <c r="U1485" s="175"/>
      <c r="V1485" s="175"/>
      <c r="W1485" s="175"/>
      <c r="X1485" s="175"/>
      <c r="Y1485" s="175"/>
      <c r="Z1485" s="175"/>
      <c r="AA1485" s="175"/>
      <c r="AB1485" s="175"/>
      <c r="AC1485" s="175"/>
      <c r="AD1485" s="175"/>
    </row>
    <row r="1486" spans="18:30" x14ac:dyDescent="0.25">
      <c r="R1486" s="176"/>
      <c r="S1486" s="175"/>
      <c r="T1486" s="175"/>
      <c r="U1486" s="175"/>
      <c r="V1486" s="175"/>
      <c r="W1486" s="175"/>
      <c r="X1486" s="175"/>
      <c r="Y1486" s="175"/>
      <c r="Z1486" s="175"/>
      <c r="AA1486" s="175"/>
      <c r="AB1486" s="175"/>
      <c r="AC1486" s="175"/>
      <c r="AD1486" s="175"/>
    </row>
    <row r="1487" spans="18:30" x14ac:dyDescent="0.25">
      <c r="R1487" s="176"/>
      <c r="S1487" s="175"/>
      <c r="T1487" s="175"/>
      <c r="U1487" s="175"/>
      <c r="V1487" s="175"/>
      <c r="W1487" s="175"/>
      <c r="X1487" s="175"/>
      <c r="Y1487" s="175"/>
      <c r="Z1487" s="175"/>
      <c r="AA1487" s="175"/>
      <c r="AB1487" s="175"/>
      <c r="AC1487" s="175"/>
      <c r="AD1487" s="175"/>
    </row>
    <row r="1488" spans="18:30" x14ac:dyDescent="0.25">
      <c r="R1488" s="176"/>
      <c r="S1488" s="175"/>
      <c r="T1488" s="175"/>
      <c r="U1488" s="175"/>
      <c r="V1488" s="175"/>
      <c r="W1488" s="175"/>
      <c r="X1488" s="175"/>
      <c r="Y1488" s="175"/>
      <c r="Z1488" s="175"/>
      <c r="AA1488" s="175"/>
      <c r="AB1488" s="175"/>
      <c r="AC1488" s="175"/>
      <c r="AD1488" s="175"/>
    </row>
    <row r="1489" spans="18:30" x14ac:dyDescent="0.25">
      <c r="R1489" s="176"/>
      <c r="S1489" s="175"/>
      <c r="T1489" s="175"/>
      <c r="U1489" s="175"/>
      <c r="V1489" s="175"/>
      <c r="W1489" s="175"/>
      <c r="X1489" s="175"/>
      <c r="Y1489" s="175"/>
      <c r="Z1489" s="175"/>
      <c r="AA1489" s="175"/>
      <c r="AB1489" s="175"/>
      <c r="AC1489" s="175"/>
      <c r="AD1489" s="175"/>
    </row>
    <row r="1490" spans="18:30" x14ac:dyDescent="0.25">
      <c r="R1490" s="176"/>
      <c r="S1490" s="175"/>
      <c r="T1490" s="175"/>
      <c r="U1490" s="175"/>
      <c r="V1490" s="175"/>
      <c r="W1490" s="175"/>
      <c r="X1490" s="175"/>
      <c r="Y1490" s="175"/>
      <c r="Z1490" s="175"/>
      <c r="AA1490" s="175"/>
      <c r="AB1490" s="175"/>
      <c r="AC1490" s="175"/>
      <c r="AD1490" s="175"/>
    </row>
    <row r="1491" spans="18:30" x14ac:dyDescent="0.25">
      <c r="R1491" s="176"/>
      <c r="S1491" s="175"/>
      <c r="T1491" s="175"/>
      <c r="U1491" s="175"/>
      <c r="V1491" s="175"/>
      <c r="W1491" s="175"/>
      <c r="X1491" s="175"/>
      <c r="Y1491" s="175"/>
      <c r="Z1491" s="175"/>
      <c r="AA1491" s="175"/>
      <c r="AB1491" s="175"/>
      <c r="AC1491" s="175"/>
      <c r="AD1491" s="175"/>
    </row>
    <row r="1492" spans="18:30" x14ac:dyDescent="0.25">
      <c r="R1492" s="176"/>
      <c r="S1492" s="175"/>
      <c r="T1492" s="175"/>
      <c r="U1492" s="175"/>
      <c r="V1492" s="175"/>
      <c r="W1492" s="175"/>
      <c r="X1492" s="175"/>
      <c r="Y1492" s="175"/>
      <c r="Z1492" s="175"/>
      <c r="AA1492" s="175"/>
      <c r="AB1492" s="175"/>
      <c r="AC1492" s="175"/>
      <c r="AD1492" s="175"/>
    </row>
    <row r="1493" spans="18:30" x14ac:dyDescent="0.25">
      <c r="R1493" s="176"/>
      <c r="S1493" s="175"/>
      <c r="T1493" s="175"/>
      <c r="U1493" s="175"/>
      <c r="V1493" s="175"/>
      <c r="W1493" s="175"/>
      <c r="X1493" s="175"/>
      <c r="Y1493" s="175"/>
      <c r="Z1493" s="175"/>
      <c r="AA1493" s="175"/>
      <c r="AB1493" s="175"/>
      <c r="AC1493" s="175"/>
      <c r="AD1493" s="175"/>
    </row>
    <row r="1494" spans="18:30" x14ac:dyDescent="0.25">
      <c r="R1494" s="176"/>
      <c r="S1494" s="175"/>
      <c r="T1494" s="175"/>
      <c r="U1494" s="175"/>
      <c r="V1494" s="175"/>
      <c r="W1494" s="175"/>
      <c r="X1494" s="175"/>
      <c r="Y1494" s="175"/>
      <c r="Z1494" s="175"/>
      <c r="AA1494" s="175"/>
      <c r="AB1494" s="175"/>
      <c r="AC1494" s="175"/>
      <c r="AD1494" s="175"/>
    </row>
    <row r="1495" spans="18:30" x14ac:dyDescent="0.25">
      <c r="R1495" s="176"/>
      <c r="S1495" s="175"/>
      <c r="T1495" s="175"/>
      <c r="U1495" s="175"/>
      <c r="V1495" s="175"/>
      <c r="W1495" s="175"/>
      <c r="X1495" s="175"/>
      <c r="Y1495" s="175"/>
      <c r="Z1495" s="175"/>
      <c r="AA1495" s="175"/>
      <c r="AB1495" s="175"/>
      <c r="AC1495" s="175"/>
      <c r="AD1495" s="175"/>
    </row>
    <row r="1496" spans="18:30" x14ac:dyDescent="0.25">
      <c r="R1496" s="176"/>
      <c r="S1496" s="175"/>
      <c r="T1496" s="175"/>
      <c r="U1496" s="175"/>
      <c r="V1496" s="175"/>
      <c r="W1496" s="175"/>
      <c r="X1496" s="175"/>
      <c r="Y1496" s="175"/>
      <c r="Z1496" s="175"/>
      <c r="AA1496" s="175"/>
      <c r="AB1496" s="175"/>
      <c r="AC1496" s="175"/>
      <c r="AD1496" s="175"/>
    </row>
    <row r="1497" spans="18:30" x14ac:dyDescent="0.25">
      <c r="R1497" s="176"/>
      <c r="S1497" s="175"/>
      <c r="T1497" s="175"/>
      <c r="U1497" s="175"/>
      <c r="V1497" s="175"/>
      <c r="W1497" s="175"/>
      <c r="X1497" s="175"/>
      <c r="Y1497" s="175"/>
      <c r="Z1497" s="175"/>
      <c r="AA1497" s="175"/>
      <c r="AB1497" s="175"/>
      <c r="AC1497" s="175"/>
      <c r="AD1497" s="175"/>
    </row>
    <row r="1498" spans="18:30" x14ac:dyDescent="0.25">
      <c r="R1498" s="176"/>
      <c r="S1498" s="175"/>
      <c r="T1498" s="175"/>
      <c r="U1498" s="175"/>
      <c r="V1498" s="175"/>
      <c r="W1498" s="175"/>
      <c r="X1498" s="175"/>
      <c r="Y1498" s="175"/>
      <c r="Z1498" s="175"/>
      <c r="AA1498" s="175"/>
      <c r="AB1498" s="175"/>
      <c r="AC1498" s="175"/>
      <c r="AD1498" s="175"/>
    </row>
    <row r="1499" spans="18:30" x14ac:dyDescent="0.25">
      <c r="R1499" s="176"/>
      <c r="S1499" s="175"/>
      <c r="T1499" s="175"/>
      <c r="U1499" s="175"/>
      <c r="V1499" s="175"/>
      <c r="W1499" s="175"/>
      <c r="X1499" s="175"/>
      <c r="Y1499" s="175"/>
      <c r="Z1499" s="175"/>
      <c r="AA1499" s="175"/>
      <c r="AB1499" s="175"/>
      <c r="AC1499" s="175"/>
      <c r="AD1499" s="175"/>
    </row>
    <row r="1500" spans="18:30" x14ac:dyDescent="0.25">
      <c r="R1500" s="176"/>
      <c r="S1500" s="175"/>
      <c r="T1500" s="175"/>
      <c r="U1500" s="175"/>
      <c r="V1500" s="175"/>
      <c r="W1500" s="175"/>
      <c r="X1500" s="175"/>
      <c r="Y1500" s="175"/>
      <c r="Z1500" s="175"/>
      <c r="AA1500" s="175"/>
      <c r="AB1500" s="175"/>
      <c r="AC1500" s="175"/>
      <c r="AD1500" s="175"/>
    </row>
    <row r="1501" spans="18:30" x14ac:dyDescent="0.25">
      <c r="R1501" s="176"/>
      <c r="S1501" s="175"/>
      <c r="T1501" s="175"/>
      <c r="U1501" s="175"/>
      <c r="V1501" s="175"/>
      <c r="W1501" s="175"/>
      <c r="X1501" s="175"/>
      <c r="Y1501" s="175"/>
      <c r="Z1501" s="175"/>
      <c r="AA1501" s="175"/>
      <c r="AB1501" s="175"/>
      <c r="AC1501" s="175"/>
      <c r="AD1501" s="175"/>
    </row>
    <row r="1502" spans="18:30" x14ac:dyDescent="0.25">
      <c r="R1502" s="176"/>
      <c r="S1502" s="175"/>
      <c r="T1502" s="175"/>
      <c r="U1502" s="175"/>
      <c r="V1502" s="175"/>
      <c r="W1502" s="175"/>
      <c r="X1502" s="175"/>
      <c r="Y1502" s="175"/>
      <c r="Z1502" s="175"/>
      <c r="AA1502" s="175"/>
      <c r="AB1502" s="175"/>
      <c r="AC1502" s="175"/>
      <c r="AD1502" s="175"/>
    </row>
    <row r="1503" spans="18:30" x14ac:dyDescent="0.25">
      <c r="R1503" s="176"/>
      <c r="S1503" s="175"/>
      <c r="T1503" s="175"/>
      <c r="U1503" s="175"/>
      <c r="V1503" s="175"/>
      <c r="W1503" s="175"/>
      <c r="X1503" s="175"/>
      <c r="Y1503" s="175"/>
      <c r="Z1503" s="175"/>
      <c r="AA1503" s="175"/>
      <c r="AB1503" s="175"/>
      <c r="AC1503" s="175"/>
      <c r="AD1503" s="175"/>
    </row>
    <row r="1504" spans="18:30" x14ac:dyDescent="0.25">
      <c r="R1504" s="176"/>
      <c r="S1504" s="175"/>
      <c r="T1504" s="175"/>
      <c r="U1504" s="175"/>
      <c r="V1504" s="175"/>
      <c r="W1504" s="175"/>
      <c r="X1504" s="175"/>
      <c r="Y1504" s="175"/>
      <c r="Z1504" s="175"/>
      <c r="AA1504" s="175"/>
      <c r="AB1504" s="175"/>
      <c r="AC1504" s="175"/>
      <c r="AD1504" s="175"/>
    </row>
    <row r="1505" spans="18:30" x14ac:dyDescent="0.25">
      <c r="R1505" s="176"/>
      <c r="S1505" s="175"/>
      <c r="T1505" s="175"/>
      <c r="U1505" s="175"/>
      <c r="V1505" s="175"/>
      <c r="W1505" s="175"/>
      <c r="X1505" s="175"/>
      <c r="Y1505" s="175"/>
      <c r="Z1505" s="175"/>
      <c r="AA1505" s="175"/>
      <c r="AB1505" s="175"/>
      <c r="AC1505" s="175"/>
      <c r="AD1505" s="175"/>
    </row>
    <row r="1506" spans="18:30" x14ac:dyDescent="0.25">
      <c r="R1506" s="176"/>
      <c r="S1506" s="175"/>
      <c r="T1506" s="175"/>
      <c r="U1506" s="175"/>
      <c r="V1506" s="175"/>
      <c r="W1506" s="175"/>
      <c r="X1506" s="175"/>
      <c r="Y1506" s="175"/>
      <c r="Z1506" s="175"/>
      <c r="AA1506" s="175"/>
      <c r="AB1506" s="175"/>
      <c r="AC1506" s="175"/>
      <c r="AD1506" s="175"/>
    </row>
    <row r="1507" spans="18:30" x14ac:dyDescent="0.25">
      <c r="R1507" s="176"/>
      <c r="S1507" s="175"/>
      <c r="T1507" s="175"/>
      <c r="U1507" s="175"/>
      <c r="V1507" s="175"/>
      <c r="W1507" s="175"/>
      <c r="X1507" s="175"/>
      <c r="Y1507" s="175"/>
      <c r="Z1507" s="175"/>
      <c r="AA1507" s="175"/>
      <c r="AB1507" s="175"/>
      <c r="AC1507" s="175"/>
      <c r="AD1507" s="175"/>
    </row>
    <row r="1508" spans="18:30" x14ac:dyDescent="0.25">
      <c r="R1508" s="176"/>
      <c r="S1508" s="175"/>
      <c r="T1508" s="175"/>
      <c r="U1508" s="175"/>
      <c r="V1508" s="175"/>
      <c r="W1508" s="175"/>
      <c r="X1508" s="175"/>
      <c r="Y1508" s="175"/>
      <c r="Z1508" s="175"/>
      <c r="AA1508" s="175"/>
      <c r="AB1508" s="175"/>
      <c r="AC1508" s="175"/>
      <c r="AD1508" s="175"/>
    </row>
    <row r="1509" spans="18:30" x14ac:dyDescent="0.25">
      <c r="R1509" s="176"/>
      <c r="S1509" s="175"/>
      <c r="T1509" s="175"/>
      <c r="U1509" s="175"/>
      <c r="V1509" s="175"/>
      <c r="W1509" s="175"/>
      <c r="X1509" s="175"/>
      <c r="Y1509" s="175"/>
      <c r="Z1509" s="175"/>
      <c r="AA1509" s="175"/>
      <c r="AB1509" s="175"/>
      <c r="AC1509" s="175"/>
      <c r="AD1509" s="175"/>
    </row>
    <row r="1510" spans="18:30" x14ac:dyDescent="0.25">
      <c r="R1510" s="176"/>
      <c r="S1510" s="175"/>
      <c r="T1510" s="175"/>
      <c r="U1510" s="175"/>
      <c r="V1510" s="175"/>
      <c r="W1510" s="175"/>
      <c r="X1510" s="175"/>
      <c r="Y1510" s="175"/>
      <c r="Z1510" s="175"/>
      <c r="AA1510" s="175"/>
      <c r="AB1510" s="175"/>
      <c r="AC1510" s="175"/>
      <c r="AD1510" s="175"/>
    </row>
    <row r="1511" spans="18:30" x14ac:dyDescent="0.25">
      <c r="R1511" s="176"/>
      <c r="S1511" s="175"/>
      <c r="T1511" s="175"/>
      <c r="U1511" s="175"/>
      <c r="V1511" s="175"/>
      <c r="W1511" s="175"/>
      <c r="X1511" s="175"/>
      <c r="Y1511" s="175"/>
      <c r="Z1511" s="175"/>
      <c r="AA1511" s="175"/>
      <c r="AB1511" s="175"/>
      <c r="AC1511" s="175"/>
      <c r="AD1511" s="175"/>
    </row>
    <row r="1512" spans="18:30" x14ac:dyDescent="0.25">
      <c r="R1512" s="176"/>
      <c r="S1512" s="175"/>
      <c r="T1512" s="175"/>
      <c r="U1512" s="175"/>
      <c r="V1512" s="175"/>
      <c r="W1512" s="175"/>
      <c r="X1512" s="175"/>
      <c r="Y1512" s="175"/>
      <c r="Z1512" s="175"/>
      <c r="AA1512" s="175"/>
      <c r="AB1512" s="175"/>
      <c r="AC1512" s="175"/>
      <c r="AD1512" s="175"/>
    </row>
    <row r="1513" spans="18:30" x14ac:dyDescent="0.25">
      <c r="R1513" s="176"/>
      <c r="S1513" s="175"/>
      <c r="T1513" s="175"/>
      <c r="U1513" s="175"/>
      <c r="V1513" s="175"/>
      <c r="W1513" s="175"/>
      <c r="X1513" s="175"/>
      <c r="Y1513" s="175"/>
      <c r="Z1513" s="175"/>
      <c r="AA1513" s="175"/>
      <c r="AB1513" s="175"/>
      <c r="AC1513" s="175"/>
      <c r="AD1513" s="175"/>
    </row>
    <row r="1514" spans="18:30" x14ac:dyDescent="0.25">
      <c r="R1514" s="176"/>
      <c r="S1514" s="175"/>
      <c r="T1514" s="175"/>
      <c r="U1514" s="175"/>
      <c r="V1514" s="175"/>
      <c r="W1514" s="175"/>
      <c r="X1514" s="175"/>
      <c r="Y1514" s="175"/>
      <c r="Z1514" s="175"/>
      <c r="AA1514" s="175"/>
      <c r="AB1514" s="175"/>
      <c r="AC1514" s="175"/>
      <c r="AD1514" s="175"/>
    </row>
    <row r="1515" spans="18:30" x14ac:dyDescent="0.25">
      <c r="R1515" s="176"/>
      <c r="S1515" s="175"/>
      <c r="T1515" s="175"/>
      <c r="U1515" s="175"/>
      <c r="V1515" s="175"/>
      <c r="W1515" s="175"/>
      <c r="X1515" s="175"/>
      <c r="Y1515" s="175"/>
      <c r="Z1515" s="175"/>
      <c r="AA1515" s="175"/>
      <c r="AB1515" s="175"/>
      <c r="AC1515" s="175"/>
      <c r="AD1515" s="175"/>
    </row>
    <row r="1516" spans="18:30" x14ac:dyDescent="0.25">
      <c r="R1516" s="176"/>
      <c r="S1516" s="175"/>
      <c r="T1516" s="175"/>
      <c r="U1516" s="175"/>
      <c r="V1516" s="175"/>
      <c r="W1516" s="175"/>
      <c r="X1516" s="175"/>
      <c r="Y1516" s="175"/>
      <c r="Z1516" s="175"/>
      <c r="AA1516" s="175"/>
      <c r="AB1516" s="175"/>
      <c r="AC1516" s="175"/>
      <c r="AD1516" s="175"/>
    </row>
    <row r="1517" spans="18:30" x14ac:dyDescent="0.25">
      <c r="R1517" s="176"/>
      <c r="S1517" s="175"/>
      <c r="T1517" s="175"/>
      <c r="U1517" s="175"/>
      <c r="V1517" s="175"/>
      <c r="W1517" s="175"/>
      <c r="X1517" s="175"/>
      <c r="Y1517" s="175"/>
      <c r="Z1517" s="175"/>
      <c r="AA1517" s="175"/>
      <c r="AB1517" s="175"/>
      <c r="AC1517" s="175"/>
      <c r="AD1517" s="175"/>
    </row>
    <row r="1518" spans="18:30" x14ac:dyDescent="0.25">
      <c r="R1518" s="176"/>
      <c r="S1518" s="175"/>
      <c r="T1518" s="175"/>
      <c r="U1518" s="175"/>
      <c r="V1518" s="175"/>
      <c r="W1518" s="175"/>
      <c r="X1518" s="175"/>
      <c r="Y1518" s="175"/>
      <c r="Z1518" s="175"/>
      <c r="AA1518" s="175"/>
      <c r="AB1518" s="175"/>
      <c r="AC1518" s="175"/>
      <c r="AD1518" s="175"/>
    </row>
    <row r="1519" spans="18:30" x14ac:dyDescent="0.25">
      <c r="R1519" s="176"/>
      <c r="S1519" s="175"/>
      <c r="T1519" s="175"/>
      <c r="U1519" s="175"/>
      <c r="V1519" s="175"/>
      <c r="W1519" s="175"/>
      <c r="X1519" s="175"/>
      <c r="Y1519" s="175"/>
      <c r="Z1519" s="175"/>
      <c r="AA1519" s="175"/>
      <c r="AB1519" s="175"/>
      <c r="AC1519" s="175"/>
      <c r="AD1519" s="175"/>
    </row>
    <row r="1520" spans="18:30" x14ac:dyDescent="0.25">
      <c r="R1520" s="176"/>
      <c r="S1520" s="175"/>
      <c r="T1520" s="175"/>
      <c r="U1520" s="175"/>
      <c r="V1520" s="175"/>
      <c r="W1520" s="175"/>
      <c r="X1520" s="175"/>
      <c r="Y1520" s="175"/>
      <c r="Z1520" s="175"/>
      <c r="AA1520" s="175"/>
      <c r="AB1520" s="175"/>
      <c r="AC1520" s="175"/>
      <c r="AD1520" s="175"/>
    </row>
    <row r="1521" spans="18:30" x14ac:dyDescent="0.25">
      <c r="R1521" s="176"/>
      <c r="S1521" s="175"/>
      <c r="T1521" s="175"/>
      <c r="U1521" s="175"/>
      <c r="V1521" s="175"/>
      <c r="W1521" s="175"/>
      <c r="X1521" s="175"/>
      <c r="Y1521" s="175"/>
      <c r="Z1521" s="175"/>
      <c r="AA1521" s="175"/>
      <c r="AB1521" s="175"/>
      <c r="AC1521" s="175"/>
      <c r="AD1521" s="175"/>
    </row>
    <row r="1522" spans="18:30" x14ac:dyDescent="0.25">
      <c r="R1522" s="176"/>
      <c r="S1522" s="175"/>
      <c r="T1522" s="175"/>
      <c r="U1522" s="175"/>
      <c r="V1522" s="175"/>
      <c r="W1522" s="175"/>
      <c r="X1522" s="175"/>
      <c r="Y1522" s="175"/>
      <c r="Z1522" s="175"/>
      <c r="AA1522" s="175"/>
      <c r="AB1522" s="175"/>
      <c r="AC1522" s="175"/>
      <c r="AD1522" s="175"/>
    </row>
    <row r="1523" spans="18:30" x14ac:dyDescent="0.25">
      <c r="R1523" s="176"/>
      <c r="S1523" s="175"/>
      <c r="T1523" s="175"/>
      <c r="U1523" s="175"/>
      <c r="V1523" s="175"/>
      <c r="W1523" s="175"/>
      <c r="X1523" s="175"/>
      <c r="Y1523" s="175"/>
      <c r="Z1523" s="175"/>
      <c r="AA1523" s="175"/>
      <c r="AB1523" s="175"/>
      <c r="AC1523" s="175"/>
      <c r="AD1523" s="175"/>
    </row>
    <row r="1524" spans="18:30" x14ac:dyDescent="0.25">
      <c r="R1524" s="176"/>
      <c r="S1524" s="175"/>
      <c r="T1524" s="175"/>
      <c r="U1524" s="175"/>
      <c r="V1524" s="175"/>
      <c r="W1524" s="175"/>
      <c r="X1524" s="175"/>
      <c r="Y1524" s="175"/>
      <c r="Z1524" s="175"/>
      <c r="AA1524" s="175"/>
      <c r="AB1524" s="175"/>
      <c r="AC1524" s="175"/>
      <c r="AD1524" s="175"/>
    </row>
    <row r="1525" spans="18:30" x14ac:dyDescent="0.25">
      <c r="R1525" s="176"/>
      <c r="S1525" s="175"/>
      <c r="T1525" s="175"/>
      <c r="U1525" s="175"/>
      <c r="V1525" s="175"/>
      <c r="W1525" s="175"/>
      <c r="X1525" s="175"/>
      <c r="Y1525" s="175"/>
      <c r="Z1525" s="175"/>
      <c r="AA1525" s="175"/>
      <c r="AB1525" s="175"/>
      <c r="AC1525" s="175"/>
      <c r="AD1525" s="175"/>
    </row>
    <row r="1526" spans="18:30" x14ac:dyDescent="0.25">
      <c r="R1526" s="176"/>
      <c r="S1526" s="175"/>
      <c r="T1526" s="175"/>
      <c r="U1526" s="175"/>
      <c r="V1526" s="175"/>
      <c r="W1526" s="175"/>
      <c r="X1526" s="175"/>
      <c r="Y1526" s="175"/>
      <c r="Z1526" s="175"/>
      <c r="AA1526" s="175"/>
      <c r="AB1526" s="175"/>
      <c r="AC1526" s="175"/>
      <c r="AD1526" s="175"/>
    </row>
    <row r="1527" spans="18:30" x14ac:dyDescent="0.25">
      <c r="R1527" s="176"/>
      <c r="S1527" s="175"/>
      <c r="T1527" s="175"/>
      <c r="U1527" s="175"/>
      <c r="V1527" s="175"/>
      <c r="W1527" s="175"/>
      <c r="X1527" s="175"/>
      <c r="Y1527" s="175"/>
      <c r="Z1527" s="175"/>
      <c r="AA1527" s="175"/>
      <c r="AB1527" s="175"/>
      <c r="AC1527" s="175"/>
      <c r="AD1527" s="175"/>
    </row>
    <row r="1528" spans="18:30" x14ac:dyDescent="0.25">
      <c r="R1528" s="176"/>
      <c r="S1528" s="175"/>
      <c r="T1528" s="175"/>
      <c r="U1528" s="175"/>
      <c r="V1528" s="175"/>
      <c r="W1528" s="175"/>
      <c r="X1528" s="175"/>
      <c r="Y1528" s="175"/>
      <c r="Z1528" s="175"/>
      <c r="AA1528" s="175"/>
      <c r="AB1528" s="175"/>
      <c r="AC1528" s="175"/>
      <c r="AD1528" s="175"/>
    </row>
    <row r="1529" spans="18:30" x14ac:dyDescent="0.25">
      <c r="R1529" s="176"/>
      <c r="S1529" s="175"/>
      <c r="T1529" s="175"/>
      <c r="U1529" s="175"/>
      <c r="V1529" s="175"/>
      <c r="W1529" s="175"/>
      <c r="X1529" s="175"/>
      <c r="Y1529" s="175"/>
      <c r="Z1529" s="175"/>
      <c r="AA1529" s="175"/>
      <c r="AB1529" s="175"/>
      <c r="AC1529" s="175"/>
      <c r="AD1529" s="175"/>
    </row>
    <row r="1530" spans="18:30" x14ac:dyDescent="0.25">
      <c r="R1530" s="176"/>
      <c r="S1530" s="175"/>
      <c r="T1530" s="175"/>
      <c r="U1530" s="175"/>
      <c r="V1530" s="175"/>
      <c r="W1530" s="175"/>
      <c r="X1530" s="175"/>
      <c r="Y1530" s="175"/>
      <c r="Z1530" s="175"/>
      <c r="AA1530" s="175"/>
      <c r="AB1530" s="175"/>
      <c r="AC1530" s="175"/>
      <c r="AD1530" s="175"/>
    </row>
    <row r="1531" spans="18:30" x14ac:dyDescent="0.25">
      <c r="R1531" s="176"/>
      <c r="S1531" s="175"/>
      <c r="T1531" s="175"/>
      <c r="U1531" s="175"/>
      <c r="V1531" s="175"/>
      <c r="W1531" s="175"/>
      <c r="X1531" s="175"/>
      <c r="Y1531" s="175"/>
      <c r="Z1531" s="175"/>
      <c r="AA1531" s="175"/>
      <c r="AB1531" s="175"/>
      <c r="AC1531" s="175"/>
      <c r="AD1531" s="175"/>
    </row>
    <row r="1532" spans="18:30" x14ac:dyDescent="0.25">
      <c r="R1532" s="176"/>
      <c r="S1532" s="175"/>
      <c r="T1532" s="175"/>
      <c r="U1532" s="175"/>
      <c r="V1532" s="175"/>
      <c r="W1532" s="175"/>
      <c r="X1532" s="175"/>
      <c r="Y1532" s="175"/>
      <c r="Z1532" s="175"/>
      <c r="AA1532" s="175"/>
      <c r="AB1532" s="175"/>
      <c r="AC1532" s="175"/>
      <c r="AD1532" s="175"/>
    </row>
    <row r="1533" spans="18:30" x14ac:dyDescent="0.25">
      <c r="R1533" s="176"/>
      <c r="S1533" s="175"/>
      <c r="T1533" s="175"/>
      <c r="U1533" s="175"/>
      <c r="V1533" s="175"/>
      <c r="W1533" s="175"/>
      <c r="X1533" s="175"/>
      <c r="Y1533" s="175"/>
      <c r="Z1533" s="175"/>
      <c r="AA1533" s="175"/>
      <c r="AB1533" s="175"/>
      <c r="AC1533" s="175"/>
      <c r="AD1533" s="175"/>
    </row>
    <row r="1534" spans="18:30" x14ac:dyDescent="0.25">
      <c r="R1534" s="176"/>
      <c r="S1534" s="175"/>
      <c r="T1534" s="175"/>
      <c r="U1534" s="175"/>
      <c r="V1534" s="175"/>
      <c r="W1534" s="175"/>
      <c r="X1534" s="175"/>
      <c r="Y1534" s="175"/>
      <c r="Z1534" s="175"/>
      <c r="AA1534" s="175"/>
      <c r="AB1534" s="175"/>
      <c r="AC1534" s="175"/>
      <c r="AD1534" s="175"/>
    </row>
    <row r="1535" spans="18:30" x14ac:dyDescent="0.25">
      <c r="R1535" s="176"/>
      <c r="S1535" s="175"/>
      <c r="T1535" s="175"/>
      <c r="U1535" s="175"/>
      <c r="V1535" s="175"/>
      <c r="W1535" s="175"/>
      <c r="X1535" s="175"/>
      <c r="Y1535" s="175"/>
      <c r="Z1535" s="175"/>
      <c r="AA1535" s="175"/>
      <c r="AB1535" s="175"/>
      <c r="AC1535" s="175"/>
      <c r="AD1535" s="175"/>
    </row>
    <row r="1536" spans="18:30" x14ac:dyDescent="0.25">
      <c r="R1536" s="176"/>
      <c r="S1536" s="175"/>
      <c r="T1536" s="175"/>
      <c r="U1536" s="175"/>
      <c r="V1536" s="175"/>
      <c r="W1536" s="175"/>
      <c r="X1536" s="175"/>
      <c r="Y1536" s="175"/>
      <c r="Z1536" s="175"/>
      <c r="AA1536" s="175"/>
      <c r="AB1536" s="175"/>
      <c r="AC1536" s="175"/>
      <c r="AD1536" s="175"/>
    </row>
    <row r="1537" spans="18:30" x14ac:dyDescent="0.25">
      <c r="R1537" s="176"/>
      <c r="S1537" s="175"/>
      <c r="T1537" s="175"/>
      <c r="U1537" s="175"/>
      <c r="V1537" s="175"/>
      <c r="W1537" s="175"/>
      <c r="X1537" s="175"/>
      <c r="Y1537" s="175"/>
      <c r="Z1537" s="175"/>
      <c r="AA1537" s="175"/>
      <c r="AB1537" s="175"/>
      <c r="AC1537" s="175"/>
      <c r="AD1537" s="175"/>
    </row>
    <row r="1538" spans="18:30" x14ac:dyDescent="0.25">
      <c r="R1538" s="176"/>
      <c r="S1538" s="175"/>
      <c r="T1538" s="175"/>
      <c r="U1538" s="175"/>
      <c r="V1538" s="175"/>
      <c r="W1538" s="175"/>
      <c r="X1538" s="175"/>
      <c r="Y1538" s="175"/>
      <c r="Z1538" s="175"/>
      <c r="AA1538" s="175"/>
      <c r="AB1538" s="175"/>
      <c r="AC1538" s="175"/>
      <c r="AD1538" s="175"/>
    </row>
    <row r="1539" spans="18:30" x14ac:dyDescent="0.25">
      <c r="R1539" s="176"/>
      <c r="S1539" s="175"/>
      <c r="T1539" s="175"/>
      <c r="U1539" s="175"/>
      <c r="V1539" s="175"/>
      <c r="W1539" s="175"/>
      <c r="X1539" s="175"/>
      <c r="Y1539" s="175"/>
      <c r="Z1539" s="175"/>
      <c r="AA1539" s="175"/>
      <c r="AB1539" s="175"/>
      <c r="AC1539" s="175"/>
      <c r="AD1539" s="175"/>
    </row>
    <row r="1540" spans="18:30" x14ac:dyDescent="0.25">
      <c r="R1540" s="176"/>
      <c r="S1540" s="175"/>
      <c r="T1540" s="175"/>
      <c r="U1540" s="175"/>
      <c r="V1540" s="175"/>
      <c r="W1540" s="175"/>
      <c r="X1540" s="175"/>
      <c r="Y1540" s="175"/>
      <c r="Z1540" s="175"/>
      <c r="AA1540" s="175"/>
      <c r="AB1540" s="175"/>
      <c r="AC1540" s="175"/>
      <c r="AD1540" s="175"/>
    </row>
    <row r="1541" spans="18:30" x14ac:dyDescent="0.25">
      <c r="R1541" s="176"/>
      <c r="S1541" s="175"/>
      <c r="T1541" s="175"/>
      <c r="U1541" s="175"/>
      <c r="V1541" s="175"/>
      <c r="W1541" s="175"/>
      <c r="X1541" s="175"/>
      <c r="Y1541" s="175"/>
      <c r="Z1541" s="175"/>
      <c r="AA1541" s="175"/>
      <c r="AB1541" s="175"/>
      <c r="AC1541" s="175"/>
      <c r="AD1541" s="175"/>
    </row>
    <row r="1542" spans="18:30" x14ac:dyDescent="0.25">
      <c r="R1542" s="176"/>
      <c r="S1542" s="175"/>
      <c r="T1542" s="175"/>
      <c r="U1542" s="175"/>
      <c r="V1542" s="175"/>
      <c r="W1542" s="175"/>
      <c r="X1542" s="175"/>
      <c r="Y1542" s="175"/>
      <c r="Z1542" s="175"/>
      <c r="AA1542" s="175"/>
      <c r="AB1542" s="175"/>
      <c r="AC1542" s="175"/>
      <c r="AD1542" s="175"/>
    </row>
    <row r="1543" spans="18:30" x14ac:dyDescent="0.25">
      <c r="R1543" s="176"/>
      <c r="S1543" s="175"/>
      <c r="T1543" s="175"/>
      <c r="U1543" s="175"/>
      <c r="V1543" s="175"/>
      <c r="W1543" s="175"/>
      <c r="X1543" s="175"/>
      <c r="Y1543" s="175"/>
      <c r="Z1543" s="175"/>
      <c r="AA1543" s="175"/>
      <c r="AB1543" s="175"/>
      <c r="AC1543" s="175"/>
      <c r="AD1543" s="175"/>
    </row>
    <row r="1544" spans="18:30" x14ac:dyDescent="0.25">
      <c r="R1544" s="176"/>
      <c r="S1544" s="175"/>
      <c r="T1544" s="175"/>
      <c r="U1544" s="175"/>
      <c r="V1544" s="175"/>
      <c r="W1544" s="175"/>
      <c r="X1544" s="175"/>
      <c r="Y1544" s="175"/>
      <c r="Z1544" s="175"/>
      <c r="AA1544" s="175"/>
      <c r="AB1544" s="175"/>
      <c r="AC1544" s="175"/>
      <c r="AD1544" s="175"/>
    </row>
    <row r="1545" spans="18:30" x14ac:dyDescent="0.25">
      <c r="R1545" s="176"/>
      <c r="S1545" s="175"/>
      <c r="T1545" s="175"/>
      <c r="U1545" s="175"/>
      <c r="V1545" s="175"/>
      <c r="W1545" s="175"/>
      <c r="X1545" s="175"/>
      <c r="Y1545" s="175"/>
      <c r="Z1545" s="175"/>
      <c r="AA1545" s="175"/>
      <c r="AB1545" s="175"/>
      <c r="AC1545" s="175"/>
      <c r="AD1545" s="175"/>
    </row>
    <row r="1546" spans="18:30" x14ac:dyDescent="0.25">
      <c r="R1546" s="176"/>
      <c r="S1546" s="175"/>
      <c r="T1546" s="175"/>
      <c r="U1546" s="175"/>
      <c r="V1546" s="175"/>
      <c r="W1546" s="175"/>
      <c r="X1546" s="175"/>
      <c r="Y1546" s="175"/>
      <c r="Z1546" s="175"/>
      <c r="AA1546" s="175"/>
      <c r="AB1546" s="175"/>
      <c r="AC1546" s="175"/>
      <c r="AD1546" s="175"/>
    </row>
    <row r="1547" spans="18:30" x14ac:dyDescent="0.25">
      <c r="R1547" s="176"/>
      <c r="S1547" s="175"/>
      <c r="T1547" s="175"/>
      <c r="U1547" s="175"/>
      <c r="V1547" s="175"/>
      <c r="W1547" s="175"/>
      <c r="X1547" s="175"/>
      <c r="Y1547" s="175"/>
      <c r="Z1547" s="175"/>
      <c r="AA1547" s="175"/>
      <c r="AB1547" s="175"/>
      <c r="AC1547" s="175"/>
      <c r="AD1547" s="175"/>
    </row>
    <row r="1548" spans="18:30" x14ac:dyDescent="0.25">
      <c r="R1548" s="176"/>
      <c r="S1548" s="175"/>
      <c r="T1548" s="175"/>
      <c r="U1548" s="175"/>
      <c r="V1548" s="175"/>
      <c r="W1548" s="175"/>
      <c r="X1548" s="175"/>
      <c r="Y1548" s="175"/>
      <c r="Z1548" s="175"/>
      <c r="AA1548" s="175"/>
      <c r="AB1548" s="175"/>
      <c r="AC1548" s="175"/>
      <c r="AD1548" s="175"/>
    </row>
    <row r="1549" spans="18:30" x14ac:dyDescent="0.25">
      <c r="R1549" s="176"/>
      <c r="S1549" s="175"/>
      <c r="T1549" s="175"/>
      <c r="U1549" s="175"/>
      <c r="V1549" s="175"/>
      <c r="W1549" s="175"/>
      <c r="X1549" s="175"/>
      <c r="Y1549" s="175"/>
      <c r="Z1549" s="175"/>
      <c r="AA1549" s="175"/>
      <c r="AB1549" s="175"/>
      <c r="AC1549" s="175"/>
      <c r="AD1549" s="175"/>
    </row>
    <row r="1550" spans="18:30" x14ac:dyDescent="0.25">
      <c r="R1550" s="176"/>
      <c r="S1550" s="175"/>
      <c r="T1550" s="175"/>
      <c r="U1550" s="175"/>
      <c r="V1550" s="175"/>
      <c r="W1550" s="175"/>
      <c r="X1550" s="175"/>
      <c r="Y1550" s="175"/>
      <c r="Z1550" s="175"/>
      <c r="AA1550" s="175"/>
      <c r="AB1550" s="175"/>
      <c r="AC1550" s="175"/>
      <c r="AD1550" s="175"/>
    </row>
    <row r="1551" spans="18:30" x14ac:dyDescent="0.25">
      <c r="R1551" s="176"/>
      <c r="S1551" s="175"/>
      <c r="T1551" s="175"/>
      <c r="U1551" s="175"/>
      <c r="V1551" s="175"/>
      <c r="W1551" s="175"/>
      <c r="X1551" s="175"/>
      <c r="Y1551" s="175"/>
      <c r="Z1551" s="175"/>
      <c r="AA1551" s="175"/>
      <c r="AB1551" s="175"/>
      <c r="AC1551" s="175"/>
      <c r="AD1551" s="175"/>
    </row>
    <row r="1552" spans="18:30" x14ac:dyDescent="0.25">
      <c r="R1552" s="176"/>
      <c r="S1552" s="175"/>
      <c r="T1552" s="175"/>
      <c r="U1552" s="175"/>
      <c r="V1552" s="175"/>
      <c r="W1552" s="175"/>
      <c r="X1552" s="175"/>
      <c r="Y1552" s="175"/>
      <c r="Z1552" s="175"/>
      <c r="AA1552" s="175"/>
      <c r="AB1552" s="175"/>
      <c r="AC1552" s="175"/>
      <c r="AD1552" s="175"/>
    </row>
    <row r="1553" spans="18:30" x14ac:dyDescent="0.25">
      <c r="R1553" s="176"/>
      <c r="S1553" s="175"/>
      <c r="T1553" s="175"/>
      <c r="U1553" s="175"/>
      <c r="V1553" s="175"/>
      <c r="W1553" s="175"/>
      <c r="X1553" s="175"/>
      <c r="Y1553" s="175"/>
      <c r="Z1553" s="175"/>
      <c r="AA1553" s="175"/>
      <c r="AB1553" s="175"/>
      <c r="AC1553" s="175"/>
      <c r="AD1553" s="175"/>
    </row>
    <row r="1554" spans="18:30" x14ac:dyDescent="0.25">
      <c r="R1554" s="176"/>
      <c r="S1554" s="175"/>
      <c r="T1554" s="175"/>
      <c r="U1554" s="175"/>
      <c r="V1554" s="175"/>
      <c r="W1554" s="175"/>
      <c r="X1554" s="175"/>
      <c r="Y1554" s="175"/>
      <c r="Z1554" s="175"/>
      <c r="AA1554" s="175"/>
      <c r="AB1554" s="175"/>
      <c r="AC1554" s="175"/>
      <c r="AD1554" s="175"/>
    </row>
    <row r="1555" spans="18:30" x14ac:dyDescent="0.25">
      <c r="R1555" s="176"/>
      <c r="S1555" s="175"/>
      <c r="T1555" s="175"/>
      <c r="U1555" s="175"/>
      <c r="V1555" s="175"/>
      <c r="W1555" s="175"/>
      <c r="X1555" s="175"/>
      <c r="Y1555" s="175"/>
      <c r="Z1555" s="175"/>
      <c r="AA1555" s="175"/>
      <c r="AB1555" s="175"/>
      <c r="AC1555" s="175"/>
      <c r="AD1555" s="175"/>
    </row>
    <row r="1556" spans="18:30" x14ac:dyDescent="0.25">
      <c r="R1556" s="176"/>
      <c r="S1556" s="175"/>
      <c r="T1556" s="175"/>
      <c r="U1556" s="175"/>
      <c r="V1556" s="175"/>
      <c r="W1556" s="175"/>
      <c r="X1556" s="175"/>
      <c r="Y1556" s="175"/>
      <c r="Z1556" s="175"/>
      <c r="AA1556" s="175"/>
      <c r="AB1556" s="175"/>
      <c r="AC1556" s="175"/>
      <c r="AD1556" s="175"/>
    </row>
    <row r="1557" spans="18:30" x14ac:dyDescent="0.25">
      <c r="R1557" s="176"/>
      <c r="S1557" s="175"/>
      <c r="T1557" s="175"/>
      <c r="U1557" s="175"/>
      <c r="V1557" s="175"/>
      <c r="W1557" s="175"/>
      <c r="X1557" s="175"/>
      <c r="Y1557" s="175"/>
      <c r="Z1557" s="175"/>
      <c r="AA1557" s="175"/>
      <c r="AB1557" s="175"/>
      <c r="AC1557" s="175"/>
      <c r="AD1557" s="175"/>
    </row>
    <row r="1558" spans="18:30" x14ac:dyDescent="0.25">
      <c r="R1558" s="176"/>
      <c r="S1558" s="175"/>
      <c r="T1558" s="175"/>
      <c r="U1558" s="175"/>
      <c r="V1558" s="175"/>
      <c r="W1558" s="175"/>
      <c r="X1558" s="175"/>
      <c r="Y1558" s="175"/>
      <c r="Z1558" s="175"/>
      <c r="AA1558" s="175"/>
      <c r="AB1558" s="175"/>
      <c r="AC1558" s="175"/>
      <c r="AD1558" s="175"/>
    </row>
    <row r="1559" spans="18:30" x14ac:dyDescent="0.25">
      <c r="R1559" s="176"/>
      <c r="S1559" s="175"/>
      <c r="T1559" s="175"/>
      <c r="U1559" s="175"/>
      <c r="V1559" s="175"/>
      <c r="W1559" s="175"/>
      <c r="X1559" s="175"/>
      <c r="Y1559" s="175"/>
      <c r="Z1559" s="175"/>
      <c r="AA1559" s="175"/>
      <c r="AB1559" s="175"/>
      <c r="AC1559" s="175"/>
      <c r="AD1559" s="175"/>
    </row>
    <row r="1560" spans="18:30" x14ac:dyDescent="0.25">
      <c r="R1560" s="176"/>
      <c r="S1560" s="175"/>
      <c r="T1560" s="175"/>
      <c r="U1560" s="175"/>
      <c r="V1560" s="175"/>
      <c r="W1560" s="175"/>
      <c r="X1560" s="175"/>
      <c r="Y1560" s="175"/>
      <c r="Z1560" s="175"/>
      <c r="AA1560" s="175"/>
      <c r="AB1560" s="175"/>
      <c r="AC1560" s="175"/>
      <c r="AD1560" s="175"/>
    </row>
    <row r="1561" spans="18:30" x14ac:dyDescent="0.25">
      <c r="R1561" s="176"/>
      <c r="S1561" s="175"/>
      <c r="T1561" s="175"/>
      <c r="U1561" s="175"/>
      <c r="V1561" s="175"/>
      <c r="W1561" s="175"/>
      <c r="X1561" s="175"/>
      <c r="Y1561" s="175"/>
      <c r="Z1561" s="175"/>
      <c r="AA1561" s="175"/>
      <c r="AB1561" s="175"/>
      <c r="AC1561" s="175"/>
      <c r="AD1561" s="175"/>
    </row>
    <row r="1562" spans="18:30" x14ac:dyDescent="0.25">
      <c r="R1562" s="176"/>
      <c r="S1562" s="175"/>
      <c r="T1562" s="175"/>
      <c r="U1562" s="175"/>
      <c r="V1562" s="175"/>
      <c r="W1562" s="175"/>
      <c r="X1562" s="175"/>
      <c r="Y1562" s="175"/>
      <c r="Z1562" s="175"/>
      <c r="AA1562" s="175"/>
      <c r="AB1562" s="175"/>
      <c r="AC1562" s="175"/>
      <c r="AD1562" s="175"/>
    </row>
    <row r="1563" spans="18:30" x14ac:dyDescent="0.25">
      <c r="R1563" s="176"/>
      <c r="S1563" s="175"/>
      <c r="T1563" s="175"/>
      <c r="U1563" s="175"/>
      <c r="V1563" s="175"/>
      <c r="W1563" s="175"/>
      <c r="X1563" s="175"/>
      <c r="Y1563" s="175"/>
      <c r="Z1563" s="175"/>
      <c r="AA1563" s="175"/>
      <c r="AB1563" s="175"/>
      <c r="AC1563" s="175"/>
      <c r="AD1563" s="175"/>
    </row>
    <row r="1564" spans="18:30" x14ac:dyDescent="0.25">
      <c r="R1564" s="176"/>
      <c r="S1564" s="175"/>
      <c r="T1564" s="175"/>
      <c r="U1564" s="175"/>
      <c r="V1564" s="175"/>
      <c r="W1564" s="175"/>
      <c r="X1564" s="175"/>
      <c r="Y1564" s="175"/>
      <c r="Z1564" s="175"/>
      <c r="AA1564" s="175"/>
      <c r="AB1564" s="175"/>
      <c r="AC1564" s="175"/>
      <c r="AD1564" s="175"/>
    </row>
    <row r="1565" spans="18:30" x14ac:dyDescent="0.25">
      <c r="R1565" s="176"/>
      <c r="S1565" s="175"/>
      <c r="T1565" s="175"/>
      <c r="U1565" s="175"/>
      <c r="V1565" s="175"/>
      <c r="W1565" s="175"/>
      <c r="X1565" s="175"/>
      <c r="Y1565" s="175"/>
      <c r="Z1565" s="175"/>
      <c r="AA1565" s="175"/>
      <c r="AB1565" s="175"/>
      <c r="AC1565" s="175"/>
      <c r="AD1565" s="175"/>
    </row>
    <row r="1566" spans="18:30" x14ac:dyDescent="0.25">
      <c r="R1566" s="176"/>
      <c r="S1566" s="175"/>
      <c r="T1566" s="175"/>
      <c r="U1566" s="175"/>
      <c r="V1566" s="175"/>
      <c r="W1566" s="175"/>
      <c r="X1566" s="175"/>
      <c r="Y1566" s="175"/>
      <c r="Z1566" s="175"/>
      <c r="AA1566" s="175"/>
      <c r="AB1566" s="175"/>
      <c r="AC1566" s="175"/>
      <c r="AD1566" s="175"/>
    </row>
    <row r="1567" spans="18:30" x14ac:dyDescent="0.25">
      <c r="R1567" s="176"/>
      <c r="S1567" s="175"/>
      <c r="T1567" s="175"/>
      <c r="U1567" s="175"/>
      <c r="V1567" s="175"/>
      <c r="W1567" s="175"/>
      <c r="X1567" s="175"/>
      <c r="Y1567" s="175"/>
      <c r="Z1567" s="175"/>
      <c r="AA1567" s="175"/>
      <c r="AB1567" s="175"/>
      <c r="AC1567" s="175"/>
      <c r="AD1567" s="175"/>
    </row>
    <row r="1568" spans="18:30" x14ac:dyDescent="0.25">
      <c r="R1568" s="176"/>
      <c r="S1568" s="175"/>
      <c r="T1568" s="175"/>
      <c r="U1568" s="175"/>
      <c r="V1568" s="175"/>
      <c r="W1568" s="175"/>
      <c r="X1568" s="175"/>
      <c r="Y1568" s="175"/>
      <c r="Z1568" s="175"/>
      <c r="AA1568" s="175"/>
      <c r="AB1568" s="175"/>
      <c r="AC1568" s="175"/>
      <c r="AD1568" s="175"/>
    </row>
    <row r="1569" spans="18:30" x14ac:dyDescent="0.25">
      <c r="R1569" s="176"/>
      <c r="S1569" s="175"/>
      <c r="T1569" s="175"/>
      <c r="U1569" s="175"/>
      <c r="V1569" s="175"/>
      <c r="W1569" s="175"/>
      <c r="X1569" s="175"/>
      <c r="Y1569" s="175"/>
      <c r="Z1569" s="175"/>
      <c r="AA1569" s="175"/>
      <c r="AB1569" s="175"/>
      <c r="AC1569" s="175"/>
      <c r="AD1569" s="175"/>
    </row>
    <row r="1570" spans="18:30" x14ac:dyDescent="0.25">
      <c r="R1570" s="176"/>
      <c r="S1570" s="175"/>
      <c r="T1570" s="175"/>
      <c r="U1570" s="175"/>
      <c r="V1570" s="175"/>
      <c r="W1570" s="175"/>
      <c r="X1570" s="175"/>
      <c r="Y1570" s="175"/>
      <c r="Z1570" s="175"/>
      <c r="AA1570" s="175"/>
      <c r="AB1570" s="175"/>
      <c r="AC1570" s="175"/>
      <c r="AD1570" s="175"/>
    </row>
    <row r="1571" spans="18:30" x14ac:dyDescent="0.25">
      <c r="R1571" s="176"/>
      <c r="S1571" s="175"/>
      <c r="T1571" s="175"/>
      <c r="U1571" s="175"/>
      <c r="V1571" s="175"/>
      <c r="W1571" s="175"/>
      <c r="X1571" s="175"/>
      <c r="Y1571" s="175"/>
      <c r="Z1571" s="175"/>
      <c r="AA1571" s="175"/>
      <c r="AB1571" s="175"/>
      <c r="AC1571" s="175"/>
      <c r="AD1571" s="175"/>
    </row>
    <row r="1572" spans="18:30" x14ac:dyDescent="0.25">
      <c r="R1572" s="176"/>
      <c r="S1572" s="175"/>
      <c r="T1572" s="175"/>
      <c r="U1572" s="175"/>
      <c r="V1572" s="175"/>
      <c r="W1572" s="175"/>
      <c r="X1572" s="175"/>
      <c r="Y1572" s="175"/>
      <c r="Z1572" s="175"/>
      <c r="AA1572" s="175"/>
      <c r="AB1572" s="175"/>
      <c r="AC1572" s="175"/>
      <c r="AD1572" s="175"/>
    </row>
    <row r="1573" spans="18:30" x14ac:dyDescent="0.25">
      <c r="R1573" s="176"/>
      <c r="S1573" s="175"/>
      <c r="T1573" s="175"/>
      <c r="U1573" s="175"/>
      <c r="V1573" s="175"/>
      <c r="W1573" s="175"/>
      <c r="X1573" s="175"/>
      <c r="Y1573" s="175"/>
      <c r="Z1573" s="175"/>
      <c r="AA1573" s="175"/>
      <c r="AB1573" s="175"/>
      <c r="AC1573" s="175"/>
      <c r="AD1573" s="175"/>
    </row>
    <row r="1574" spans="18:30" x14ac:dyDescent="0.25">
      <c r="R1574" s="176"/>
      <c r="S1574" s="175"/>
      <c r="T1574" s="175"/>
      <c r="U1574" s="175"/>
      <c r="V1574" s="175"/>
      <c r="W1574" s="175"/>
      <c r="X1574" s="175"/>
      <c r="Y1574" s="175"/>
      <c r="Z1574" s="175"/>
      <c r="AA1574" s="175"/>
      <c r="AB1574" s="175"/>
      <c r="AC1574" s="175"/>
      <c r="AD1574" s="175"/>
    </row>
    <row r="1575" spans="18:30" x14ac:dyDescent="0.25">
      <c r="R1575" s="176"/>
      <c r="S1575" s="175"/>
      <c r="T1575" s="175"/>
      <c r="U1575" s="175"/>
      <c r="V1575" s="175"/>
      <c r="W1575" s="175"/>
      <c r="X1575" s="175"/>
      <c r="Y1575" s="175"/>
      <c r="Z1575" s="175"/>
      <c r="AA1575" s="175"/>
      <c r="AB1575" s="175"/>
      <c r="AC1575" s="175"/>
      <c r="AD1575" s="175"/>
    </row>
    <row r="1576" spans="18:30" x14ac:dyDescent="0.25">
      <c r="R1576" s="176"/>
      <c r="S1576" s="175"/>
      <c r="T1576" s="175"/>
      <c r="U1576" s="175"/>
      <c r="V1576" s="175"/>
      <c r="W1576" s="175"/>
      <c r="X1576" s="175"/>
      <c r="Y1576" s="175"/>
      <c r="Z1576" s="175"/>
      <c r="AA1576" s="175"/>
      <c r="AB1576" s="175"/>
      <c r="AC1576" s="175"/>
      <c r="AD1576" s="175"/>
    </row>
    <row r="1577" spans="18:30" x14ac:dyDescent="0.25">
      <c r="R1577" s="176"/>
      <c r="S1577" s="175"/>
      <c r="T1577" s="175"/>
      <c r="U1577" s="175"/>
      <c r="V1577" s="175"/>
      <c r="W1577" s="175"/>
      <c r="X1577" s="175"/>
      <c r="Y1577" s="175"/>
      <c r="Z1577" s="175"/>
      <c r="AA1577" s="175"/>
      <c r="AB1577" s="175"/>
      <c r="AC1577" s="175"/>
      <c r="AD1577" s="175"/>
    </row>
    <row r="1578" spans="18:30" x14ac:dyDescent="0.25">
      <c r="R1578" s="176"/>
      <c r="S1578" s="175"/>
      <c r="T1578" s="175"/>
      <c r="U1578" s="175"/>
      <c r="V1578" s="175"/>
      <c r="W1578" s="175"/>
      <c r="X1578" s="175"/>
      <c r="Y1578" s="175"/>
      <c r="Z1578" s="175"/>
      <c r="AA1578" s="175"/>
      <c r="AB1578" s="175"/>
      <c r="AC1578" s="175"/>
      <c r="AD1578" s="175"/>
    </row>
    <row r="1579" spans="18:30" x14ac:dyDescent="0.25">
      <c r="R1579" s="176"/>
      <c r="S1579" s="175"/>
      <c r="T1579" s="175"/>
      <c r="U1579" s="175"/>
      <c r="V1579" s="175"/>
      <c r="W1579" s="175"/>
      <c r="X1579" s="175"/>
      <c r="Y1579" s="175"/>
      <c r="Z1579" s="175"/>
      <c r="AA1579" s="175"/>
      <c r="AB1579" s="175"/>
      <c r="AC1579" s="175"/>
      <c r="AD1579" s="175"/>
    </row>
    <row r="1580" spans="18:30" x14ac:dyDescent="0.25">
      <c r="R1580" s="176"/>
      <c r="S1580" s="175"/>
      <c r="T1580" s="175"/>
      <c r="U1580" s="175"/>
      <c r="V1580" s="175"/>
      <c r="W1580" s="175"/>
      <c r="X1580" s="175"/>
      <c r="Y1580" s="175"/>
      <c r="Z1580" s="175"/>
      <c r="AA1580" s="175"/>
      <c r="AB1580" s="175"/>
      <c r="AC1580" s="175"/>
      <c r="AD1580" s="175"/>
    </row>
    <row r="1581" spans="18:30" x14ac:dyDescent="0.25">
      <c r="R1581" s="176"/>
      <c r="S1581" s="175"/>
      <c r="T1581" s="175"/>
      <c r="U1581" s="175"/>
      <c r="V1581" s="175"/>
      <c r="W1581" s="175"/>
      <c r="X1581" s="175"/>
      <c r="Y1581" s="175"/>
      <c r="Z1581" s="175"/>
      <c r="AA1581" s="175"/>
      <c r="AB1581" s="175"/>
      <c r="AC1581" s="175"/>
      <c r="AD1581" s="175"/>
    </row>
    <row r="1582" spans="18:30" x14ac:dyDescent="0.25">
      <c r="R1582" s="176"/>
      <c r="S1582" s="175"/>
      <c r="T1582" s="175"/>
      <c r="U1582" s="175"/>
      <c r="V1582" s="175"/>
      <c r="W1582" s="175"/>
      <c r="X1582" s="175"/>
      <c r="Y1582" s="175"/>
      <c r="Z1582" s="175"/>
      <c r="AA1582" s="175"/>
      <c r="AB1582" s="175"/>
      <c r="AC1582" s="175"/>
      <c r="AD1582" s="175"/>
    </row>
    <row r="1583" spans="18:30" x14ac:dyDescent="0.25">
      <c r="R1583" s="176"/>
      <c r="S1583" s="175"/>
      <c r="T1583" s="175"/>
      <c r="U1583" s="175"/>
      <c r="V1583" s="175"/>
      <c r="W1583" s="175"/>
      <c r="X1583" s="175"/>
      <c r="Y1583" s="175"/>
      <c r="Z1583" s="175"/>
      <c r="AA1583" s="175"/>
      <c r="AB1583" s="175"/>
      <c r="AC1583" s="175"/>
      <c r="AD1583" s="175"/>
    </row>
    <row r="1584" spans="18:30" x14ac:dyDescent="0.25">
      <c r="R1584" s="176"/>
      <c r="S1584" s="175"/>
      <c r="T1584" s="175"/>
      <c r="U1584" s="175"/>
      <c r="V1584" s="175"/>
      <c r="W1584" s="175"/>
      <c r="X1584" s="175"/>
      <c r="Y1584" s="175"/>
      <c r="Z1584" s="175"/>
      <c r="AA1584" s="175"/>
      <c r="AB1584" s="175"/>
      <c r="AC1584" s="175"/>
      <c r="AD1584" s="175"/>
    </row>
    <row r="1585" spans="18:30" x14ac:dyDescent="0.25">
      <c r="R1585" s="176"/>
      <c r="S1585" s="175"/>
      <c r="T1585" s="175"/>
      <c r="U1585" s="175"/>
      <c r="V1585" s="175"/>
      <c r="W1585" s="175"/>
      <c r="X1585" s="175"/>
      <c r="Y1585" s="175"/>
      <c r="Z1585" s="175"/>
      <c r="AA1585" s="175"/>
      <c r="AB1585" s="175"/>
      <c r="AC1585" s="175"/>
      <c r="AD1585" s="175"/>
    </row>
    <row r="1586" spans="18:30" x14ac:dyDescent="0.25">
      <c r="R1586" s="176"/>
      <c r="S1586" s="175"/>
      <c r="T1586" s="175"/>
      <c r="U1586" s="175"/>
      <c r="V1586" s="175"/>
      <c r="W1586" s="175"/>
      <c r="X1586" s="175"/>
      <c r="Y1586" s="175"/>
      <c r="Z1586" s="175"/>
      <c r="AA1586" s="175"/>
      <c r="AB1586" s="175"/>
      <c r="AC1586" s="175"/>
      <c r="AD1586" s="175"/>
    </row>
    <row r="1587" spans="18:30" x14ac:dyDescent="0.25">
      <c r="R1587" s="176"/>
      <c r="S1587" s="175"/>
      <c r="T1587" s="175"/>
      <c r="U1587" s="175"/>
      <c r="V1587" s="175"/>
      <c r="W1587" s="175"/>
      <c r="X1587" s="175"/>
      <c r="Y1587" s="175"/>
      <c r="Z1587" s="175"/>
      <c r="AA1587" s="175"/>
      <c r="AB1587" s="175"/>
      <c r="AC1587" s="175"/>
      <c r="AD1587" s="175"/>
    </row>
    <row r="1588" spans="18:30" x14ac:dyDescent="0.25">
      <c r="R1588" s="176"/>
      <c r="S1588" s="175"/>
      <c r="T1588" s="175"/>
      <c r="U1588" s="175"/>
      <c r="V1588" s="175"/>
      <c r="W1588" s="175"/>
      <c r="X1588" s="175"/>
      <c r="Y1588" s="175"/>
      <c r="Z1588" s="175"/>
      <c r="AA1588" s="175"/>
      <c r="AB1588" s="175"/>
      <c r="AC1588" s="175"/>
      <c r="AD1588" s="175"/>
    </row>
    <row r="1589" spans="18:30" x14ac:dyDescent="0.25">
      <c r="R1589" s="176"/>
      <c r="S1589" s="175"/>
      <c r="T1589" s="175"/>
      <c r="U1589" s="175"/>
      <c r="V1589" s="175"/>
      <c r="W1589" s="175"/>
      <c r="X1589" s="175"/>
      <c r="Y1589" s="175"/>
      <c r="Z1589" s="175"/>
      <c r="AA1589" s="175"/>
      <c r="AB1589" s="175"/>
      <c r="AC1589" s="175"/>
      <c r="AD1589" s="175"/>
    </row>
    <row r="1590" spans="18:30" x14ac:dyDescent="0.25">
      <c r="R1590" s="176"/>
      <c r="S1590" s="175"/>
      <c r="T1590" s="175"/>
      <c r="U1590" s="175"/>
      <c r="V1590" s="175"/>
      <c r="W1590" s="175"/>
      <c r="X1590" s="175"/>
      <c r="Y1590" s="175"/>
      <c r="Z1590" s="175"/>
      <c r="AA1590" s="175"/>
      <c r="AB1590" s="175"/>
      <c r="AC1590" s="175"/>
      <c r="AD1590" s="175"/>
    </row>
    <row r="1591" spans="18:30" x14ac:dyDescent="0.25">
      <c r="R1591" s="176"/>
      <c r="S1591" s="175"/>
      <c r="T1591" s="175"/>
      <c r="U1591" s="175"/>
      <c r="V1591" s="175"/>
      <c r="W1591" s="175"/>
      <c r="X1591" s="175"/>
      <c r="Y1591" s="175"/>
      <c r="Z1591" s="175"/>
      <c r="AA1591" s="175"/>
      <c r="AB1591" s="175"/>
      <c r="AC1591" s="175"/>
      <c r="AD1591" s="175"/>
    </row>
    <row r="1592" spans="18:30" x14ac:dyDescent="0.25">
      <c r="R1592" s="176"/>
      <c r="S1592" s="175"/>
      <c r="T1592" s="175"/>
      <c r="U1592" s="175"/>
      <c r="V1592" s="175"/>
      <c r="W1592" s="175"/>
      <c r="X1592" s="175"/>
      <c r="Y1592" s="175"/>
      <c r="Z1592" s="175"/>
      <c r="AA1592" s="175"/>
      <c r="AB1592" s="175"/>
      <c r="AC1592" s="175"/>
      <c r="AD1592" s="175"/>
    </row>
    <row r="1593" spans="18:30" x14ac:dyDescent="0.25">
      <c r="R1593" s="176"/>
      <c r="S1593" s="175"/>
      <c r="T1593" s="175"/>
      <c r="U1593" s="175"/>
      <c r="V1593" s="175"/>
      <c r="W1593" s="175"/>
      <c r="X1593" s="175"/>
      <c r="Y1593" s="175"/>
      <c r="Z1593" s="175"/>
      <c r="AA1593" s="175"/>
      <c r="AB1593" s="175"/>
      <c r="AC1593" s="175"/>
      <c r="AD1593" s="175"/>
    </row>
    <row r="1594" spans="18:30" x14ac:dyDescent="0.25">
      <c r="R1594" s="176"/>
      <c r="S1594" s="175"/>
      <c r="T1594" s="175"/>
      <c r="U1594" s="175"/>
      <c r="V1594" s="175"/>
      <c r="W1594" s="175"/>
      <c r="X1594" s="175"/>
      <c r="Y1594" s="175"/>
      <c r="Z1594" s="175"/>
      <c r="AA1594" s="175"/>
      <c r="AB1594" s="175"/>
      <c r="AC1594" s="175"/>
      <c r="AD1594" s="175"/>
    </row>
    <row r="1595" spans="18:30" x14ac:dyDescent="0.25">
      <c r="R1595" s="176"/>
      <c r="S1595" s="175"/>
      <c r="T1595" s="175"/>
      <c r="U1595" s="175"/>
      <c r="V1595" s="175"/>
      <c r="W1595" s="175"/>
      <c r="X1595" s="175"/>
      <c r="Y1595" s="175"/>
      <c r="Z1595" s="175"/>
      <c r="AA1595" s="175"/>
      <c r="AB1595" s="175"/>
      <c r="AC1595" s="175"/>
      <c r="AD1595" s="175"/>
    </row>
    <row r="1596" spans="18:30" x14ac:dyDescent="0.25">
      <c r="R1596" s="176"/>
      <c r="S1596" s="175"/>
      <c r="T1596" s="175"/>
      <c r="U1596" s="175"/>
      <c r="V1596" s="175"/>
      <c r="W1596" s="175"/>
      <c r="X1596" s="175"/>
      <c r="Y1596" s="175"/>
      <c r="Z1596" s="175"/>
      <c r="AA1596" s="175"/>
      <c r="AB1596" s="175"/>
      <c r="AC1596" s="175"/>
      <c r="AD1596" s="175"/>
    </row>
    <row r="1597" spans="18:30" x14ac:dyDescent="0.25">
      <c r="R1597" s="176"/>
      <c r="S1597" s="175"/>
      <c r="T1597" s="175"/>
      <c r="U1597" s="175"/>
      <c r="V1597" s="175"/>
      <c r="W1597" s="175"/>
      <c r="X1597" s="175"/>
      <c r="Y1597" s="175"/>
      <c r="Z1597" s="175"/>
      <c r="AA1597" s="175"/>
      <c r="AB1597" s="175"/>
      <c r="AC1597" s="175"/>
      <c r="AD1597" s="175"/>
    </row>
    <row r="1598" spans="18:30" x14ac:dyDescent="0.25">
      <c r="R1598" s="176"/>
      <c r="S1598" s="175"/>
      <c r="T1598" s="175"/>
      <c r="U1598" s="175"/>
      <c r="V1598" s="175"/>
      <c r="W1598" s="175"/>
      <c r="X1598" s="175"/>
      <c r="Y1598" s="175"/>
      <c r="Z1598" s="175"/>
      <c r="AA1598" s="175"/>
      <c r="AB1598" s="175"/>
      <c r="AC1598" s="175"/>
      <c r="AD1598" s="175"/>
    </row>
    <row r="1599" spans="18:30" x14ac:dyDescent="0.25">
      <c r="R1599" s="176"/>
      <c r="S1599" s="175"/>
      <c r="T1599" s="175"/>
      <c r="U1599" s="175"/>
      <c r="V1599" s="175"/>
      <c r="W1599" s="175"/>
      <c r="X1599" s="175"/>
      <c r="Y1599" s="175"/>
      <c r="Z1599" s="175"/>
      <c r="AA1599" s="175"/>
      <c r="AB1599" s="175"/>
      <c r="AC1599" s="175"/>
      <c r="AD1599" s="175"/>
    </row>
    <row r="1600" spans="18:30" x14ac:dyDescent="0.25">
      <c r="R1600" s="176"/>
      <c r="S1600" s="175"/>
      <c r="T1600" s="175"/>
      <c r="U1600" s="175"/>
      <c r="V1600" s="175"/>
      <c r="W1600" s="175"/>
      <c r="X1600" s="175"/>
      <c r="Y1600" s="175"/>
      <c r="Z1600" s="175"/>
      <c r="AA1600" s="175"/>
      <c r="AB1600" s="175"/>
      <c r="AC1600" s="175"/>
      <c r="AD1600" s="175"/>
    </row>
    <row r="1601" spans="18:30" x14ac:dyDescent="0.25">
      <c r="R1601" s="176"/>
      <c r="S1601" s="175"/>
      <c r="T1601" s="175"/>
      <c r="U1601" s="175"/>
      <c r="V1601" s="175"/>
      <c r="W1601" s="175"/>
      <c r="X1601" s="175"/>
      <c r="Y1601" s="175"/>
      <c r="Z1601" s="175"/>
      <c r="AA1601" s="175"/>
      <c r="AB1601" s="175"/>
      <c r="AC1601" s="175"/>
      <c r="AD1601" s="175"/>
    </row>
    <row r="1602" spans="18:30" x14ac:dyDescent="0.25">
      <c r="R1602" s="176"/>
      <c r="S1602" s="175"/>
      <c r="T1602" s="175"/>
      <c r="U1602" s="175"/>
      <c r="V1602" s="175"/>
      <c r="W1602" s="175"/>
      <c r="X1602" s="175"/>
      <c r="Y1602" s="175"/>
      <c r="Z1602" s="175"/>
      <c r="AA1602" s="175"/>
      <c r="AB1602" s="175"/>
      <c r="AC1602" s="175"/>
      <c r="AD1602" s="175"/>
    </row>
    <row r="1603" spans="18:30" x14ac:dyDescent="0.25">
      <c r="R1603" s="176"/>
      <c r="S1603" s="175"/>
      <c r="T1603" s="175"/>
      <c r="U1603" s="175"/>
      <c r="V1603" s="175"/>
      <c r="W1603" s="175"/>
      <c r="X1603" s="175"/>
      <c r="Y1603" s="175"/>
      <c r="Z1603" s="175"/>
      <c r="AA1603" s="175"/>
      <c r="AB1603" s="175"/>
      <c r="AC1603" s="175"/>
      <c r="AD1603" s="175"/>
    </row>
    <row r="1604" spans="18:30" x14ac:dyDescent="0.25">
      <c r="R1604" s="176"/>
      <c r="S1604" s="175"/>
      <c r="T1604" s="175"/>
      <c r="U1604" s="175"/>
      <c r="V1604" s="175"/>
      <c r="W1604" s="175"/>
      <c r="X1604" s="175"/>
      <c r="Y1604" s="175"/>
      <c r="Z1604" s="175"/>
      <c r="AA1604" s="175"/>
      <c r="AB1604" s="175"/>
      <c r="AC1604" s="175"/>
      <c r="AD1604" s="175"/>
    </row>
    <row r="1605" spans="18:30" x14ac:dyDescent="0.25">
      <c r="R1605" s="176"/>
      <c r="S1605" s="175"/>
      <c r="T1605" s="175"/>
      <c r="U1605" s="175"/>
      <c r="V1605" s="175"/>
      <c r="W1605" s="175"/>
      <c r="X1605" s="175"/>
      <c r="Y1605" s="175"/>
      <c r="Z1605" s="175"/>
      <c r="AA1605" s="175"/>
      <c r="AB1605" s="175"/>
      <c r="AC1605" s="175"/>
      <c r="AD1605" s="175"/>
    </row>
    <row r="1606" spans="18:30" x14ac:dyDescent="0.25">
      <c r="R1606" s="176"/>
      <c r="S1606" s="175"/>
      <c r="T1606" s="175"/>
      <c r="U1606" s="175"/>
      <c r="V1606" s="175"/>
      <c r="W1606" s="175"/>
      <c r="X1606" s="175"/>
      <c r="Y1606" s="175"/>
      <c r="Z1606" s="175"/>
      <c r="AA1606" s="175"/>
      <c r="AB1606" s="175"/>
      <c r="AC1606" s="175"/>
      <c r="AD1606" s="175"/>
    </row>
    <row r="1607" spans="18:30" x14ac:dyDescent="0.25">
      <c r="R1607" s="176"/>
      <c r="S1607" s="175"/>
      <c r="T1607" s="175"/>
      <c r="U1607" s="175"/>
      <c r="V1607" s="175"/>
      <c r="W1607" s="175"/>
      <c r="X1607" s="175"/>
      <c r="Y1607" s="175"/>
      <c r="Z1607" s="175"/>
      <c r="AA1607" s="175"/>
      <c r="AB1607" s="175"/>
      <c r="AC1607" s="175"/>
      <c r="AD1607" s="175"/>
    </row>
    <row r="1608" spans="18:30" x14ac:dyDescent="0.25">
      <c r="R1608" s="176"/>
      <c r="S1608" s="175"/>
      <c r="T1608" s="175"/>
      <c r="U1608" s="175"/>
      <c r="V1608" s="175"/>
      <c r="W1608" s="175"/>
      <c r="X1608" s="175"/>
      <c r="Y1608" s="175"/>
      <c r="Z1608" s="175"/>
      <c r="AA1608" s="175"/>
      <c r="AB1608" s="175"/>
      <c r="AC1608" s="175"/>
      <c r="AD1608" s="175"/>
    </row>
    <row r="1609" spans="18:30" x14ac:dyDescent="0.25">
      <c r="R1609" s="176"/>
      <c r="S1609" s="175"/>
      <c r="T1609" s="175"/>
      <c r="U1609" s="175"/>
      <c r="V1609" s="175"/>
      <c r="W1609" s="175"/>
      <c r="X1609" s="175"/>
      <c r="Y1609" s="175"/>
      <c r="Z1609" s="175"/>
      <c r="AA1609" s="175"/>
      <c r="AB1609" s="175"/>
      <c r="AC1609" s="175"/>
      <c r="AD1609" s="175"/>
    </row>
    <row r="1610" spans="18:30" x14ac:dyDescent="0.25">
      <c r="R1610" s="176"/>
      <c r="S1610" s="175"/>
      <c r="T1610" s="175"/>
      <c r="U1610" s="175"/>
      <c r="V1610" s="175"/>
      <c r="W1610" s="175"/>
      <c r="X1610" s="175"/>
      <c r="Y1610" s="175"/>
      <c r="Z1610" s="175"/>
      <c r="AA1610" s="175"/>
      <c r="AB1610" s="175"/>
      <c r="AC1610" s="175"/>
      <c r="AD1610" s="175"/>
    </row>
    <row r="1611" spans="18:30" x14ac:dyDescent="0.25">
      <c r="R1611" s="176"/>
      <c r="S1611" s="175"/>
      <c r="T1611" s="175"/>
      <c r="U1611" s="175"/>
      <c r="V1611" s="175"/>
      <c r="W1611" s="175"/>
      <c r="X1611" s="175"/>
      <c r="Y1611" s="175"/>
      <c r="Z1611" s="175"/>
      <c r="AA1611" s="175"/>
      <c r="AB1611" s="175"/>
      <c r="AC1611" s="175"/>
      <c r="AD1611" s="175"/>
    </row>
    <row r="1612" spans="18:30" x14ac:dyDescent="0.25">
      <c r="R1612" s="176"/>
      <c r="S1612" s="175"/>
      <c r="T1612" s="175"/>
      <c r="U1612" s="175"/>
      <c r="V1612" s="175"/>
      <c r="W1612" s="175"/>
      <c r="X1612" s="175"/>
      <c r="Y1612" s="175"/>
      <c r="Z1612" s="175"/>
      <c r="AA1612" s="175"/>
      <c r="AB1612" s="175"/>
      <c r="AC1612" s="175"/>
      <c r="AD1612" s="175"/>
    </row>
    <row r="1613" spans="18:30" x14ac:dyDescent="0.25">
      <c r="R1613" s="176"/>
      <c r="S1613" s="175"/>
      <c r="T1613" s="175"/>
      <c r="U1613" s="175"/>
      <c r="V1613" s="175"/>
      <c r="W1613" s="175"/>
      <c r="X1613" s="175"/>
      <c r="Y1613" s="175"/>
      <c r="Z1613" s="175"/>
      <c r="AA1613" s="175"/>
      <c r="AB1613" s="175"/>
      <c r="AC1613" s="175"/>
      <c r="AD1613" s="175"/>
    </row>
    <row r="1614" spans="18:30" x14ac:dyDescent="0.25">
      <c r="R1614" s="176"/>
      <c r="S1614" s="175"/>
      <c r="T1614" s="175"/>
      <c r="U1614" s="175"/>
      <c r="V1614" s="175"/>
      <c r="W1614" s="175"/>
      <c r="X1614" s="175"/>
      <c r="Y1614" s="175"/>
      <c r="Z1614" s="175"/>
      <c r="AA1614" s="175"/>
      <c r="AB1614" s="175"/>
      <c r="AC1614" s="175"/>
      <c r="AD1614" s="175"/>
    </row>
    <row r="1615" spans="18:30" x14ac:dyDescent="0.25">
      <c r="R1615" s="176"/>
      <c r="S1615" s="175"/>
      <c r="T1615" s="175"/>
      <c r="U1615" s="175"/>
      <c r="V1615" s="175"/>
      <c r="W1615" s="175"/>
      <c r="X1615" s="175"/>
      <c r="Y1615" s="175"/>
      <c r="Z1615" s="175"/>
      <c r="AA1615" s="175"/>
      <c r="AB1615" s="175"/>
      <c r="AC1615" s="175"/>
      <c r="AD1615" s="175"/>
    </row>
    <row r="1616" spans="18:30" x14ac:dyDescent="0.25">
      <c r="R1616" s="176"/>
      <c r="S1616" s="175"/>
      <c r="T1616" s="175"/>
      <c r="U1616" s="175"/>
      <c r="V1616" s="175"/>
      <c r="W1616" s="175"/>
      <c r="X1616" s="175"/>
      <c r="Y1616" s="175"/>
      <c r="Z1616" s="175"/>
      <c r="AA1616" s="175"/>
      <c r="AB1616" s="175"/>
      <c r="AC1616" s="175"/>
      <c r="AD1616" s="175"/>
    </row>
    <row r="1617" spans="18:30" x14ac:dyDescent="0.25">
      <c r="R1617" s="176"/>
      <c r="S1617" s="175"/>
      <c r="T1617" s="175"/>
      <c r="U1617" s="175"/>
      <c r="V1617" s="175"/>
      <c r="W1617" s="175"/>
      <c r="X1617" s="175"/>
      <c r="Y1617" s="175"/>
      <c r="Z1617" s="175"/>
      <c r="AA1617" s="175"/>
      <c r="AB1617" s="175"/>
      <c r="AC1617" s="175"/>
      <c r="AD1617" s="175"/>
    </row>
    <row r="1618" spans="18:30" x14ac:dyDescent="0.25">
      <c r="R1618" s="176"/>
      <c r="S1618" s="175"/>
      <c r="T1618" s="175"/>
      <c r="U1618" s="175"/>
      <c r="V1618" s="175"/>
      <c r="W1618" s="175"/>
      <c r="X1618" s="175"/>
      <c r="Y1618" s="175"/>
      <c r="Z1618" s="175"/>
      <c r="AA1618" s="175"/>
      <c r="AB1618" s="175"/>
      <c r="AC1618" s="175"/>
      <c r="AD1618" s="175"/>
    </row>
    <row r="1619" spans="18:30" x14ac:dyDescent="0.25">
      <c r="R1619" s="176"/>
      <c r="S1619" s="175"/>
      <c r="T1619" s="175"/>
      <c r="U1619" s="175"/>
      <c r="V1619" s="175"/>
      <c r="W1619" s="175"/>
      <c r="X1619" s="175"/>
      <c r="Y1619" s="175"/>
      <c r="Z1619" s="175"/>
      <c r="AA1619" s="175"/>
      <c r="AB1619" s="175"/>
      <c r="AC1619" s="175"/>
      <c r="AD1619" s="175"/>
    </row>
    <row r="1620" spans="18:30" x14ac:dyDescent="0.25">
      <c r="R1620" s="176"/>
      <c r="S1620" s="175"/>
      <c r="T1620" s="175"/>
      <c r="U1620" s="175"/>
      <c r="V1620" s="175"/>
      <c r="W1620" s="175"/>
      <c r="X1620" s="175"/>
      <c r="Y1620" s="175"/>
      <c r="Z1620" s="175"/>
      <c r="AA1620" s="175"/>
      <c r="AB1620" s="175"/>
      <c r="AC1620" s="175"/>
      <c r="AD1620" s="175"/>
    </row>
    <row r="1621" spans="18:30" x14ac:dyDescent="0.25">
      <c r="R1621" s="176"/>
      <c r="S1621" s="175"/>
      <c r="T1621" s="175"/>
      <c r="U1621" s="175"/>
      <c r="V1621" s="175"/>
      <c r="W1621" s="175"/>
      <c r="X1621" s="175"/>
      <c r="Y1621" s="175"/>
      <c r="Z1621" s="175"/>
      <c r="AA1621" s="175"/>
      <c r="AB1621" s="175"/>
      <c r="AC1621" s="175"/>
      <c r="AD1621" s="175"/>
    </row>
    <row r="1622" spans="18:30" x14ac:dyDescent="0.25">
      <c r="R1622" s="176"/>
      <c r="S1622" s="175"/>
      <c r="T1622" s="175"/>
      <c r="U1622" s="175"/>
      <c r="V1622" s="175"/>
      <c r="W1622" s="175"/>
      <c r="X1622" s="175"/>
      <c r="Y1622" s="175"/>
      <c r="Z1622" s="175"/>
      <c r="AA1622" s="175"/>
      <c r="AB1622" s="175"/>
      <c r="AC1622" s="175"/>
      <c r="AD1622" s="175"/>
    </row>
    <row r="1623" spans="18:30" x14ac:dyDescent="0.25">
      <c r="R1623" s="176"/>
      <c r="S1623" s="175"/>
      <c r="T1623" s="175"/>
      <c r="U1623" s="175"/>
      <c r="V1623" s="175"/>
      <c r="W1623" s="175"/>
      <c r="X1623" s="175"/>
      <c r="Y1623" s="175"/>
      <c r="Z1623" s="175"/>
      <c r="AA1623" s="175"/>
      <c r="AB1623" s="175"/>
      <c r="AC1623" s="175"/>
      <c r="AD1623" s="175"/>
    </row>
    <row r="1624" spans="18:30" x14ac:dyDescent="0.25">
      <c r="R1624" s="176"/>
      <c r="S1624" s="175"/>
      <c r="T1624" s="175"/>
      <c r="U1624" s="175"/>
      <c r="V1624" s="175"/>
      <c r="W1624" s="175"/>
      <c r="X1624" s="175"/>
      <c r="Y1624" s="175"/>
      <c r="Z1624" s="175"/>
      <c r="AA1624" s="175"/>
      <c r="AB1624" s="175"/>
      <c r="AC1624" s="175"/>
      <c r="AD1624" s="175"/>
    </row>
    <row r="1625" spans="18:30" x14ac:dyDescent="0.25">
      <c r="R1625" s="176"/>
      <c r="S1625" s="175"/>
      <c r="T1625" s="175"/>
      <c r="U1625" s="175"/>
      <c r="V1625" s="175"/>
      <c r="W1625" s="175"/>
      <c r="X1625" s="175"/>
      <c r="Y1625" s="175"/>
      <c r="Z1625" s="175"/>
      <c r="AA1625" s="175"/>
      <c r="AB1625" s="175"/>
      <c r="AC1625" s="175"/>
      <c r="AD1625" s="175"/>
    </row>
    <row r="1626" spans="18:30" x14ac:dyDescent="0.25">
      <c r="R1626" s="176"/>
      <c r="S1626" s="175"/>
      <c r="T1626" s="175"/>
      <c r="U1626" s="175"/>
      <c r="V1626" s="175"/>
      <c r="W1626" s="175"/>
      <c r="X1626" s="175"/>
      <c r="Y1626" s="175"/>
      <c r="Z1626" s="175"/>
      <c r="AA1626" s="175"/>
      <c r="AB1626" s="175"/>
      <c r="AC1626" s="175"/>
      <c r="AD1626" s="175"/>
    </row>
    <row r="1627" spans="18:30" x14ac:dyDescent="0.25">
      <c r="R1627" s="176"/>
      <c r="S1627" s="175"/>
      <c r="T1627" s="175"/>
      <c r="U1627" s="175"/>
      <c r="V1627" s="175"/>
      <c r="W1627" s="175"/>
      <c r="X1627" s="175"/>
      <c r="Y1627" s="175"/>
      <c r="Z1627" s="175"/>
      <c r="AA1627" s="175"/>
      <c r="AB1627" s="175"/>
      <c r="AC1627" s="175"/>
      <c r="AD1627" s="175"/>
    </row>
    <row r="1628" spans="18:30" x14ac:dyDescent="0.25">
      <c r="R1628" s="176"/>
      <c r="S1628" s="175"/>
      <c r="T1628" s="175"/>
      <c r="U1628" s="175"/>
      <c r="V1628" s="175"/>
      <c r="W1628" s="175"/>
      <c r="X1628" s="175"/>
      <c r="Y1628" s="175"/>
      <c r="Z1628" s="175"/>
      <c r="AA1628" s="175"/>
      <c r="AB1628" s="175"/>
      <c r="AC1628" s="175"/>
      <c r="AD1628" s="175"/>
    </row>
    <row r="1629" spans="18:30" x14ac:dyDescent="0.25">
      <c r="R1629" s="176"/>
      <c r="S1629" s="175"/>
      <c r="T1629" s="175"/>
      <c r="U1629" s="175"/>
      <c r="V1629" s="175"/>
      <c r="W1629" s="175"/>
      <c r="X1629" s="175"/>
      <c r="Y1629" s="175"/>
      <c r="Z1629" s="175"/>
      <c r="AA1629" s="175"/>
      <c r="AB1629" s="175"/>
      <c r="AC1629" s="175"/>
      <c r="AD1629" s="175"/>
    </row>
    <row r="1630" spans="18:30" x14ac:dyDescent="0.25">
      <c r="R1630" s="176"/>
      <c r="S1630" s="175"/>
      <c r="T1630" s="175"/>
      <c r="U1630" s="175"/>
      <c r="V1630" s="175"/>
      <c r="W1630" s="175"/>
      <c r="X1630" s="175"/>
      <c r="Y1630" s="175"/>
      <c r="Z1630" s="175"/>
      <c r="AA1630" s="175"/>
      <c r="AB1630" s="175"/>
      <c r="AC1630" s="175"/>
      <c r="AD1630" s="175"/>
    </row>
    <row r="1631" spans="18:30" x14ac:dyDescent="0.25">
      <c r="R1631" s="176"/>
      <c r="S1631" s="175"/>
      <c r="T1631" s="175"/>
      <c r="U1631" s="175"/>
      <c r="V1631" s="175"/>
      <c r="W1631" s="175"/>
      <c r="X1631" s="175"/>
      <c r="Y1631" s="175"/>
      <c r="Z1631" s="175"/>
      <c r="AA1631" s="175"/>
      <c r="AB1631" s="175"/>
      <c r="AC1631" s="175"/>
      <c r="AD1631" s="175"/>
    </row>
    <row r="1632" spans="18:30" x14ac:dyDescent="0.25">
      <c r="R1632" s="176"/>
      <c r="S1632" s="175"/>
      <c r="T1632" s="175"/>
      <c r="U1632" s="175"/>
      <c r="V1632" s="175"/>
      <c r="W1632" s="175"/>
      <c r="X1632" s="175"/>
      <c r="Y1632" s="175"/>
      <c r="Z1632" s="175"/>
      <c r="AA1632" s="175"/>
      <c r="AB1632" s="175"/>
      <c r="AC1632" s="175"/>
      <c r="AD1632" s="175"/>
    </row>
    <row r="1633" spans="18:30" x14ac:dyDescent="0.25">
      <c r="R1633" s="176"/>
      <c r="S1633" s="175"/>
      <c r="T1633" s="175"/>
      <c r="U1633" s="175"/>
      <c r="V1633" s="175"/>
      <c r="W1633" s="175"/>
      <c r="X1633" s="175"/>
      <c r="Y1633" s="175"/>
      <c r="Z1633" s="175"/>
      <c r="AA1633" s="175"/>
      <c r="AB1633" s="175"/>
      <c r="AC1633" s="175"/>
      <c r="AD1633" s="175"/>
    </row>
    <row r="1634" spans="18:30" x14ac:dyDescent="0.25">
      <c r="R1634" s="176"/>
      <c r="S1634" s="175"/>
      <c r="T1634" s="175"/>
      <c r="U1634" s="175"/>
      <c r="V1634" s="175"/>
      <c r="W1634" s="175"/>
      <c r="X1634" s="175"/>
      <c r="Y1634" s="175"/>
      <c r="Z1634" s="175"/>
      <c r="AA1634" s="175"/>
      <c r="AB1634" s="175"/>
      <c r="AC1634" s="175"/>
      <c r="AD1634" s="175"/>
    </row>
    <row r="1635" spans="18:30" x14ac:dyDescent="0.25">
      <c r="R1635" s="176"/>
      <c r="S1635" s="175"/>
      <c r="T1635" s="175"/>
      <c r="U1635" s="175"/>
      <c r="V1635" s="175"/>
      <c r="W1635" s="175"/>
      <c r="X1635" s="175"/>
      <c r="Y1635" s="175"/>
      <c r="Z1635" s="175"/>
      <c r="AA1635" s="175"/>
      <c r="AB1635" s="175"/>
      <c r="AC1635" s="175"/>
      <c r="AD1635" s="175"/>
    </row>
    <row r="1636" spans="18:30" x14ac:dyDescent="0.25">
      <c r="R1636" s="176"/>
      <c r="S1636" s="175"/>
      <c r="T1636" s="175"/>
      <c r="U1636" s="175"/>
      <c r="V1636" s="175"/>
      <c r="W1636" s="175"/>
      <c r="X1636" s="175"/>
      <c r="Y1636" s="175"/>
      <c r="Z1636" s="175"/>
      <c r="AA1636" s="175"/>
      <c r="AB1636" s="175"/>
      <c r="AC1636" s="175"/>
      <c r="AD1636" s="175"/>
    </row>
    <row r="1637" spans="18:30" x14ac:dyDescent="0.25">
      <c r="R1637" s="176"/>
      <c r="S1637" s="175"/>
      <c r="T1637" s="175"/>
      <c r="U1637" s="175"/>
      <c r="V1637" s="175"/>
      <c r="W1637" s="175"/>
      <c r="X1637" s="175"/>
      <c r="Y1637" s="175"/>
      <c r="Z1637" s="175"/>
      <c r="AA1637" s="175"/>
      <c r="AB1637" s="175"/>
      <c r="AC1637" s="175"/>
      <c r="AD1637" s="175"/>
    </row>
    <row r="1638" spans="18:30" x14ac:dyDescent="0.25">
      <c r="R1638" s="176"/>
      <c r="S1638" s="175"/>
      <c r="T1638" s="175"/>
      <c r="U1638" s="175"/>
      <c r="V1638" s="175"/>
      <c r="W1638" s="175"/>
      <c r="X1638" s="175"/>
      <c r="Y1638" s="175"/>
      <c r="Z1638" s="175"/>
      <c r="AA1638" s="175"/>
      <c r="AB1638" s="175"/>
      <c r="AC1638" s="175"/>
      <c r="AD1638" s="175"/>
    </row>
    <row r="1639" spans="18:30" x14ac:dyDescent="0.25">
      <c r="R1639" s="176"/>
      <c r="S1639" s="175"/>
      <c r="T1639" s="175"/>
      <c r="U1639" s="175"/>
      <c r="V1639" s="175"/>
      <c r="W1639" s="175"/>
      <c r="X1639" s="175"/>
      <c r="Y1639" s="175"/>
      <c r="Z1639" s="175"/>
      <c r="AA1639" s="175"/>
      <c r="AB1639" s="175"/>
      <c r="AC1639" s="175"/>
      <c r="AD1639" s="175"/>
    </row>
    <row r="1640" spans="18:30" x14ac:dyDescent="0.25">
      <c r="R1640" s="176"/>
      <c r="S1640" s="175"/>
      <c r="T1640" s="175"/>
      <c r="U1640" s="175"/>
      <c r="V1640" s="175"/>
      <c r="W1640" s="175"/>
      <c r="X1640" s="175"/>
      <c r="Y1640" s="175"/>
      <c r="Z1640" s="175"/>
      <c r="AA1640" s="175"/>
      <c r="AB1640" s="175"/>
      <c r="AC1640" s="175"/>
      <c r="AD1640" s="175"/>
    </row>
    <row r="1641" spans="18:30" x14ac:dyDescent="0.25">
      <c r="R1641" s="176"/>
      <c r="S1641" s="175"/>
      <c r="T1641" s="175"/>
      <c r="U1641" s="175"/>
      <c r="V1641" s="175"/>
      <c r="W1641" s="175"/>
      <c r="X1641" s="175"/>
      <c r="Y1641" s="175"/>
      <c r="Z1641" s="175"/>
      <c r="AA1641" s="175"/>
      <c r="AB1641" s="175"/>
      <c r="AC1641" s="175"/>
      <c r="AD1641" s="175"/>
    </row>
    <row r="1642" spans="18:30" x14ac:dyDescent="0.25">
      <c r="R1642" s="176"/>
      <c r="S1642" s="175"/>
      <c r="T1642" s="175"/>
      <c r="U1642" s="175"/>
      <c r="V1642" s="175"/>
      <c r="W1642" s="175"/>
      <c r="X1642" s="175"/>
      <c r="Y1642" s="175"/>
      <c r="Z1642" s="175"/>
      <c r="AA1642" s="175"/>
      <c r="AB1642" s="175"/>
      <c r="AC1642" s="175"/>
      <c r="AD1642" s="175"/>
    </row>
    <row r="1643" spans="18:30" x14ac:dyDescent="0.25">
      <c r="R1643" s="176"/>
      <c r="S1643" s="175"/>
      <c r="T1643" s="175"/>
      <c r="U1643" s="175"/>
      <c r="V1643" s="175"/>
      <c r="W1643" s="175"/>
      <c r="X1643" s="175"/>
      <c r="Y1643" s="175"/>
      <c r="Z1643" s="175"/>
      <c r="AA1643" s="175"/>
      <c r="AB1643" s="175"/>
      <c r="AC1643" s="175"/>
      <c r="AD1643" s="175"/>
    </row>
    <row r="1644" spans="18:30" x14ac:dyDescent="0.25">
      <c r="R1644" s="176"/>
      <c r="S1644" s="175"/>
      <c r="T1644" s="175"/>
      <c r="U1644" s="175"/>
      <c r="V1644" s="175"/>
      <c r="W1644" s="175"/>
      <c r="X1644" s="175"/>
      <c r="Y1644" s="175"/>
      <c r="Z1644" s="175"/>
      <c r="AA1644" s="175"/>
      <c r="AB1644" s="175"/>
      <c r="AC1644" s="175"/>
      <c r="AD1644" s="175"/>
    </row>
    <row r="1645" spans="18:30" x14ac:dyDescent="0.25">
      <c r="R1645" s="176"/>
      <c r="S1645" s="175"/>
      <c r="T1645" s="175"/>
      <c r="U1645" s="175"/>
      <c r="V1645" s="175"/>
      <c r="W1645" s="175"/>
      <c r="X1645" s="175"/>
      <c r="Y1645" s="175"/>
      <c r="Z1645" s="175"/>
      <c r="AA1645" s="175"/>
      <c r="AB1645" s="175"/>
      <c r="AC1645" s="175"/>
      <c r="AD1645" s="175"/>
    </row>
    <row r="1646" spans="18:30" x14ac:dyDescent="0.25">
      <c r="R1646" s="176"/>
      <c r="S1646" s="175"/>
      <c r="T1646" s="175"/>
      <c r="U1646" s="175"/>
      <c r="V1646" s="175"/>
      <c r="W1646" s="175"/>
      <c r="X1646" s="175"/>
      <c r="Y1646" s="175"/>
      <c r="Z1646" s="175"/>
      <c r="AA1646" s="175"/>
      <c r="AB1646" s="175"/>
      <c r="AC1646" s="175"/>
      <c r="AD1646" s="175"/>
    </row>
    <row r="1647" spans="18:30" x14ac:dyDescent="0.25">
      <c r="R1647" s="176"/>
      <c r="S1647" s="175"/>
      <c r="T1647" s="175"/>
      <c r="U1647" s="175"/>
      <c r="V1647" s="175"/>
      <c r="W1647" s="175"/>
      <c r="X1647" s="175"/>
      <c r="Y1647" s="175"/>
      <c r="Z1647" s="175"/>
      <c r="AA1647" s="175"/>
      <c r="AB1647" s="175"/>
      <c r="AC1647" s="175"/>
      <c r="AD1647" s="175"/>
    </row>
    <row r="1648" spans="18:30" x14ac:dyDescent="0.25">
      <c r="R1648" s="176"/>
      <c r="S1648" s="175"/>
      <c r="T1648" s="175"/>
      <c r="U1648" s="175"/>
      <c r="V1648" s="175"/>
      <c r="W1648" s="175"/>
      <c r="X1648" s="175"/>
      <c r="Y1648" s="175"/>
      <c r="Z1648" s="175"/>
      <c r="AA1648" s="175"/>
      <c r="AB1648" s="175"/>
      <c r="AC1648" s="175"/>
      <c r="AD1648" s="175"/>
    </row>
    <row r="1649" spans="18:30" x14ac:dyDescent="0.25">
      <c r="R1649" s="176"/>
      <c r="S1649" s="175"/>
      <c r="T1649" s="175"/>
      <c r="U1649" s="175"/>
      <c r="V1649" s="175"/>
      <c r="W1649" s="175"/>
      <c r="X1649" s="175"/>
      <c r="Y1649" s="175"/>
      <c r="Z1649" s="175"/>
      <c r="AA1649" s="175"/>
      <c r="AB1649" s="175"/>
      <c r="AC1649" s="175"/>
      <c r="AD1649" s="175"/>
    </row>
    <row r="1650" spans="18:30" x14ac:dyDescent="0.25">
      <c r="R1650" s="176"/>
      <c r="S1650" s="175"/>
      <c r="T1650" s="175"/>
      <c r="U1650" s="175"/>
      <c r="V1650" s="175"/>
      <c r="W1650" s="175"/>
      <c r="X1650" s="175"/>
      <c r="Y1650" s="175"/>
      <c r="Z1650" s="175"/>
      <c r="AA1650" s="175"/>
      <c r="AB1650" s="175"/>
      <c r="AC1650" s="175"/>
      <c r="AD1650" s="175"/>
    </row>
    <row r="1651" spans="18:30" x14ac:dyDescent="0.25">
      <c r="R1651" s="176"/>
      <c r="S1651" s="175"/>
      <c r="T1651" s="175"/>
      <c r="U1651" s="175"/>
      <c r="V1651" s="175"/>
      <c r="W1651" s="175"/>
      <c r="X1651" s="175"/>
      <c r="Y1651" s="175"/>
      <c r="Z1651" s="175"/>
      <c r="AA1651" s="175"/>
      <c r="AB1651" s="175"/>
      <c r="AC1651" s="175"/>
      <c r="AD1651" s="175"/>
    </row>
    <row r="1652" spans="18:30" x14ac:dyDescent="0.25">
      <c r="R1652" s="176"/>
      <c r="S1652" s="175"/>
      <c r="T1652" s="175"/>
      <c r="U1652" s="175"/>
      <c r="V1652" s="175"/>
      <c r="W1652" s="175"/>
      <c r="X1652" s="175"/>
      <c r="Y1652" s="175"/>
      <c r="Z1652" s="175"/>
      <c r="AA1652" s="175"/>
      <c r="AB1652" s="175"/>
      <c r="AC1652" s="175"/>
      <c r="AD1652" s="175"/>
    </row>
    <row r="1653" spans="18:30" x14ac:dyDescent="0.25">
      <c r="R1653" s="176"/>
      <c r="S1653" s="175"/>
      <c r="T1653" s="175"/>
      <c r="U1653" s="175"/>
      <c r="V1653" s="175"/>
      <c r="W1653" s="175"/>
      <c r="X1653" s="175"/>
      <c r="Y1653" s="175"/>
      <c r="Z1653" s="175"/>
      <c r="AA1653" s="175"/>
      <c r="AB1653" s="175"/>
      <c r="AC1653" s="175"/>
      <c r="AD1653" s="175"/>
    </row>
    <row r="1654" spans="18:30" x14ac:dyDescent="0.25">
      <c r="R1654" s="176"/>
      <c r="S1654" s="175"/>
      <c r="T1654" s="175"/>
      <c r="U1654" s="175"/>
      <c r="V1654" s="175"/>
      <c r="W1654" s="175"/>
      <c r="X1654" s="175"/>
      <c r="Y1654" s="175"/>
      <c r="Z1654" s="175"/>
      <c r="AA1654" s="175"/>
      <c r="AB1654" s="175"/>
      <c r="AC1654" s="175"/>
      <c r="AD1654" s="175"/>
    </row>
    <row r="1655" spans="18:30" x14ac:dyDescent="0.25">
      <c r="R1655" s="176"/>
      <c r="S1655" s="175"/>
      <c r="T1655" s="175"/>
      <c r="U1655" s="175"/>
      <c r="V1655" s="175"/>
      <c r="W1655" s="175"/>
      <c r="X1655" s="175"/>
      <c r="Y1655" s="175"/>
      <c r="Z1655" s="175"/>
      <c r="AA1655" s="175"/>
      <c r="AB1655" s="175"/>
      <c r="AC1655" s="175"/>
      <c r="AD1655" s="175"/>
    </row>
    <row r="1656" spans="18:30" x14ac:dyDescent="0.25">
      <c r="R1656" s="176"/>
      <c r="S1656" s="175"/>
      <c r="T1656" s="175"/>
      <c r="U1656" s="175"/>
      <c r="V1656" s="175"/>
      <c r="W1656" s="175"/>
      <c r="X1656" s="175"/>
      <c r="Y1656" s="175"/>
      <c r="Z1656" s="175"/>
      <c r="AA1656" s="175"/>
      <c r="AB1656" s="175"/>
      <c r="AC1656" s="175"/>
      <c r="AD1656" s="175"/>
    </row>
    <row r="1657" spans="18:30" x14ac:dyDescent="0.25">
      <c r="R1657" s="176"/>
      <c r="S1657" s="175"/>
      <c r="T1657" s="175"/>
      <c r="U1657" s="175"/>
      <c r="V1657" s="175"/>
      <c r="W1657" s="175"/>
      <c r="X1657" s="175"/>
      <c r="Y1657" s="175"/>
      <c r="Z1657" s="175"/>
      <c r="AA1657" s="175"/>
      <c r="AB1657" s="175"/>
      <c r="AC1657" s="175"/>
      <c r="AD1657" s="175"/>
    </row>
    <row r="1658" spans="18:30" x14ac:dyDescent="0.25">
      <c r="R1658" s="176"/>
      <c r="S1658" s="175"/>
      <c r="T1658" s="175"/>
      <c r="U1658" s="175"/>
      <c r="V1658" s="175"/>
      <c r="W1658" s="175"/>
      <c r="X1658" s="175"/>
      <c r="Y1658" s="175"/>
      <c r="Z1658" s="175"/>
      <c r="AA1658" s="175"/>
      <c r="AB1658" s="175"/>
      <c r="AC1658" s="175"/>
      <c r="AD1658" s="175"/>
    </row>
    <row r="1659" spans="18:30" x14ac:dyDescent="0.25">
      <c r="R1659" s="176"/>
      <c r="S1659" s="175"/>
      <c r="T1659" s="175"/>
      <c r="U1659" s="175"/>
      <c r="V1659" s="175"/>
      <c r="W1659" s="175"/>
      <c r="X1659" s="175"/>
      <c r="Y1659" s="175"/>
      <c r="Z1659" s="175"/>
      <c r="AA1659" s="175"/>
      <c r="AB1659" s="175"/>
      <c r="AC1659" s="175"/>
      <c r="AD1659" s="175"/>
    </row>
    <row r="1660" spans="18:30" x14ac:dyDescent="0.25">
      <c r="R1660" s="176"/>
      <c r="S1660" s="175"/>
      <c r="T1660" s="175"/>
      <c r="U1660" s="175"/>
      <c r="V1660" s="175"/>
      <c r="W1660" s="175"/>
      <c r="X1660" s="175"/>
      <c r="Y1660" s="175"/>
      <c r="Z1660" s="175"/>
      <c r="AA1660" s="175"/>
      <c r="AB1660" s="175"/>
      <c r="AC1660" s="175"/>
      <c r="AD1660" s="175"/>
    </row>
    <row r="1661" spans="18:30" x14ac:dyDescent="0.25">
      <c r="R1661" s="176"/>
      <c r="S1661" s="175"/>
      <c r="T1661" s="175"/>
      <c r="U1661" s="175"/>
      <c r="V1661" s="175"/>
      <c r="W1661" s="175"/>
      <c r="X1661" s="175"/>
      <c r="Y1661" s="175"/>
      <c r="Z1661" s="175"/>
      <c r="AA1661" s="175"/>
      <c r="AB1661" s="175"/>
      <c r="AC1661" s="175"/>
      <c r="AD1661" s="175"/>
    </row>
    <row r="1662" spans="18:30" x14ac:dyDescent="0.25">
      <c r="R1662" s="176"/>
      <c r="S1662" s="175"/>
      <c r="T1662" s="175"/>
      <c r="U1662" s="175"/>
      <c r="V1662" s="175"/>
      <c r="W1662" s="175"/>
      <c r="X1662" s="175"/>
      <c r="Y1662" s="175"/>
      <c r="Z1662" s="175"/>
      <c r="AA1662" s="175"/>
      <c r="AB1662" s="175"/>
      <c r="AC1662" s="175"/>
      <c r="AD1662" s="175"/>
    </row>
    <row r="1663" spans="18:30" x14ac:dyDescent="0.25">
      <c r="R1663" s="176"/>
      <c r="S1663" s="175"/>
      <c r="T1663" s="175"/>
      <c r="U1663" s="175"/>
      <c r="V1663" s="175"/>
      <c r="W1663" s="175"/>
      <c r="X1663" s="175"/>
      <c r="Y1663" s="175"/>
      <c r="Z1663" s="175"/>
      <c r="AA1663" s="175"/>
      <c r="AB1663" s="175"/>
      <c r="AC1663" s="175"/>
      <c r="AD1663" s="175"/>
    </row>
    <row r="1664" spans="18:30" x14ac:dyDescent="0.25">
      <c r="R1664" s="176"/>
      <c r="S1664" s="175"/>
      <c r="T1664" s="175"/>
      <c r="U1664" s="175"/>
      <c r="V1664" s="175"/>
      <c r="W1664" s="175"/>
      <c r="X1664" s="175"/>
      <c r="Y1664" s="175"/>
      <c r="Z1664" s="175"/>
      <c r="AA1664" s="175"/>
      <c r="AB1664" s="175"/>
      <c r="AC1664" s="175"/>
      <c r="AD1664" s="175"/>
    </row>
    <row r="1665" spans="18:30" x14ac:dyDescent="0.25">
      <c r="R1665" s="176"/>
      <c r="S1665" s="175"/>
      <c r="T1665" s="175"/>
      <c r="U1665" s="175"/>
      <c r="V1665" s="175"/>
      <c r="W1665" s="175"/>
      <c r="X1665" s="175"/>
      <c r="Y1665" s="175"/>
      <c r="Z1665" s="175"/>
      <c r="AA1665" s="175"/>
      <c r="AB1665" s="175"/>
      <c r="AC1665" s="175"/>
      <c r="AD1665" s="175"/>
    </row>
    <row r="1666" spans="18:30" x14ac:dyDescent="0.25">
      <c r="R1666" s="176"/>
      <c r="S1666" s="175"/>
      <c r="T1666" s="175"/>
      <c r="U1666" s="175"/>
      <c r="V1666" s="175"/>
      <c r="W1666" s="175"/>
      <c r="X1666" s="175"/>
      <c r="Y1666" s="175"/>
      <c r="Z1666" s="175"/>
      <c r="AA1666" s="175"/>
      <c r="AB1666" s="175"/>
      <c r="AC1666" s="175"/>
      <c r="AD1666" s="175"/>
    </row>
    <row r="1667" spans="18:30" x14ac:dyDescent="0.25">
      <c r="R1667" s="176"/>
      <c r="S1667" s="175"/>
      <c r="T1667" s="175"/>
      <c r="U1667" s="175"/>
      <c r="V1667" s="175"/>
      <c r="W1667" s="175"/>
      <c r="X1667" s="175"/>
      <c r="Y1667" s="175"/>
      <c r="Z1667" s="175"/>
      <c r="AA1667" s="175"/>
      <c r="AB1667" s="175"/>
      <c r="AC1667" s="175"/>
      <c r="AD1667" s="175"/>
    </row>
    <row r="1668" spans="18:30" x14ac:dyDescent="0.25">
      <c r="R1668" s="176"/>
      <c r="S1668" s="175"/>
      <c r="T1668" s="175"/>
      <c r="U1668" s="175"/>
      <c r="V1668" s="175"/>
      <c r="W1668" s="175"/>
      <c r="X1668" s="175"/>
      <c r="Y1668" s="175"/>
      <c r="Z1668" s="175"/>
      <c r="AA1668" s="175"/>
      <c r="AB1668" s="175"/>
      <c r="AC1668" s="175"/>
      <c r="AD1668" s="175"/>
    </row>
    <row r="1669" spans="18:30" x14ac:dyDescent="0.25">
      <c r="R1669" s="176"/>
      <c r="S1669" s="175"/>
      <c r="T1669" s="175"/>
      <c r="U1669" s="175"/>
      <c r="V1669" s="175"/>
      <c r="W1669" s="175"/>
      <c r="X1669" s="175"/>
      <c r="Y1669" s="175"/>
      <c r="Z1669" s="175"/>
      <c r="AA1669" s="175"/>
      <c r="AB1669" s="175"/>
      <c r="AC1669" s="175"/>
      <c r="AD1669" s="175"/>
    </row>
    <row r="1670" spans="18:30" x14ac:dyDescent="0.25">
      <c r="R1670" s="176"/>
      <c r="S1670" s="175"/>
      <c r="T1670" s="175"/>
      <c r="U1670" s="175"/>
      <c r="V1670" s="175"/>
      <c r="W1670" s="175"/>
      <c r="X1670" s="175"/>
      <c r="Y1670" s="175"/>
      <c r="Z1670" s="175"/>
      <c r="AA1670" s="175"/>
      <c r="AB1670" s="175"/>
      <c r="AC1670" s="175"/>
      <c r="AD1670" s="175"/>
    </row>
    <row r="1671" spans="18:30" x14ac:dyDescent="0.25">
      <c r="R1671" s="176"/>
      <c r="S1671" s="175"/>
      <c r="T1671" s="175"/>
      <c r="U1671" s="175"/>
      <c r="V1671" s="175"/>
      <c r="W1671" s="175"/>
      <c r="X1671" s="175"/>
      <c r="Y1671" s="175"/>
      <c r="Z1671" s="175"/>
      <c r="AA1671" s="175"/>
      <c r="AB1671" s="175"/>
      <c r="AC1671" s="175"/>
      <c r="AD1671" s="175"/>
    </row>
    <row r="1672" spans="18:30" x14ac:dyDescent="0.25">
      <c r="R1672" s="176"/>
      <c r="S1672" s="175"/>
      <c r="T1672" s="175"/>
      <c r="U1672" s="175"/>
      <c r="V1672" s="175"/>
      <c r="W1672" s="175"/>
      <c r="X1672" s="175"/>
      <c r="Y1672" s="175"/>
      <c r="Z1672" s="175"/>
      <c r="AA1672" s="175"/>
      <c r="AB1672" s="175"/>
      <c r="AC1672" s="175"/>
      <c r="AD1672" s="175"/>
    </row>
    <row r="1673" spans="18:30" x14ac:dyDescent="0.25">
      <c r="R1673" s="176"/>
      <c r="S1673" s="175"/>
      <c r="T1673" s="175"/>
      <c r="U1673" s="175"/>
      <c r="V1673" s="175"/>
      <c r="W1673" s="175"/>
      <c r="X1673" s="175"/>
      <c r="Y1673" s="175"/>
      <c r="Z1673" s="175"/>
      <c r="AA1673" s="175"/>
      <c r="AB1673" s="175"/>
      <c r="AC1673" s="175"/>
      <c r="AD1673" s="175"/>
    </row>
    <row r="1674" spans="18:30" x14ac:dyDescent="0.25">
      <c r="R1674" s="176"/>
      <c r="S1674" s="175"/>
      <c r="T1674" s="175"/>
      <c r="U1674" s="175"/>
      <c r="V1674" s="175"/>
      <c r="W1674" s="175"/>
      <c r="X1674" s="175"/>
      <c r="Y1674" s="175"/>
      <c r="Z1674" s="175"/>
      <c r="AA1674" s="175"/>
      <c r="AB1674" s="175"/>
      <c r="AC1674" s="175"/>
      <c r="AD1674" s="175"/>
    </row>
    <row r="1675" spans="18:30" x14ac:dyDescent="0.25">
      <c r="R1675" s="176"/>
      <c r="S1675" s="175"/>
      <c r="T1675" s="175"/>
      <c r="U1675" s="175"/>
      <c r="V1675" s="175"/>
      <c r="W1675" s="175"/>
      <c r="X1675" s="175"/>
      <c r="Y1675" s="175"/>
      <c r="Z1675" s="175"/>
      <c r="AA1675" s="175"/>
      <c r="AB1675" s="175"/>
      <c r="AC1675" s="175"/>
      <c r="AD1675" s="175"/>
    </row>
    <row r="1676" spans="18:30" x14ac:dyDescent="0.25">
      <c r="R1676" s="176"/>
      <c r="S1676" s="175"/>
      <c r="T1676" s="175"/>
      <c r="U1676" s="175"/>
      <c r="V1676" s="175"/>
      <c r="W1676" s="175"/>
      <c r="X1676" s="175"/>
      <c r="Y1676" s="175"/>
      <c r="Z1676" s="175"/>
      <c r="AA1676" s="175"/>
      <c r="AB1676" s="175"/>
      <c r="AC1676" s="175"/>
      <c r="AD1676" s="175"/>
    </row>
    <row r="1677" spans="18:30" x14ac:dyDescent="0.25">
      <c r="R1677" s="176"/>
      <c r="S1677" s="175"/>
      <c r="T1677" s="175"/>
      <c r="U1677" s="175"/>
      <c r="V1677" s="175"/>
      <c r="W1677" s="175"/>
      <c r="X1677" s="175"/>
      <c r="Y1677" s="175"/>
      <c r="Z1677" s="175"/>
      <c r="AA1677" s="175"/>
      <c r="AB1677" s="175"/>
      <c r="AC1677" s="175"/>
      <c r="AD1677" s="175"/>
    </row>
    <row r="1678" spans="18:30" x14ac:dyDescent="0.25">
      <c r="R1678" s="176"/>
      <c r="S1678" s="175"/>
      <c r="T1678" s="175"/>
      <c r="U1678" s="175"/>
      <c r="V1678" s="175"/>
      <c r="W1678" s="175"/>
      <c r="X1678" s="175"/>
      <c r="Y1678" s="175"/>
      <c r="Z1678" s="175"/>
      <c r="AA1678" s="175"/>
      <c r="AB1678" s="175"/>
      <c r="AC1678" s="175"/>
      <c r="AD1678" s="175"/>
    </row>
    <row r="1679" spans="18:30" x14ac:dyDescent="0.25">
      <c r="R1679" s="176"/>
      <c r="S1679" s="175"/>
      <c r="T1679" s="175"/>
      <c r="U1679" s="175"/>
      <c r="V1679" s="175"/>
      <c r="W1679" s="175"/>
      <c r="X1679" s="175"/>
      <c r="Y1679" s="175"/>
      <c r="Z1679" s="175"/>
      <c r="AA1679" s="175"/>
      <c r="AB1679" s="175"/>
      <c r="AC1679" s="175"/>
      <c r="AD1679" s="175"/>
    </row>
    <row r="1680" spans="18:30" x14ac:dyDescent="0.25">
      <c r="R1680" s="176"/>
      <c r="S1680" s="175"/>
      <c r="T1680" s="175"/>
      <c r="U1680" s="175"/>
      <c r="V1680" s="175"/>
      <c r="W1680" s="175"/>
      <c r="X1680" s="175"/>
      <c r="Y1680" s="175"/>
      <c r="Z1680" s="175"/>
      <c r="AA1680" s="175"/>
      <c r="AB1680" s="175"/>
      <c r="AC1680" s="175"/>
      <c r="AD1680" s="175"/>
    </row>
    <row r="1681" spans="18:30" x14ac:dyDescent="0.25">
      <c r="R1681" s="176"/>
      <c r="S1681" s="175"/>
      <c r="T1681" s="175"/>
      <c r="U1681" s="175"/>
      <c r="V1681" s="175"/>
      <c r="W1681" s="175"/>
      <c r="X1681" s="175"/>
      <c r="Y1681" s="175"/>
      <c r="Z1681" s="175"/>
      <c r="AA1681" s="175"/>
      <c r="AB1681" s="175"/>
      <c r="AC1681" s="175"/>
      <c r="AD1681" s="175"/>
    </row>
    <row r="1682" spans="18:30" x14ac:dyDescent="0.25">
      <c r="R1682" s="176"/>
      <c r="S1682" s="175"/>
      <c r="T1682" s="175"/>
      <c r="U1682" s="175"/>
      <c r="V1682" s="175"/>
      <c r="W1682" s="175"/>
      <c r="X1682" s="175"/>
      <c r="Y1682" s="175"/>
      <c r="Z1682" s="175"/>
      <c r="AA1682" s="175"/>
      <c r="AB1682" s="175"/>
      <c r="AC1682" s="175"/>
      <c r="AD1682" s="175"/>
    </row>
    <row r="1683" spans="18:30" x14ac:dyDescent="0.25">
      <c r="R1683" s="176"/>
      <c r="S1683" s="175"/>
      <c r="T1683" s="175"/>
      <c r="U1683" s="175"/>
      <c r="V1683" s="175"/>
      <c r="W1683" s="175"/>
      <c r="X1683" s="175"/>
      <c r="Y1683" s="175"/>
      <c r="Z1683" s="175"/>
      <c r="AA1683" s="175"/>
      <c r="AB1683" s="175"/>
      <c r="AC1683" s="175"/>
      <c r="AD1683" s="175"/>
    </row>
    <row r="1684" spans="18:30" x14ac:dyDescent="0.25">
      <c r="R1684" s="176"/>
      <c r="S1684" s="175"/>
      <c r="T1684" s="175"/>
      <c r="U1684" s="175"/>
      <c r="V1684" s="175"/>
      <c r="W1684" s="175"/>
      <c r="X1684" s="175"/>
      <c r="Y1684" s="175"/>
      <c r="Z1684" s="175"/>
      <c r="AA1684" s="175"/>
      <c r="AB1684" s="175"/>
      <c r="AC1684" s="175"/>
      <c r="AD1684" s="175"/>
    </row>
    <row r="1685" spans="18:30" x14ac:dyDescent="0.25">
      <c r="R1685" s="176"/>
      <c r="S1685" s="175"/>
      <c r="T1685" s="175"/>
      <c r="U1685" s="175"/>
      <c r="V1685" s="175"/>
      <c r="W1685" s="175"/>
      <c r="X1685" s="175"/>
      <c r="Y1685" s="175"/>
      <c r="Z1685" s="175"/>
      <c r="AA1685" s="175"/>
      <c r="AB1685" s="175"/>
      <c r="AC1685" s="175"/>
      <c r="AD1685" s="175"/>
    </row>
    <row r="1686" spans="18:30" x14ac:dyDescent="0.25">
      <c r="R1686" s="176"/>
      <c r="S1686" s="175"/>
      <c r="T1686" s="175"/>
      <c r="U1686" s="175"/>
      <c r="V1686" s="175"/>
      <c r="W1686" s="175"/>
      <c r="X1686" s="175"/>
      <c r="Y1686" s="175"/>
      <c r="Z1686" s="175"/>
      <c r="AA1686" s="175"/>
      <c r="AB1686" s="175"/>
      <c r="AC1686" s="175"/>
      <c r="AD1686" s="175"/>
    </row>
    <row r="1687" spans="18:30" x14ac:dyDescent="0.25">
      <c r="R1687" s="176"/>
      <c r="S1687" s="175"/>
      <c r="T1687" s="175"/>
      <c r="U1687" s="175"/>
      <c r="V1687" s="175"/>
      <c r="W1687" s="175"/>
      <c r="X1687" s="175"/>
      <c r="Y1687" s="175"/>
      <c r="Z1687" s="175"/>
      <c r="AA1687" s="175"/>
      <c r="AB1687" s="175"/>
      <c r="AC1687" s="175"/>
      <c r="AD1687" s="175"/>
    </row>
    <row r="1688" spans="18:30" x14ac:dyDescent="0.25">
      <c r="R1688" s="176"/>
      <c r="S1688" s="175"/>
      <c r="T1688" s="175"/>
      <c r="U1688" s="175"/>
      <c r="V1688" s="175"/>
      <c r="W1688" s="175"/>
      <c r="X1688" s="175"/>
      <c r="Y1688" s="175"/>
      <c r="Z1688" s="175"/>
      <c r="AA1688" s="175"/>
      <c r="AB1688" s="175"/>
      <c r="AC1688" s="175"/>
      <c r="AD1688" s="175"/>
    </row>
    <row r="1689" spans="18:30" x14ac:dyDescent="0.25">
      <c r="R1689" s="176"/>
      <c r="S1689" s="175"/>
      <c r="T1689" s="175"/>
      <c r="U1689" s="175"/>
      <c r="V1689" s="175"/>
      <c r="W1689" s="175"/>
      <c r="X1689" s="175"/>
      <c r="Y1689" s="175"/>
      <c r="Z1689" s="175"/>
      <c r="AA1689" s="175"/>
      <c r="AB1689" s="175"/>
      <c r="AC1689" s="175"/>
      <c r="AD1689" s="175"/>
    </row>
    <row r="1690" spans="18:30" x14ac:dyDescent="0.25">
      <c r="R1690" s="176"/>
      <c r="S1690" s="175"/>
      <c r="T1690" s="175"/>
      <c r="U1690" s="175"/>
      <c r="V1690" s="175"/>
      <c r="W1690" s="175"/>
      <c r="X1690" s="175"/>
      <c r="Y1690" s="175"/>
      <c r="Z1690" s="175"/>
      <c r="AA1690" s="175"/>
      <c r="AB1690" s="175"/>
      <c r="AC1690" s="175"/>
      <c r="AD1690" s="175"/>
    </row>
    <row r="1691" spans="18:30" x14ac:dyDescent="0.25">
      <c r="R1691" s="176"/>
      <c r="S1691" s="175"/>
      <c r="T1691" s="175"/>
      <c r="U1691" s="175"/>
      <c r="V1691" s="175"/>
      <c r="W1691" s="175"/>
      <c r="X1691" s="175"/>
      <c r="Y1691" s="175"/>
      <c r="Z1691" s="175"/>
      <c r="AA1691" s="175"/>
      <c r="AB1691" s="175"/>
      <c r="AC1691" s="175"/>
      <c r="AD1691" s="175"/>
    </row>
    <row r="1692" spans="18:30" x14ac:dyDescent="0.25">
      <c r="R1692" s="176"/>
      <c r="S1692" s="175"/>
      <c r="T1692" s="175"/>
      <c r="U1692" s="175"/>
      <c r="V1692" s="175"/>
      <c r="W1692" s="175"/>
      <c r="X1692" s="175"/>
      <c r="Y1692" s="175"/>
      <c r="Z1692" s="175"/>
      <c r="AA1692" s="175"/>
      <c r="AB1692" s="175"/>
      <c r="AC1692" s="175"/>
      <c r="AD1692" s="175"/>
    </row>
    <row r="1693" spans="18:30" x14ac:dyDescent="0.25">
      <c r="R1693" s="176"/>
      <c r="S1693" s="175"/>
      <c r="T1693" s="175"/>
      <c r="U1693" s="175"/>
      <c r="V1693" s="175"/>
      <c r="W1693" s="175"/>
      <c r="X1693" s="175"/>
      <c r="Y1693" s="175"/>
      <c r="Z1693" s="175"/>
      <c r="AA1693" s="175"/>
      <c r="AB1693" s="175"/>
      <c r="AC1693" s="175"/>
      <c r="AD1693" s="175"/>
    </row>
    <row r="1694" spans="18:30" x14ac:dyDescent="0.25">
      <c r="R1694" s="176"/>
      <c r="S1694" s="175"/>
      <c r="T1694" s="175"/>
      <c r="U1694" s="175"/>
      <c r="V1694" s="175"/>
      <c r="W1694" s="175"/>
      <c r="X1694" s="175"/>
      <c r="Y1694" s="175"/>
      <c r="Z1694" s="175"/>
      <c r="AA1694" s="175"/>
      <c r="AB1694" s="175"/>
      <c r="AC1694" s="175"/>
      <c r="AD1694" s="175"/>
    </row>
    <row r="1695" spans="18:30" x14ac:dyDescent="0.25">
      <c r="R1695" s="176"/>
      <c r="S1695" s="175"/>
      <c r="T1695" s="175"/>
      <c r="U1695" s="175"/>
      <c r="V1695" s="175"/>
      <c r="W1695" s="175"/>
      <c r="X1695" s="175"/>
      <c r="Y1695" s="175"/>
      <c r="Z1695" s="175"/>
      <c r="AA1695" s="175"/>
      <c r="AB1695" s="175"/>
      <c r="AC1695" s="175"/>
      <c r="AD1695" s="175"/>
    </row>
    <row r="1696" spans="18:30" x14ac:dyDescent="0.25">
      <c r="R1696" s="176"/>
      <c r="S1696" s="175"/>
      <c r="T1696" s="175"/>
      <c r="U1696" s="175"/>
      <c r="V1696" s="175"/>
      <c r="W1696" s="175"/>
      <c r="X1696" s="175"/>
      <c r="Y1696" s="175"/>
      <c r="Z1696" s="175"/>
      <c r="AA1696" s="175"/>
      <c r="AB1696" s="175"/>
      <c r="AC1696" s="175"/>
      <c r="AD1696" s="175"/>
    </row>
    <row r="1697" spans="18:30" x14ac:dyDescent="0.25">
      <c r="R1697" s="176"/>
      <c r="S1697" s="175"/>
      <c r="T1697" s="175"/>
      <c r="U1697" s="175"/>
      <c r="V1697" s="175"/>
      <c r="W1697" s="175"/>
      <c r="X1697" s="175"/>
      <c r="Y1697" s="175"/>
      <c r="Z1697" s="175"/>
      <c r="AA1697" s="175"/>
      <c r="AB1697" s="175"/>
      <c r="AC1697" s="175"/>
      <c r="AD1697" s="175"/>
    </row>
    <row r="1698" spans="18:30" x14ac:dyDescent="0.25">
      <c r="R1698" s="176"/>
      <c r="S1698" s="175"/>
      <c r="T1698" s="175"/>
      <c r="U1698" s="175"/>
      <c r="V1698" s="175"/>
      <c r="W1698" s="175"/>
      <c r="X1698" s="175"/>
      <c r="Y1698" s="175"/>
      <c r="Z1698" s="175"/>
      <c r="AA1698" s="175"/>
      <c r="AB1698" s="175"/>
      <c r="AC1698" s="175"/>
      <c r="AD1698" s="175"/>
    </row>
    <row r="1699" spans="18:30" x14ac:dyDescent="0.25">
      <c r="R1699" s="176"/>
      <c r="S1699" s="175"/>
      <c r="T1699" s="175"/>
      <c r="U1699" s="175"/>
      <c r="V1699" s="175"/>
      <c r="W1699" s="175"/>
      <c r="X1699" s="175"/>
      <c r="Y1699" s="175"/>
      <c r="Z1699" s="175"/>
      <c r="AA1699" s="175"/>
      <c r="AB1699" s="175"/>
      <c r="AC1699" s="175"/>
      <c r="AD1699" s="175"/>
    </row>
    <row r="1700" spans="18:30" x14ac:dyDescent="0.25">
      <c r="R1700" s="176"/>
      <c r="S1700" s="175"/>
      <c r="T1700" s="175"/>
      <c r="U1700" s="175"/>
      <c r="V1700" s="175"/>
      <c r="W1700" s="175"/>
      <c r="X1700" s="175"/>
      <c r="Y1700" s="175"/>
      <c r="Z1700" s="175"/>
      <c r="AA1700" s="175"/>
      <c r="AB1700" s="175"/>
      <c r="AC1700" s="175"/>
      <c r="AD1700" s="175"/>
    </row>
    <row r="1701" spans="18:30" x14ac:dyDescent="0.25">
      <c r="R1701" s="176"/>
      <c r="S1701" s="175"/>
      <c r="T1701" s="175"/>
      <c r="U1701" s="175"/>
      <c r="V1701" s="175"/>
      <c r="W1701" s="175"/>
      <c r="X1701" s="175"/>
      <c r="Y1701" s="175"/>
      <c r="Z1701" s="175"/>
      <c r="AA1701" s="175"/>
      <c r="AB1701" s="175"/>
      <c r="AC1701" s="175"/>
      <c r="AD1701" s="175"/>
    </row>
    <row r="1702" spans="18:30" x14ac:dyDescent="0.25">
      <c r="R1702" s="176"/>
      <c r="S1702" s="175"/>
      <c r="T1702" s="175"/>
      <c r="U1702" s="175"/>
      <c r="V1702" s="175"/>
      <c r="W1702" s="175"/>
      <c r="X1702" s="175"/>
      <c r="Y1702" s="175"/>
      <c r="Z1702" s="175"/>
      <c r="AA1702" s="175"/>
      <c r="AB1702" s="175"/>
      <c r="AC1702" s="175"/>
      <c r="AD1702" s="175"/>
    </row>
    <row r="1703" spans="18:30" x14ac:dyDescent="0.25">
      <c r="R1703" s="176"/>
      <c r="S1703" s="175"/>
      <c r="T1703" s="175"/>
      <c r="U1703" s="175"/>
      <c r="V1703" s="175"/>
      <c r="W1703" s="175"/>
      <c r="X1703" s="175"/>
      <c r="Y1703" s="175"/>
      <c r="Z1703" s="175"/>
      <c r="AA1703" s="175"/>
      <c r="AB1703" s="175"/>
      <c r="AC1703" s="175"/>
      <c r="AD1703" s="175"/>
    </row>
    <row r="1704" spans="18:30" x14ac:dyDescent="0.25">
      <c r="R1704" s="176"/>
      <c r="S1704" s="175"/>
      <c r="T1704" s="175"/>
      <c r="U1704" s="175"/>
      <c r="V1704" s="175"/>
      <c r="W1704" s="175"/>
      <c r="X1704" s="175"/>
      <c r="Y1704" s="175"/>
      <c r="Z1704" s="175"/>
      <c r="AA1704" s="175"/>
      <c r="AB1704" s="175"/>
      <c r="AC1704" s="175"/>
      <c r="AD1704" s="175"/>
    </row>
    <row r="1705" spans="18:30" x14ac:dyDescent="0.25">
      <c r="R1705" s="176"/>
      <c r="S1705" s="175"/>
      <c r="T1705" s="175"/>
      <c r="U1705" s="175"/>
      <c r="V1705" s="175"/>
      <c r="W1705" s="175"/>
      <c r="X1705" s="175"/>
      <c r="Y1705" s="175"/>
      <c r="Z1705" s="175"/>
      <c r="AA1705" s="175"/>
      <c r="AB1705" s="175"/>
      <c r="AC1705" s="175"/>
      <c r="AD1705" s="175"/>
    </row>
    <row r="1706" spans="18:30" x14ac:dyDescent="0.25">
      <c r="R1706" s="176"/>
      <c r="S1706" s="175"/>
      <c r="T1706" s="175"/>
      <c r="U1706" s="175"/>
      <c r="V1706" s="175"/>
      <c r="W1706" s="175"/>
      <c r="X1706" s="175"/>
      <c r="Y1706" s="175"/>
      <c r="Z1706" s="175"/>
      <c r="AA1706" s="175"/>
      <c r="AB1706" s="175"/>
      <c r="AC1706" s="175"/>
      <c r="AD1706" s="175"/>
    </row>
    <row r="1707" spans="18:30" x14ac:dyDescent="0.25">
      <c r="R1707" s="176"/>
      <c r="S1707" s="175"/>
      <c r="T1707" s="175"/>
      <c r="U1707" s="175"/>
      <c r="V1707" s="175"/>
      <c r="W1707" s="175"/>
      <c r="X1707" s="175"/>
      <c r="Y1707" s="175"/>
      <c r="Z1707" s="175"/>
      <c r="AA1707" s="175"/>
      <c r="AB1707" s="175"/>
      <c r="AC1707" s="175"/>
      <c r="AD1707" s="175"/>
    </row>
    <row r="1708" spans="18:30" x14ac:dyDescent="0.25">
      <c r="R1708" s="176"/>
      <c r="S1708" s="175"/>
      <c r="T1708" s="175"/>
      <c r="U1708" s="175"/>
      <c r="V1708" s="175"/>
      <c r="W1708" s="175"/>
      <c r="X1708" s="175"/>
      <c r="Y1708" s="175"/>
      <c r="Z1708" s="175"/>
      <c r="AA1708" s="175"/>
      <c r="AB1708" s="175"/>
      <c r="AC1708" s="175"/>
      <c r="AD1708" s="175"/>
    </row>
    <row r="1709" spans="18:30" x14ac:dyDescent="0.25">
      <c r="R1709" s="176"/>
      <c r="S1709" s="175"/>
      <c r="T1709" s="175"/>
      <c r="U1709" s="175"/>
      <c r="V1709" s="175"/>
      <c r="W1709" s="175"/>
      <c r="X1709" s="175"/>
      <c r="Y1709" s="175"/>
      <c r="Z1709" s="175"/>
      <c r="AA1709" s="175"/>
      <c r="AB1709" s="175"/>
      <c r="AC1709" s="175"/>
      <c r="AD1709" s="175"/>
    </row>
    <row r="1710" spans="18:30" x14ac:dyDescent="0.25">
      <c r="R1710" s="176"/>
      <c r="S1710" s="175"/>
      <c r="T1710" s="175"/>
      <c r="U1710" s="175"/>
      <c r="V1710" s="175"/>
      <c r="W1710" s="175"/>
      <c r="X1710" s="175"/>
      <c r="Y1710" s="175"/>
      <c r="Z1710" s="175"/>
      <c r="AA1710" s="175"/>
      <c r="AB1710" s="175"/>
      <c r="AC1710" s="175"/>
      <c r="AD1710" s="175"/>
    </row>
    <row r="1711" spans="18:30" x14ac:dyDescent="0.25">
      <c r="R1711" s="176"/>
      <c r="S1711" s="175"/>
      <c r="T1711" s="175"/>
      <c r="U1711" s="175"/>
      <c r="V1711" s="175"/>
      <c r="W1711" s="175"/>
      <c r="X1711" s="175"/>
      <c r="Y1711" s="175"/>
      <c r="Z1711" s="175"/>
      <c r="AA1711" s="175"/>
      <c r="AB1711" s="175"/>
      <c r="AC1711" s="175"/>
      <c r="AD1711" s="175"/>
    </row>
    <row r="1712" spans="18:30" x14ac:dyDescent="0.25">
      <c r="R1712" s="176"/>
      <c r="S1712" s="175"/>
      <c r="T1712" s="175"/>
      <c r="U1712" s="175"/>
      <c r="V1712" s="175"/>
      <c r="W1712" s="175"/>
      <c r="X1712" s="175"/>
      <c r="Y1712" s="175"/>
      <c r="Z1712" s="175"/>
      <c r="AA1712" s="175"/>
      <c r="AB1712" s="175"/>
      <c r="AC1712" s="175"/>
      <c r="AD1712" s="175"/>
    </row>
    <row r="1713" spans="18:30" x14ac:dyDescent="0.25">
      <c r="R1713" s="176"/>
      <c r="S1713" s="175"/>
      <c r="T1713" s="175"/>
      <c r="U1713" s="175"/>
      <c r="V1713" s="175"/>
      <c r="W1713" s="175"/>
      <c r="X1713" s="175"/>
      <c r="Y1713" s="175"/>
      <c r="Z1713" s="175"/>
      <c r="AA1713" s="175"/>
      <c r="AB1713" s="175"/>
      <c r="AC1713" s="175"/>
      <c r="AD1713" s="175"/>
    </row>
    <row r="1714" spans="18:30" x14ac:dyDescent="0.25">
      <c r="R1714" s="176"/>
      <c r="S1714" s="175"/>
      <c r="T1714" s="175"/>
      <c r="U1714" s="175"/>
      <c r="V1714" s="175"/>
      <c r="W1714" s="175"/>
      <c r="X1714" s="175"/>
      <c r="Y1714" s="175"/>
      <c r="Z1714" s="175"/>
      <c r="AA1714" s="175"/>
      <c r="AB1714" s="175"/>
      <c r="AC1714" s="175"/>
      <c r="AD1714" s="175"/>
    </row>
    <row r="1715" spans="18:30" x14ac:dyDescent="0.25">
      <c r="R1715" s="176"/>
      <c r="S1715" s="175"/>
      <c r="T1715" s="175"/>
      <c r="U1715" s="175"/>
      <c r="V1715" s="175"/>
      <c r="W1715" s="175"/>
      <c r="X1715" s="175"/>
      <c r="Y1715" s="175"/>
      <c r="Z1715" s="175"/>
      <c r="AA1715" s="175"/>
      <c r="AB1715" s="175"/>
      <c r="AC1715" s="175"/>
      <c r="AD1715" s="175"/>
    </row>
    <row r="1716" spans="18:30" x14ac:dyDescent="0.25">
      <c r="R1716" s="176"/>
      <c r="S1716" s="175"/>
      <c r="T1716" s="175"/>
      <c r="U1716" s="175"/>
      <c r="V1716" s="175"/>
      <c r="W1716" s="175"/>
      <c r="X1716" s="175"/>
      <c r="Y1716" s="175"/>
      <c r="Z1716" s="175"/>
      <c r="AA1716" s="175"/>
      <c r="AB1716" s="175"/>
      <c r="AC1716" s="175"/>
      <c r="AD1716" s="175"/>
    </row>
    <row r="1717" spans="18:30" x14ac:dyDescent="0.25">
      <c r="R1717" s="176"/>
      <c r="S1717" s="175"/>
      <c r="T1717" s="175"/>
      <c r="U1717" s="175"/>
      <c r="V1717" s="175"/>
      <c r="W1717" s="175"/>
      <c r="X1717" s="175"/>
      <c r="Y1717" s="175"/>
      <c r="Z1717" s="175"/>
      <c r="AA1717" s="175"/>
      <c r="AB1717" s="175"/>
      <c r="AC1717" s="175"/>
      <c r="AD1717" s="175"/>
    </row>
    <row r="1718" spans="18:30" x14ac:dyDescent="0.25">
      <c r="R1718" s="176"/>
      <c r="S1718" s="175"/>
      <c r="T1718" s="175"/>
      <c r="U1718" s="175"/>
      <c r="V1718" s="175"/>
      <c r="W1718" s="175"/>
      <c r="X1718" s="175"/>
      <c r="Y1718" s="175"/>
      <c r="Z1718" s="175"/>
      <c r="AA1718" s="175"/>
      <c r="AB1718" s="175"/>
      <c r="AC1718" s="175"/>
      <c r="AD1718" s="175"/>
    </row>
    <row r="1719" spans="18:30" x14ac:dyDescent="0.25">
      <c r="R1719" s="176"/>
      <c r="S1719" s="175"/>
      <c r="T1719" s="175"/>
      <c r="U1719" s="175"/>
      <c r="V1719" s="175"/>
      <c r="W1719" s="175"/>
      <c r="X1719" s="175"/>
      <c r="Y1719" s="175"/>
      <c r="Z1719" s="175"/>
      <c r="AA1719" s="175"/>
      <c r="AB1719" s="175"/>
      <c r="AC1719" s="175"/>
      <c r="AD1719" s="175"/>
    </row>
    <row r="1720" spans="18:30" x14ac:dyDescent="0.25">
      <c r="R1720" s="176"/>
      <c r="S1720" s="175"/>
      <c r="T1720" s="175"/>
      <c r="U1720" s="175"/>
      <c r="V1720" s="175"/>
      <c r="W1720" s="175"/>
      <c r="X1720" s="175"/>
      <c r="Y1720" s="175"/>
      <c r="Z1720" s="175"/>
      <c r="AA1720" s="175"/>
      <c r="AB1720" s="175"/>
      <c r="AC1720" s="175"/>
      <c r="AD1720" s="175"/>
    </row>
    <row r="1721" spans="18:30" x14ac:dyDescent="0.25">
      <c r="R1721" s="176"/>
      <c r="S1721" s="175"/>
      <c r="T1721" s="175"/>
      <c r="U1721" s="175"/>
      <c r="V1721" s="175"/>
      <c r="W1721" s="175"/>
      <c r="X1721" s="175"/>
      <c r="Y1721" s="175"/>
      <c r="Z1721" s="175"/>
      <c r="AA1721" s="175"/>
      <c r="AB1721" s="175"/>
      <c r="AC1721" s="175"/>
      <c r="AD1721" s="175"/>
    </row>
    <row r="1722" spans="18:30" x14ac:dyDescent="0.25">
      <c r="R1722" s="176"/>
      <c r="S1722" s="175"/>
      <c r="T1722" s="175"/>
      <c r="U1722" s="175"/>
      <c r="V1722" s="175"/>
      <c r="W1722" s="175"/>
      <c r="X1722" s="175"/>
      <c r="Y1722" s="175"/>
      <c r="Z1722" s="175"/>
      <c r="AA1722" s="175"/>
      <c r="AB1722" s="175"/>
      <c r="AC1722" s="175"/>
      <c r="AD1722" s="175"/>
    </row>
    <row r="1723" spans="18:30" x14ac:dyDescent="0.25">
      <c r="R1723" s="176"/>
      <c r="S1723" s="175"/>
      <c r="T1723" s="175"/>
      <c r="U1723" s="175"/>
      <c r="V1723" s="175"/>
      <c r="W1723" s="175"/>
      <c r="X1723" s="175"/>
      <c r="Y1723" s="175"/>
      <c r="Z1723" s="175"/>
      <c r="AA1723" s="175"/>
      <c r="AB1723" s="175"/>
      <c r="AC1723" s="175"/>
      <c r="AD1723" s="175"/>
    </row>
    <row r="1724" spans="18:30" x14ac:dyDescent="0.25">
      <c r="R1724" s="176"/>
      <c r="S1724" s="175"/>
      <c r="T1724" s="175"/>
      <c r="U1724" s="175"/>
      <c r="V1724" s="175"/>
      <c r="W1724" s="175"/>
      <c r="X1724" s="175"/>
      <c r="Y1724" s="175"/>
      <c r="Z1724" s="175"/>
      <c r="AA1724" s="175"/>
      <c r="AB1724" s="175"/>
      <c r="AC1724" s="175"/>
      <c r="AD1724" s="175"/>
    </row>
    <row r="1725" spans="18:30" x14ac:dyDescent="0.25">
      <c r="R1725" s="176"/>
      <c r="S1725" s="175"/>
      <c r="T1725" s="175"/>
      <c r="U1725" s="175"/>
      <c r="V1725" s="175"/>
      <c r="W1725" s="175"/>
      <c r="X1725" s="175"/>
      <c r="Y1725" s="175"/>
      <c r="Z1725" s="175"/>
      <c r="AA1725" s="175"/>
      <c r="AB1725" s="175"/>
      <c r="AC1725" s="175"/>
      <c r="AD1725" s="175"/>
    </row>
    <row r="1726" spans="18:30" x14ac:dyDescent="0.25">
      <c r="R1726" s="176"/>
      <c r="S1726" s="175"/>
      <c r="T1726" s="175"/>
      <c r="U1726" s="175"/>
      <c r="V1726" s="175"/>
      <c r="W1726" s="175"/>
      <c r="X1726" s="175"/>
      <c r="Y1726" s="175"/>
      <c r="Z1726" s="175"/>
      <c r="AA1726" s="175"/>
      <c r="AB1726" s="175"/>
      <c r="AC1726" s="175"/>
      <c r="AD1726" s="175"/>
    </row>
    <row r="1727" spans="18:30" x14ac:dyDescent="0.25">
      <c r="R1727" s="176"/>
      <c r="S1727" s="175"/>
      <c r="T1727" s="175"/>
      <c r="U1727" s="175"/>
      <c r="V1727" s="175"/>
      <c r="W1727" s="175"/>
      <c r="X1727" s="175"/>
      <c r="Y1727" s="175"/>
      <c r="Z1727" s="175"/>
      <c r="AA1727" s="175"/>
      <c r="AB1727" s="175"/>
      <c r="AC1727" s="175"/>
      <c r="AD1727" s="175"/>
    </row>
    <row r="1728" spans="18:30" x14ac:dyDescent="0.25">
      <c r="R1728" s="176"/>
      <c r="S1728" s="175"/>
      <c r="T1728" s="175"/>
      <c r="U1728" s="175"/>
      <c r="V1728" s="175"/>
      <c r="W1728" s="175"/>
      <c r="X1728" s="175"/>
      <c r="Y1728" s="175"/>
      <c r="Z1728" s="175"/>
      <c r="AA1728" s="175"/>
      <c r="AB1728" s="175"/>
      <c r="AC1728" s="175"/>
      <c r="AD1728" s="175"/>
    </row>
    <row r="1729" spans="18:30" x14ac:dyDescent="0.25">
      <c r="R1729" s="176"/>
      <c r="S1729" s="175"/>
      <c r="T1729" s="175"/>
      <c r="U1729" s="175"/>
      <c r="V1729" s="175"/>
      <c r="W1729" s="175"/>
      <c r="X1729" s="175"/>
      <c r="Y1729" s="175"/>
      <c r="Z1729" s="175"/>
      <c r="AA1729" s="175"/>
      <c r="AB1729" s="175"/>
      <c r="AC1729" s="175"/>
      <c r="AD1729" s="175"/>
    </row>
    <row r="1730" spans="18:30" x14ac:dyDescent="0.25">
      <c r="R1730" s="176"/>
      <c r="S1730" s="175"/>
      <c r="T1730" s="175"/>
      <c r="U1730" s="175"/>
      <c r="V1730" s="175"/>
      <c r="W1730" s="175"/>
      <c r="X1730" s="175"/>
      <c r="Y1730" s="175"/>
      <c r="Z1730" s="175"/>
      <c r="AA1730" s="175"/>
      <c r="AB1730" s="175"/>
      <c r="AC1730" s="175"/>
      <c r="AD1730" s="175"/>
    </row>
    <row r="1731" spans="18:30" x14ac:dyDescent="0.25">
      <c r="R1731" s="176"/>
      <c r="S1731" s="175"/>
      <c r="T1731" s="175"/>
      <c r="U1731" s="175"/>
      <c r="V1731" s="175"/>
      <c r="W1731" s="175"/>
      <c r="X1731" s="175"/>
      <c r="Y1731" s="175"/>
      <c r="Z1731" s="175"/>
      <c r="AA1731" s="175"/>
      <c r="AB1731" s="175"/>
      <c r="AC1731" s="175"/>
      <c r="AD1731" s="175"/>
    </row>
    <row r="1732" spans="18:30" x14ac:dyDescent="0.25">
      <c r="R1732" s="176"/>
      <c r="S1732" s="175"/>
      <c r="T1732" s="175"/>
      <c r="U1732" s="175"/>
      <c r="V1732" s="175"/>
      <c r="W1732" s="175"/>
      <c r="X1732" s="175"/>
      <c r="Y1732" s="175"/>
      <c r="Z1732" s="175"/>
      <c r="AA1732" s="175"/>
      <c r="AB1732" s="175"/>
      <c r="AC1732" s="175"/>
      <c r="AD1732" s="175"/>
    </row>
    <row r="1733" spans="18:30" x14ac:dyDescent="0.25">
      <c r="R1733" s="176"/>
      <c r="S1733" s="175"/>
      <c r="T1733" s="175"/>
      <c r="U1733" s="175"/>
      <c r="V1733" s="175"/>
      <c r="W1733" s="175"/>
      <c r="X1733" s="175"/>
      <c r="Y1733" s="175"/>
      <c r="Z1733" s="175"/>
      <c r="AA1733" s="175"/>
      <c r="AB1733" s="175"/>
      <c r="AC1733" s="175"/>
      <c r="AD1733" s="175"/>
    </row>
    <row r="1734" spans="18:30" x14ac:dyDescent="0.25">
      <c r="R1734" s="176"/>
      <c r="S1734" s="175"/>
      <c r="T1734" s="175"/>
      <c r="U1734" s="175"/>
      <c r="V1734" s="175"/>
      <c r="W1734" s="175"/>
      <c r="X1734" s="175"/>
      <c r="Y1734" s="175"/>
      <c r="Z1734" s="175"/>
      <c r="AA1734" s="175"/>
      <c r="AB1734" s="175"/>
      <c r="AC1734" s="175"/>
      <c r="AD1734" s="175"/>
    </row>
    <row r="1735" spans="18:30" x14ac:dyDescent="0.25">
      <c r="R1735" s="176"/>
      <c r="S1735" s="175"/>
      <c r="T1735" s="175"/>
      <c r="U1735" s="175"/>
      <c r="V1735" s="175"/>
      <c r="W1735" s="175"/>
      <c r="X1735" s="175"/>
      <c r="Y1735" s="175"/>
      <c r="Z1735" s="175"/>
      <c r="AA1735" s="175"/>
      <c r="AB1735" s="175"/>
      <c r="AC1735" s="175"/>
      <c r="AD1735" s="175"/>
    </row>
    <row r="1736" spans="18:30" x14ac:dyDescent="0.25">
      <c r="R1736" s="176"/>
      <c r="S1736" s="175"/>
      <c r="T1736" s="175"/>
      <c r="U1736" s="175"/>
      <c r="V1736" s="175"/>
      <c r="W1736" s="175"/>
      <c r="X1736" s="175"/>
      <c r="Y1736" s="175"/>
      <c r="Z1736" s="175"/>
      <c r="AA1736" s="175"/>
      <c r="AB1736" s="175"/>
      <c r="AC1736" s="175"/>
      <c r="AD1736" s="175"/>
    </row>
    <row r="1737" spans="18:30" x14ac:dyDescent="0.25">
      <c r="R1737" s="176"/>
      <c r="S1737" s="175"/>
      <c r="T1737" s="175"/>
      <c r="U1737" s="175"/>
      <c r="V1737" s="175"/>
      <c r="W1737" s="175"/>
      <c r="X1737" s="175"/>
      <c r="Y1737" s="175"/>
      <c r="Z1737" s="175"/>
      <c r="AA1737" s="175"/>
      <c r="AB1737" s="175"/>
      <c r="AC1737" s="175"/>
      <c r="AD1737" s="175"/>
    </row>
    <row r="1738" spans="18:30" x14ac:dyDescent="0.25">
      <c r="R1738" s="176"/>
      <c r="S1738" s="175"/>
      <c r="T1738" s="175"/>
      <c r="U1738" s="175"/>
      <c r="V1738" s="175"/>
      <c r="W1738" s="175"/>
      <c r="X1738" s="175"/>
      <c r="Y1738" s="175"/>
      <c r="Z1738" s="175"/>
      <c r="AA1738" s="175"/>
      <c r="AB1738" s="175"/>
      <c r="AC1738" s="175"/>
      <c r="AD1738" s="175"/>
    </row>
    <row r="1739" spans="18:30" x14ac:dyDescent="0.25">
      <c r="R1739" s="176"/>
      <c r="S1739" s="175"/>
      <c r="T1739" s="175"/>
      <c r="U1739" s="175"/>
      <c r="V1739" s="175"/>
      <c r="W1739" s="175"/>
      <c r="X1739" s="175"/>
      <c r="Y1739" s="175"/>
      <c r="Z1739" s="175"/>
      <c r="AA1739" s="175"/>
      <c r="AB1739" s="175"/>
      <c r="AC1739" s="175"/>
      <c r="AD1739" s="175"/>
    </row>
    <row r="1740" spans="18:30" x14ac:dyDescent="0.25">
      <c r="R1740" s="176"/>
      <c r="S1740" s="175"/>
      <c r="T1740" s="175"/>
      <c r="U1740" s="175"/>
      <c r="V1740" s="175"/>
      <c r="W1740" s="175"/>
      <c r="X1740" s="175"/>
      <c r="Y1740" s="175"/>
      <c r="Z1740" s="175"/>
      <c r="AA1740" s="175"/>
      <c r="AB1740" s="175"/>
      <c r="AC1740" s="175"/>
      <c r="AD1740" s="175"/>
    </row>
    <row r="1741" spans="18:30" x14ac:dyDescent="0.25">
      <c r="R1741" s="176"/>
      <c r="S1741" s="175"/>
      <c r="T1741" s="175"/>
      <c r="U1741" s="175"/>
      <c r="V1741" s="175"/>
      <c r="W1741" s="175"/>
      <c r="X1741" s="175"/>
      <c r="Y1741" s="175"/>
      <c r="Z1741" s="175"/>
      <c r="AA1741" s="175"/>
      <c r="AB1741" s="175"/>
      <c r="AC1741" s="175"/>
      <c r="AD1741" s="175"/>
    </row>
    <row r="1742" spans="18:30" x14ac:dyDescent="0.25">
      <c r="R1742" s="176"/>
      <c r="S1742" s="175"/>
      <c r="T1742" s="175"/>
      <c r="U1742" s="175"/>
      <c r="V1742" s="175"/>
      <c r="W1742" s="175"/>
      <c r="X1742" s="175"/>
      <c r="Y1742" s="175"/>
      <c r="Z1742" s="175"/>
      <c r="AA1742" s="175"/>
      <c r="AB1742" s="175"/>
      <c r="AC1742" s="175"/>
      <c r="AD1742" s="175"/>
    </row>
    <row r="1743" spans="18:30" x14ac:dyDescent="0.25">
      <c r="R1743" s="176"/>
      <c r="S1743" s="175"/>
      <c r="T1743" s="175"/>
      <c r="U1743" s="175"/>
      <c r="V1743" s="175"/>
      <c r="W1743" s="175"/>
      <c r="X1743" s="175"/>
      <c r="Y1743" s="175"/>
      <c r="Z1743" s="175"/>
      <c r="AA1743" s="175"/>
      <c r="AB1743" s="175"/>
      <c r="AC1743" s="175"/>
      <c r="AD1743" s="175"/>
    </row>
    <row r="1744" spans="18:30" x14ac:dyDescent="0.25">
      <c r="R1744" s="176"/>
      <c r="S1744" s="175"/>
      <c r="T1744" s="175"/>
      <c r="U1744" s="175"/>
      <c r="V1744" s="175"/>
      <c r="W1744" s="175"/>
      <c r="X1744" s="175"/>
      <c r="Y1744" s="175"/>
      <c r="Z1744" s="175"/>
      <c r="AA1744" s="175"/>
      <c r="AB1744" s="175"/>
      <c r="AC1744" s="175"/>
      <c r="AD1744" s="175"/>
    </row>
    <row r="1745" spans="18:30" x14ac:dyDescent="0.25">
      <c r="R1745" s="176"/>
      <c r="S1745" s="175"/>
      <c r="T1745" s="175"/>
      <c r="U1745" s="175"/>
      <c r="V1745" s="175"/>
      <c r="W1745" s="175"/>
      <c r="X1745" s="175"/>
      <c r="Y1745" s="175"/>
      <c r="Z1745" s="175"/>
      <c r="AA1745" s="175"/>
      <c r="AB1745" s="175"/>
      <c r="AC1745" s="175"/>
      <c r="AD1745" s="175"/>
    </row>
    <row r="1746" spans="18:30" x14ac:dyDescent="0.25">
      <c r="R1746" s="176"/>
      <c r="S1746" s="175"/>
      <c r="T1746" s="175"/>
      <c r="U1746" s="175"/>
      <c r="V1746" s="175"/>
      <c r="W1746" s="175"/>
      <c r="X1746" s="175"/>
      <c r="Y1746" s="175"/>
      <c r="Z1746" s="175"/>
      <c r="AA1746" s="175"/>
      <c r="AB1746" s="175"/>
      <c r="AC1746" s="175"/>
      <c r="AD1746" s="175"/>
    </row>
    <row r="1747" spans="18:30" x14ac:dyDescent="0.25">
      <c r="R1747" s="176"/>
      <c r="S1747" s="175"/>
      <c r="T1747" s="175"/>
      <c r="U1747" s="175"/>
      <c r="V1747" s="175"/>
      <c r="W1747" s="175"/>
      <c r="X1747" s="175"/>
      <c r="Y1747" s="175"/>
      <c r="Z1747" s="175"/>
      <c r="AA1747" s="175"/>
      <c r="AB1747" s="175"/>
      <c r="AC1747" s="175"/>
      <c r="AD1747" s="175"/>
    </row>
    <row r="1748" spans="18:30" x14ac:dyDescent="0.25">
      <c r="R1748" s="176"/>
      <c r="S1748" s="175"/>
      <c r="T1748" s="175"/>
      <c r="U1748" s="175"/>
      <c r="V1748" s="175"/>
      <c r="W1748" s="175"/>
      <c r="X1748" s="175"/>
      <c r="Y1748" s="175"/>
      <c r="Z1748" s="175"/>
      <c r="AA1748" s="175"/>
      <c r="AB1748" s="175"/>
      <c r="AC1748" s="175"/>
      <c r="AD1748" s="175"/>
    </row>
    <row r="1749" spans="18:30" x14ac:dyDescent="0.25">
      <c r="R1749" s="176"/>
      <c r="S1749" s="175"/>
      <c r="T1749" s="175"/>
      <c r="U1749" s="175"/>
      <c r="V1749" s="175"/>
      <c r="W1749" s="175"/>
      <c r="X1749" s="175"/>
      <c r="Y1749" s="175"/>
      <c r="Z1749" s="175"/>
      <c r="AA1749" s="175"/>
      <c r="AB1749" s="175"/>
      <c r="AC1749" s="175"/>
      <c r="AD1749" s="175"/>
    </row>
    <row r="1750" spans="18:30" x14ac:dyDescent="0.25">
      <c r="R1750" s="176"/>
      <c r="S1750" s="175"/>
      <c r="T1750" s="175"/>
      <c r="U1750" s="175"/>
      <c r="V1750" s="175"/>
      <c r="W1750" s="175"/>
      <c r="X1750" s="175"/>
      <c r="Y1750" s="175"/>
      <c r="Z1750" s="175"/>
      <c r="AA1750" s="175"/>
      <c r="AB1750" s="175"/>
      <c r="AC1750" s="175"/>
      <c r="AD1750" s="175"/>
    </row>
    <row r="1751" spans="18:30" x14ac:dyDescent="0.25">
      <c r="R1751" s="176"/>
      <c r="S1751" s="175"/>
      <c r="T1751" s="175"/>
      <c r="U1751" s="175"/>
      <c r="V1751" s="175"/>
      <c r="W1751" s="175"/>
      <c r="X1751" s="175"/>
      <c r="Y1751" s="175"/>
      <c r="Z1751" s="175"/>
      <c r="AA1751" s="175"/>
      <c r="AB1751" s="175"/>
      <c r="AC1751" s="175"/>
      <c r="AD1751" s="175"/>
    </row>
    <row r="1752" spans="18:30" x14ac:dyDescent="0.25">
      <c r="R1752" s="176"/>
      <c r="S1752" s="175"/>
      <c r="T1752" s="175"/>
      <c r="U1752" s="175"/>
      <c r="V1752" s="175"/>
      <c r="W1752" s="175"/>
      <c r="X1752" s="175"/>
      <c r="Y1752" s="175"/>
      <c r="Z1752" s="175"/>
      <c r="AA1752" s="175"/>
      <c r="AB1752" s="175"/>
      <c r="AC1752" s="175"/>
      <c r="AD1752" s="175"/>
    </row>
    <row r="1753" spans="18:30" x14ac:dyDescent="0.25">
      <c r="R1753" s="176"/>
      <c r="S1753" s="175"/>
      <c r="T1753" s="175"/>
      <c r="U1753" s="175"/>
      <c r="V1753" s="175"/>
      <c r="W1753" s="175"/>
      <c r="X1753" s="175"/>
      <c r="Y1753" s="175"/>
      <c r="Z1753" s="175"/>
      <c r="AA1753" s="175"/>
      <c r="AB1753" s="175"/>
      <c r="AC1753" s="175"/>
      <c r="AD1753" s="175"/>
    </row>
    <row r="1754" spans="18:30" x14ac:dyDescent="0.25">
      <c r="R1754" s="176"/>
      <c r="S1754" s="175"/>
      <c r="T1754" s="175"/>
      <c r="U1754" s="175"/>
      <c r="V1754" s="175"/>
      <c r="W1754" s="175"/>
      <c r="X1754" s="175"/>
      <c r="Y1754" s="175"/>
      <c r="Z1754" s="175"/>
      <c r="AA1754" s="175"/>
      <c r="AB1754" s="175"/>
      <c r="AC1754" s="175"/>
      <c r="AD1754" s="175"/>
    </row>
    <row r="1755" spans="18:30" x14ac:dyDescent="0.25">
      <c r="R1755" s="176"/>
      <c r="S1755" s="175"/>
      <c r="T1755" s="175"/>
      <c r="U1755" s="175"/>
      <c r="V1755" s="175"/>
      <c r="W1755" s="175"/>
      <c r="X1755" s="175"/>
      <c r="Y1755" s="175"/>
      <c r="Z1755" s="175"/>
      <c r="AA1755" s="175"/>
      <c r="AB1755" s="175"/>
      <c r="AC1755" s="175"/>
      <c r="AD1755" s="175"/>
    </row>
    <row r="1756" spans="18:30" x14ac:dyDescent="0.25">
      <c r="R1756" s="176"/>
      <c r="S1756" s="175"/>
      <c r="T1756" s="175"/>
      <c r="U1756" s="175"/>
      <c r="V1756" s="175"/>
      <c r="W1756" s="175"/>
      <c r="X1756" s="175"/>
      <c r="Y1756" s="175"/>
      <c r="Z1756" s="175"/>
      <c r="AA1756" s="175"/>
      <c r="AB1756" s="175"/>
      <c r="AC1756" s="175"/>
      <c r="AD1756" s="175"/>
    </row>
    <row r="1757" spans="18:30" x14ac:dyDescent="0.25">
      <c r="R1757" s="176"/>
      <c r="S1757" s="175"/>
      <c r="T1757" s="175"/>
      <c r="U1757" s="175"/>
      <c r="V1757" s="175"/>
      <c r="W1757" s="175"/>
      <c r="X1757" s="175"/>
      <c r="Y1757" s="175"/>
      <c r="Z1757" s="175"/>
      <c r="AA1757" s="175"/>
      <c r="AB1757" s="175"/>
      <c r="AC1757" s="175"/>
      <c r="AD1757" s="175"/>
    </row>
    <row r="1758" spans="18:30" x14ac:dyDescent="0.25">
      <c r="R1758" s="176"/>
      <c r="S1758" s="175"/>
      <c r="T1758" s="175"/>
      <c r="U1758" s="175"/>
      <c r="V1758" s="175"/>
      <c r="W1758" s="175"/>
      <c r="X1758" s="175"/>
      <c r="Y1758" s="175"/>
      <c r="Z1758" s="175"/>
      <c r="AA1758" s="175"/>
      <c r="AB1758" s="175"/>
      <c r="AC1758" s="175"/>
      <c r="AD1758" s="175"/>
    </row>
    <row r="1759" spans="18:30" x14ac:dyDescent="0.25">
      <c r="R1759" s="176"/>
      <c r="S1759" s="175"/>
      <c r="T1759" s="175"/>
      <c r="U1759" s="175"/>
      <c r="V1759" s="175"/>
      <c r="W1759" s="175"/>
      <c r="X1759" s="175"/>
      <c r="Y1759" s="175"/>
      <c r="Z1759" s="175"/>
      <c r="AA1759" s="175"/>
      <c r="AB1759" s="175"/>
      <c r="AC1759" s="175"/>
      <c r="AD1759" s="175"/>
    </row>
    <row r="1760" spans="18:30" x14ac:dyDescent="0.25">
      <c r="R1760" s="176"/>
      <c r="S1760" s="175"/>
      <c r="T1760" s="175"/>
      <c r="U1760" s="175"/>
      <c r="V1760" s="175"/>
      <c r="W1760" s="175"/>
      <c r="X1760" s="175"/>
      <c r="Y1760" s="175"/>
      <c r="Z1760" s="175"/>
      <c r="AA1760" s="175"/>
      <c r="AB1760" s="175"/>
      <c r="AC1760" s="175"/>
      <c r="AD1760" s="175"/>
    </row>
    <row r="1761" spans="18:30" x14ac:dyDescent="0.25">
      <c r="R1761" s="176"/>
      <c r="S1761" s="175"/>
      <c r="T1761" s="175"/>
      <c r="U1761" s="175"/>
      <c r="V1761" s="175"/>
      <c r="W1761" s="175"/>
      <c r="X1761" s="175"/>
      <c r="Y1761" s="175"/>
      <c r="Z1761" s="175"/>
      <c r="AA1761" s="175"/>
      <c r="AB1761" s="175"/>
      <c r="AC1761" s="175"/>
      <c r="AD1761" s="175"/>
    </row>
    <row r="1762" spans="18:30" x14ac:dyDescent="0.25">
      <c r="R1762" s="176"/>
      <c r="S1762" s="175"/>
      <c r="T1762" s="175"/>
      <c r="U1762" s="175"/>
      <c r="V1762" s="175"/>
      <c r="W1762" s="175"/>
      <c r="X1762" s="175"/>
      <c r="Y1762" s="175"/>
      <c r="Z1762" s="175"/>
      <c r="AA1762" s="175"/>
      <c r="AB1762" s="175"/>
      <c r="AC1762" s="175"/>
      <c r="AD1762" s="175"/>
    </row>
    <row r="1763" spans="18:30" x14ac:dyDescent="0.25">
      <c r="R1763" s="176"/>
      <c r="S1763" s="175"/>
      <c r="T1763" s="175"/>
      <c r="U1763" s="175"/>
      <c r="V1763" s="175"/>
      <c r="W1763" s="175"/>
      <c r="X1763" s="175"/>
      <c r="Y1763" s="175"/>
      <c r="Z1763" s="175"/>
      <c r="AA1763" s="175"/>
      <c r="AB1763" s="175"/>
      <c r="AC1763" s="175"/>
      <c r="AD1763" s="175"/>
    </row>
    <row r="1764" spans="18:30" x14ac:dyDescent="0.25">
      <c r="R1764" s="176"/>
      <c r="S1764" s="175"/>
      <c r="T1764" s="175"/>
      <c r="U1764" s="175"/>
      <c r="V1764" s="175"/>
      <c r="W1764" s="175"/>
      <c r="X1764" s="175"/>
      <c r="Y1764" s="175"/>
      <c r="Z1764" s="175"/>
      <c r="AA1764" s="175"/>
      <c r="AB1764" s="175"/>
      <c r="AC1764" s="175"/>
      <c r="AD1764" s="175"/>
    </row>
    <row r="1765" spans="18:30" x14ac:dyDescent="0.25">
      <c r="R1765" s="176"/>
      <c r="S1765" s="175"/>
      <c r="T1765" s="175"/>
      <c r="U1765" s="175"/>
      <c r="V1765" s="175"/>
      <c r="W1765" s="175"/>
      <c r="X1765" s="175"/>
      <c r="Y1765" s="175"/>
      <c r="Z1765" s="175"/>
      <c r="AA1765" s="175"/>
      <c r="AB1765" s="175"/>
      <c r="AC1765" s="175"/>
      <c r="AD1765" s="175"/>
    </row>
    <row r="1766" spans="18:30" x14ac:dyDescent="0.25">
      <c r="R1766" s="176"/>
      <c r="S1766" s="175"/>
      <c r="T1766" s="175"/>
      <c r="U1766" s="175"/>
      <c r="V1766" s="175"/>
      <c r="W1766" s="175"/>
      <c r="X1766" s="175"/>
      <c r="Y1766" s="175"/>
      <c r="Z1766" s="175"/>
      <c r="AA1766" s="175"/>
      <c r="AB1766" s="175"/>
      <c r="AC1766" s="175"/>
      <c r="AD1766" s="175"/>
    </row>
    <row r="1767" spans="18:30" x14ac:dyDescent="0.25">
      <c r="R1767" s="176"/>
      <c r="S1767" s="175"/>
      <c r="T1767" s="175"/>
      <c r="U1767" s="175"/>
      <c r="V1767" s="175"/>
      <c r="W1767" s="175"/>
      <c r="X1767" s="175"/>
      <c r="Y1767" s="175"/>
      <c r="Z1767" s="175"/>
      <c r="AA1767" s="175"/>
      <c r="AB1767" s="175"/>
      <c r="AC1767" s="175"/>
      <c r="AD1767" s="175"/>
    </row>
    <row r="1768" spans="18:30" x14ac:dyDescent="0.25">
      <c r="R1768" s="176"/>
      <c r="S1768" s="175"/>
      <c r="T1768" s="175"/>
      <c r="U1768" s="175"/>
      <c r="V1768" s="175"/>
      <c r="W1768" s="175"/>
      <c r="X1768" s="175"/>
      <c r="Y1768" s="175"/>
      <c r="Z1768" s="175"/>
      <c r="AA1768" s="175"/>
      <c r="AB1768" s="175"/>
      <c r="AC1768" s="175"/>
      <c r="AD1768" s="175"/>
    </row>
    <row r="1769" spans="18:30" x14ac:dyDescent="0.25">
      <c r="R1769" s="176"/>
      <c r="S1769" s="175"/>
      <c r="T1769" s="175"/>
      <c r="U1769" s="175"/>
      <c r="V1769" s="175"/>
      <c r="W1769" s="175"/>
      <c r="X1769" s="175"/>
      <c r="Y1769" s="175"/>
      <c r="Z1769" s="175"/>
      <c r="AA1769" s="175"/>
      <c r="AB1769" s="175"/>
      <c r="AC1769" s="175"/>
      <c r="AD1769" s="175"/>
    </row>
    <row r="1770" spans="18:30" x14ac:dyDescent="0.25">
      <c r="R1770" s="176"/>
      <c r="S1770" s="175"/>
      <c r="T1770" s="175"/>
      <c r="U1770" s="175"/>
      <c r="V1770" s="175"/>
      <c r="W1770" s="175"/>
      <c r="X1770" s="175"/>
      <c r="Y1770" s="175"/>
      <c r="Z1770" s="175"/>
      <c r="AA1770" s="175"/>
      <c r="AB1770" s="175"/>
      <c r="AC1770" s="175"/>
      <c r="AD1770" s="175"/>
    </row>
    <row r="1771" spans="18:30" x14ac:dyDescent="0.25">
      <c r="R1771" s="176"/>
      <c r="S1771" s="175"/>
      <c r="T1771" s="175"/>
      <c r="U1771" s="175"/>
      <c r="V1771" s="175"/>
      <c r="W1771" s="175"/>
      <c r="X1771" s="175"/>
      <c r="Y1771" s="175"/>
      <c r="Z1771" s="175"/>
      <c r="AA1771" s="175"/>
      <c r="AB1771" s="175"/>
      <c r="AC1771" s="175"/>
      <c r="AD1771" s="175"/>
    </row>
    <row r="1772" spans="18:30" x14ac:dyDescent="0.25">
      <c r="R1772" s="176"/>
      <c r="S1772" s="175"/>
      <c r="T1772" s="175"/>
      <c r="U1772" s="175"/>
      <c r="V1772" s="175"/>
      <c r="W1772" s="175"/>
      <c r="X1772" s="175"/>
      <c r="Y1772" s="175"/>
      <c r="Z1772" s="175"/>
      <c r="AA1772" s="175"/>
      <c r="AB1772" s="175"/>
      <c r="AC1772" s="175"/>
      <c r="AD1772" s="175"/>
    </row>
    <row r="1773" spans="18:30" x14ac:dyDescent="0.25">
      <c r="R1773" s="176"/>
      <c r="S1773" s="175"/>
      <c r="T1773" s="175"/>
      <c r="U1773" s="175"/>
      <c r="V1773" s="175"/>
      <c r="W1773" s="175"/>
      <c r="X1773" s="175"/>
      <c r="Y1773" s="175"/>
      <c r="Z1773" s="175"/>
      <c r="AA1773" s="175"/>
      <c r="AB1773" s="175"/>
      <c r="AC1773" s="175"/>
      <c r="AD1773" s="175"/>
    </row>
    <row r="1774" spans="18:30" x14ac:dyDescent="0.25">
      <c r="R1774" s="176"/>
      <c r="S1774" s="175"/>
      <c r="T1774" s="175"/>
      <c r="U1774" s="175"/>
      <c r="V1774" s="175"/>
      <c r="W1774" s="175"/>
      <c r="X1774" s="175"/>
      <c r="Y1774" s="175"/>
      <c r="Z1774" s="175"/>
      <c r="AA1774" s="175"/>
      <c r="AB1774" s="175"/>
      <c r="AC1774" s="175"/>
      <c r="AD1774" s="175"/>
    </row>
    <row r="1775" spans="18:30" x14ac:dyDescent="0.25">
      <c r="R1775" s="176"/>
      <c r="S1775" s="175"/>
      <c r="T1775" s="175"/>
      <c r="U1775" s="175"/>
      <c r="V1775" s="175"/>
      <c r="W1775" s="175"/>
      <c r="X1775" s="175"/>
      <c r="Y1775" s="175"/>
      <c r="Z1775" s="175"/>
      <c r="AA1775" s="175"/>
      <c r="AB1775" s="175"/>
      <c r="AC1775" s="175"/>
      <c r="AD1775" s="175"/>
    </row>
    <row r="1776" spans="18:30" x14ac:dyDescent="0.25">
      <c r="R1776" s="176"/>
      <c r="S1776" s="175"/>
      <c r="T1776" s="175"/>
      <c r="U1776" s="175"/>
      <c r="V1776" s="175"/>
      <c r="W1776" s="175"/>
      <c r="X1776" s="175"/>
      <c r="Y1776" s="175"/>
      <c r="Z1776" s="175"/>
      <c r="AA1776" s="175"/>
      <c r="AB1776" s="175"/>
      <c r="AC1776" s="175"/>
      <c r="AD1776" s="175"/>
    </row>
    <row r="1777" spans="18:30" x14ac:dyDescent="0.25">
      <c r="R1777" s="176"/>
      <c r="S1777" s="175"/>
      <c r="T1777" s="175"/>
      <c r="U1777" s="175"/>
      <c r="V1777" s="175"/>
      <c r="W1777" s="175"/>
      <c r="X1777" s="175"/>
      <c r="Y1777" s="175"/>
      <c r="Z1777" s="175"/>
      <c r="AA1777" s="175"/>
      <c r="AB1777" s="175"/>
      <c r="AC1777" s="175"/>
      <c r="AD1777" s="175"/>
    </row>
    <row r="1778" spans="18:30" x14ac:dyDescent="0.25">
      <c r="R1778" s="176"/>
      <c r="S1778" s="175"/>
      <c r="T1778" s="175"/>
      <c r="U1778" s="175"/>
      <c r="V1778" s="175"/>
      <c r="W1778" s="175"/>
      <c r="X1778" s="175"/>
      <c r="Y1778" s="175"/>
      <c r="Z1778" s="175"/>
      <c r="AA1778" s="175"/>
      <c r="AB1778" s="175"/>
      <c r="AC1778" s="175"/>
      <c r="AD1778" s="175"/>
    </row>
    <row r="1779" spans="18:30" x14ac:dyDescent="0.25">
      <c r="R1779" s="176"/>
      <c r="S1779" s="175"/>
      <c r="T1779" s="175"/>
      <c r="U1779" s="175"/>
      <c r="V1779" s="175"/>
      <c r="W1779" s="175"/>
      <c r="X1779" s="175"/>
      <c r="Y1779" s="175"/>
      <c r="Z1779" s="175"/>
      <c r="AA1779" s="175"/>
      <c r="AB1779" s="175"/>
      <c r="AC1779" s="175"/>
      <c r="AD1779" s="175"/>
    </row>
    <row r="1780" spans="18:30" x14ac:dyDescent="0.25">
      <c r="R1780" s="176"/>
      <c r="S1780" s="175"/>
      <c r="T1780" s="175"/>
      <c r="U1780" s="175"/>
      <c r="V1780" s="175"/>
      <c r="W1780" s="175"/>
      <c r="X1780" s="175"/>
      <c r="Y1780" s="175"/>
      <c r="Z1780" s="175"/>
      <c r="AA1780" s="175"/>
      <c r="AB1780" s="175"/>
      <c r="AC1780" s="175"/>
      <c r="AD1780" s="175"/>
    </row>
    <row r="1781" spans="18:30" x14ac:dyDescent="0.25">
      <c r="R1781" s="176"/>
      <c r="S1781" s="175"/>
      <c r="T1781" s="175"/>
      <c r="U1781" s="175"/>
      <c r="V1781" s="175"/>
      <c r="W1781" s="175"/>
      <c r="X1781" s="175"/>
      <c r="Y1781" s="175"/>
      <c r="Z1781" s="175"/>
      <c r="AA1781" s="175"/>
      <c r="AB1781" s="175"/>
      <c r="AC1781" s="175"/>
      <c r="AD1781" s="175"/>
    </row>
    <row r="1782" spans="18:30" x14ac:dyDescent="0.25">
      <c r="R1782" s="176"/>
      <c r="S1782" s="175"/>
      <c r="T1782" s="175"/>
      <c r="U1782" s="175"/>
      <c r="V1782" s="175"/>
      <c r="W1782" s="175"/>
      <c r="X1782" s="175"/>
      <c r="Y1782" s="175"/>
      <c r="Z1782" s="175"/>
      <c r="AA1782" s="175"/>
      <c r="AB1782" s="175"/>
      <c r="AC1782" s="175"/>
      <c r="AD1782" s="175"/>
    </row>
    <row r="1783" spans="18:30" x14ac:dyDescent="0.25">
      <c r="R1783" s="176"/>
      <c r="S1783" s="175"/>
      <c r="T1783" s="175"/>
      <c r="U1783" s="175"/>
      <c r="V1783" s="175"/>
      <c r="W1783" s="175"/>
      <c r="X1783" s="175"/>
      <c r="Y1783" s="175"/>
      <c r="Z1783" s="175"/>
      <c r="AA1783" s="175"/>
      <c r="AB1783" s="175"/>
      <c r="AC1783" s="175"/>
      <c r="AD1783" s="175"/>
    </row>
    <row r="1784" spans="18:30" x14ac:dyDescent="0.25">
      <c r="R1784" s="176"/>
      <c r="S1784" s="175"/>
      <c r="T1784" s="175"/>
      <c r="U1784" s="175"/>
      <c r="V1784" s="175"/>
      <c r="W1784" s="175"/>
      <c r="X1784" s="175"/>
      <c r="Y1784" s="175"/>
      <c r="Z1784" s="175"/>
      <c r="AA1784" s="175"/>
      <c r="AB1784" s="175"/>
      <c r="AC1784" s="175"/>
      <c r="AD1784" s="175"/>
    </row>
    <row r="1785" spans="18:30" x14ac:dyDescent="0.25">
      <c r="R1785" s="176"/>
      <c r="S1785" s="175"/>
      <c r="T1785" s="175"/>
      <c r="U1785" s="175"/>
      <c r="V1785" s="175"/>
      <c r="W1785" s="175"/>
      <c r="X1785" s="175"/>
      <c r="Y1785" s="175"/>
      <c r="Z1785" s="175"/>
      <c r="AA1785" s="175"/>
      <c r="AB1785" s="175"/>
      <c r="AC1785" s="175"/>
      <c r="AD1785" s="175"/>
    </row>
    <row r="1786" spans="18:30" x14ac:dyDescent="0.25">
      <c r="R1786" s="176"/>
      <c r="S1786" s="175"/>
      <c r="T1786" s="175"/>
      <c r="U1786" s="175"/>
      <c r="V1786" s="175"/>
      <c r="W1786" s="175"/>
      <c r="X1786" s="175"/>
      <c r="Y1786" s="175"/>
      <c r="Z1786" s="175"/>
      <c r="AA1786" s="175"/>
      <c r="AB1786" s="175"/>
      <c r="AC1786" s="175"/>
      <c r="AD1786" s="175"/>
    </row>
    <row r="1787" spans="18:30" x14ac:dyDescent="0.25">
      <c r="R1787" s="176"/>
      <c r="S1787" s="175"/>
      <c r="T1787" s="175"/>
      <c r="U1787" s="175"/>
      <c r="V1787" s="175"/>
      <c r="W1787" s="175"/>
      <c r="X1787" s="175"/>
      <c r="Y1787" s="175"/>
      <c r="Z1787" s="175"/>
      <c r="AA1787" s="175"/>
      <c r="AB1787" s="175"/>
      <c r="AC1787" s="175"/>
      <c r="AD1787" s="175"/>
    </row>
    <row r="1788" spans="18:30" x14ac:dyDescent="0.25">
      <c r="R1788" s="176"/>
      <c r="S1788" s="175"/>
      <c r="T1788" s="175"/>
      <c r="U1788" s="175"/>
      <c r="V1788" s="175"/>
      <c r="W1788" s="175"/>
      <c r="X1788" s="175"/>
      <c r="Y1788" s="175"/>
      <c r="Z1788" s="175"/>
      <c r="AA1788" s="175"/>
      <c r="AB1788" s="175"/>
      <c r="AC1788" s="175"/>
      <c r="AD1788" s="175"/>
    </row>
    <row r="1789" spans="18:30" x14ac:dyDescent="0.25">
      <c r="R1789" s="176"/>
      <c r="S1789" s="175"/>
      <c r="T1789" s="175"/>
      <c r="U1789" s="175"/>
      <c r="V1789" s="175"/>
      <c r="W1789" s="175"/>
      <c r="X1789" s="175"/>
      <c r="Y1789" s="175"/>
      <c r="Z1789" s="175"/>
      <c r="AA1789" s="175"/>
      <c r="AB1789" s="175"/>
      <c r="AC1789" s="175"/>
      <c r="AD1789" s="175"/>
    </row>
    <row r="1790" spans="18:30" x14ac:dyDescent="0.25">
      <c r="R1790" s="176"/>
      <c r="S1790" s="175"/>
      <c r="T1790" s="175"/>
      <c r="U1790" s="175"/>
      <c r="V1790" s="175"/>
      <c r="W1790" s="175"/>
      <c r="X1790" s="175"/>
      <c r="Y1790" s="175"/>
      <c r="Z1790" s="175"/>
      <c r="AA1790" s="175"/>
      <c r="AB1790" s="175"/>
      <c r="AC1790" s="175"/>
      <c r="AD1790" s="175"/>
    </row>
    <row r="1791" spans="18:30" x14ac:dyDescent="0.25">
      <c r="R1791" s="176"/>
      <c r="S1791" s="175"/>
      <c r="T1791" s="175"/>
      <c r="U1791" s="175"/>
      <c r="V1791" s="175"/>
      <c r="W1791" s="175"/>
      <c r="X1791" s="175"/>
      <c r="Y1791" s="175"/>
      <c r="Z1791" s="175"/>
      <c r="AA1791" s="175"/>
      <c r="AB1791" s="175"/>
      <c r="AC1791" s="175"/>
      <c r="AD1791" s="175"/>
    </row>
    <row r="1792" spans="18:30" x14ac:dyDescent="0.25">
      <c r="R1792" s="176"/>
      <c r="S1792" s="175"/>
      <c r="T1792" s="175"/>
      <c r="U1792" s="175"/>
      <c r="V1792" s="175"/>
      <c r="W1792" s="175"/>
      <c r="X1792" s="175"/>
      <c r="Y1792" s="175"/>
      <c r="Z1792" s="175"/>
      <c r="AA1792" s="175"/>
      <c r="AB1792" s="175"/>
      <c r="AC1792" s="175"/>
      <c r="AD1792" s="175"/>
    </row>
    <row r="1793" spans="18:30" x14ac:dyDescent="0.25">
      <c r="R1793" s="176"/>
      <c r="S1793" s="175"/>
      <c r="T1793" s="175"/>
      <c r="U1793" s="175"/>
      <c r="V1793" s="175"/>
      <c r="W1793" s="175"/>
      <c r="X1793" s="175"/>
      <c r="Y1793" s="175"/>
      <c r="Z1793" s="175"/>
      <c r="AA1793" s="175"/>
      <c r="AB1793" s="175"/>
      <c r="AC1793" s="175"/>
      <c r="AD1793" s="175"/>
    </row>
    <row r="1794" spans="18:30" x14ac:dyDescent="0.25">
      <c r="R1794" s="176"/>
      <c r="S1794" s="175"/>
      <c r="T1794" s="175"/>
      <c r="U1794" s="175"/>
      <c r="V1794" s="175"/>
      <c r="W1794" s="175"/>
      <c r="X1794" s="175"/>
      <c r="Y1794" s="175"/>
      <c r="Z1794" s="175"/>
      <c r="AA1794" s="175"/>
      <c r="AB1794" s="175"/>
      <c r="AC1794" s="175"/>
      <c r="AD1794" s="175"/>
    </row>
    <row r="1795" spans="18:30" x14ac:dyDescent="0.25">
      <c r="R1795" s="176"/>
      <c r="S1795" s="175"/>
      <c r="T1795" s="175"/>
      <c r="U1795" s="175"/>
      <c r="V1795" s="175"/>
      <c r="W1795" s="175"/>
      <c r="X1795" s="175"/>
      <c r="Y1795" s="175"/>
      <c r="Z1795" s="175"/>
      <c r="AA1795" s="175"/>
      <c r="AB1795" s="175"/>
      <c r="AC1795" s="175"/>
      <c r="AD1795" s="175"/>
    </row>
    <row r="1796" spans="18:30" x14ac:dyDescent="0.25">
      <c r="R1796" s="176"/>
      <c r="S1796" s="175"/>
      <c r="T1796" s="175"/>
      <c r="U1796" s="175"/>
      <c r="V1796" s="175"/>
      <c r="W1796" s="175"/>
      <c r="X1796" s="175"/>
      <c r="Y1796" s="175"/>
      <c r="Z1796" s="175"/>
      <c r="AA1796" s="175"/>
      <c r="AB1796" s="175"/>
      <c r="AC1796" s="175"/>
      <c r="AD1796" s="175"/>
    </row>
    <row r="1797" spans="18:30" x14ac:dyDescent="0.25">
      <c r="R1797" s="176"/>
      <c r="S1797" s="175"/>
      <c r="T1797" s="175"/>
      <c r="U1797" s="175"/>
      <c r="V1797" s="175"/>
      <c r="W1797" s="175"/>
      <c r="X1797" s="175"/>
      <c r="Y1797" s="175"/>
      <c r="Z1797" s="175"/>
      <c r="AA1797" s="175"/>
      <c r="AB1797" s="175"/>
      <c r="AC1797" s="175"/>
      <c r="AD1797" s="175"/>
    </row>
    <row r="1798" spans="18:30" x14ac:dyDescent="0.25">
      <c r="R1798" s="176"/>
      <c r="S1798" s="175"/>
      <c r="T1798" s="175"/>
      <c r="U1798" s="175"/>
      <c r="V1798" s="175"/>
      <c r="W1798" s="175"/>
      <c r="X1798" s="175"/>
      <c r="Y1798" s="175"/>
      <c r="Z1798" s="175"/>
      <c r="AA1798" s="175"/>
      <c r="AB1798" s="175"/>
      <c r="AC1798" s="175"/>
      <c r="AD1798" s="175"/>
    </row>
    <row r="1799" spans="18:30" x14ac:dyDescent="0.25">
      <c r="R1799" s="176"/>
      <c r="S1799" s="175"/>
      <c r="T1799" s="175"/>
      <c r="U1799" s="175"/>
      <c r="V1799" s="175"/>
      <c r="W1799" s="175"/>
      <c r="X1799" s="175"/>
      <c r="Y1799" s="175"/>
      <c r="Z1799" s="175"/>
      <c r="AA1799" s="175"/>
      <c r="AB1799" s="175"/>
      <c r="AC1799" s="175"/>
      <c r="AD1799" s="175"/>
    </row>
    <row r="1800" spans="18:30" x14ac:dyDescent="0.25">
      <c r="R1800" s="176"/>
      <c r="S1800" s="175"/>
      <c r="T1800" s="175"/>
      <c r="U1800" s="175"/>
      <c r="V1800" s="175"/>
      <c r="W1800" s="175"/>
      <c r="X1800" s="175"/>
      <c r="Y1800" s="175"/>
      <c r="Z1800" s="175"/>
      <c r="AA1800" s="175"/>
      <c r="AB1800" s="175"/>
      <c r="AC1800" s="175"/>
      <c r="AD1800" s="175"/>
    </row>
    <row r="1801" spans="18:30" x14ac:dyDescent="0.25">
      <c r="R1801" s="176"/>
      <c r="S1801" s="175"/>
      <c r="T1801" s="175"/>
      <c r="U1801" s="175"/>
      <c r="V1801" s="175"/>
      <c r="W1801" s="175"/>
      <c r="X1801" s="175"/>
      <c r="Y1801" s="175"/>
      <c r="Z1801" s="175"/>
      <c r="AA1801" s="175"/>
      <c r="AB1801" s="175"/>
      <c r="AC1801" s="175"/>
      <c r="AD1801" s="175"/>
    </row>
    <row r="1802" spans="18:30" x14ac:dyDescent="0.25">
      <c r="R1802" s="176"/>
      <c r="S1802" s="175"/>
      <c r="T1802" s="175"/>
      <c r="U1802" s="175"/>
      <c r="V1802" s="175"/>
      <c r="W1802" s="175"/>
      <c r="X1802" s="175"/>
      <c r="Y1802" s="175"/>
      <c r="Z1802" s="175"/>
      <c r="AA1802" s="175"/>
      <c r="AB1802" s="175"/>
      <c r="AC1802" s="175"/>
      <c r="AD1802" s="175"/>
    </row>
    <row r="1803" spans="18:30" x14ac:dyDescent="0.25">
      <c r="R1803" s="176"/>
      <c r="S1803" s="175"/>
      <c r="T1803" s="175"/>
      <c r="U1803" s="175"/>
      <c r="V1803" s="175"/>
      <c r="W1803" s="175"/>
      <c r="X1803" s="175"/>
      <c r="Y1803" s="175"/>
      <c r="Z1803" s="175"/>
      <c r="AA1803" s="175"/>
      <c r="AB1803" s="175"/>
      <c r="AC1803" s="175"/>
      <c r="AD1803" s="175"/>
    </row>
    <row r="1804" spans="18:30" x14ac:dyDescent="0.25">
      <c r="R1804" s="176"/>
      <c r="S1804" s="175"/>
      <c r="T1804" s="175"/>
      <c r="U1804" s="175"/>
      <c r="V1804" s="175"/>
      <c r="W1804" s="175"/>
      <c r="X1804" s="175"/>
      <c r="Y1804" s="175"/>
      <c r="Z1804" s="175"/>
      <c r="AA1804" s="175"/>
      <c r="AB1804" s="175"/>
      <c r="AC1804" s="175"/>
      <c r="AD1804" s="175"/>
    </row>
    <row r="1805" spans="18:30" x14ac:dyDescent="0.25">
      <c r="R1805" s="176"/>
      <c r="S1805" s="175"/>
      <c r="T1805" s="175"/>
      <c r="U1805" s="175"/>
      <c r="V1805" s="175"/>
      <c r="W1805" s="175"/>
      <c r="X1805" s="175"/>
      <c r="Y1805" s="175"/>
      <c r="Z1805" s="175"/>
      <c r="AA1805" s="175"/>
      <c r="AB1805" s="175"/>
      <c r="AC1805" s="175"/>
      <c r="AD1805" s="175"/>
    </row>
    <row r="1806" spans="18:30" x14ac:dyDescent="0.25">
      <c r="R1806" s="176"/>
      <c r="S1806" s="175"/>
      <c r="T1806" s="175"/>
      <c r="U1806" s="175"/>
      <c r="V1806" s="175"/>
      <c r="W1806" s="175"/>
      <c r="X1806" s="175"/>
      <c r="Y1806" s="175"/>
      <c r="Z1806" s="175"/>
      <c r="AA1806" s="175"/>
      <c r="AB1806" s="175"/>
      <c r="AC1806" s="175"/>
      <c r="AD1806" s="175"/>
    </row>
    <row r="1807" spans="18:30" x14ac:dyDescent="0.25">
      <c r="R1807" s="176"/>
      <c r="S1807" s="175"/>
      <c r="T1807" s="175"/>
      <c r="U1807" s="175"/>
      <c r="V1807" s="175"/>
      <c r="W1807" s="175"/>
      <c r="X1807" s="175"/>
      <c r="Y1807" s="175"/>
      <c r="Z1807" s="175"/>
      <c r="AA1807" s="175"/>
      <c r="AB1807" s="175"/>
      <c r="AC1807" s="175"/>
      <c r="AD1807" s="175"/>
    </row>
    <row r="1808" spans="18:30" x14ac:dyDescent="0.25">
      <c r="R1808" s="176"/>
      <c r="S1808" s="175"/>
      <c r="T1808" s="175"/>
      <c r="U1808" s="175"/>
      <c r="V1808" s="175"/>
      <c r="W1808" s="175"/>
      <c r="X1808" s="175"/>
      <c r="Y1808" s="175"/>
      <c r="Z1808" s="175"/>
      <c r="AA1808" s="175"/>
      <c r="AB1808" s="175"/>
      <c r="AC1808" s="175"/>
      <c r="AD1808" s="175"/>
    </row>
    <row r="1809" spans="18:30" x14ac:dyDescent="0.25">
      <c r="R1809" s="176"/>
      <c r="S1809" s="175"/>
      <c r="T1809" s="175"/>
      <c r="U1809" s="175"/>
      <c r="V1809" s="175"/>
      <c r="W1809" s="175"/>
      <c r="X1809" s="175"/>
      <c r="Y1809" s="175"/>
      <c r="Z1809" s="175"/>
      <c r="AA1809" s="175"/>
      <c r="AB1809" s="175"/>
      <c r="AC1809" s="175"/>
      <c r="AD1809" s="175"/>
    </row>
    <row r="1810" spans="18:30" x14ac:dyDescent="0.25">
      <c r="R1810" s="176"/>
      <c r="S1810" s="175"/>
      <c r="T1810" s="175"/>
      <c r="U1810" s="175"/>
      <c r="V1810" s="175"/>
      <c r="W1810" s="175"/>
      <c r="X1810" s="175"/>
      <c r="Y1810" s="175"/>
      <c r="Z1810" s="175"/>
      <c r="AA1810" s="175"/>
      <c r="AB1810" s="175"/>
      <c r="AC1810" s="175"/>
      <c r="AD1810" s="175"/>
    </row>
    <row r="1811" spans="18:30" x14ac:dyDescent="0.25">
      <c r="R1811" s="176"/>
      <c r="S1811" s="175"/>
      <c r="T1811" s="175"/>
      <c r="U1811" s="175"/>
      <c r="V1811" s="175"/>
      <c r="W1811" s="175"/>
      <c r="X1811" s="175"/>
      <c r="Y1811" s="175"/>
      <c r="Z1811" s="175"/>
      <c r="AA1811" s="175"/>
      <c r="AB1811" s="175"/>
      <c r="AC1811" s="175"/>
      <c r="AD1811" s="175"/>
    </row>
    <row r="1812" spans="18:30" x14ac:dyDescent="0.25">
      <c r="R1812" s="176"/>
      <c r="S1812" s="175"/>
      <c r="T1812" s="175"/>
      <c r="U1812" s="175"/>
      <c r="V1812" s="175"/>
      <c r="W1812" s="175"/>
      <c r="X1812" s="175"/>
      <c r="Y1812" s="175"/>
      <c r="Z1812" s="175"/>
      <c r="AA1812" s="175"/>
      <c r="AB1812" s="175"/>
      <c r="AC1812" s="175"/>
      <c r="AD1812" s="175"/>
    </row>
    <row r="1813" spans="18:30" x14ac:dyDescent="0.25">
      <c r="R1813" s="176"/>
      <c r="S1813" s="175"/>
      <c r="T1813" s="175"/>
      <c r="U1813" s="175"/>
      <c r="V1813" s="175"/>
      <c r="W1813" s="175"/>
      <c r="X1813" s="175"/>
      <c r="Y1813" s="175"/>
      <c r="Z1813" s="175"/>
      <c r="AA1813" s="175"/>
      <c r="AB1813" s="175"/>
      <c r="AC1813" s="175"/>
      <c r="AD1813" s="175"/>
    </row>
    <row r="1814" spans="18:30" x14ac:dyDescent="0.25">
      <c r="R1814" s="176"/>
      <c r="S1814" s="175"/>
      <c r="T1814" s="175"/>
      <c r="U1814" s="175"/>
      <c r="V1814" s="175"/>
      <c r="W1814" s="175"/>
      <c r="X1814" s="175"/>
      <c r="Y1814" s="175"/>
      <c r="Z1814" s="175"/>
      <c r="AA1814" s="175"/>
      <c r="AB1814" s="175"/>
      <c r="AC1814" s="175"/>
      <c r="AD1814" s="175"/>
    </row>
    <row r="1815" spans="18:30" x14ac:dyDescent="0.25">
      <c r="R1815" s="176"/>
      <c r="S1815" s="175"/>
      <c r="T1815" s="175"/>
      <c r="U1815" s="175"/>
      <c r="V1815" s="175"/>
      <c r="W1815" s="175"/>
      <c r="X1815" s="175"/>
      <c r="Y1815" s="175"/>
      <c r="Z1815" s="175"/>
      <c r="AA1815" s="175"/>
      <c r="AB1815" s="175"/>
      <c r="AC1815" s="175"/>
      <c r="AD1815" s="175"/>
    </row>
    <row r="1816" spans="18:30" x14ac:dyDescent="0.25">
      <c r="R1816" s="176"/>
      <c r="S1816" s="175"/>
      <c r="T1816" s="175"/>
      <c r="U1816" s="175"/>
      <c r="V1816" s="175"/>
      <c r="W1816" s="175"/>
      <c r="X1816" s="175"/>
      <c r="Y1816" s="175"/>
      <c r="Z1816" s="175"/>
      <c r="AA1816" s="175"/>
      <c r="AB1816" s="175"/>
      <c r="AC1816" s="175"/>
      <c r="AD1816" s="175"/>
    </row>
    <row r="1817" spans="18:30" x14ac:dyDescent="0.25">
      <c r="R1817" s="176"/>
      <c r="S1817" s="175"/>
      <c r="T1817" s="175"/>
      <c r="U1817" s="175"/>
      <c r="V1817" s="175"/>
      <c r="W1817" s="175"/>
      <c r="X1817" s="175"/>
      <c r="Y1817" s="175"/>
      <c r="Z1817" s="175"/>
      <c r="AA1817" s="175"/>
      <c r="AB1817" s="175"/>
      <c r="AC1817" s="175"/>
      <c r="AD1817" s="175"/>
    </row>
    <row r="1818" spans="18:30" x14ac:dyDescent="0.25">
      <c r="R1818" s="176"/>
      <c r="S1818" s="175"/>
      <c r="T1818" s="175"/>
      <c r="U1818" s="175"/>
      <c r="V1818" s="175"/>
      <c r="W1818" s="175"/>
      <c r="X1818" s="175"/>
      <c r="Y1818" s="175"/>
      <c r="Z1818" s="175"/>
      <c r="AA1818" s="175"/>
      <c r="AB1818" s="175"/>
      <c r="AC1818" s="175"/>
      <c r="AD1818" s="175"/>
    </row>
    <row r="1819" spans="18:30" x14ac:dyDescent="0.25">
      <c r="R1819" s="176"/>
      <c r="S1819" s="175"/>
      <c r="T1819" s="175"/>
      <c r="U1819" s="175"/>
      <c r="V1819" s="175"/>
      <c r="W1819" s="175"/>
      <c r="X1819" s="175"/>
      <c r="Y1819" s="175"/>
      <c r="Z1819" s="175"/>
      <c r="AA1819" s="175"/>
      <c r="AB1819" s="175"/>
      <c r="AC1819" s="175"/>
      <c r="AD1819" s="175"/>
    </row>
    <row r="1820" spans="18:30" x14ac:dyDescent="0.25">
      <c r="R1820" s="176"/>
      <c r="S1820" s="175"/>
      <c r="T1820" s="175"/>
      <c r="U1820" s="175"/>
      <c r="V1820" s="175"/>
      <c r="W1820" s="175"/>
      <c r="X1820" s="175"/>
      <c r="Y1820" s="175"/>
      <c r="Z1820" s="175"/>
      <c r="AA1820" s="175"/>
      <c r="AB1820" s="175"/>
      <c r="AC1820" s="175"/>
      <c r="AD1820" s="175"/>
    </row>
    <row r="1821" spans="18:30" x14ac:dyDescent="0.25">
      <c r="R1821" s="176"/>
      <c r="S1821" s="175"/>
      <c r="T1821" s="175"/>
      <c r="U1821" s="175"/>
      <c r="V1821" s="175"/>
      <c r="W1821" s="175"/>
      <c r="X1821" s="175"/>
      <c r="Y1821" s="175"/>
      <c r="Z1821" s="175"/>
      <c r="AA1821" s="175"/>
      <c r="AB1821" s="175"/>
      <c r="AC1821" s="175"/>
      <c r="AD1821" s="175"/>
    </row>
    <row r="1822" spans="18:30" x14ac:dyDescent="0.25">
      <c r="R1822" s="176"/>
      <c r="S1822" s="175"/>
      <c r="T1822" s="175"/>
      <c r="U1822" s="175"/>
      <c r="V1822" s="175"/>
      <c r="W1822" s="175"/>
      <c r="X1822" s="175"/>
      <c r="Y1822" s="175"/>
      <c r="Z1822" s="175"/>
      <c r="AA1822" s="175"/>
      <c r="AB1822" s="175"/>
      <c r="AC1822" s="175"/>
      <c r="AD1822" s="175"/>
    </row>
    <row r="1823" spans="18:30" x14ac:dyDescent="0.25">
      <c r="R1823" s="176"/>
      <c r="S1823" s="175"/>
      <c r="T1823" s="175"/>
      <c r="U1823" s="175"/>
      <c r="V1823" s="175"/>
      <c r="W1823" s="175"/>
      <c r="X1823" s="175"/>
      <c r="Y1823" s="175"/>
      <c r="Z1823" s="175"/>
      <c r="AA1823" s="175"/>
      <c r="AB1823" s="175"/>
      <c r="AC1823" s="175"/>
      <c r="AD1823" s="175"/>
    </row>
    <row r="1824" spans="18:30" x14ac:dyDescent="0.25">
      <c r="R1824" s="176"/>
      <c r="S1824" s="175"/>
      <c r="T1824" s="175"/>
      <c r="U1824" s="175"/>
      <c r="V1824" s="175"/>
      <c r="W1824" s="175"/>
      <c r="X1824" s="175"/>
      <c r="Y1824" s="175"/>
      <c r="Z1824" s="175"/>
      <c r="AA1824" s="175"/>
      <c r="AB1824" s="175"/>
      <c r="AC1824" s="175"/>
      <c r="AD1824" s="175"/>
    </row>
    <row r="1825" spans="18:30" x14ac:dyDescent="0.25">
      <c r="R1825" s="176"/>
      <c r="S1825" s="175"/>
      <c r="T1825" s="175"/>
      <c r="U1825" s="175"/>
      <c r="V1825" s="175"/>
      <c r="W1825" s="175"/>
      <c r="X1825" s="175"/>
      <c r="Y1825" s="175"/>
      <c r="Z1825" s="175"/>
      <c r="AA1825" s="175"/>
      <c r="AB1825" s="175"/>
      <c r="AC1825" s="175"/>
      <c r="AD1825" s="175"/>
    </row>
    <row r="1826" spans="18:30" x14ac:dyDescent="0.25">
      <c r="R1826" s="176"/>
      <c r="S1826" s="175"/>
      <c r="T1826" s="175"/>
      <c r="U1826" s="175"/>
      <c r="V1826" s="175"/>
      <c r="W1826" s="175"/>
      <c r="X1826" s="175"/>
      <c r="Y1826" s="175"/>
      <c r="Z1826" s="175"/>
      <c r="AA1826" s="175"/>
      <c r="AB1826" s="175"/>
      <c r="AC1826" s="175"/>
      <c r="AD1826" s="175"/>
    </row>
    <row r="1827" spans="18:30" x14ac:dyDescent="0.25">
      <c r="R1827" s="176"/>
      <c r="S1827" s="175"/>
      <c r="T1827" s="175"/>
      <c r="U1827" s="175"/>
      <c r="V1827" s="175"/>
      <c r="W1827" s="175"/>
      <c r="X1827" s="175"/>
      <c r="Y1827" s="175"/>
      <c r="Z1827" s="175"/>
      <c r="AA1827" s="175"/>
      <c r="AB1827" s="175"/>
      <c r="AC1827" s="175"/>
      <c r="AD1827" s="175"/>
    </row>
    <row r="1828" spans="18:30" x14ac:dyDescent="0.25">
      <c r="R1828" s="176"/>
      <c r="S1828" s="175"/>
      <c r="T1828" s="175"/>
      <c r="U1828" s="175"/>
      <c r="V1828" s="175"/>
      <c r="W1828" s="175"/>
      <c r="X1828" s="175"/>
      <c r="Y1828" s="175"/>
      <c r="Z1828" s="175"/>
      <c r="AA1828" s="175"/>
      <c r="AB1828" s="175"/>
      <c r="AC1828" s="175"/>
      <c r="AD1828" s="175"/>
    </row>
    <row r="1829" spans="18:30" x14ac:dyDescent="0.25">
      <c r="R1829" s="176"/>
      <c r="S1829" s="175"/>
      <c r="T1829" s="175"/>
      <c r="U1829" s="175"/>
      <c r="V1829" s="175"/>
      <c r="W1829" s="175"/>
      <c r="X1829" s="175"/>
      <c r="Y1829" s="175"/>
      <c r="Z1829" s="175"/>
      <c r="AA1829" s="175"/>
      <c r="AB1829" s="175"/>
      <c r="AC1829" s="175"/>
      <c r="AD1829" s="175"/>
    </row>
    <row r="1830" spans="18:30" x14ac:dyDescent="0.25">
      <c r="R1830" s="176"/>
      <c r="S1830" s="175"/>
      <c r="T1830" s="175"/>
      <c r="U1830" s="175"/>
      <c r="V1830" s="175"/>
      <c r="W1830" s="175"/>
      <c r="X1830" s="175"/>
      <c r="Y1830" s="175"/>
      <c r="Z1830" s="175"/>
      <c r="AA1830" s="175"/>
      <c r="AB1830" s="175"/>
      <c r="AC1830" s="175"/>
      <c r="AD1830" s="175"/>
    </row>
    <row r="1831" spans="18:30" x14ac:dyDescent="0.25">
      <c r="R1831" s="176"/>
      <c r="S1831" s="175"/>
      <c r="T1831" s="175"/>
      <c r="U1831" s="175"/>
      <c r="V1831" s="175"/>
      <c r="W1831" s="175"/>
      <c r="X1831" s="175"/>
      <c r="Y1831" s="175"/>
      <c r="Z1831" s="175"/>
      <c r="AA1831" s="175"/>
      <c r="AB1831" s="175"/>
      <c r="AC1831" s="175"/>
      <c r="AD1831" s="175"/>
    </row>
    <row r="1832" spans="18:30" x14ac:dyDescent="0.25">
      <c r="R1832" s="176"/>
      <c r="S1832" s="175"/>
      <c r="T1832" s="175"/>
      <c r="U1832" s="175"/>
      <c r="V1832" s="175"/>
      <c r="W1832" s="175"/>
      <c r="X1832" s="175"/>
      <c r="Y1832" s="175"/>
      <c r="Z1832" s="175"/>
      <c r="AA1832" s="175"/>
      <c r="AB1832" s="175"/>
      <c r="AC1832" s="175"/>
      <c r="AD1832" s="175"/>
    </row>
    <row r="1833" spans="18:30" x14ac:dyDescent="0.25">
      <c r="R1833" s="176"/>
      <c r="S1833" s="175"/>
      <c r="T1833" s="175"/>
      <c r="U1833" s="175"/>
      <c r="V1833" s="175"/>
      <c r="W1833" s="175"/>
      <c r="X1833" s="175"/>
      <c r="Y1833" s="175"/>
      <c r="Z1833" s="175"/>
      <c r="AA1833" s="175"/>
      <c r="AB1833" s="175"/>
      <c r="AC1833" s="175"/>
      <c r="AD1833" s="175"/>
    </row>
    <row r="1834" spans="18:30" x14ac:dyDescent="0.25">
      <c r="R1834" s="176"/>
      <c r="S1834" s="175"/>
      <c r="T1834" s="175"/>
      <c r="U1834" s="175"/>
      <c r="V1834" s="175"/>
      <c r="W1834" s="175"/>
      <c r="X1834" s="175"/>
      <c r="Y1834" s="175"/>
      <c r="Z1834" s="175"/>
      <c r="AA1834" s="175"/>
      <c r="AB1834" s="175"/>
      <c r="AC1834" s="175"/>
      <c r="AD1834" s="175"/>
    </row>
    <row r="1835" spans="18:30" x14ac:dyDescent="0.25">
      <c r="R1835" s="176"/>
      <c r="S1835" s="175"/>
      <c r="T1835" s="175"/>
      <c r="U1835" s="175"/>
      <c r="V1835" s="175"/>
      <c r="W1835" s="175"/>
      <c r="X1835" s="175"/>
      <c r="Y1835" s="175"/>
      <c r="Z1835" s="175"/>
      <c r="AA1835" s="175"/>
      <c r="AB1835" s="175"/>
      <c r="AC1835" s="175"/>
      <c r="AD1835" s="175"/>
    </row>
    <row r="1836" spans="18:30" x14ac:dyDescent="0.25">
      <c r="R1836" s="176"/>
      <c r="S1836" s="175"/>
      <c r="T1836" s="175"/>
      <c r="U1836" s="175"/>
      <c r="V1836" s="175"/>
      <c r="W1836" s="175"/>
      <c r="X1836" s="175"/>
      <c r="Y1836" s="175"/>
      <c r="Z1836" s="175"/>
      <c r="AA1836" s="175"/>
      <c r="AB1836" s="175"/>
      <c r="AC1836" s="175"/>
      <c r="AD1836" s="175"/>
    </row>
    <row r="1837" spans="18:30" x14ac:dyDescent="0.25">
      <c r="R1837" s="176"/>
      <c r="S1837" s="175"/>
      <c r="T1837" s="175"/>
      <c r="U1837" s="175"/>
      <c r="V1837" s="175"/>
      <c r="W1837" s="175"/>
      <c r="X1837" s="175"/>
      <c r="Y1837" s="175"/>
      <c r="Z1837" s="175"/>
      <c r="AA1837" s="175"/>
      <c r="AB1837" s="175"/>
      <c r="AC1837" s="175"/>
      <c r="AD1837" s="175"/>
    </row>
    <row r="1838" spans="18:30" x14ac:dyDescent="0.25">
      <c r="R1838" s="176"/>
      <c r="S1838" s="175"/>
      <c r="T1838" s="175"/>
      <c r="U1838" s="175"/>
      <c r="V1838" s="175"/>
      <c r="W1838" s="175"/>
      <c r="X1838" s="175"/>
      <c r="Y1838" s="175"/>
      <c r="Z1838" s="175"/>
      <c r="AA1838" s="175"/>
      <c r="AB1838" s="175"/>
      <c r="AC1838" s="175"/>
      <c r="AD1838" s="175"/>
    </row>
    <row r="1839" spans="18:30" x14ac:dyDescent="0.25">
      <c r="R1839" s="176"/>
      <c r="S1839" s="175"/>
      <c r="T1839" s="175"/>
      <c r="U1839" s="175"/>
      <c r="V1839" s="175"/>
      <c r="W1839" s="175"/>
      <c r="X1839" s="175"/>
      <c r="Y1839" s="175"/>
      <c r="Z1839" s="175"/>
      <c r="AA1839" s="175"/>
      <c r="AB1839" s="175"/>
      <c r="AC1839" s="175"/>
      <c r="AD1839" s="175"/>
    </row>
    <row r="1840" spans="18:30" x14ac:dyDescent="0.25">
      <c r="R1840" s="176"/>
      <c r="S1840" s="175"/>
      <c r="T1840" s="175"/>
      <c r="U1840" s="175"/>
      <c r="V1840" s="175"/>
      <c r="W1840" s="175"/>
      <c r="X1840" s="175"/>
      <c r="Y1840" s="175"/>
      <c r="Z1840" s="175"/>
      <c r="AA1840" s="175"/>
      <c r="AB1840" s="175"/>
      <c r="AC1840" s="175"/>
      <c r="AD1840" s="175"/>
    </row>
    <row r="1841" spans="18:30" x14ac:dyDescent="0.25">
      <c r="R1841" s="176"/>
      <c r="S1841" s="175"/>
      <c r="T1841" s="175"/>
      <c r="U1841" s="175"/>
      <c r="V1841" s="175"/>
      <c r="W1841" s="175"/>
      <c r="X1841" s="175"/>
      <c r="Y1841" s="175"/>
      <c r="Z1841" s="175"/>
      <c r="AA1841" s="175"/>
      <c r="AB1841" s="175"/>
      <c r="AC1841" s="175"/>
      <c r="AD1841" s="175"/>
    </row>
    <row r="1842" spans="18:30" x14ac:dyDescent="0.25">
      <c r="R1842" s="176"/>
      <c r="S1842" s="175"/>
      <c r="T1842" s="175"/>
      <c r="U1842" s="175"/>
      <c r="V1842" s="175"/>
      <c r="W1842" s="175"/>
      <c r="X1842" s="175"/>
      <c r="Y1842" s="175"/>
      <c r="Z1842" s="175"/>
      <c r="AA1842" s="175"/>
      <c r="AB1842" s="175"/>
      <c r="AC1842" s="175"/>
      <c r="AD1842" s="175"/>
    </row>
    <row r="1843" spans="18:30" x14ac:dyDescent="0.25">
      <c r="R1843" s="176"/>
      <c r="S1843" s="175"/>
      <c r="T1843" s="175"/>
      <c r="U1843" s="175"/>
      <c r="V1843" s="175"/>
      <c r="W1843" s="175"/>
      <c r="X1843" s="175"/>
      <c r="Y1843" s="175"/>
      <c r="Z1843" s="175"/>
      <c r="AA1843" s="175"/>
      <c r="AB1843" s="175"/>
      <c r="AC1843" s="175"/>
      <c r="AD1843" s="175"/>
    </row>
    <row r="1844" spans="18:30" x14ac:dyDescent="0.25">
      <c r="R1844" s="176"/>
      <c r="S1844" s="175"/>
      <c r="T1844" s="175"/>
      <c r="U1844" s="175"/>
      <c r="V1844" s="175"/>
      <c r="W1844" s="175"/>
      <c r="X1844" s="175"/>
      <c r="Y1844" s="175"/>
      <c r="Z1844" s="175"/>
      <c r="AA1844" s="175"/>
      <c r="AB1844" s="175"/>
      <c r="AC1844" s="175"/>
      <c r="AD1844" s="175"/>
    </row>
    <row r="1845" spans="18:30" x14ac:dyDescent="0.25">
      <c r="R1845" s="176"/>
      <c r="S1845" s="175"/>
      <c r="T1845" s="175"/>
      <c r="U1845" s="175"/>
      <c r="V1845" s="175"/>
      <c r="W1845" s="175"/>
      <c r="X1845" s="175"/>
      <c r="Y1845" s="175"/>
      <c r="Z1845" s="175"/>
      <c r="AA1845" s="175"/>
      <c r="AB1845" s="175"/>
      <c r="AC1845" s="175"/>
      <c r="AD1845" s="175"/>
    </row>
    <row r="1846" spans="18:30" x14ac:dyDescent="0.25">
      <c r="R1846" s="176"/>
      <c r="S1846" s="175"/>
      <c r="T1846" s="175"/>
      <c r="U1846" s="175"/>
      <c r="V1846" s="175"/>
      <c r="W1846" s="175"/>
      <c r="X1846" s="175"/>
      <c r="Y1846" s="175"/>
      <c r="Z1846" s="175"/>
      <c r="AA1846" s="175"/>
      <c r="AB1846" s="175"/>
      <c r="AC1846" s="175"/>
      <c r="AD1846" s="175"/>
    </row>
    <row r="1847" spans="18:30" x14ac:dyDescent="0.25">
      <c r="R1847" s="176"/>
      <c r="S1847" s="175"/>
      <c r="T1847" s="175"/>
      <c r="U1847" s="175"/>
      <c r="V1847" s="175"/>
      <c r="W1847" s="175"/>
      <c r="X1847" s="175"/>
      <c r="Y1847" s="175"/>
      <c r="Z1847" s="175"/>
      <c r="AA1847" s="175"/>
      <c r="AB1847" s="175"/>
      <c r="AC1847" s="175"/>
      <c r="AD1847" s="175"/>
    </row>
  </sheetData>
  <mergeCells count="1021">
    <mergeCell ref="A1:D3"/>
    <mergeCell ref="E1:AY1"/>
    <mergeCell ref="E2:AY2"/>
    <mergeCell ref="E3:AD3"/>
    <mergeCell ref="AE3:AY3"/>
    <mergeCell ref="A4:D4"/>
    <mergeCell ref="E4:AY4"/>
    <mergeCell ref="AN8:AX8"/>
    <mergeCell ref="AY8:AY9"/>
    <mergeCell ref="A10:A135"/>
    <mergeCell ref="B10:B13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A136:A141"/>
    <mergeCell ref="B136:B141"/>
    <mergeCell ref="C136:C141"/>
    <mergeCell ref="S136:S141"/>
    <mergeCell ref="AF136:AF141"/>
    <mergeCell ref="AG136:AG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T136:AT141"/>
    <mergeCell ref="AU136:AU141"/>
    <mergeCell ref="AV136:AV141"/>
    <mergeCell ref="AW136:AW141"/>
    <mergeCell ref="AX136:AX141"/>
    <mergeCell ref="AY136:AY141"/>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T142:AT147"/>
    <mergeCell ref="AU142:AU147"/>
    <mergeCell ref="AV142:AV147"/>
    <mergeCell ref="AW142:AW147"/>
    <mergeCell ref="AX142:AX147"/>
    <mergeCell ref="AY142:AY147"/>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T148:AT153"/>
    <mergeCell ref="AU148:AU153"/>
    <mergeCell ref="AV148:AV153"/>
    <mergeCell ref="AW148:AW153"/>
    <mergeCell ref="AX148:AX153"/>
    <mergeCell ref="AY148:AY153"/>
    <mergeCell ref="AN148:AN153"/>
    <mergeCell ref="AO148:AO153"/>
    <mergeCell ref="AP148:AP153"/>
    <mergeCell ref="AQ148:AQ153"/>
    <mergeCell ref="AR148:AR153"/>
    <mergeCell ref="AS148:AS153"/>
    <mergeCell ref="AH148:AH153"/>
    <mergeCell ref="AI148:AI153"/>
    <mergeCell ref="AJ148:AJ153"/>
    <mergeCell ref="AK148:AK153"/>
    <mergeCell ref="AL148:AL153"/>
    <mergeCell ref="AM148:AM153"/>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C154:C159"/>
    <mergeCell ref="S154:S159"/>
    <mergeCell ref="AF154:AF159"/>
    <mergeCell ref="AG154:AG159"/>
    <mergeCell ref="AH154:AH159"/>
    <mergeCell ref="AI154:AI159"/>
    <mergeCell ref="AV160:AV165"/>
    <mergeCell ref="AW160:AW165"/>
    <mergeCell ref="AX160:AX165"/>
    <mergeCell ref="AY160:AY165"/>
    <mergeCell ref="C166:C171"/>
    <mergeCell ref="S166:S171"/>
    <mergeCell ref="AF166:AF171"/>
    <mergeCell ref="AG166:AG171"/>
    <mergeCell ref="AH166:AH171"/>
    <mergeCell ref="AI166:AI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V166:AV171"/>
    <mergeCell ref="AW166:AW171"/>
    <mergeCell ref="AX166:AX171"/>
    <mergeCell ref="AY166:AY171"/>
    <mergeCell ref="C172:C177"/>
    <mergeCell ref="S172:S177"/>
    <mergeCell ref="AF172:AF177"/>
    <mergeCell ref="AG172:AG177"/>
    <mergeCell ref="AH172:AH177"/>
    <mergeCell ref="AI172:AI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V172:AV177"/>
    <mergeCell ref="AW172:AW177"/>
    <mergeCell ref="AX172:AX177"/>
    <mergeCell ref="AY172:AY177"/>
    <mergeCell ref="C178:C183"/>
    <mergeCell ref="S178:S183"/>
    <mergeCell ref="AF178:AF183"/>
    <mergeCell ref="AG178:AG183"/>
    <mergeCell ref="AH178:AH183"/>
    <mergeCell ref="AI178:AI183"/>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V178:AV183"/>
    <mergeCell ref="AW178:AW183"/>
    <mergeCell ref="AX178:AX183"/>
    <mergeCell ref="AY178:AY183"/>
    <mergeCell ref="C184:C189"/>
    <mergeCell ref="S184:S189"/>
    <mergeCell ref="AF184:AF189"/>
    <mergeCell ref="AG184:AG189"/>
    <mergeCell ref="AH184:AH189"/>
    <mergeCell ref="AI184:AI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AV184:AV189"/>
    <mergeCell ref="AW184:AW189"/>
    <mergeCell ref="AX184:AX189"/>
    <mergeCell ref="AY184:AY189"/>
    <mergeCell ref="C190:C195"/>
    <mergeCell ref="S190:S195"/>
    <mergeCell ref="AF190:AF195"/>
    <mergeCell ref="AG190:AG195"/>
    <mergeCell ref="AH190:AH195"/>
    <mergeCell ref="AI190:AI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V190:AV195"/>
    <mergeCell ref="AW190:AW195"/>
    <mergeCell ref="AX190:AX195"/>
    <mergeCell ref="AY190:AY195"/>
    <mergeCell ref="C196:C201"/>
    <mergeCell ref="S196:S201"/>
    <mergeCell ref="AF196:AF201"/>
    <mergeCell ref="AG196:AG201"/>
    <mergeCell ref="AH196:AH201"/>
    <mergeCell ref="AI196:AI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V196:AV201"/>
    <mergeCell ref="AW196:AW201"/>
    <mergeCell ref="AX196:AX201"/>
    <mergeCell ref="AY196:AY201"/>
    <mergeCell ref="C202:C207"/>
    <mergeCell ref="S202:S207"/>
    <mergeCell ref="AF202:AF207"/>
    <mergeCell ref="AG202:AG207"/>
    <mergeCell ref="AH202:AH207"/>
    <mergeCell ref="AI202:AI207"/>
    <mergeCell ref="AP196:AP201"/>
    <mergeCell ref="AQ196:AQ201"/>
    <mergeCell ref="AR196:AR201"/>
    <mergeCell ref="AS196:AS201"/>
    <mergeCell ref="AT196:AT201"/>
    <mergeCell ref="AU196:AU201"/>
    <mergeCell ref="AJ196:AJ201"/>
    <mergeCell ref="AK196:AK201"/>
    <mergeCell ref="AL196:AL201"/>
    <mergeCell ref="AM196:AM201"/>
    <mergeCell ref="AN196:AN201"/>
    <mergeCell ref="AO196:AO201"/>
    <mergeCell ref="AV202:AV207"/>
    <mergeCell ref="AW202:AW207"/>
    <mergeCell ref="AX202:AX207"/>
    <mergeCell ref="AY202:AY207"/>
    <mergeCell ref="C208:C213"/>
    <mergeCell ref="S208:S213"/>
    <mergeCell ref="AF208:AF213"/>
    <mergeCell ref="AG208:AG213"/>
    <mergeCell ref="AH208:AH213"/>
    <mergeCell ref="AI208:AI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V208:AV213"/>
    <mergeCell ref="AW208:AW213"/>
    <mergeCell ref="AX208:AX213"/>
    <mergeCell ref="AY208:AY213"/>
    <mergeCell ref="C214:C219"/>
    <mergeCell ref="S214:S219"/>
    <mergeCell ref="AF214:AF219"/>
    <mergeCell ref="AG214:AG219"/>
    <mergeCell ref="AH214:AH219"/>
    <mergeCell ref="AI214:AI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V214:AV219"/>
    <mergeCell ref="AW214:AW219"/>
    <mergeCell ref="AX214:AX219"/>
    <mergeCell ref="AY214:AY219"/>
    <mergeCell ref="C220:C225"/>
    <mergeCell ref="S220:S225"/>
    <mergeCell ref="AF220:AF225"/>
    <mergeCell ref="AG220:AG225"/>
    <mergeCell ref="AH220:AH225"/>
    <mergeCell ref="AI220:AI225"/>
    <mergeCell ref="AP214:AP219"/>
    <mergeCell ref="AQ214:AQ219"/>
    <mergeCell ref="AR214:AR219"/>
    <mergeCell ref="AS214:AS219"/>
    <mergeCell ref="AT214:AT219"/>
    <mergeCell ref="AU214:AU219"/>
    <mergeCell ref="AJ214:AJ219"/>
    <mergeCell ref="AK214:AK219"/>
    <mergeCell ref="AL214:AL219"/>
    <mergeCell ref="AM214:AM219"/>
    <mergeCell ref="AN214:AN219"/>
    <mergeCell ref="AO214:AO219"/>
    <mergeCell ref="AV220:AV225"/>
    <mergeCell ref="AW220:AW225"/>
    <mergeCell ref="AX220:AX225"/>
    <mergeCell ref="AY220:AY225"/>
    <mergeCell ref="C226:C231"/>
    <mergeCell ref="S226:S231"/>
    <mergeCell ref="AF226:AF231"/>
    <mergeCell ref="AG226:AG231"/>
    <mergeCell ref="AH226:AH231"/>
    <mergeCell ref="AI226:AI231"/>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V226:AV231"/>
    <mergeCell ref="AW226:AW231"/>
    <mergeCell ref="AX226:AX231"/>
    <mergeCell ref="AY226:AY231"/>
    <mergeCell ref="C232:C237"/>
    <mergeCell ref="S232:S237"/>
    <mergeCell ref="AF232:AF237"/>
    <mergeCell ref="AG232:AG237"/>
    <mergeCell ref="AH232:AH237"/>
    <mergeCell ref="AI232:AI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V232:AV237"/>
    <mergeCell ref="AW232:AW237"/>
    <mergeCell ref="AX232:AX237"/>
    <mergeCell ref="AY232:AY237"/>
    <mergeCell ref="C238:C243"/>
    <mergeCell ref="S238:S243"/>
    <mergeCell ref="AF238:AF243"/>
    <mergeCell ref="AG238:AG243"/>
    <mergeCell ref="AH238:AH243"/>
    <mergeCell ref="AI238:AI243"/>
    <mergeCell ref="AP232:AP237"/>
    <mergeCell ref="AQ232:AQ237"/>
    <mergeCell ref="AR232:AR237"/>
    <mergeCell ref="AS232:AS237"/>
    <mergeCell ref="AT232:AT237"/>
    <mergeCell ref="AU232:AU237"/>
    <mergeCell ref="AJ232:AJ237"/>
    <mergeCell ref="AK232:AK237"/>
    <mergeCell ref="AL232:AL237"/>
    <mergeCell ref="AM232:AM237"/>
    <mergeCell ref="AN232:AN237"/>
    <mergeCell ref="AO232:AO237"/>
    <mergeCell ref="AV238:AV243"/>
    <mergeCell ref="AW238:AW243"/>
    <mergeCell ref="AX238:AX243"/>
    <mergeCell ref="AY238:AY243"/>
    <mergeCell ref="C244:C249"/>
    <mergeCell ref="S244:S249"/>
    <mergeCell ref="AF244:AF249"/>
    <mergeCell ref="AG244:AG249"/>
    <mergeCell ref="AH244:AH249"/>
    <mergeCell ref="AI244:AI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AV244:AV249"/>
    <mergeCell ref="AW244:AW249"/>
    <mergeCell ref="AX244:AX249"/>
    <mergeCell ref="AY244:AY249"/>
    <mergeCell ref="C250:C255"/>
    <mergeCell ref="S250:S255"/>
    <mergeCell ref="AF250:AF255"/>
    <mergeCell ref="AG250:AG255"/>
    <mergeCell ref="AH250:AH255"/>
    <mergeCell ref="AI250:AI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V250:AV255"/>
    <mergeCell ref="AW250:AW255"/>
    <mergeCell ref="AX250:AX255"/>
    <mergeCell ref="AY250:AY255"/>
    <mergeCell ref="C256:C261"/>
    <mergeCell ref="S256:S261"/>
    <mergeCell ref="AF256:AF261"/>
    <mergeCell ref="AG256:AG261"/>
    <mergeCell ref="AH256:AH261"/>
    <mergeCell ref="AI256:AI261"/>
    <mergeCell ref="AP250:AP255"/>
    <mergeCell ref="AQ250:AQ255"/>
    <mergeCell ref="AR250:AR255"/>
    <mergeCell ref="AS250:AS255"/>
    <mergeCell ref="AT250:AT255"/>
    <mergeCell ref="AU250:AU255"/>
    <mergeCell ref="AJ250:AJ255"/>
    <mergeCell ref="AK250:AK255"/>
    <mergeCell ref="AL250:AL255"/>
    <mergeCell ref="AM250:AM255"/>
    <mergeCell ref="AN250:AN255"/>
    <mergeCell ref="AO250:AO255"/>
    <mergeCell ref="AV256:AV261"/>
    <mergeCell ref="AW256:AW261"/>
    <mergeCell ref="AX256:AX261"/>
    <mergeCell ref="AY256:AY261"/>
    <mergeCell ref="C262:C267"/>
    <mergeCell ref="S262:S267"/>
    <mergeCell ref="AF262:AF267"/>
    <mergeCell ref="AG262:AG267"/>
    <mergeCell ref="AH262:AH267"/>
    <mergeCell ref="AI262:AI267"/>
    <mergeCell ref="AP256:AP261"/>
    <mergeCell ref="AQ256:AQ261"/>
    <mergeCell ref="AR256:AR261"/>
    <mergeCell ref="AS256:AS261"/>
    <mergeCell ref="AT256:AT261"/>
    <mergeCell ref="AU256:AU261"/>
    <mergeCell ref="AJ256:AJ261"/>
    <mergeCell ref="AK256:AK261"/>
    <mergeCell ref="AL256:AL261"/>
    <mergeCell ref="AM256:AM261"/>
    <mergeCell ref="AN256:AN261"/>
    <mergeCell ref="AO256:AO261"/>
    <mergeCell ref="AV262:AV267"/>
    <mergeCell ref="AW262:AW267"/>
    <mergeCell ref="AX262:AX267"/>
    <mergeCell ref="AY262:AY267"/>
    <mergeCell ref="A268:A273"/>
    <mergeCell ref="B268:B273"/>
    <mergeCell ref="C268:C273"/>
    <mergeCell ref="S268:S273"/>
    <mergeCell ref="AF268:AF273"/>
    <mergeCell ref="AG268:AG273"/>
    <mergeCell ref="AP262:AP267"/>
    <mergeCell ref="AQ262:AQ267"/>
    <mergeCell ref="AR262:AR267"/>
    <mergeCell ref="AS262:AS267"/>
    <mergeCell ref="AT262:AT267"/>
    <mergeCell ref="AU262:AU267"/>
    <mergeCell ref="AJ262:AJ267"/>
    <mergeCell ref="AK262:AK267"/>
    <mergeCell ref="AL262:AL267"/>
    <mergeCell ref="AM262:AM267"/>
    <mergeCell ref="AN262:AN267"/>
    <mergeCell ref="AO262:AO267"/>
    <mergeCell ref="A142:A267"/>
    <mergeCell ref="B142:B267"/>
    <mergeCell ref="C142:C147"/>
    <mergeCell ref="S142:S147"/>
    <mergeCell ref="AF142:AF147"/>
    <mergeCell ref="AG142:AG147"/>
    <mergeCell ref="C148:C153"/>
    <mergeCell ref="S148:S153"/>
    <mergeCell ref="AF148:AF153"/>
    <mergeCell ref="AG148:AG153"/>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 ref="AL268:AL273"/>
    <mergeCell ref="AM268:AM273"/>
    <mergeCell ref="B281:D281"/>
    <mergeCell ref="E281:R281"/>
    <mergeCell ref="AX274:AX276"/>
    <mergeCell ref="AY274:AY276"/>
    <mergeCell ref="B279:D279"/>
    <mergeCell ref="E279:R279"/>
    <mergeCell ref="B280:D280"/>
    <mergeCell ref="E280:R280"/>
    <mergeCell ref="AR274:AR276"/>
    <mergeCell ref="AS274:AS276"/>
    <mergeCell ref="AT274:AT276"/>
    <mergeCell ref="AU274:AU276"/>
    <mergeCell ref="AV274:AV276"/>
    <mergeCell ref="AW274:AW276"/>
    <mergeCell ref="AL274:AL276"/>
    <mergeCell ref="AM274:AM276"/>
    <mergeCell ref="AN274:AN276"/>
    <mergeCell ref="AO274:AO276"/>
    <mergeCell ref="AP274:AP276"/>
    <mergeCell ref="AQ274:AQ276"/>
    <mergeCell ref="A274:C276"/>
    <mergeCell ref="AG274:AG276"/>
    <mergeCell ref="AH274:AH276"/>
    <mergeCell ref="AI274:AI276"/>
    <mergeCell ref="AJ274:AJ276"/>
    <mergeCell ref="AK274:AK27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32"/>
  <sheetViews>
    <sheetView zoomScale="68" zoomScaleNormal="68" zoomScaleSheetLayoutView="50" workbookViewId="0">
      <selection activeCell="M23" sqref="M23"/>
    </sheetView>
  </sheetViews>
  <sheetFormatPr baseColWidth="10" defaultColWidth="11.42578125" defaultRowHeight="15" x14ac:dyDescent="0.25"/>
  <cols>
    <col min="1" max="1" width="16.42578125" customWidth="1"/>
    <col min="2" max="2" width="21.7109375" customWidth="1"/>
    <col min="3" max="3" width="19.140625" customWidth="1"/>
    <col min="4" max="4" width="22.7109375" customWidth="1"/>
    <col min="5" max="5" width="24.85546875" customWidth="1"/>
    <col min="6" max="6" width="23" customWidth="1"/>
    <col min="7" max="7" width="29.5703125" customWidth="1"/>
    <col min="8" max="8" width="35.28515625" customWidth="1"/>
    <col min="9" max="9" width="18.42578125" customWidth="1"/>
    <col min="10" max="10" width="15.140625" customWidth="1"/>
    <col min="11" max="11" width="15" customWidth="1"/>
    <col min="12" max="12" width="14.42578125" customWidth="1"/>
    <col min="13" max="13" width="14.140625" customWidth="1"/>
    <col min="14" max="14" width="51.7109375" customWidth="1"/>
    <col min="107" max="112" width="0" hidden="1" customWidth="1"/>
  </cols>
  <sheetData>
    <row r="1" spans="1:14" ht="29.25" customHeight="1" x14ac:dyDescent="0.25">
      <c r="A1" s="979"/>
      <c r="B1" s="1132"/>
      <c r="C1" s="1135" t="s">
        <v>0</v>
      </c>
      <c r="D1" s="1136"/>
      <c r="E1" s="1136"/>
      <c r="F1" s="1136"/>
      <c r="G1" s="1136"/>
      <c r="H1" s="1136"/>
      <c r="I1" s="1136"/>
      <c r="J1" s="1136"/>
      <c r="K1" s="1136"/>
      <c r="L1" s="1136"/>
      <c r="M1" s="1136"/>
      <c r="N1" s="1137"/>
    </row>
    <row r="2" spans="1:14" ht="33.75" customHeight="1" thickBot="1" x14ac:dyDescent="0.3">
      <c r="A2" s="981"/>
      <c r="B2" s="1133"/>
      <c r="C2" s="1138" t="s">
        <v>190</v>
      </c>
      <c r="D2" s="1139"/>
      <c r="E2" s="1139"/>
      <c r="F2" s="1139"/>
      <c r="G2" s="1139"/>
      <c r="H2" s="1139"/>
      <c r="I2" s="1139"/>
      <c r="J2" s="1139"/>
      <c r="K2" s="1139"/>
      <c r="L2" s="1139"/>
      <c r="M2" s="1139"/>
      <c r="N2" s="1140"/>
    </row>
    <row r="3" spans="1:14" ht="18.75" thickBot="1" x14ac:dyDescent="0.3">
      <c r="A3" s="983"/>
      <c r="B3" s="1134"/>
      <c r="C3" s="1141" t="s">
        <v>122</v>
      </c>
      <c r="D3" s="1142"/>
      <c r="E3" s="1142"/>
      <c r="F3" s="1142"/>
      <c r="G3" s="1143"/>
      <c r="H3" s="1144" t="s">
        <v>153</v>
      </c>
      <c r="I3" s="1145"/>
      <c r="J3" s="1145"/>
      <c r="K3" s="1145"/>
      <c r="L3" s="1145"/>
      <c r="M3" s="1145"/>
      <c r="N3" s="1146"/>
    </row>
    <row r="4" spans="1:14" ht="26.25" customHeight="1" thickBot="1" x14ac:dyDescent="0.3">
      <c r="A4" s="1147" t="s">
        <v>4</v>
      </c>
      <c r="B4" s="1148"/>
      <c r="C4" s="1149" t="s">
        <v>5</v>
      </c>
      <c r="D4" s="1150"/>
      <c r="E4" s="1150"/>
      <c r="F4" s="1150"/>
      <c r="G4" s="1150"/>
      <c r="H4" s="1150"/>
      <c r="I4" s="1150"/>
      <c r="J4" s="1150"/>
      <c r="K4" s="1150"/>
      <c r="L4" s="1150"/>
      <c r="M4" s="1150"/>
      <c r="N4" s="1151"/>
    </row>
    <row r="5" spans="1:14" ht="29.25" customHeight="1" thickBot="1" x14ac:dyDescent="0.3">
      <c r="A5" s="1160" t="s">
        <v>6</v>
      </c>
      <c r="B5" s="1161"/>
      <c r="C5" s="1149" t="s">
        <v>7</v>
      </c>
      <c r="D5" s="1150"/>
      <c r="E5" s="1150"/>
      <c r="F5" s="1150"/>
      <c r="G5" s="1150"/>
      <c r="H5" s="1150"/>
      <c r="I5" s="1150"/>
      <c r="J5" s="1150"/>
      <c r="K5" s="1150"/>
      <c r="L5" s="1150"/>
      <c r="M5" s="1150"/>
      <c r="N5" s="1151"/>
    </row>
    <row r="7" spans="1:14" ht="28.5" customHeight="1" x14ac:dyDescent="0.25">
      <c r="A7" s="1152" t="s">
        <v>191</v>
      </c>
      <c r="B7" s="1153"/>
      <c r="C7" s="1153"/>
      <c r="D7" s="1153"/>
      <c r="E7" s="1153"/>
      <c r="F7" s="1153"/>
      <c r="G7" s="1153"/>
      <c r="H7" s="1154"/>
    </row>
    <row r="8" spans="1:14" ht="33.75" customHeight="1" x14ac:dyDescent="0.25">
      <c r="A8" s="304" t="s">
        <v>25</v>
      </c>
      <c r="B8" s="305" t="s">
        <v>192</v>
      </c>
      <c r="C8" s="305" t="s">
        <v>193</v>
      </c>
      <c r="D8" s="305" t="s">
        <v>194</v>
      </c>
      <c r="E8" s="305" t="s">
        <v>195</v>
      </c>
      <c r="F8" s="305" t="s">
        <v>196</v>
      </c>
      <c r="G8" s="305" t="s">
        <v>197</v>
      </c>
      <c r="H8" s="306" t="s">
        <v>198</v>
      </c>
    </row>
    <row r="9" spans="1:14" ht="16.5" customHeight="1" x14ac:dyDescent="0.25">
      <c r="A9" s="307" t="s">
        <v>199</v>
      </c>
      <c r="B9" s="308" t="s">
        <v>200</v>
      </c>
      <c r="C9" s="309">
        <v>0</v>
      </c>
      <c r="D9" s="309">
        <v>2410000000</v>
      </c>
      <c r="E9" s="309">
        <v>430855000</v>
      </c>
      <c r="F9" s="309">
        <v>0</v>
      </c>
      <c r="G9" s="309">
        <v>0</v>
      </c>
      <c r="H9" s="310">
        <f>G9/E9</f>
        <v>0</v>
      </c>
    </row>
    <row r="10" spans="1:14" ht="16.5" customHeight="1" x14ac:dyDescent="0.25">
      <c r="A10" s="307" t="s">
        <v>201</v>
      </c>
      <c r="B10" s="308" t="s">
        <v>200</v>
      </c>
      <c r="C10" s="309">
        <v>0</v>
      </c>
      <c r="D10" s="309">
        <v>2410000000</v>
      </c>
      <c r="E10" s="309">
        <f>+[5]INVERSIÓN!L11+[5]INVERSIÓN!L23+[5]INVERSIÓN!L29</f>
        <v>1967968000</v>
      </c>
      <c r="F10" s="309">
        <v>1101067</v>
      </c>
      <c r="G10" s="309">
        <v>1101067</v>
      </c>
      <c r="H10" s="310">
        <f>G10/E10</f>
        <v>5.5949436169693814E-4</v>
      </c>
    </row>
    <row r="11" spans="1:14" ht="16.5" customHeight="1" x14ac:dyDescent="0.25">
      <c r="A11" s="307" t="s">
        <v>202</v>
      </c>
      <c r="B11" s="308" t="s">
        <v>200</v>
      </c>
      <c r="C11" s="309">
        <v>0</v>
      </c>
      <c r="D11" s="309">
        <v>2410000000</v>
      </c>
      <c r="E11" s="309">
        <f>+[5]INVERSIÓN!N11+[5]INVERSIÓN!N23+[5]INVERSIÓN!N29</f>
        <v>1988602000</v>
      </c>
      <c r="F11" s="309">
        <v>214401499</v>
      </c>
      <c r="G11" s="309">
        <v>214401499</v>
      </c>
      <c r="H11" s="310">
        <f>G11/E11</f>
        <v>0.10781518825788167</v>
      </c>
    </row>
    <row r="12" spans="1:14" ht="16.5" customHeight="1" x14ac:dyDescent="0.25">
      <c r="A12" s="307" t="s">
        <v>203</v>
      </c>
      <c r="B12" s="308" t="s">
        <v>200</v>
      </c>
      <c r="C12" s="309">
        <v>0</v>
      </c>
      <c r="D12" s="309">
        <v>2410000000</v>
      </c>
      <c r="E12" s="309">
        <f>+[5]INVERSIÓN!P11+[5]INVERSIÓN!P23+[5]INVERSIÓN!P29</f>
        <v>1988602000</v>
      </c>
      <c r="F12" s="309">
        <v>541182398</v>
      </c>
      <c r="G12" s="309">
        <v>541182398</v>
      </c>
      <c r="H12" s="310">
        <f>G12/E12</f>
        <v>0.27214213703898515</v>
      </c>
    </row>
    <row r="13" spans="1:14" ht="16.5" customHeight="1" x14ac:dyDescent="0.25">
      <c r="A13" s="307" t="s">
        <v>204</v>
      </c>
      <c r="B13" s="308" t="s">
        <v>200</v>
      </c>
      <c r="C13" s="311">
        <v>0</v>
      </c>
      <c r="D13" s="311">
        <v>2410000000</v>
      </c>
      <c r="E13" s="311">
        <f>+[5]INVERSIÓN!R34</f>
        <v>2178974000</v>
      </c>
      <c r="F13" s="311">
        <v>1065055507</v>
      </c>
      <c r="G13" s="311">
        <v>1065055507</v>
      </c>
      <c r="H13" s="312">
        <f>G13/E13</f>
        <v>0.48878761609821869</v>
      </c>
    </row>
    <row r="14" spans="1:14" ht="16.5" customHeight="1" thickBot="1" x14ac:dyDescent="0.3">
      <c r="A14" s="313" t="s">
        <v>205</v>
      </c>
      <c r="B14" s="314" t="s">
        <v>200</v>
      </c>
      <c r="C14" s="315">
        <v>0</v>
      </c>
      <c r="D14" s="315">
        <v>2410000000</v>
      </c>
      <c r="E14" s="315">
        <v>2398540480</v>
      </c>
      <c r="F14" s="315">
        <v>1674523341</v>
      </c>
      <c r="G14" s="315">
        <v>1674523341</v>
      </c>
      <c r="H14" s="316">
        <f>+G14/E14</f>
        <v>0.69814262255019355</v>
      </c>
    </row>
    <row r="15" spans="1:14" ht="16.5" customHeight="1" thickBot="1" x14ac:dyDescent="0.3"/>
    <row r="16" spans="1:14" ht="26.25" customHeight="1" x14ac:dyDescent="0.25">
      <c r="A16" s="1152" t="s">
        <v>206</v>
      </c>
      <c r="B16" s="1153"/>
      <c r="C16" s="1153"/>
      <c r="D16" s="1153"/>
      <c r="E16" s="1153"/>
      <c r="F16" s="1153"/>
      <c r="G16" s="1153"/>
      <c r="H16" s="1154"/>
    </row>
    <row r="17" spans="1:8" ht="25.5" customHeight="1" x14ac:dyDescent="0.25">
      <c r="A17" s="304" t="s">
        <v>26</v>
      </c>
      <c r="B17" s="305" t="s">
        <v>192</v>
      </c>
      <c r="C17" s="305" t="s">
        <v>193</v>
      </c>
      <c r="D17" s="305" t="s">
        <v>194</v>
      </c>
      <c r="E17" s="305" t="s">
        <v>195</v>
      </c>
      <c r="F17" s="305" t="s">
        <v>196</v>
      </c>
      <c r="G17" s="305" t="s">
        <v>197</v>
      </c>
      <c r="H17" s="306" t="s">
        <v>198</v>
      </c>
    </row>
    <row r="18" spans="1:8" ht="16.5" customHeight="1" x14ac:dyDescent="0.25">
      <c r="A18" s="307" t="s">
        <v>207</v>
      </c>
      <c r="B18" s="317" t="s">
        <v>200</v>
      </c>
      <c r="C18" s="311">
        <v>4564236000</v>
      </c>
      <c r="D18" s="318">
        <v>4564236000</v>
      </c>
      <c r="E18" s="311">
        <v>0</v>
      </c>
      <c r="F18" s="311">
        <v>0</v>
      </c>
      <c r="G18" s="311">
        <v>0</v>
      </c>
      <c r="H18" s="312">
        <v>0</v>
      </c>
    </row>
    <row r="19" spans="1:8" ht="16.5" customHeight="1" x14ac:dyDescent="0.25">
      <c r="A19" s="307" t="s">
        <v>208</v>
      </c>
      <c r="B19" s="317" t="s">
        <v>200</v>
      </c>
      <c r="C19" s="311">
        <v>4564236000</v>
      </c>
      <c r="D19" s="318">
        <v>4564236000</v>
      </c>
      <c r="E19" s="311">
        <v>2641756000</v>
      </c>
      <c r="F19" s="311">
        <v>0</v>
      </c>
      <c r="G19" s="311">
        <v>0</v>
      </c>
      <c r="H19" s="312">
        <v>0</v>
      </c>
    </row>
    <row r="20" spans="1:8" ht="16.5" customHeight="1" x14ac:dyDescent="0.25">
      <c r="A20" s="307" t="s">
        <v>209</v>
      </c>
      <c r="B20" s="317" t="s">
        <v>200</v>
      </c>
      <c r="C20" s="311">
        <v>4564236000</v>
      </c>
      <c r="D20" s="318">
        <v>4564236000</v>
      </c>
      <c r="E20" s="311">
        <v>3605634000</v>
      </c>
      <c r="F20" s="311">
        <v>105142035</v>
      </c>
      <c r="G20" s="311">
        <v>105142035</v>
      </c>
      <c r="H20" s="312">
        <f>+G20/E20</f>
        <v>2.9160484674817244E-2</v>
      </c>
    </row>
    <row r="21" spans="1:8" ht="16.5" customHeight="1" x14ac:dyDescent="0.25">
      <c r="A21" s="307" t="s">
        <v>210</v>
      </c>
      <c r="B21" s="317" t="s">
        <v>200</v>
      </c>
      <c r="C21" s="311">
        <v>4564236000</v>
      </c>
      <c r="D21" s="318">
        <v>4165863000</v>
      </c>
      <c r="E21" s="311">
        <v>3784706000</v>
      </c>
      <c r="F21" s="311">
        <v>453711470</v>
      </c>
      <c r="G21" s="311">
        <v>453711470</v>
      </c>
      <c r="H21" s="312">
        <f>+G21/E21</f>
        <v>0.11988024168852217</v>
      </c>
    </row>
    <row r="22" spans="1:8" ht="16.5" customHeight="1" x14ac:dyDescent="0.25">
      <c r="A22" s="307" t="s">
        <v>211</v>
      </c>
      <c r="B22" s="317" t="s">
        <v>200</v>
      </c>
      <c r="C22" s="311">
        <v>4564236000</v>
      </c>
      <c r="D22" s="318">
        <v>4165863000</v>
      </c>
      <c r="E22" s="318">
        <v>3808772000</v>
      </c>
      <c r="F22" s="318">
        <v>851030270</v>
      </c>
      <c r="G22" s="318">
        <v>851030270</v>
      </c>
      <c r="H22" s="312">
        <f>+G22/E22</f>
        <v>0.22343954166854829</v>
      </c>
    </row>
    <row r="23" spans="1:8" ht="16.5" customHeight="1" x14ac:dyDescent="0.25">
      <c r="A23" s="307" t="s">
        <v>212</v>
      </c>
      <c r="B23" s="317" t="s">
        <v>200</v>
      </c>
      <c r="C23" s="311">
        <v>4564236000</v>
      </c>
      <c r="D23" s="318">
        <v>4165863000</v>
      </c>
      <c r="E23" s="318">
        <v>4086710000</v>
      </c>
      <c r="F23" s="318">
        <v>1256400270</v>
      </c>
      <c r="G23" s="318">
        <v>1256400270</v>
      </c>
      <c r="H23" s="312">
        <v>0.30740000000000001</v>
      </c>
    </row>
    <row r="24" spans="1:8" ht="16.5" customHeight="1" x14ac:dyDescent="0.25">
      <c r="A24" s="307" t="s">
        <v>199</v>
      </c>
      <c r="B24" s="317" t="s">
        <v>200</v>
      </c>
      <c r="C24" s="311">
        <v>4564236000</v>
      </c>
      <c r="D24" s="318">
        <v>4165863000</v>
      </c>
      <c r="E24" s="318">
        <v>4089735600</v>
      </c>
      <c r="F24" s="318">
        <v>1676780970</v>
      </c>
      <c r="G24" s="318">
        <v>1676780970</v>
      </c>
      <c r="H24" s="312">
        <v>0.40999740178802757</v>
      </c>
    </row>
    <row r="25" spans="1:8" ht="16.5" customHeight="1" x14ac:dyDescent="0.25">
      <c r="A25" s="307" t="s">
        <v>201</v>
      </c>
      <c r="B25" s="317" t="s">
        <v>200</v>
      </c>
      <c r="C25" s="311">
        <v>4564236000</v>
      </c>
      <c r="D25" s="318">
        <v>4978036000</v>
      </c>
      <c r="E25" s="318">
        <v>4103487600</v>
      </c>
      <c r="F25" s="318">
        <v>2186494745</v>
      </c>
      <c r="G25" s="318">
        <v>2186494745</v>
      </c>
      <c r="H25" s="312">
        <v>0.53283815089388842</v>
      </c>
    </row>
    <row r="26" spans="1:8" ht="16.5" customHeight="1" x14ac:dyDescent="0.25">
      <c r="A26" s="307" t="s">
        <v>202</v>
      </c>
      <c r="B26" s="317" t="s">
        <v>200</v>
      </c>
      <c r="C26" s="311">
        <v>4564236000</v>
      </c>
      <c r="D26" s="318">
        <v>4978036000</v>
      </c>
      <c r="E26" s="318">
        <v>4378117733</v>
      </c>
      <c r="F26" s="318">
        <v>2639551204</v>
      </c>
      <c r="G26" s="318">
        <v>2639551204</v>
      </c>
      <c r="H26" s="312">
        <v>0.6028963506633046</v>
      </c>
    </row>
    <row r="27" spans="1:8" ht="16.5" customHeight="1" x14ac:dyDescent="0.25">
      <c r="A27" s="307" t="s">
        <v>203</v>
      </c>
      <c r="B27" s="317" t="s">
        <v>200</v>
      </c>
      <c r="C27" s="311">
        <v>4564236000</v>
      </c>
      <c r="D27" s="318">
        <v>4978036000</v>
      </c>
      <c r="E27" s="318">
        <v>4480172833</v>
      </c>
      <c r="F27" s="318">
        <v>3078166053</v>
      </c>
      <c r="G27" s="318">
        <v>3078166053</v>
      </c>
      <c r="H27" s="312">
        <v>0.68706413072435146</v>
      </c>
    </row>
    <row r="28" spans="1:8" ht="16.5" customHeight="1" x14ac:dyDescent="0.25">
      <c r="A28" s="307" t="s">
        <v>204</v>
      </c>
      <c r="B28" s="317" t="s">
        <v>200</v>
      </c>
      <c r="C28" s="311">
        <v>4564236000</v>
      </c>
      <c r="D28" s="318">
        <v>4978036000</v>
      </c>
      <c r="E28" s="318">
        <v>4589589933</v>
      </c>
      <c r="F28" s="318">
        <v>3478057586</v>
      </c>
      <c r="G28" s="318">
        <v>3478057586</v>
      </c>
      <c r="H28" s="312">
        <v>0.75781445331142183</v>
      </c>
    </row>
    <row r="29" spans="1:8" ht="16.5" customHeight="1" thickBot="1" x14ac:dyDescent="0.3">
      <c r="A29" s="313" t="s">
        <v>205</v>
      </c>
      <c r="B29" s="317" t="s">
        <v>200</v>
      </c>
      <c r="C29" s="311">
        <v>4564236000</v>
      </c>
      <c r="D29" s="318">
        <v>4877797137</v>
      </c>
      <c r="E29" s="318">
        <v>4670034066</v>
      </c>
      <c r="F29" s="318">
        <v>4047442586</v>
      </c>
      <c r="G29" s="318">
        <v>4047442586</v>
      </c>
      <c r="H29" s="312">
        <f>+G29/E29</f>
        <v>0.86668373909030927</v>
      </c>
    </row>
    <row r="30" spans="1:8" ht="16.5" customHeight="1" thickBot="1" x14ac:dyDescent="0.3"/>
    <row r="31" spans="1:8" ht="24.75" customHeight="1" x14ac:dyDescent="0.25">
      <c r="A31" s="1152" t="s">
        <v>213</v>
      </c>
      <c r="B31" s="1153"/>
      <c r="C31" s="1153"/>
      <c r="D31" s="1153"/>
      <c r="E31" s="1153"/>
      <c r="F31" s="1153"/>
      <c r="G31" s="1153"/>
      <c r="H31" s="1154"/>
    </row>
    <row r="32" spans="1:8" ht="25.5" customHeight="1" x14ac:dyDescent="0.25">
      <c r="A32" s="304" t="s">
        <v>27</v>
      </c>
      <c r="B32" s="305" t="s">
        <v>192</v>
      </c>
      <c r="C32" s="305" t="s">
        <v>193</v>
      </c>
      <c r="D32" s="305" t="s">
        <v>194</v>
      </c>
      <c r="E32" s="305" t="s">
        <v>195</v>
      </c>
      <c r="F32" s="305" t="s">
        <v>196</v>
      </c>
      <c r="G32" s="305" t="s">
        <v>197</v>
      </c>
      <c r="H32" s="306" t="s">
        <v>198</v>
      </c>
    </row>
    <row r="33" spans="1:8" s="300" customFormat="1" ht="16.5" customHeight="1" x14ac:dyDescent="0.25">
      <c r="A33" s="369" t="s">
        <v>207</v>
      </c>
      <c r="B33" s="370" t="s">
        <v>200</v>
      </c>
      <c r="C33" s="371">
        <v>6265502000</v>
      </c>
      <c r="D33" s="372">
        <v>6265502000</v>
      </c>
      <c r="E33" s="372">
        <v>5977658000</v>
      </c>
      <c r="F33" s="372">
        <v>0</v>
      </c>
      <c r="G33" s="372">
        <v>0</v>
      </c>
      <c r="H33" s="312">
        <v>0</v>
      </c>
    </row>
    <row r="34" spans="1:8" s="300" customFormat="1" ht="16.5" customHeight="1" x14ac:dyDescent="0.25">
      <c r="A34" s="369" t="s">
        <v>208</v>
      </c>
      <c r="B34" s="370" t="s">
        <v>200</v>
      </c>
      <c r="C34" s="371">
        <v>6265502000</v>
      </c>
      <c r="D34" s="372">
        <v>6265502000</v>
      </c>
      <c r="E34" s="372">
        <v>5977658000</v>
      </c>
      <c r="F34" s="372">
        <v>61726501</v>
      </c>
      <c r="G34" s="372">
        <v>61726501</v>
      </c>
      <c r="H34" s="312">
        <v>1.0326201498981709E-2</v>
      </c>
    </row>
    <row r="35" spans="1:8" s="300" customFormat="1" ht="16.5" customHeight="1" x14ac:dyDescent="0.25">
      <c r="A35" s="369" t="s">
        <v>209</v>
      </c>
      <c r="B35" s="370" t="s">
        <v>200</v>
      </c>
      <c r="C35" s="371">
        <v>6265502000</v>
      </c>
      <c r="D35" s="372">
        <v>6265502000</v>
      </c>
      <c r="E35" s="372">
        <v>5977658000</v>
      </c>
      <c r="F35" s="372">
        <v>657078094</v>
      </c>
      <c r="G35" s="372">
        <v>657078094</v>
      </c>
      <c r="H35" s="312">
        <v>0.10992232978199823</v>
      </c>
    </row>
    <row r="36" spans="1:8" s="300" customFormat="1" ht="16.5" customHeight="1" x14ac:dyDescent="0.25">
      <c r="A36" s="369" t="s">
        <v>210</v>
      </c>
      <c r="B36" s="370" t="s">
        <v>200</v>
      </c>
      <c r="C36" s="371">
        <v>6265502000</v>
      </c>
      <c r="D36" s="372">
        <v>6265502000</v>
      </c>
      <c r="E36" s="372">
        <v>6005162000</v>
      </c>
      <c r="F36" s="372">
        <v>1256199721</v>
      </c>
      <c r="G36" s="372">
        <v>1256199721</v>
      </c>
      <c r="H36" s="312">
        <f>G36/E36</f>
        <v>0.20918664991885313</v>
      </c>
    </row>
    <row r="37" spans="1:8" s="300" customFormat="1" ht="16.5" customHeight="1" x14ac:dyDescent="0.25">
      <c r="A37" s="369" t="s">
        <v>211</v>
      </c>
      <c r="B37" s="370" t="s">
        <v>200</v>
      </c>
      <c r="C37" s="371">
        <v>6265502000</v>
      </c>
      <c r="D37" s="372">
        <v>6265502000</v>
      </c>
      <c r="E37" s="372">
        <v>6005162000</v>
      </c>
      <c r="F37" s="372">
        <v>1759824288</v>
      </c>
      <c r="G37" s="372">
        <v>1759824288</v>
      </c>
      <c r="H37" s="312">
        <v>0.29305192565995719</v>
      </c>
    </row>
    <row r="38" spans="1:8" s="300" customFormat="1" ht="16.5" customHeight="1" x14ac:dyDescent="0.25">
      <c r="A38" s="369" t="s">
        <v>212</v>
      </c>
      <c r="B38" s="370" t="s">
        <v>200</v>
      </c>
      <c r="C38" s="371">
        <v>6265502000</v>
      </c>
      <c r="D38" s="372">
        <v>6265502000</v>
      </c>
      <c r="E38" s="372">
        <v>6005162000</v>
      </c>
      <c r="F38" s="372">
        <v>2315701583</v>
      </c>
      <c r="G38" s="372">
        <v>2315701583</v>
      </c>
      <c r="H38" s="312">
        <v>0.38561850338092463</v>
      </c>
    </row>
    <row r="39" spans="1:8" s="300" customFormat="1" ht="16.5" customHeight="1" x14ac:dyDescent="0.25">
      <c r="A39" s="369" t="s">
        <v>199</v>
      </c>
      <c r="B39" s="370" t="s">
        <v>200</v>
      </c>
      <c r="C39" s="371">
        <v>6265502000</v>
      </c>
      <c r="D39" s="372">
        <v>6265502000</v>
      </c>
      <c r="E39" s="372">
        <v>6005162000</v>
      </c>
      <c r="F39" s="372">
        <v>2901503750</v>
      </c>
      <c r="G39" s="372">
        <v>2901503750</v>
      </c>
      <c r="H39" s="312">
        <v>0.48316827256283845</v>
      </c>
    </row>
    <row r="40" spans="1:8" s="300" customFormat="1" ht="16.5" customHeight="1" x14ac:dyDescent="0.25">
      <c r="A40" s="369" t="s">
        <v>201</v>
      </c>
      <c r="B40" s="370" t="s">
        <v>200</v>
      </c>
      <c r="C40" s="371">
        <v>6265502000</v>
      </c>
      <c r="D40" s="372">
        <v>6265502000</v>
      </c>
      <c r="E40" s="372">
        <v>6079081000</v>
      </c>
      <c r="F40" s="372">
        <v>3409570816</v>
      </c>
      <c r="G40" s="372">
        <v>3409570816</v>
      </c>
      <c r="H40" s="312">
        <f>G40/E40</f>
        <v>0.5608694498395399</v>
      </c>
    </row>
    <row r="41" spans="1:8" s="300" customFormat="1" ht="16.5" customHeight="1" x14ac:dyDescent="0.25">
      <c r="A41" s="369" t="s">
        <v>202</v>
      </c>
      <c r="B41" s="370" t="s">
        <v>200</v>
      </c>
      <c r="C41" s="371">
        <v>6265502000</v>
      </c>
      <c r="D41" s="372">
        <v>6265502000</v>
      </c>
      <c r="E41" s="372">
        <v>6045373867</v>
      </c>
      <c r="F41" s="372">
        <v>3954378043</v>
      </c>
      <c r="G41" s="372">
        <v>3954378043</v>
      </c>
      <c r="H41" s="312">
        <v>0.65411637559520353</v>
      </c>
    </row>
    <row r="42" spans="1:8" s="300" customFormat="1" ht="16.5" customHeight="1" x14ac:dyDescent="0.25">
      <c r="A42" s="369" t="s">
        <v>203</v>
      </c>
      <c r="B42" s="370" t="s">
        <v>200</v>
      </c>
      <c r="C42" s="371">
        <v>6265502000</v>
      </c>
      <c r="D42" s="372">
        <v>6848972608</v>
      </c>
      <c r="E42" s="372">
        <v>6144323766</v>
      </c>
      <c r="F42" s="372">
        <v>4528691877</v>
      </c>
      <c r="G42" s="372">
        <v>4528691877</v>
      </c>
      <c r="H42" s="312">
        <v>0.7370529369008515</v>
      </c>
    </row>
    <row r="43" spans="1:8" s="300" customFormat="1" ht="16.5" customHeight="1" x14ac:dyDescent="0.25">
      <c r="A43" s="369" t="s">
        <v>204</v>
      </c>
      <c r="B43" s="370" t="s">
        <v>200</v>
      </c>
      <c r="C43" s="371">
        <v>6265502000</v>
      </c>
      <c r="D43" s="372">
        <v>6848972608</v>
      </c>
      <c r="E43" s="372">
        <v>6674918836</v>
      </c>
      <c r="F43" s="372">
        <v>5113682292</v>
      </c>
      <c r="G43" s="372">
        <v>5113682292</v>
      </c>
      <c r="H43" s="312">
        <v>0.76610404075930549</v>
      </c>
    </row>
    <row r="44" spans="1:8" s="300" customFormat="1" ht="16.5" customHeight="1" x14ac:dyDescent="0.25">
      <c r="A44" s="369" t="s">
        <v>205</v>
      </c>
      <c r="B44" s="370" t="s">
        <v>200</v>
      </c>
      <c r="C44" s="371">
        <v>6265502000</v>
      </c>
      <c r="D44" s="372">
        <v>6265502000</v>
      </c>
      <c r="E44" s="372">
        <v>7107493435</v>
      </c>
      <c r="F44" s="372">
        <v>6023887246</v>
      </c>
      <c r="G44" s="372">
        <v>6023887246</v>
      </c>
      <c r="H44" s="312">
        <v>0.84754031798834861</v>
      </c>
    </row>
    <row r="45" spans="1:8" ht="16.5" customHeight="1" thickBot="1" x14ac:dyDescent="0.3"/>
    <row r="46" spans="1:8" ht="27.75" customHeight="1" x14ac:dyDescent="0.25">
      <c r="A46" s="1152" t="s">
        <v>214</v>
      </c>
      <c r="B46" s="1153"/>
      <c r="C46" s="1153"/>
      <c r="D46" s="1153"/>
      <c r="E46" s="1153"/>
      <c r="F46" s="1153"/>
      <c r="G46" s="1153"/>
      <c r="H46" s="1154"/>
    </row>
    <row r="47" spans="1:8" ht="25.5" customHeight="1" x14ac:dyDescent="0.25">
      <c r="A47" s="304" t="s">
        <v>28</v>
      </c>
      <c r="B47" s="305" t="s">
        <v>192</v>
      </c>
      <c r="C47" s="305" t="s">
        <v>193</v>
      </c>
      <c r="D47" s="305" t="s">
        <v>194</v>
      </c>
      <c r="E47" s="305" t="s">
        <v>195</v>
      </c>
      <c r="F47" s="305" t="s">
        <v>196</v>
      </c>
      <c r="G47" s="305" t="s">
        <v>197</v>
      </c>
      <c r="H47" s="306" t="s">
        <v>198</v>
      </c>
    </row>
    <row r="48" spans="1:8" ht="16.5" customHeight="1" x14ac:dyDescent="0.25">
      <c r="A48" s="307" t="s">
        <v>207</v>
      </c>
      <c r="B48" s="370" t="s">
        <v>200</v>
      </c>
      <c r="C48" s="371">
        <v>4914337000</v>
      </c>
      <c r="D48" s="372">
        <v>4914337000</v>
      </c>
      <c r="E48" s="372">
        <v>840000000</v>
      </c>
      <c r="F48" s="372">
        <v>0</v>
      </c>
      <c r="G48" s="372">
        <v>0</v>
      </c>
      <c r="H48" s="312">
        <v>0</v>
      </c>
    </row>
    <row r="49" spans="1:8" ht="16.5" customHeight="1" x14ac:dyDescent="0.25">
      <c r="A49" s="307" t="s">
        <v>208</v>
      </c>
      <c r="B49" s="370" t="s">
        <v>200</v>
      </c>
      <c r="C49" s="371">
        <v>4914337000</v>
      </c>
      <c r="D49" s="372">
        <v>4914337000</v>
      </c>
      <c r="E49" s="372">
        <v>1043846500</v>
      </c>
      <c r="F49" s="372">
        <v>0</v>
      </c>
      <c r="G49" s="372">
        <v>0</v>
      </c>
      <c r="H49" s="312">
        <v>0</v>
      </c>
    </row>
    <row r="50" spans="1:8" ht="16.5" customHeight="1" x14ac:dyDescent="0.25">
      <c r="A50" s="307" t="s">
        <v>209</v>
      </c>
      <c r="B50" s="370" t="s">
        <v>200</v>
      </c>
      <c r="C50" s="371">
        <v>4914337000</v>
      </c>
      <c r="D50" s="372">
        <v>4914337000</v>
      </c>
      <c r="E50" s="372">
        <v>4353166000</v>
      </c>
      <c r="F50" s="372">
        <v>8871200</v>
      </c>
      <c r="G50" s="372">
        <v>8871200</v>
      </c>
      <c r="H50" s="312">
        <v>2.0378731249853553E-3</v>
      </c>
    </row>
    <row r="51" spans="1:8" ht="16.5" customHeight="1" x14ac:dyDescent="0.25">
      <c r="A51" s="307" t="s">
        <v>210</v>
      </c>
      <c r="B51" s="370" t="s">
        <v>200</v>
      </c>
      <c r="C51" s="371">
        <v>4914337000</v>
      </c>
      <c r="D51" s="372">
        <v>4914337000</v>
      </c>
      <c r="E51" s="372">
        <v>4637323333</v>
      </c>
      <c r="F51" s="372">
        <v>198835504</v>
      </c>
      <c r="G51" s="372">
        <v>198835504</v>
      </c>
      <c r="H51" s="312">
        <v>4.287721379810891E-2</v>
      </c>
    </row>
    <row r="52" spans="1:8" ht="16.5" customHeight="1" x14ac:dyDescent="0.25">
      <c r="A52" s="307" t="s">
        <v>211</v>
      </c>
      <c r="B52" s="370" t="s">
        <v>200</v>
      </c>
      <c r="C52" s="371">
        <v>4914337000</v>
      </c>
      <c r="D52" s="372">
        <v>4914337000</v>
      </c>
      <c r="E52" s="372">
        <v>4637323333</v>
      </c>
      <c r="F52" s="372">
        <v>575200770</v>
      </c>
      <c r="G52" s="372">
        <v>575200770</v>
      </c>
      <c r="H52" s="312">
        <v>0.12403723628817753</v>
      </c>
    </row>
    <row r="53" spans="1:8" ht="16.5" customHeight="1" x14ac:dyDescent="0.25">
      <c r="A53" s="307" t="s">
        <v>212</v>
      </c>
      <c r="B53" s="370" t="s">
        <v>200</v>
      </c>
      <c r="C53" s="371">
        <v>4914337000</v>
      </c>
      <c r="D53" s="372">
        <v>4914337000</v>
      </c>
      <c r="E53" s="372">
        <v>4637323333</v>
      </c>
      <c r="F53" s="372">
        <v>1018008326</v>
      </c>
      <c r="G53" s="372">
        <v>1018008326</v>
      </c>
      <c r="H53" s="312">
        <v>0.21952498303400059</v>
      </c>
    </row>
    <row r="54" spans="1:8" ht="16.5" customHeight="1" x14ac:dyDescent="0.25">
      <c r="A54" s="307" t="s">
        <v>199</v>
      </c>
      <c r="B54" s="370" t="s">
        <v>200</v>
      </c>
      <c r="C54" s="371">
        <v>4914337000</v>
      </c>
      <c r="D54" s="372">
        <v>4914337000</v>
      </c>
      <c r="E54" s="372">
        <v>4649509333</v>
      </c>
      <c r="F54" s="372">
        <v>1508132626</v>
      </c>
      <c r="G54" s="372">
        <v>1508132626</v>
      </c>
      <c r="H54" s="312">
        <v>0.32436382379017797</v>
      </c>
    </row>
    <row r="55" spans="1:8" ht="16.5" customHeight="1" x14ac:dyDescent="0.25">
      <c r="A55" s="307" t="s">
        <v>201</v>
      </c>
      <c r="B55" s="370" t="s">
        <v>200</v>
      </c>
      <c r="C55" s="371">
        <v>4914337000</v>
      </c>
      <c r="D55" s="372">
        <v>4914337000</v>
      </c>
      <c r="E55" s="372">
        <v>4657509333</v>
      </c>
      <c r="F55" s="372">
        <v>1972451975.0654762</v>
      </c>
      <c r="G55" s="372">
        <v>1972451975.0654762</v>
      </c>
      <c r="H55" s="312">
        <v>0.42349930704164113</v>
      </c>
    </row>
    <row r="56" spans="1:8" ht="16.5" customHeight="1" x14ac:dyDescent="0.25">
      <c r="A56" s="307" t="s">
        <v>202</v>
      </c>
      <c r="B56" s="370" t="s">
        <v>200</v>
      </c>
      <c r="C56" s="371">
        <v>4914337000</v>
      </c>
      <c r="D56" s="372">
        <v>4914337000</v>
      </c>
      <c r="E56" s="372">
        <v>4657509333</v>
      </c>
      <c r="F56" s="372">
        <v>2508950070.0654764</v>
      </c>
      <c r="G56" s="372">
        <v>2508950070.0654764</v>
      </c>
      <c r="H56" s="312">
        <v>0.53868922007063569</v>
      </c>
    </row>
    <row r="57" spans="1:8" ht="16.5" customHeight="1" x14ac:dyDescent="0.25">
      <c r="A57" s="307" t="s">
        <v>203</v>
      </c>
      <c r="B57" s="370" t="s">
        <v>200</v>
      </c>
      <c r="C57" s="371">
        <v>4914337000</v>
      </c>
      <c r="D57" s="372">
        <v>4914337000</v>
      </c>
      <c r="E57" s="372">
        <v>4639750333</v>
      </c>
      <c r="F57" s="372">
        <v>3073387514.0654764</v>
      </c>
      <c r="G57" s="372">
        <v>3073387514.0654764</v>
      </c>
      <c r="H57" s="312">
        <v>0.6624036410334746</v>
      </c>
    </row>
    <row r="58" spans="1:8" ht="16.5" customHeight="1" x14ac:dyDescent="0.25">
      <c r="A58" s="307" t="s">
        <v>204</v>
      </c>
      <c r="B58" s="370" t="s">
        <v>200</v>
      </c>
      <c r="C58" s="415">
        <v>4914337000</v>
      </c>
      <c r="D58" s="416">
        <v>4985893280</v>
      </c>
      <c r="E58" s="416">
        <v>4676905934</v>
      </c>
      <c r="F58" s="416">
        <v>3582720582</v>
      </c>
      <c r="G58" s="416">
        <v>3582720582</v>
      </c>
      <c r="H58" s="312">
        <v>0.76604503758659515</v>
      </c>
    </row>
    <row r="59" spans="1:8" ht="16.5" customHeight="1" thickBot="1" x14ac:dyDescent="0.3">
      <c r="A59" s="313" t="s">
        <v>205</v>
      </c>
      <c r="B59" s="370" t="s">
        <v>200</v>
      </c>
      <c r="C59" s="415">
        <v>4914337000</v>
      </c>
      <c r="D59" s="416">
        <f>+[6]INVERSIÓN!DL38</f>
        <v>4985893280</v>
      </c>
      <c r="E59" s="416">
        <f>+[6]INVERSIÓN!DM38</f>
        <v>4985645154</v>
      </c>
      <c r="F59" s="416">
        <f>+[6]INVERSIÓN!DM12+[6]INVERSIÓN!DM19+[6]INVERSIÓN!DM26+[6]INVERSIÓN!DM33</f>
        <v>4387854225</v>
      </c>
      <c r="G59" s="416">
        <f>+F59</f>
        <v>4387854225</v>
      </c>
      <c r="H59" s="397">
        <f t="shared" ref="H59" si="0">G59/E59</f>
        <v>0.88009757803954614</v>
      </c>
    </row>
    <row r="60" spans="1:8" ht="16.5" customHeight="1" thickBot="1" x14ac:dyDescent="0.3"/>
    <row r="61" spans="1:8" ht="23.25" customHeight="1" x14ac:dyDescent="0.25">
      <c r="A61" s="1152" t="s">
        <v>215</v>
      </c>
      <c r="B61" s="1153"/>
      <c r="C61" s="1153"/>
      <c r="D61" s="1153"/>
      <c r="E61" s="1153"/>
      <c r="F61" s="1153"/>
      <c r="G61" s="1153"/>
      <c r="H61" s="1154"/>
    </row>
    <row r="62" spans="1:8" ht="25.5" customHeight="1" x14ac:dyDescent="0.25">
      <c r="A62" s="304" t="s">
        <v>29</v>
      </c>
      <c r="B62" s="305" t="s">
        <v>192</v>
      </c>
      <c r="C62" s="305" t="s">
        <v>193</v>
      </c>
      <c r="D62" s="305" t="s">
        <v>194</v>
      </c>
      <c r="E62" s="305" t="s">
        <v>195</v>
      </c>
      <c r="F62" s="305" t="s">
        <v>196</v>
      </c>
      <c r="G62" s="305" t="s">
        <v>197</v>
      </c>
      <c r="H62" s="306" t="s">
        <v>198</v>
      </c>
    </row>
    <row r="63" spans="1:8" ht="16.5" customHeight="1" x14ac:dyDescent="0.25">
      <c r="A63" s="307" t="s">
        <v>207</v>
      </c>
      <c r="B63" s="319" t="s">
        <v>200</v>
      </c>
      <c r="C63" s="252">
        <v>7569622000</v>
      </c>
      <c r="D63" s="253">
        <f>+[7]INVERSIÓN!DN38</f>
        <v>7569622000</v>
      </c>
      <c r="E63" s="420">
        <f>+[7]INVERSIÓN!DP38</f>
        <v>346990000</v>
      </c>
      <c r="F63" s="420"/>
      <c r="G63" s="413">
        <v>0</v>
      </c>
      <c r="H63" s="422">
        <f>G63/E63</f>
        <v>0</v>
      </c>
    </row>
    <row r="64" spans="1:8" ht="16.5" customHeight="1" x14ac:dyDescent="0.25">
      <c r="A64" s="307" t="s">
        <v>208</v>
      </c>
      <c r="B64" s="319" t="s">
        <v>200</v>
      </c>
      <c r="C64" s="252">
        <v>7569622000</v>
      </c>
      <c r="D64" s="253">
        <f>+[7]INVERSIÓN!DN38</f>
        <v>7569622000</v>
      </c>
      <c r="E64" s="253">
        <v>1390183000</v>
      </c>
      <c r="F64" s="253">
        <v>60085032</v>
      </c>
      <c r="G64" s="413">
        <v>60085032</v>
      </c>
      <c r="H64" s="422">
        <f t="shared" ref="H64:H74" si="1">G64/E64</f>
        <v>4.3220951486243178E-2</v>
      </c>
    </row>
    <row r="65" spans="1:15" ht="16.5" customHeight="1" x14ac:dyDescent="0.25">
      <c r="A65" s="307" t="s">
        <v>209</v>
      </c>
      <c r="B65" s="319" t="s">
        <v>200</v>
      </c>
      <c r="C65" s="252">
        <v>7569622000</v>
      </c>
      <c r="D65" s="253">
        <f>+[7]INVERSIÓN!DN38</f>
        <v>7569622000</v>
      </c>
      <c r="E65" s="253">
        <f>+[7]INVERSIÓN!EQ38</f>
        <v>1900905000</v>
      </c>
      <c r="F65" s="432">
        <v>283785832</v>
      </c>
      <c r="G65" s="432">
        <v>283785832</v>
      </c>
      <c r="H65" s="423">
        <f t="shared" si="1"/>
        <v>0.14928985509533618</v>
      </c>
    </row>
    <row r="66" spans="1:15" ht="16.5" customHeight="1" x14ac:dyDescent="0.25">
      <c r="A66" s="307" t="s">
        <v>210</v>
      </c>
      <c r="B66" s="319" t="s">
        <v>200</v>
      </c>
      <c r="C66" s="252">
        <v>7569622000</v>
      </c>
      <c r="D66" s="253">
        <v>7569622000</v>
      </c>
      <c r="E66" s="453">
        <v>2698641000</v>
      </c>
      <c r="F66" s="432">
        <v>605620715</v>
      </c>
      <c r="G66" s="453">
        <f>F66</f>
        <v>605620715</v>
      </c>
      <c r="H66" s="423">
        <f t="shared" si="1"/>
        <v>0.22441692503745403</v>
      </c>
    </row>
    <row r="67" spans="1:15" ht="16.5" customHeight="1" x14ac:dyDescent="0.25">
      <c r="A67" s="307" t="s">
        <v>211</v>
      </c>
      <c r="B67" s="319" t="s">
        <v>200</v>
      </c>
      <c r="C67" s="252">
        <v>7569622000</v>
      </c>
      <c r="D67" s="253">
        <f>INVERSIÓN!DN39</f>
        <v>597790929</v>
      </c>
      <c r="E67" s="453">
        <f>INVERSIÓN!EQ38</f>
        <v>3179973073</v>
      </c>
      <c r="F67" s="526">
        <v>1018288179</v>
      </c>
      <c r="G67" s="526">
        <v>1018288179</v>
      </c>
      <c r="H67" s="423">
        <f t="shared" si="1"/>
        <v>0.32021911998120872</v>
      </c>
    </row>
    <row r="68" spans="1:15" ht="16.5" customHeight="1" x14ac:dyDescent="0.25">
      <c r="A68" s="307" t="s">
        <v>212</v>
      </c>
      <c r="B68" s="319"/>
      <c r="C68" s="319"/>
      <c r="D68" s="319"/>
      <c r="E68" s="319"/>
      <c r="F68" s="319"/>
      <c r="G68" s="319"/>
      <c r="H68" s="320" t="e">
        <f t="shared" si="1"/>
        <v>#DIV/0!</v>
      </c>
    </row>
    <row r="69" spans="1:15" ht="16.5" customHeight="1" x14ac:dyDescent="0.25">
      <c r="A69" s="307" t="s">
        <v>199</v>
      </c>
      <c r="B69" s="319"/>
      <c r="C69" s="319"/>
      <c r="D69" s="319"/>
      <c r="E69" s="319"/>
      <c r="F69" s="319"/>
      <c r="G69" s="319"/>
      <c r="H69" s="320" t="e">
        <f t="shared" si="1"/>
        <v>#DIV/0!</v>
      </c>
    </row>
    <row r="70" spans="1:15" ht="16.5" customHeight="1" x14ac:dyDescent="0.25">
      <c r="A70" s="307" t="s">
        <v>201</v>
      </c>
      <c r="B70" s="319"/>
      <c r="C70" s="319"/>
      <c r="D70" s="319"/>
      <c r="E70" s="319"/>
      <c r="F70" s="319"/>
      <c r="G70" s="319"/>
      <c r="H70" s="320" t="e">
        <f t="shared" si="1"/>
        <v>#DIV/0!</v>
      </c>
    </row>
    <row r="71" spans="1:15" ht="16.5" customHeight="1" x14ac:dyDescent="0.25">
      <c r="A71" s="307" t="s">
        <v>202</v>
      </c>
      <c r="B71" s="319"/>
      <c r="C71" s="319"/>
      <c r="D71" s="319"/>
      <c r="E71" s="319"/>
      <c r="F71" s="319"/>
      <c r="G71" s="319"/>
      <c r="H71" s="320" t="e">
        <f t="shared" si="1"/>
        <v>#DIV/0!</v>
      </c>
    </row>
    <row r="72" spans="1:15" ht="16.5" customHeight="1" x14ac:dyDescent="0.25">
      <c r="A72" s="307" t="s">
        <v>203</v>
      </c>
      <c r="B72" s="319"/>
      <c r="C72" s="319"/>
      <c r="D72" s="319"/>
      <c r="E72" s="319"/>
      <c r="F72" s="319"/>
      <c r="G72" s="319"/>
      <c r="H72" s="320" t="e">
        <f t="shared" si="1"/>
        <v>#DIV/0!</v>
      </c>
    </row>
    <row r="73" spans="1:15" ht="16.5" customHeight="1" x14ac:dyDescent="0.25">
      <c r="A73" s="307" t="s">
        <v>204</v>
      </c>
      <c r="B73" s="319"/>
      <c r="C73" s="319"/>
      <c r="D73" s="319"/>
      <c r="E73" s="319"/>
      <c r="F73" s="319"/>
      <c r="G73" s="319"/>
      <c r="H73" s="320" t="e">
        <f t="shared" si="1"/>
        <v>#DIV/0!</v>
      </c>
    </row>
    <row r="74" spans="1:15" ht="16.5" customHeight="1" thickBot="1" x14ac:dyDescent="0.3">
      <c r="A74" s="313" t="s">
        <v>205</v>
      </c>
      <c r="B74" s="321"/>
      <c r="C74" s="321"/>
      <c r="D74" s="321"/>
      <c r="E74" s="321"/>
      <c r="F74" s="321"/>
      <c r="G74" s="321"/>
      <c r="H74" s="320" t="e">
        <f t="shared" si="1"/>
        <v>#DIV/0!</v>
      </c>
    </row>
    <row r="75" spans="1:15" ht="16.5" customHeight="1" thickBot="1" x14ac:dyDescent="0.3"/>
    <row r="76" spans="1:15" ht="23.25" customHeight="1" x14ac:dyDescent="0.25">
      <c r="A76" s="1155" t="s">
        <v>216</v>
      </c>
      <c r="B76" s="1156"/>
      <c r="C76" s="1156"/>
      <c r="D76" s="1156"/>
      <c r="E76" s="1156"/>
      <c r="F76" s="1156"/>
      <c r="G76" s="1156"/>
      <c r="H76" s="1156"/>
      <c r="I76" s="1156"/>
      <c r="J76" s="1156"/>
      <c r="K76" s="1156"/>
      <c r="L76" s="1156"/>
      <c r="M76" s="1156"/>
      <c r="N76" s="1157"/>
    </row>
    <row r="77" spans="1:15" ht="44.25" customHeight="1" x14ac:dyDescent="0.25">
      <c r="A77" s="304" t="s">
        <v>25</v>
      </c>
      <c r="B77" s="305" t="s">
        <v>217</v>
      </c>
      <c r="C77" s="305" t="s">
        <v>218</v>
      </c>
      <c r="D77" s="305" t="s">
        <v>219</v>
      </c>
      <c r="E77" s="305" t="s">
        <v>220</v>
      </c>
      <c r="F77" s="305" t="s">
        <v>221</v>
      </c>
      <c r="G77" s="305" t="s">
        <v>222</v>
      </c>
      <c r="H77" s="305" t="s">
        <v>223</v>
      </c>
      <c r="I77" s="305" t="s">
        <v>224</v>
      </c>
      <c r="J77" s="305" t="s">
        <v>225</v>
      </c>
      <c r="K77" s="305" t="s">
        <v>226</v>
      </c>
      <c r="L77" s="305" t="s">
        <v>227</v>
      </c>
      <c r="M77" s="305" t="s">
        <v>228</v>
      </c>
      <c r="N77" s="306" t="s">
        <v>229</v>
      </c>
    </row>
    <row r="78" spans="1:15" x14ac:dyDescent="0.25">
      <c r="A78" s="1158" t="s">
        <v>199</v>
      </c>
      <c r="B78" s="319" t="s">
        <v>230</v>
      </c>
      <c r="C78" s="319" t="s">
        <v>231</v>
      </c>
      <c r="D78" s="319" t="s">
        <v>232</v>
      </c>
      <c r="E78" s="319" t="s">
        <v>233</v>
      </c>
      <c r="F78" s="20">
        <v>100</v>
      </c>
      <c r="G78" s="322">
        <v>115000</v>
      </c>
      <c r="H78" s="322">
        <v>10000</v>
      </c>
      <c r="I78" s="322">
        <v>1904</v>
      </c>
      <c r="J78" s="323">
        <f>I78/H78</f>
        <v>0.19040000000000001</v>
      </c>
      <c r="K78" s="319"/>
      <c r="L78" s="319"/>
      <c r="M78" s="319"/>
      <c r="N78" s="320" t="s">
        <v>234</v>
      </c>
      <c r="O78" s="324" t="s">
        <v>235</v>
      </c>
    </row>
    <row r="79" spans="1:15" x14ac:dyDescent="0.25">
      <c r="A79" s="1159"/>
      <c r="B79" s="325" t="s">
        <v>236</v>
      </c>
      <c r="C79" s="325" t="s">
        <v>237</v>
      </c>
      <c r="D79" s="325" t="s">
        <v>238</v>
      </c>
      <c r="E79" s="325" t="s">
        <v>233</v>
      </c>
      <c r="F79" s="326">
        <v>100</v>
      </c>
      <c r="G79" s="327">
        <v>24000</v>
      </c>
      <c r="H79" s="327">
        <v>2000</v>
      </c>
      <c r="I79" s="327">
        <v>301</v>
      </c>
      <c r="J79" s="328">
        <f t="shared" ref="J79:J85" si="2">I79/H79</f>
        <v>0.15049999999999999</v>
      </c>
      <c r="K79" s="325"/>
      <c r="L79" s="325"/>
      <c r="M79" s="325"/>
      <c r="N79" s="329" t="s">
        <v>234</v>
      </c>
      <c r="O79" s="324" t="s">
        <v>235</v>
      </c>
    </row>
    <row r="80" spans="1:15" x14ac:dyDescent="0.25">
      <c r="A80" s="1158" t="s">
        <v>201</v>
      </c>
      <c r="B80" s="319" t="s">
        <v>230</v>
      </c>
      <c r="C80" s="319" t="s">
        <v>231</v>
      </c>
      <c r="D80" s="319" t="s">
        <v>232</v>
      </c>
      <c r="E80" s="319" t="s">
        <v>233</v>
      </c>
      <c r="F80" s="20">
        <v>100</v>
      </c>
      <c r="G80" s="322">
        <v>115000</v>
      </c>
      <c r="H80" s="322">
        <v>10000</v>
      </c>
      <c r="I80" s="322">
        <v>2889</v>
      </c>
      <c r="J80" s="323">
        <f t="shared" si="2"/>
        <v>0.28889999999999999</v>
      </c>
      <c r="K80" s="319"/>
      <c r="L80" s="319"/>
      <c r="M80" s="319"/>
      <c r="N80" s="320" t="s">
        <v>234</v>
      </c>
      <c r="O80" s="324" t="s">
        <v>235</v>
      </c>
    </row>
    <row r="81" spans="1:15" x14ac:dyDescent="0.25">
      <c r="A81" s="1159"/>
      <c r="B81" s="325" t="s">
        <v>236</v>
      </c>
      <c r="C81" s="325" t="s">
        <v>237</v>
      </c>
      <c r="D81" s="325" t="s">
        <v>238</v>
      </c>
      <c r="E81" s="325" t="s">
        <v>233</v>
      </c>
      <c r="F81" s="326">
        <v>100</v>
      </c>
      <c r="G81" s="327">
        <v>24000</v>
      </c>
      <c r="H81" s="327">
        <v>2000</v>
      </c>
      <c r="I81" s="327">
        <v>345</v>
      </c>
      <c r="J81" s="328">
        <f t="shared" si="2"/>
        <v>0.17249999999999999</v>
      </c>
      <c r="K81" s="325"/>
      <c r="L81" s="325"/>
      <c r="M81" s="325"/>
      <c r="N81" s="329" t="s">
        <v>234</v>
      </c>
      <c r="O81" s="324" t="s">
        <v>235</v>
      </c>
    </row>
    <row r="82" spans="1:15" x14ac:dyDescent="0.25">
      <c r="A82" s="1158" t="s">
        <v>202</v>
      </c>
      <c r="B82" s="319" t="s">
        <v>230</v>
      </c>
      <c r="C82" s="319" t="s">
        <v>231</v>
      </c>
      <c r="D82" s="319" t="s">
        <v>232</v>
      </c>
      <c r="E82" s="319" t="s">
        <v>233</v>
      </c>
      <c r="F82" s="20">
        <v>100</v>
      </c>
      <c r="G82" s="322">
        <v>115000</v>
      </c>
      <c r="H82" s="322">
        <v>10000</v>
      </c>
      <c r="I82" s="322">
        <v>4220</v>
      </c>
      <c r="J82" s="323">
        <f t="shared" si="2"/>
        <v>0.42199999999999999</v>
      </c>
      <c r="K82" s="319"/>
      <c r="L82" s="319"/>
      <c r="M82" s="319"/>
      <c r="N82" s="320" t="s">
        <v>234</v>
      </c>
      <c r="O82" s="324" t="s">
        <v>235</v>
      </c>
    </row>
    <row r="83" spans="1:15" x14ac:dyDescent="0.25">
      <c r="A83" s="1159"/>
      <c r="B83" s="325" t="s">
        <v>236</v>
      </c>
      <c r="C83" s="325" t="s">
        <v>237</v>
      </c>
      <c r="D83" s="325" t="s">
        <v>238</v>
      </c>
      <c r="E83" s="325" t="s">
        <v>233</v>
      </c>
      <c r="F83" s="326">
        <v>100</v>
      </c>
      <c r="G83" s="327">
        <v>24000</v>
      </c>
      <c r="H83" s="327">
        <v>2000</v>
      </c>
      <c r="I83" s="327">
        <v>722</v>
      </c>
      <c r="J83" s="328">
        <f t="shared" si="2"/>
        <v>0.36099999999999999</v>
      </c>
      <c r="K83" s="325"/>
      <c r="L83" s="325"/>
      <c r="M83" s="325"/>
      <c r="N83" s="329" t="s">
        <v>234</v>
      </c>
      <c r="O83" s="324" t="s">
        <v>235</v>
      </c>
    </row>
    <row r="84" spans="1:15" x14ac:dyDescent="0.25">
      <c r="A84" s="1158" t="s">
        <v>203</v>
      </c>
      <c r="B84" s="319" t="s">
        <v>230</v>
      </c>
      <c r="C84" s="319" t="s">
        <v>231</v>
      </c>
      <c r="D84" s="319" t="s">
        <v>232</v>
      </c>
      <c r="E84" s="319" t="s">
        <v>233</v>
      </c>
      <c r="F84" s="20">
        <v>100</v>
      </c>
      <c r="G84" s="322">
        <v>115000</v>
      </c>
      <c r="H84" s="322">
        <v>10000</v>
      </c>
      <c r="I84" s="322">
        <v>5695</v>
      </c>
      <c r="J84" s="323">
        <f t="shared" si="2"/>
        <v>0.56950000000000001</v>
      </c>
      <c r="K84" s="319"/>
      <c r="L84" s="319"/>
      <c r="M84" s="319"/>
      <c r="N84" s="320" t="s">
        <v>234</v>
      </c>
      <c r="O84" s="324" t="s">
        <v>235</v>
      </c>
    </row>
    <row r="85" spans="1:15" x14ac:dyDescent="0.25">
      <c r="A85" s="1159"/>
      <c r="B85" s="325" t="s">
        <v>236</v>
      </c>
      <c r="C85" s="325" t="s">
        <v>237</v>
      </c>
      <c r="D85" s="325" t="s">
        <v>238</v>
      </c>
      <c r="E85" s="325" t="s">
        <v>233</v>
      </c>
      <c r="F85" s="326">
        <v>100</v>
      </c>
      <c r="G85" s="327">
        <v>24000</v>
      </c>
      <c r="H85" s="327">
        <v>2000</v>
      </c>
      <c r="I85" s="327">
        <v>1359</v>
      </c>
      <c r="J85" s="328">
        <f t="shared" si="2"/>
        <v>0.67949999999999999</v>
      </c>
      <c r="K85" s="325"/>
      <c r="L85" s="325"/>
      <c r="M85" s="325"/>
      <c r="N85" s="329" t="s">
        <v>234</v>
      </c>
      <c r="O85" s="324" t="s">
        <v>235</v>
      </c>
    </row>
    <row r="86" spans="1:15" x14ac:dyDescent="0.25">
      <c r="A86" s="1158" t="s">
        <v>204</v>
      </c>
      <c r="B86" s="319" t="s">
        <v>230</v>
      </c>
      <c r="C86" s="319" t="s">
        <v>231</v>
      </c>
      <c r="D86" s="319" t="s">
        <v>232</v>
      </c>
      <c r="E86" s="319" t="s">
        <v>233</v>
      </c>
      <c r="F86" s="20">
        <v>100</v>
      </c>
      <c r="G86" s="322">
        <v>115000</v>
      </c>
      <c r="H86" s="322">
        <v>10000</v>
      </c>
      <c r="I86" s="322">
        <v>6617</v>
      </c>
      <c r="J86" s="330">
        <f>I86/H86</f>
        <v>0.66169999999999995</v>
      </c>
      <c r="K86" s="319"/>
      <c r="L86" s="319"/>
      <c r="M86" s="319"/>
      <c r="N86" s="320" t="s">
        <v>234</v>
      </c>
      <c r="O86" s="324" t="s">
        <v>235</v>
      </c>
    </row>
    <row r="87" spans="1:15" x14ac:dyDescent="0.25">
      <c r="A87" s="1159"/>
      <c r="B87" s="319" t="s">
        <v>236</v>
      </c>
      <c r="C87" s="319" t="s">
        <v>237</v>
      </c>
      <c r="D87" s="319" t="s">
        <v>238</v>
      </c>
      <c r="E87" s="319" t="s">
        <v>233</v>
      </c>
      <c r="F87" s="20">
        <v>100</v>
      </c>
      <c r="G87" s="322">
        <v>24000</v>
      </c>
      <c r="H87" s="322">
        <v>2000</v>
      </c>
      <c r="I87" s="331">
        <v>1891</v>
      </c>
      <c r="J87" s="330">
        <f>I87/H87</f>
        <v>0.94550000000000001</v>
      </c>
      <c r="K87" s="332"/>
      <c r="L87" s="332"/>
      <c r="M87" s="332"/>
      <c r="N87" s="320" t="s">
        <v>234</v>
      </c>
      <c r="O87" s="324" t="s">
        <v>235</v>
      </c>
    </row>
    <row r="88" spans="1:15" x14ac:dyDescent="0.25">
      <c r="A88" s="1158" t="s">
        <v>205</v>
      </c>
      <c r="B88" s="319" t="s">
        <v>230</v>
      </c>
      <c r="C88" s="319" t="s">
        <v>231</v>
      </c>
      <c r="D88" s="319" t="s">
        <v>232</v>
      </c>
      <c r="E88" s="319" t="s">
        <v>233</v>
      </c>
      <c r="F88" s="20">
        <v>100</v>
      </c>
      <c r="G88" s="322">
        <v>115000</v>
      </c>
      <c r="H88" s="331">
        <v>10000</v>
      </c>
      <c r="I88" s="331">
        <v>8177</v>
      </c>
      <c r="J88" s="330">
        <f>I88/H88</f>
        <v>0.81769999999999998</v>
      </c>
      <c r="K88" s="332"/>
      <c r="L88" s="332"/>
      <c r="M88" s="332"/>
      <c r="N88" s="320" t="s">
        <v>234</v>
      </c>
      <c r="O88" s="324" t="s">
        <v>235</v>
      </c>
    </row>
    <row r="89" spans="1:15" ht="15.75" thickBot="1" x14ac:dyDescent="0.3">
      <c r="A89" s="1162" t="s">
        <v>205</v>
      </c>
      <c r="B89" s="321" t="s">
        <v>236</v>
      </c>
      <c r="C89" s="321" t="s">
        <v>237</v>
      </c>
      <c r="D89" s="321" t="s">
        <v>238</v>
      </c>
      <c r="E89" s="321" t="s">
        <v>233</v>
      </c>
      <c r="F89" s="333">
        <v>100</v>
      </c>
      <c r="G89" s="334">
        <v>24000</v>
      </c>
      <c r="H89" s="334">
        <v>2400</v>
      </c>
      <c r="I89" s="334">
        <v>2642</v>
      </c>
      <c r="J89" s="335">
        <f>I89/H89</f>
        <v>1.1008333333333333</v>
      </c>
      <c r="K89" s="321"/>
      <c r="L89" s="321"/>
      <c r="M89" s="321"/>
      <c r="N89" s="320" t="s">
        <v>234</v>
      </c>
      <c r="O89" s="324" t="s">
        <v>235</v>
      </c>
    </row>
    <row r="90" spans="1:15" x14ac:dyDescent="0.25">
      <c r="A90" s="29"/>
      <c r="O90" s="324" t="s">
        <v>235</v>
      </c>
    </row>
    <row r="91" spans="1:15" ht="15.75" thickBot="1" x14ac:dyDescent="0.3">
      <c r="O91" s="324" t="s">
        <v>235</v>
      </c>
    </row>
    <row r="92" spans="1:15" ht="20.25" x14ac:dyDescent="0.25">
      <c r="A92" s="1155" t="s">
        <v>239</v>
      </c>
      <c r="B92" s="1156"/>
      <c r="C92" s="1156"/>
      <c r="D92" s="1156"/>
      <c r="E92" s="1156"/>
      <c r="F92" s="1156"/>
      <c r="G92" s="1156"/>
      <c r="H92" s="1156"/>
      <c r="I92" s="1156"/>
      <c r="J92" s="1156"/>
      <c r="K92" s="1156"/>
      <c r="L92" s="1156"/>
      <c r="M92" s="1156"/>
      <c r="N92" s="1157"/>
      <c r="O92" s="324" t="s">
        <v>235</v>
      </c>
    </row>
    <row r="93" spans="1:15" ht="44.25" customHeight="1" x14ac:dyDescent="0.25">
      <c r="A93" s="304" t="s">
        <v>26</v>
      </c>
      <c r="B93" s="305" t="s">
        <v>217</v>
      </c>
      <c r="C93" s="305" t="s">
        <v>218</v>
      </c>
      <c r="D93" s="305" t="s">
        <v>219</v>
      </c>
      <c r="E93" s="305" t="s">
        <v>220</v>
      </c>
      <c r="F93" s="305" t="s">
        <v>240</v>
      </c>
      <c r="G93" s="305" t="s">
        <v>222</v>
      </c>
      <c r="H93" s="305" t="s">
        <v>241</v>
      </c>
      <c r="I93" s="305" t="s">
        <v>242</v>
      </c>
      <c r="J93" s="305" t="s">
        <v>243</v>
      </c>
      <c r="K93" s="305" t="s">
        <v>226</v>
      </c>
      <c r="L93" s="305" t="s">
        <v>227</v>
      </c>
      <c r="M93" s="305" t="s">
        <v>228</v>
      </c>
      <c r="N93" s="306" t="s">
        <v>229</v>
      </c>
      <c r="O93" s="324" t="s">
        <v>235</v>
      </c>
    </row>
    <row r="94" spans="1:15" s="300" customFormat="1" ht="15.75" customHeight="1" x14ac:dyDescent="0.25">
      <c r="A94" s="1158" t="s">
        <v>207</v>
      </c>
      <c r="B94" s="336" t="s">
        <v>230</v>
      </c>
      <c r="C94" s="336" t="s">
        <v>231</v>
      </c>
      <c r="D94" s="336" t="s">
        <v>232</v>
      </c>
      <c r="E94" s="336" t="s">
        <v>233</v>
      </c>
      <c r="F94" s="20">
        <v>100</v>
      </c>
      <c r="G94" s="322">
        <v>115000</v>
      </c>
      <c r="H94" s="322">
        <v>22000</v>
      </c>
      <c r="I94" s="322">
        <v>0</v>
      </c>
      <c r="J94" s="323">
        <f>I94/H94</f>
        <v>0</v>
      </c>
      <c r="K94" s="322">
        <v>1823</v>
      </c>
      <c r="L94" s="322">
        <v>926</v>
      </c>
      <c r="M94" s="323">
        <f>+L94/K94</f>
        <v>0.50795392210641799</v>
      </c>
      <c r="N94" s="337" t="s">
        <v>234</v>
      </c>
      <c r="O94" s="324" t="s">
        <v>235</v>
      </c>
    </row>
    <row r="95" spans="1:15" s="300" customFormat="1" ht="15.75" customHeight="1" x14ac:dyDescent="0.25">
      <c r="A95" s="1159"/>
      <c r="B95" s="338" t="s">
        <v>236</v>
      </c>
      <c r="C95" s="338" t="s">
        <v>237</v>
      </c>
      <c r="D95" s="338" t="s">
        <v>238</v>
      </c>
      <c r="E95" s="338" t="s">
        <v>233</v>
      </c>
      <c r="F95" s="326">
        <v>100</v>
      </c>
      <c r="G95" s="327">
        <v>24000</v>
      </c>
      <c r="H95" s="327">
        <v>3200</v>
      </c>
      <c r="I95" s="327">
        <v>0</v>
      </c>
      <c r="J95" s="328">
        <v>0</v>
      </c>
      <c r="K95" s="327">
        <v>0</v>
      </c>
      <c r="L95" s="327">
        <v>0</v>
      </c>
      <c r="M95" s="328" t="s">
        <v>81</v>
      </c>
      <c r="N95" s="339" t="s">
        <v>234</v>
      </c>
      <c r="O95" s="324" t="s">
        <v>235</v>
      </c>
    </row>
    <row r="96" spans="1:15" s="300" customFormat="1" ht="15.75" customHeight="1" x14ac:dyDescent="0.25">
      <c r="A96" s="1158" t="s">
        <v>208</v>
      </c>
      <c r="B96" s="336" t="s">
        <v>230</v>
      </c>
      <c r="C96" s="336" t="s">
        <v>231</v>
      </c>
      <c r="D96" s="336" t="s">
        <v>232</v>
      </c>
      <c r="E96" s="336" t="s">
        <v>233</v>
      </c>
      <c r="F96" s="20">
        <v>100</v>
      </c>
      <c r="G96" s="322">
        <v>115000</v>
      </c>
      <c r="H96" s="322">
        <v>22000</v>
      </c>
      <c r="I96" s="322">
        <v>977</v>
      </c>
      <c r="J96" s="323">
        <f t="shared" ref="J96:J107" si="3">+I96/H96</f>
        <v>4.4409090909090912E-2</v>
      </c>
      <c r="K96" s="322">
        <v>1823</v>
      </c>
      <c r="L96" s="322">
        <v>1751</v>
      </c>
      <c r="M96" s="323">
        <f>+L96/K96</f>
        <v>0.96050466264399337</v>
      </c>
      <c r="N96" s="337" t="s">
        <v>234</v>
      </c>
      <c r="O96" s="324" t="s">
        <v>235</v>
      </c>
    </row>
    <row r="97" spans="1:15" s="300" customFormat="1" ht="15.75" customHeight="1" x14ac:dyDescent="0.25">
      <c r="A97" s="1159"/>
      <c r="B97" s="338" t="s">
        <v>236</v>
      </c>
      <c r="C97" s="338" t="s">
        <v>237</v>
      </c>
      <c r="D97" s="338" t="s">
        <v>238</v>
      </c>
      <c r="E97" s="338" t="s">
        <v>233</v>
      </c>
      <c r="F97" s="326">
        <v>100</v>
      </c>
      <c r="G97" s="327">
        <v>24000</v>
      </c>
      <c r="H97" s="327">
        <v>3200</v>
      </c>
      <c r="I97" s="327">
        <v>419</v>
      </c>
      <c r="J97" s="328">
        <f t="shared" si="3"/>
        <v>0.13093750000000001</v>
      </c>
      <c r="K97" s="327">
        <v>0</v>
      </c>
      <c r="L97" s="327">
        <v>0</v>
      </c>
      <c r="M97" s="328" t="s">
        <v>81</v>
      </c>
      <c r="N97" s="339" t="s">
        <v>234</v>
      </c>
      <c r="O97" s="324" t="s">
        <v>235</v>
      </c>
    </row>
    <row r="98" spans="1:15" s="300" customFormat="1" ht="15.75" customHeight="1" x14ac:dyDescent="0.25">
      <c r="A98" s="1158" t="s">
        <v>209</v>
      </c>
      <c r="B98" s="336" t="s">
        <v>230</v>
      </c>
      <c r="C98" s="336" t="s">
        <v>231</v>
      </c>
      <c r="D98" s="336" t="s">
        <v>232</v>
      </c>
      <c r="E98" s="336" t="s">
        <v>233</v>
      </c>
      <c r="F98" s="20">
        <v>100</v>
      </c>
      <c r="G98" s="322">
        <v>115000</v>
      </c>
      <c r="H98" s="322">
        <v>22000</v>
      </c>
      <c r="I98" s="322">
        <v>1079</v>
      </c>
      <c r="J98" s="323">
        <f t="shared" si="3"/>
        <v>4.9045454545454545E-2</v>
      </c>
      <c r="K98" s="322">
        <v>1823</v>
      </c>
      <c r="L98" s="322">
        <v>1823</v>
      </c>
      <c r="M98" s="323">
        <f>+L98/K98</f>
        <v>1</v>
      </c>
      <c r="N98" s="337" t="s">
        <v>234</v>
      </c>
      <c r="O98" s="324" t="s">
        <v>235</v>
      </c>
    </row>
    <row r="99" spans="1:15" s="300" customFormat="1" ht="15.75" customHeight="1" x14ac:dyDescent="0.25">
      <c r="A99" s="1159"/>
      <c r="B99" s="338" t="s">
        <v>236</v>
      </c>
      <c r="C99" s="338" t="s">
        <v>237</v>
      </c>
      <c r="D99" s="338" t="s">
        <v>238</v>
      </c>
      <c r="E99" s="338" t="s">
        <v>233</v>
      </c>
      <c r="F99" s="326">
        <v>100</v>
      </c>
      <c r="G99" s="327">
        <v>24000</v>
      </c>
      <c r="H99" s="327">
        <v>3200</v>
      </c>
      <c r="I99" s="327">
        <v>601</v>
      </c>
      <c r="J99" s="328">
        <f t="shared" si="3"/>
        <v>0.18781249999999999</v>
      </c>
      <c r="K99" s="327">
        <v>0</v>
      </c>
      <c r="L99" s="327">
        <v>0</v>
      </c>
      <c r="M99" s="328" t="s">
        <v>81</v>
      </c>
      <c r="N99" s="339" t="s">
        <v>234</v>
      </c>
      <c r="O99" s="324" t="s">
        <v>235</v>
      </c>
    </row>
    <row r="100" spans="1:15" s="300" customFormat="1" ht="15.75" customHeight="1" x14ac:dyDescent="0.25">
      <c r="A100" s="1158" t="s">
        <v>210</v>
      </c>
      <c r="B100" s="336" t="s">
        <v>230</v>
      </c>
      <c r="C100" s="336" t="s">
        <v>231</v>
      </c>
      <c r="D100" s="336" t="s">
        <v>232</v>
      </c>
      <c r="E100" s="336" t="s">
        <v>233</v>
      </c>
      <c r="F100" s="20">
        <v>100</v>
      </c>
      <c r="G100" s="322">
        <v>115000</v>
      </c>
      <c r="H100" s="322">
        <v>16000</v>
      </c>
      <c r="I100" s="322">
        <v>3007</v>
      </c>
      <c r="J100" s="323">
        <f t="shared" si="3"/>
        <v>0.18793750000000001</v>
      </c>
      <c r="K100" s="322">
        <v>1823</v>
      </c>
      <c r="L100" s="322">
        <v>1823</v>
      </c>
      <c r="M100" s="323">
        <f>+L100/K100</f>
        <v>1</v>
      </c>
      <c r="N100" s="337" t="s">
        <v>234</v>
      </c>
      <c r="O100" s="324" t="s">
        <v>235</v>
      </c>
    </row>
    <row r="101" spans="1:15" s="300" customFormat="1" ht="15.75" customHeight="1" x14ac:dyDescent="0.25">
      <c r="A101" s="1159"/>
      <c r="B101" s="338" t="s">
        <v>236</v>
      </c>
      <c r="C101" s="338" t="s">
        <v>237</v>
      </c>
      <c r="D101" s="338" t="s">
        <v>238</v>
      </c>
      <c r="E101" s="338" t="s">
        <v>233</v>
      </c>
      <c r="F101" s="326">
        <v>100</v>
      </c>
      <c r="G101" s="327">
        <v>24000</v>
      </c>
      <c r="H101" s="327">
        <v>3200</v>
      </c>
      <c r="I101" s="327">
        <v>1045</v>
      </c>
      <c r="J101" s="328">
        <f t="shared" si="3"/>
        <v>0.32656249999999998</v>
      </c>
      <c r="K101" s="327">
        <v>0</v>
      </c>
      <c r="L101" s="327">
        <v>0</v>
      </c>
      <c r="M101" s="328" t="s">
        <v>81</v>
      </c>
      <c r="N101" s="339" t="s">
        <v>234</v>
      </c>
      <c r="O101" s="324" t="s">
        <v>235</v>
      </c>
    </row>
    <row r="102" spans="1:15" s="300" customFormat="1" ht="15.75" customHeight="1" x14ac:dyDescent="0.25">
      <c r="A102" s="1158" t="s">
        <v>211</v>
      </c>
      <c r="B102" s="336" t="s">
        <v>230</v>
      </c>
      <c r="C102" s="336" t="s">
        <v>231</v>
      </c>
      <c r="D102" s="336" t="s">
        <v>232</v>
      </c>
      <c r="E102" s="336" t="s">
        <v>233</v>
      </c>
      <c r="F102" s="20">
        <v>100</v>
      </c>
      <c r="G102" s="322">
        <v>115000</v>
      </c>
      <c r="H102" s="322">
        <v>16000</v>
      </c>
      <c r="I102" s="322">
        <v>7071</v>
      </c>
      <c r="J102" s="323">
        <f t="shared" si="3"/>
        <v>0.44193749999999998</v>
      </c>
      <c r="K102" s="322">
        <v>1823</v>
      </c>
      <c r="L102" s="322">
        <v>1823</v>
      </c>
      <c r="M102" s="323">
        <f>+L102/K102</f>
        <v>1</v>
      </c>
      <c r="N102" s="337" t="s">
        <v>234</v>
      </c>
      <c r="O102" s="324" t="s">
        <v>235</v>
      </c>
    </row>
    <row r="103" spans="1:15" s="300" customFormat="1" ht="15.75" customHeight="1" x14ac:dyDescent="0.25">
      <c r="A103" s="1159"/>
      <c r="B103" s="338" t="s">
        <v>236</v>
      </c>
      <c r="C103" s="338" t="s">
        <v>237</v>
      </c>
      <c r="D103" s="338" t="s">
        <v>238</v>
      </c>
      <c r="E103" s="338" t="s">
        <v>233</v>
      </c>
      <c r="F103" s="326">
        <v>100</v>
      </c>
      <c r="G103" s="327">
        <v>24000</v>
      </c>
      <c r="H103" s="327">
        <v>3200</v>
      </c>
      <c r="I103" s="327">
        <v>1540</v>
      </c>
      <c r="J103" s="328">
        <f t="shared" si="3"/>
        <v>0.48125000000000001</v>
      </c>
      <c r="K103" s="327">
        <v>0</v>
      </c>
      <c r="L103" s="327">
        <v>0</v>
      </c>
      <c r="M103" s="328" t="s">
        <v>81</v>
      </c>
      <c r="N103" s="339" t="s">
        <v>234</v>
      </c>
      <c r="O103" s="324" t="s">
        <v>235</v>
      </c>
    </row>
    <row r="104" spans="1:15" s="300" customFormat="1" ht="15.75" customHeight="1" x14ac:dyDescent="0.25">
      <c r="A104" s="1158" t="s">
        <v>212</v>
      </c>
      <c r="B104" s="336" t="s">
        <v>230</v>
      </c>
      <c r="C104" s="336" t="s">
        <v>231</v>
      </c>
      <c r="D104" s="336" t="s">
        <v>232</v>
      </c>
      <c r="E104" s="336" t="s">
        <v>233</v>
      </c>
      <c r="F104" s="20">
        <v>100</v>
      </c>
      <c r="G104" s="322">
        <v>115000</v>
      </c>
      <c r="H104" s="322">
        <v>16000</v>
      </c>
      <c r="I104" s="322">
        <v>9025</v>
      </c>
      <c r="J104" s="323">
        <f t="shared" si="3"/>
        <v>0.56406250000000002</v>
      </c>
      <c r="K104" s="322">
        <v>1823</v>
      </c>
      <c r="L104" s="322">
        <v>1823</v>
      </c>
      <c r="M104" s="323">
        <f>+L104/K104</f>
        <v>1</v>
      </c>
      <c r="N104" s="337" t="s">
        <v>234</v>
      </c>
      <c r="O104" s="324" t="s">
        <v>235</v>
      </c>
    </row>
    <row r="105" spans="1:15" s="300" customFormat="1" ht="15.75" customHeight="1" x14ac:dyDescent="0.25">
      <c r="A105" s="1159" t="s">
        <v>205</v>
      </c>
      <c r="B105" s="338" t="s">
        <v>236</v>
      </c>
      <c r="C105" s="338" t="s">
        <v>237</v>
      </c>
      <c r="D105" s="338" t="s">
        <v>238</v>
      </c>
      <c r="E105" s="338" t="s">
        <v>233</v>
      </c>
      <c r="F105" s="326">
        <v>100</v>
      </c>
      <c r="G105" s="327">
        <v>24000</v>
      </c>
      <c r="H105" s="327">
        <v>3200</v>
      </c>
      <c r="I105" s="327">
        <v>2156</v>
      </c>
      <c r="J105" s="328">
        <f t="shared" si="3"/>
        <v>0.67374999999999996</v>
      </c>
      <c r="K105" s="327">
        <v>0</v>
      </c>
      <c r="L105" s="327">
        <v>0</v>
      </c>
      <c r="M105" s="328" t="s">
        <v>81</v>
      </c>
      <c r="N105" s="339" t="s">
        <v>234</v>
      </c>
      <c r="O105" s="324" t="s">
        <v>235</v>
      </c>
    </row>
    <row r="106" spans="1:15" s="300" customFormat="1" ht="15.75" customHeight="1" x14ac:dyDescent="0.25">
      <c r="A106" s="1158" t="s">
        <v>199</v>
      </c>
      <c r="B106" s="336" t="s">
        <v>230</v>
      </c>
      <c r="C106" s="336" t="s">
        <v>231</v>
      </c>
      <c r="D106" s="336" t="s">
        <v>232</v>
      </c>
      <c r="E106" s="336" t="s">
        <v>233</v>
      </c>
      <c r="F106" s="20">
        <v>100</v>
      </c>
      <c r="G106" s="322">
        <v>115000</v>
      </c>
      <c r="H106" s="322">
        <v>16000</v>
      </c>
      <c r="I106" s="322">
        <v>10835</v>
      </c>
      <c r="J106" s="323">
        <f t="shared" si="3"/>
        <v>0.67718750000000005</v>
      </c>
      <c r="K106" s="322">
        <v>1823</v>
      </c>
      <c r="L106" s="322">
        <v>1823</v>
      </c>
      <c r="M106" s="323">
        <f>+L106/K106</f>
        <v>1</v>
      </c>
      <c r="N106" s="337" t="s">
        <v>234</v>
      </c>
      <c r="O106" s="324" t="s">
        <v>235</v>
      </c>
    </row>
    <row r="107" spans="1:15" s="300" customFormat="1" ht="15.75" customHeight="1" x14ac:dyDescent="0.25">
      <c r="A107" s="1159"/>
      <c r="B107" s="338" t="s">
        <v>236</v>
      </c>
      <c r="C107" s="338" t="s">
        <v>237</v>
      </c>
      <c r="D107" s="338" t="s">
        <v>238</v>
      </c>
      <c r="E107" s="338" t="s">
        <v>233</v>
      </c>
      <c r="F107" s="326">
        <v>100</v>
      </c>
      <c r="G107" s="327">
        <v>24000</v>
      </c>
      <c r="H107" s="327">
        <v>3200</v>
      </c>
      <c r="I107" s="327">
        <v>2441</v>
      </c>
      <c r="J107" s="328">
        <f t="shared" si="3"/>
        <v>0.7628125</v>
      </c>
      <c r="K107" s="327">
        <v>0</v>
      </c>
      <c r="L107" s="327">
        <v>0</v>
      </c>
      <c r="M107" s="328" t="s">
        <v>81</v>
      </c>
      <c r="N107" s="339" t="s">
        <v>234</v>
      </c>
      <c r="O107" s="324" t="s">
        <v>235</v>
      </c>
    </row>
    <row r="108" spans="1:15" s="300" customFormat="1" ht="15.75" customHeight="1" x14ac:dyDescent="0.25">
      <c r="A108" s="1158" t="s">
        <v>201</v>
      </c>
      <c r="B108" s="336" t="s">
        <v>230</v>
      </c>
      <c r="C108" s="336" t="s">
        <v>231</v>
      </c>
      <c r="D108" s="336" t="s">
        <v>232</v>
      </c>
      <c r="E108" s="336" t="s">
        <v>233</v>
      </c>
      <c r="F108" s="20">
        <v>100</v>
      </c>
      <c r="G108" s="322">
        <v>115000</v>
      </c>
      <c r="H108" s="322">
        <v>25000</v>
      </c>
      <c r="I108" s="322">
        <v>15102</v>
      </c>
      <c r="J108" s="323">
        <v>0.60407999999999995</v>
      </c>
      <c r="K108" s="322">
        <v>1823</v>
      </c>
      <c r="L108" s="322">
        <v>1823</v>
      </c>
      <c r="M108" s="323">
        <v>1</v>
      </c>
      <c r="N108" s="337" t="s">
        <v>234</v>
      </c>
      <c r="O108" s="324" t="s">
        <v>235</v>
      </c>
    </row>
    <row r="109" spans="1:15" s="300" customFormat="1" ht="15.75" customHeight="1" x14ac:dyDescent="0.25">
      <c r="A109" s="1159"/>
      <c r="B109" s="338" t="s">
        <v>236</v>
      </c>
      <c r="C109" s="338" t="s">
        <v>237</v>
      </c>
      <c r="D109" s="338" t="s">
        <v>238</v>
      </c>
      <c r="E109" s="338" t="s">
        <v>233</v>
      </c>
      <c r="F109" s="326">
        <v>100</v>
      </c>
      <c r="G109" s="327">
        <v>24000</v>
      </c>
      <c r="H109" s="327">
        <v>3200</v>
      </c>
      <c r="I109" s="327">
        <v>2808</v>
      </c>
      <c r="J109" s="328">
        <v>0.87749999999999995</v>
      </c>
      <c r="K109" s="327">
        <v>0</v>
      </c>
      <c r="L109" s="327">
        <v>0</v>
      </c>
      <c r="M109" s="328" t="s">
        <v>81</v>
      </c>
      <c r="N109" s="339" t="s">
        <v>234</v>
      </c>
      <c r="O109" s="324" t="s">
        <v>235</v>
      </c>
    </row>
    <row r="110" spans="1:15" s="300" customFormat="1" ht="15.75" customHeight="1" x14ac:dyDescent="0.25">
      <c r="A110" s="1158" t="s">
        <v>202</v>
      </c>
      <c r="B110" s="336" t="s">
        <v>230</v>
      </c>
      <c r="C110" s="336" t="s">
        <v>231</v>
      </c>
      <c r="D110" s="336" t="s">
        <v>232</v>
      </c>
      <c r="E110" s="336" t="s">
        <v>233</v>
      </c>
      <c r="F110" s="20">
        <v>100</v>
      </c>
      <c r="G110" s="322">
        <v>115000</v>
      </c>
      <c r="H110" s="322">
        <v>25000</v>
      </c>
      <c r="I110" s="322">
        <f>+[8]INVERSIÓN!BE10</f>
        <v>18057</v>
      </c>
      <c r="J110" s="323">
        <f t="shared" ref="J110:J115" si="4">+I110/H110</f>
        <v>0.72228000000000003</v>
      </c>
      <c r="K110" s="322">
        <v>1823</v>
      </c>
      <c r="L110" s="322">
        <v>1823</v>
      </c>
      <c r="M110" s="323">
        <f>+L110/K110</f>
        <v>1</v>
      </c>
      <c r="N110" s="337" t="s">
        <v>234</v>
      </c>
      <c r="O110" s="324" t="s">
        <v>235</v>
      </c>
    </row>
    <row r="111" spans="1:15" s="300" customFormat="1" ht="15.75" customHeight="1" x14ac:dyDescent="0.25">
      <c r="A111" s="1159"/>
      <c r="B111" s="338" t="s">
        <v>236</v>
      </c>
      <c r="C111" s="338" t="s">
        <v>237</v>
      </c>
      <c r="D111" s="338" t="s">
        <v>238</v>
      </c>
      <c r="E111" s="338" t="s">
        <v>233</v>
      </c>
      <c r="F111" s="326">
        <v>100</v>
      </c>
      <c r="G111" s="327">
        <v>24000</v>
      </c>
      <c r="H111" s="327">
        <v>3800</v>
      </c>
      <c r="I111" s="327">
        <f>+[8]INVERSIÓN!BE24</f>
        <v>3083</v>
      </c>
      <c r="J111" s="328">
        <f t="shared" si="4"/>
        <v>0.81131578947368421</v>
      </c>
      <c r="K111" s="327">
        <v>0</v>
      </c>
      <c r="L111" s="327">
        <v>0</v>
      </c>
      <c r="M111" s="328" t="s">
        <v>81</v>
      </c>
      <c r="N111" s="339" t="s">
        <v>234</v>
      </c>
      <c r="O111" s="324" t="s">
        <v>235</v>
      </c>
    </row>
    <row r="112" spans="1:15" s="300" customFormat="1" ht="15.75" customHeight="1" x14ac:dyDescent="0.25">
      <c r="A112" s="1158" t="s">
        <v>203</v>
      </c>
      <c r="B112" s="336" t="s">
        <v>230</v>
      </c>
      <c r="C112" s="336" t="s">
        <v>231</v>
      </c>
      <c r="D112" s="336" t="s">
        <v>232</v>
      </c>
      <c r="E112" s="336" t="s">
        <v>233</v>
      </c>
      <c r="F112" s="20">
        <v>100</v>
      </c>
      <c r="G112" s="322">
        <v>115000</v>
      </c>
      <c r="H112" s="322">
        <v>25000</v>
      </c>
      <c r="I112" s="322">
        <f>+[9]INVERSIÓN!BE10</f>
        <v>20226</v>
      </c>
      <c r="J112" s="323">
        <f t="shared" si="4"/>
        <v>0.80903999999999998</v>
      </c>
      <c r="K112" s="322">
        <v>1823</v>
      </c>
      <c r="L112" s="322">
        <v>1823</v>
      </c>
      <c r="M112" s="323">
        <f>+L112/K112</f>
        <v>1</v>
      </c>
      <c r="N112" s="337" t="s">
        <v>234</v>
      </c>
      <c r="O112" s="324" t="s">
        <v>235</v>
      </c>
    </row>
    <row r="113" spans="1:15" s="300" customFormat="1" ht="15.75" customHeight="1" x14ac:dyDescent="0.25">
      <c r="A113" s="1159"/>
      <c r="B113" s="338" t="s">
        <v>236</v>
      </c>
      <c r="C113" s="338" t="s">
        <v>237</v>
      </c>
      <c r="D113" s="338" t="s">
        <v>238</v>
      </c>
      <c r="E113" s="338" t="s">
        <v>233</v>
      </c>
      <c r="F113" s="326">
        <v>100</v>
      </c>
      <c r="G113" s="327">
        <v>24000</v>
      </c>
      <c r="H113" s="327">
        <v>3800</v>
      </c>
      <c r="I113" s="327">
        <f>+[9]INVERSIÓN!BE24</f>
        <v>3358</v>
      </c>
      <c r="J113" s="328">
        <f t="shared" si="4"/>
        <v>0.88368421052631574</v>
      </c>
      <c r="K113" s="327">
        <v>0</v>
      </c>
      <c r="L113" s="327">
        <v>0</v>
      </c>
      <c r="M113" s="328" t="s">
        <v>81</v>
      </c>
      <c r="N113" s="339" t="s">
        <v>234</v>
      </c>
      <c r="O113" s="324" t="s">
        <v>235</v>
      </c>
    </row>
    <row r="114" spans="1:15" s="300" customFormat="1" ht="15.75" customHeight="1" x14ac:dyDescent="0.25">
      <c r="A114" s="1158" t="s">
        <v>204</v>
      </c>
      <c r="B114" s="336" t="s">
        <v>230</v>
      </c>
      <c r="C114" s="336" t="s">
        <v>231</v>
      </c>
      <c r="D114" s="336" t="s">
        <v>232</v>
      </c>
      <c r="E114" s="336" t="s">
        <v>233</v>
      </c>
      <c r="F114" s="20">
        <v>100</v>
      </c>
      <c r="G114" s="322">
        <v>115000</v>
      </c>
      <c r="H114" s="322">
        <v>25000</v>
      </c>
      <c r="I114" s="322">
        <f>+[10]INVERSIÓN!BE10</f>
        <v>22714</v>
      </c>
      <c r="J114" s="323">
        <f t="shared" si="4"/>
        <v>0.90856000000000003</v>
      </c>
      <c r="K114" s="322">
        <v>1823</v>
      </c>
      <c r="L114" s="322">
        <v>1823</v>
      </c>
      <c r="M114" s="323">
        <f>+L114/K114</f>
        <v>1</v>
      </c>
      <c r="N114" s="337" t="s">
        <v>234</v>
      </c>
      <c r="O114" s="324" t="s">
        <v>235</v>
      </c>
    </row>
    <row r="115" spans="1:15" s="300" customFormat="1" ht="15.75" customHeight="1" x14ac:dyDescent="0.25">
      <c r="A115" s="1159"/>
      <c r="B115" s="338" t="s">
        <v>236</v>
      </c>
      <c r="C115" s="338" t="s">
        <v>237</v>
      </c>
      <c r="D115" s="338" t="s">
        <v>238</v>
      </c>
      <c r="E115" s="338" t="s">
        <v>233</v>
      </c>
      <c r="F115" s="326">
        <v>100</v>
      </c>
      <c r="G115" s="327">
        <v>24000</v>
      </c>
      <c r="H115" s="327">
        <v>3800</v>
      </c>
      <c r="I115" s="327">
        <f>+[10]INVERSIÓN!BE24</f>
        <v>3637</v>
      </c>
      <c r="J115" s="328">
        <f t="shared" si="4"/>
        <v>0.95710526315789479</v>
      </c>
      <c r="K115" s="327">
        <v>0</v>
      </c>
      <c r="L115" s="327">
        <v>0</v>
      </c>
      <c r="M115" s="328" t="s">
        <v>81</v>
      </c>
      <c r="N115" s="339" t="s">
        <v>234</v>
      </c>
      <c r="O115" s="324" t="s">
        <v>235</v>
      </c>
    </row>
    <row r="116" spans="1:15" s="300" customFormat="1" ht="15.75" customHeight="1" x14ac:dyDescent="0.25">
      <c r="A116" s="1158" t="s">
        <v>205</v>
      </c>
      <c r="B116" s="336" t="s">
        <v>230</v>
      </c>
      <c r="C116" s="336" t="s">
        <v>231</v>
      </c>
      <c r="D116" s="336" t="s">
        <v>232</v>
      </c>
      <c r="E116" s="336" t="s">
        <v>233</v>
      </c>
      <c r="F116" s="20">
        <v>100</v>
      </c>
      <c r="G116" s="322">
        <v>115000</v>
      </c>
      <c r="H116" s="322">
        <v>25000</v>
      </c>
      <c r="I116" s="322">
        <v>25242</v>
      </c>
      <c r="J116" s="323">
        <v>1.0096799999999999</v>
      </c>
      <c r="K116" s="322">
        <v>1823</v>
      </c>
      <c r="L116" s="322">
        <v>1823</v>
      </c>
      <c r="M116" s="323">
        <v>1</v>
      </c>
      <c r="N116" s="337" t="s">
        <v>234</v>
      </c>
      <c r="O116" s="324" t="s">
        <v>235</v>
      </c>
    </row>
    <row r="117" spans="1:15" s="300" customFormat="1" ht="15.75" customHeight="1" x14ac:dyDescent="0.25">
      <c r="A117" s="1159" t="s">
        <v>205</v>
      </c>
      <c r="B117" s="338" t="s">
        <v>236</v>
      </c>
      <c r="C117" s="338" t="s">
        <v>237</v>
      </c>
      <c r="D117" s="338" t="s">
        <v>238</v>
      </c>
      <c r="E117" s="338" t="s">
        <v>233</v>
      </c>
      <c r="F117" s="326">
        <v>100</v>
      </c>
      <c r="G117" s="327">
        <v>24000</v>
      </c>
      <c r="H117" s="327">
        <v>3800</v>
      </c>
      <c r="I117" s="327">
        <v>3800</v>
      </c>
      <c r="J117" s="328">
        <v>1</v>
      </c>
      <c r="K117" s="327">
        <v>0</v>
      </c>
      <c r="L117" s="327">
        <v>0</v>
      </c>
      <c r="M117" s="328" t="s">
        <v>81</v>
      </c>
      <c r="N117" s="339" t="s">
        <v>234</v>
      </c>
      <c r="O117" s="324" t="s">
        <v>235</v>
      </c>
    </row>
    <row r="119" spans="1:15" ht="20.25" x14ac:dyDescent="0.25">
      <c r="A119" s="1155" t="s">
        <v>244</v>
      </c>
      <c r="B119" s="1156"/>
      <c r="C119" s="1156"/>
      <c r="D119" s="1156"/>
      <c r="E119" s="1156"/>
      <c r="F119" s="1156"/>
      <c r="G119" s="1156"/>
      <c r="H119" s="1156"/>
      <c r="I119" s="1156"/>
      <c r="J119" s="1156"/>
      <c r="K119" s="1156"/>
      <c r="L119" s="1156"/>
      <c r="M119" s="1156"/>
      <c r="N119" s="1157"/>
    </row>
    <row r="120" spans="1:15" ht="44.25" customHeight="1" x14ac:dyDescent="0.25">
      <c r="A120" s="304" t="s">
        <v>27</v>
      </c>
      <c r="B120" s="305" t="s">
        <v>217</v>
      </c>
      <c r="C120" s="305" t="s">
        <v>218</v>
      </c>
      <c r="D120" s="305" t="s">
        <v>219</v>
      </c>
      <c r="E120" s="305" t="s">
        <v>220</v>
      </c>
      <c r="F120" s="305" t="s">
        <v>245</v>
      </c>
      <c r="G120" s="305" t="s">
        <v>246</v>
      </c>
      <c r="H120" s="305" t="s">
        <v>247</v>
      </c>
      <c r="I120" s="305" t="s">
        <v>248</v>
      </c>
      <c r="J120" s="305" t="s">
        <v>249</v>
      </c>
      <c r="K120" s="305" t="s">
        <v>226</v>
      </c>
      <c r="L120" s="305" t="s">
        <v>227</v>
      </c>
      <c r="M120" s="305" t="s">
        <v>228</v>
      </c>
      <c r="N120" s="306" t="s">
        <v>229</v>
      </c>
    </row>
    <row r="121" spans="1:15" ht="16.5" customHeight="1" x14ac:dyDescent="0.25">
      <c r="A121" s="1158" t="s">
        <v>207</v>
      </c>
      <c r="B121" s="336" t="s">
        <v>230</v>
      </c>
      <c r="C121" s="336" t="s">
        <v>231</v>
      </c>
      <c r="D121" s="336" t="s">
        <v>232</v>
      </c>
      <c r="E121" s="336" t="s">
        <v>233</v>
      </c>
      <c r="F121" s="20">
        <v>100</v>
      </c>
      <c r="G121" s="322">
        <v>115000</v>
      </c>
      <c r="H121" s="322">
        <v>31000</v>
      </c>
      <c r="I121" s="322">
        <v>1014</v>
      </c>
      <c r="J121" s="30">
        <v>3.2709677419354842E-2</v>
      </c>
      <c r="K121" s="322">
        <v>0</v>
      </c>
      <c r="L121" s="322">
        <v>0</v>
      </c>
      <c r="M121" s="323" t="s">
        <v>81</v>
      </c>
      <c r="N121" s="337" t="s">
        <v>234</v>
      </c>
      <c r="O121" s="324" t="s">
        <v>235</v>
      </c>
    </row>
    <row r="122" spans="1:15" ht="16.5" customHeight="1" x14ac:dyDescent="0.25">
      <c r="A122" s="1159"/>
      <c r="B122" s="338" t="s">
        <v>236</v>
      </c>
      <c r="C122" s="338" t="s">
        <v>237</v>
      </c>
      <c r="D122" s="338" t="s">
        <v>238</v>
      </c>
      <c r="E122" s="338" t="s">
        <v>233</v>
      </c>
      <c r="F122" s="326">
        <v>100</v>
      </c>
      <c r="G122" s="327">
        <v>24000</v>
      </c>
      <c r="H122" s="327">
        <v>7900</v>
      </c>
      <c r="I122" s="327">
        <v>109</v>
      </c>
      <c r="J122" s="340">
        <v>1.3797468354430379E-2</v>
      </c>
      <c r="K122" s="327">
        <v>0</v>
      </c>
      <c r="L122" s="327">
        <v>0</v>
      </c>
      <c r="M122" s="328" t="s">
        <v>81</v>
      </c>
      <c r="N122" s="339" t="s">
        <v>234</v>
      </c>
      <c r="O122" s="324" t="s">
        <v>235</v>
      </c>
    </row>
    <row r="123" spans="1:15" ht="16.5" customHeight="1" x14ac:dyDescent="0.25">
      <c r="A123" s="1158" t="s">
        <v>208</v>
      </c>
      <c r="B123" s="336" t="s">
        <v>230</v>
      </c>
      <c r="C123" s="336" t="s">
        <v>231</v>
      </c>
      <c r="D123" s="336" t="s">
        <v>232</v>
      </c>
      <c r="E123" s="336" t="s">
        <v>233</v>
      </c>
      <c r="F123" s="20">
        <v>100</v>
      </c>
      <c r="G123" s="322">
        <v>115000</v>
      </c>
      <c r="H123" s="322">
        <v>31000</v>
      </c>
      <c r="I123" s="322">
        <v>2714</v>
      </c>
      <c r="J123" s="30">
        <v>8.7548387096774191E-2</v>
      </c>
      <c r="K123" s="322">
        <v>0</v>
      </c>
      <c r="L123" s="322">
        <v>0</v>
      </c>
      <c r="M123" s="323" t="s">
        <v>81</v>
      </c>
      <c r="N123" s="337" t="s">
        <v>234</v>
      </c>
      <c r="O123" s="324" t="s">
        <v>235</v>
      </c>
    </row>
    <row r="124" spans="1:15" ht="16.5" customHeight="1" x14ac:dyDescent="0.25">
      <c r="A124" s="1159"/>
      <c r="B124" s="338" t="s">
        <v>236</v>
      </c>
      <c r="C124" s="338" t="s">
        <v>237</v>
      </c>
      <c r="D124" s="338" t="s">
        <v>238</v>
      </c>
      <c r="E124" s="338" t="s">
        <v>233</v>
      </c>
      <c r="F124" s="326">
        <v>100</v>
      </c>
      <c r="G124" s="327">
        <v>24000</v>
      </c>
      <c r="H124" s="327">
        <v>7900</v>
      </c>
      <c r="I124" s="327">
        <v>624</v>
      </c>
      <c r="J124" s="340">
        <v>7.8987341772151901E-2</v>
      </c>
      <c r="K124" s="327">
        <v>0</v>
      </c>
      <c r="L124" s="327">
        <v>0</v>
      </c>
      <c r="M124" s="328" t="s">
        <v>81</v>
      </c>
      <c r="N124" s="339" t="s">
        <v>234</v>
      </c>
      <c r="O124" s="324" t="s">
        <v>235</v>
      </c>
    </row>
    <row r="125" spans="1:15" ht="16.5" customHeight="1" x14ac:dyDescent="0.25">
      <c r="A125" s="1158" t="s">
        <v>209</v>
      </c>
      <c r="B125" s="336" t="s">
        <v>230</v>
      </c>
      <c r="C125" s="336" t="s">
        <v>231</v>
      </c>
      <c r="D125" s="336" t="s">
        <v>232</v>
      </c>
      <c r="E125" s="336" t="s">
        <v>233</v>
      </c>
      <c r="F125" s="20">
        <v>100</v>
      </c>
      <c r="G125" s="322">
        <v>115000</v>
      </c>
      <c r="H125" s="322">
        <v>31000</v>
      </c>
      <c r="I125" s="322">
        <v>5700</v>
      </c>
      <c r="J125" s="30">
        <v>0.18387096774193548</v>
      </c>
      <c r="K125" s="322">
        <v>0</v>
      </c>
      <c r="L125" s="322">
        <v>0</v>
      </c>
      <c r="M125" s="323" t="s">
        <v>81</v>
      </c>
      <c r="N125" s="337" t="s">
        <v>234</v>
      </c>
      <c r="O125" s="324" t="s">
        <v>235</v>
      </c>
    </row>
    <row r="126" spans="1:15" ht="16.5" customHeight="1" x14ac:dyDescent="0.25">
      <c r="A126" s="1159"/>
      <c r="B126" s="338" t="s">
        <v>236</v>
      </c>
      <c r="C126" s="338" t="s">
        <v>237</v>
      </c>
      <c r="D126" s="338" t="s">
        <v>238</v>
      </c>
      <c r="E126" s="338" t="s">
        <v>233</v>
      </c>
      <c r="F126" s="326">
        <v>100</v>
      </c>
      <c r="G126" s="327">
        <v>24000</v>
      </c>
      <c r="H126" s="327">
        <v>7900</v>
      </c>
      <c r="I126" s="327">
        <v>1200</v>
      </c>
      <c r="J126" s="340">
        <v>0.15189873417721519</v>
      </c>
      <c r="K126" s="327">
        <v>0</v>
      </c>
      <c r="L126" s="327">
        <v>0</v>
      </c>
      <c r="M126" s="328" t="s">
        <v>81</v>
      </c>
      <c r="N126" s="339" t="s">
        <v>234</v>
      </c>
      <c r="O126" s="324" t="s">
        <v>235</v>
      </c>
    </row>
    <row r="127" spans="1:15" ht="16.5" customHeight="1" x14ac:dyDescent="0.25">
      <c r="A127" s="1158" t="s">
        <v>210</v>
      </c>
      <c r="B127" s="336" t="s">
        <v>230</v>
      </c>
      <c r="C127" s="336" t="s">
        <v>231</v>
      </c>
      <c r="D127" s="336" t="s">
        <v>232</v>
      </c>
      <c r="E127" s="336" t="s">
        <v>233</v>
      </c>
      <c r="F127" s="20">
        <v>100</v>
      </c>
      <c r="G127" s="322">
        <v>115000</v>
      </c>
      <c r="H127" s="322">
        <v>31000</v>
      </c>
      <c r="I127" s="322">
        <v>8942</v>
      </c>
      <c r="J127" s="30">
        <v>0.28845161290322602</v>
      </c>
      <c r="K127" s="322">
        <v>0</v>
      </c>
      <c r="L127" s="322">
        <v>0</v>
      </c>
      <c r="M127" s="323" t="s">
        <v>81</v>
      </c>
      <c r="N127" s="337" t="s">
        <v>234</v>
      </c>
      <c r="O127" s="324" t="s">
        <v>235</v>
      </c>
    </row>
    <row r="128" spans="1:15" ht="16.5" customHeight="1" x14ac:dyDescent="0.25">
      <c r="A128" s="1159"/>
      <c r="B128" s="338" t="s">
        <v>236</v>
      </c>
      <c r="C128" s="338" t="s">
        <v>237</v>
      </c>
      <c r="D128" s="338" t="s">
        <v>238</v>
      </c>
      <c r="E128" s="338" t="s">
        <v>233</v>
      </c>
      <c r="F128" s="326">
        <v>100</v>
      </c>
      <c r="G128" s="327">
        <v>24000</v>
      </c>
      <c r="H128" s="327">
        <v>7900</v>
      </c>
      <c r="I128" s="327">
        <v>1953</v>
      </c>
      <c r="J128" s="340">
        <v>0.24721518987341773</v>
      </c>
      <c r="K128" s="327">
        <v>0</v>
      </c>
      <c r="L128" s="327">
        <v>0</v>
      </c>
      <c r="M128" s="328" t="s">
        <v>81</v>
      </c>
      <c r="N128" s="339" t="s">
        <v>234</v>
      </c>
      <c r="O128" s="324" t="s">
        <v>235</v>
      </c>
    </row>
    <row r="129" spans="1:15" ht="16.5" customHeight="1" x14ac:dyDescent="0.25">
      <c r="A129" s="1158" t="s">
        <v>211</v>
      </c>
      <c r="B129" s="336" t="s">
        <v>230</v>
      </c>
      <c r="C129" s="336" t="s">
        <v>231</v>
      </c>
      <c r="D129" s="336" t="s">
        <v>232</v>
      </c>
      <c r="E129" s="336" t="s">
        <v>233</v>
      </c>
      <c r="F129" s="20">
        <v>100</v>
      </c>
      <c r="G129" s="322">
        <v>115000</v>
      </c>
      <c r="H129" s="322">
        <v>31000</v>
      </c>
      <c r="I129" s="322">
        <v>12609</v>
      </c>
      <c r="J129" s="30">
        <v>0.40674193548387094</v>
      </c>
      <c r="K129" s="322">
        <v>0</v>
      </c>
      <c r="L129" s="322">
        <v>0</v>
      </c>
      <c r="M129" s="323" t="s">
        <v>81</v>
      </c>
      <c r="N129" s="337" t="s">
        <v>234</v>
      </c>
      <c r="O129" s="324" t="s">
        <v>235</v>
      </c>
    </row>
    <row r="130" spans="1:15" ht="16.5" customHeight="1" x14ac:dyDescent="0.25">
      <c r="A130" s="1159"/>
      <c r="B130" s="338" t="s">
        <v>236</v>
      </c>
      <c r="C130" s="338" t="s">
        <v>237</v>
      </c>
      <c r="D130" s="338" t="s">
        <v>238</v>
      </c>
      <c r="E130" s="338" t="s">
        <v>233</v>
      </c>
      <c r="F130" s="326">
        <v>100</v>
      </c>
      <c r="G130" s="327">
        <v>24000</v>
      </c>
      <c r="H130" s="327">
        <v>7900</v>
      </c>
      <c r="I130" s="327">
        <v>2700</v>
      </c>
      <c r="J130" s="340">
        <v>0.34177215189873417</v>
      </c>
      <c r="K130" s="327">
        <v>0</v>
      </c>
      <c r="L130" s="327">
        <v>0</v>
      </c>
      <c r="M130" s="328" t="s">
        <v>81</v>
      </c>
      <c r="N130" s="339" t="s">
        <v>234</v>
      </c>
      <c r="O130" s="324" t="s">
        <v>235</v>
      </c>
    </row>
    <row r="131" spans="1:15" ht="16.5" customHeight="1" x14ac:dyDescent="0.25">
      <c r="A131" s="1158" t="s">
        <v>212</v>
      </c>
      <c r="B131" s="336" t="s">
        <v>230</v>
      </c>
      <c r="C131" s="336" t="s">
        <v>231</v>
      </c>
      <c r="D131" s="336" t="s">
        <v>232</v>
      </c>
      <c r="E131" s="336" t="s">
        <v>233</v>
      </c>
      <c r="F131" s="20">
        <v>100</v>
      </c>
      <c r="G131" s="322">
        <v>115000</v>
      </c>
      <c r="H131" s="322">
        <v>31000</v>
      </c>
      <c r="I131" s="322">
        <v>15935</v>
      </c>
      <c r="J131" s="30">
        <v>0.51403225806451613</v>
      </c>
      <c r="K131" s="322">
        <v>0</v>
      </c>
      <c r="L131" s="322">
        <v>0</v>
      </c>
      <c r="M131" s="323" t="s">
        <v>81</v>
      </c>
      <c r="N131" s="337" t="s">
        <v>234</v>
      </c>
      <c r="O131" s="324" t="s">
        <v>235</v>
      </c>
    </row>
    <row r="132" spans="1:15" ht="16.5" customHeight="1" x14ac:dyDescent="0.25">
      <c r="A132" s="1159"/>
      <c r="B132" s="338" t="s">
        <v>236</v>
      </c>
      <c r="C132" s="338" t="s">
        <v>237</v>
      </c>
      <c r="D132" s="338" t="s">
        <v>238</v>
      </c>
      <c r="E132" s="338" t="s">
        <v>233</v>
      </c>
      <c r="F132" s="326">
        <v>100</v>
      </c>
      <c r="G132" s="327">
        <v>24000</v>
      </c>
      <c r="H132" s="327">
        <v>7900</v>
      </c>
      <c r="I132" s="327">
        <v>3378</v>
      </c>
      <c r="J132" s="340">
        <v>0.42759493670886078</v>
      </c>
      <c r="K132" s="327">
        <v>0</v>
      </c>
      <c r="L132" s="327">
        <v>0</v>
      </c>
      <c r="M132" s="328" t="s">
        <v>81</v>
      </c>
      <c r="N132" s="339" t="s">
        <v>234</v>
      </c>
      <c r="O132" s="324" t="s">
        <v>235</v>
      </c>
    </row>
    <row r="133" spans="1:15" ht="16.5" customHeight="1" x14ac:dyDescent="0.25">
      <c r="A133" s="1158" t="s">
        <v>199</v>
      </c>
      <c r="B133" s="336" t="s">
        <v>230</v>
      </c>
      <c r="C133" s="336" t="s">
        <v>231</v>
      </c>
      <c r="D133" s="336" t="s">
        <v>232</v>
      </c>
      <c r="E133" s="336" t="s">
        <v>233</v>
      </c>
      <c r="F133" s="20">
        <v>100</v>
      </c>
      <c r="G133" s="322">
        <v>115000</v>
      </c>
      <c r="H133" s="322">
        <v>31000</v>
      </c>
      <c r="I133" s="322">
        <v>19327</v>
      </c>
      <c r="J133" s="30">
        <v>0.62345161290322582</v>
      </c>
      <c r="K133" s="322">
        <v>0</v>
      </c>
      <c r="L133" s="322">
        <v>0</v>
      </c>
      <c r="M133" s="323" t="s">
        <v>81</v>
      </c>
      <c r="N133" s="337" t="s">
        <v>234</v>
      </c>
      <c r="O133" s="324" t="s">
        <v>235</v>
      </c>
    </row>
    <row r="134" spans="1:15" ht="16.5" customHeight="1" x14ac:dyDescent="0.25">
      <c r="A134" s="1159"/>
      <c r="B134" s="338" t="s">
        <v>236</v>
      </c>
      <c r="C134" s="338" t="s">
        <v>237</v>
      </c>
      <c r="D134" s="338" t="s">
        <v>238</v>
      </c>
      <c r="E134" s="338" t="s">
        <v>233</v>
      </c>
      <c r="F134" s="326">
        <v>100</v>
      </c>
      <c r="G134" s="327">
        <v>24000</v>
      </c>
      <c r="H134" s="327">
        <v>7900</v>
      </c>
      <c r="I134" s="327">
        <v>4200</v>
      </c>
      <c r="J134" s="340">
        <v>0.53164556962025311</v>
      </c>
      <c r="K134" s="327">
        <v>0</v>
      </c>
      <c r="L134" s="327">
        <v>0</v>
      </c>
      <c r="M134" s="328" t="s">
        <v>81</v>
      </c>
      <c r="N134" s="339" t="s">
        <v>234</v>
      </c>
      <c r="O134" s="324" t="s">
        <v>235</v>
      </c>
    </row>
    <row r="135" spans="1:15" ht="16.5" customHeight="1" x14ac:dyDescent="0.25">
      <c r="A135" s="1158" t="s">
        <v>201</v>
      </c>
      <c r="B135" s="336" t="s">
        <v>230</v>
      </c>
      <c r="C135" s="336" t="s">
        <v>231</v>
      </c>
      <c r="D135" s="336" t="s">
        <v>232</v>
      </c>
      <c r="E135" s="336" t="s">
        <v>233</v>
      </c>
      <c r="F135" s="20">
        <v>100</v>
      </c>
      <c r="G135" s="322">
        <v>115000</v>
      </c>
      <c r="H135" s="322">
        <v>31000</v>
      </c>
      <c r="I135" s="322">
        <v>0</v>
      </c>
      <c r="J135" s="30">
        <v>0</v>
      </c>
      <c r="K135" s="322">
        <v>0</v>
      </c>
      <c r="L135" s="322">
        <v>0</v>
      </c>
      <c r="M135" s="323" t="s">
        <v>81</v>
      </c>
      <c r="N135" s="337" t="s">
        <v>234</v>
      </c>
      <c r="O135" s="324" t="s">
        <v>235</v>
      </c>
    </row>
    <row r="136" spans="1:15" ht="16.5" customHeight="1" x14ac:dyDescent="0.25">
      <c r="A136" s="1159"/>
      <c r="B136" s="338" t="s">
        <v>236</v>
      </c>
      <c r="C136" s="338" t="s">
        <v>237</v>
      </c>
      <c r="D136" s="338" t="s">
        <v>238</v>
      </c>
      <c r="E136" s="338" t="s">
        <v>233</v>
      </c>
      <c r="F136" s="326">
        <v>100</v>
      </c>
      <c r="G136" s="327">
        <v>24000</v>
      </c>
      <c r="H136" s="327">
        <v>7900</v>
      </c>
      <c r="I136" s="327">
        <v>0</v>
      </c>
      <c r="J136" s="340">
        <v>0</v>
      </c>
      <c r="K136" s="327">
        <v>0</v>
      </c>
      <c r="L136" s="327">
        <v>0</v>
      </c>
      <c r="M136" s="328" t="s">
        <v>81</v>
      </c>
      <c r="N136" s="339" t="s">
        <v>234</v>
      </c>
      <c r="O136" s="324" t="s">
        <v>235</v>
      </c>
    </row>
    <row r="137" spans="1:15" ht="16.5" customHeight="1" x14ac:dyDescent="0.25">
      <c r="A137" s="1158" t="s">
        <v>202</v>
      </c>
      <c r="B137" s="336" t="s">
        <v>230</v>
      </c>
      <c r="C137" s="336" t="s">
        <v>231</v>
      </c>
      <c r="D137" s="336" t="s">
        <v>232</v>
      </c>
      <c r="E137" s="336" t="s">
        <v>233</v>
      </c>
      <c r="F137" s="20">
        <v>100</v>
      </c>
      <c r="G137" s="322">
        <v>115000</v>
      </c>
      <c r="H137" s="322">
        <v>31000</v>
      </c>
      <c r="I137" s="322">
        <v>27089</v>
      </c>
      <c r="J137" s="30">
        <v>0.87383870967741939</v>
      </c>
      <c r="K137" s="322">
        <v>0</v>
      </c>
      <c r="L137" s="322">
        <v>0</v>
      </c>
      <c r="M137" s="323" t="s">
        <v>81</v>
      </c>
      <c r="N137" s="337" t="s">
        <v>234</v>
      </c>
      <c r="O137" s="324" t="s">
        <v>235</v>
      </c>
    </row>
    <row r="138" spans="1:15" ht="16.5" customHeight="1" x14ac:dyDescent="0.25">
      <c r="A138" s="1159"/>
      <c r="B138" s="338" t="s">
        <v>236</v>
      </c>
      <c r="C138" s="338" t="s">
        <v>237</v>
      </c>
      <c r="D138" s="338" t="s">
        <v>238</v>
      </c>
      <c r="E138" s="338" t="s">
        <v>233</v>
      </c>
      <c r="F138" s="326">
        <v>100</v>
      </c>
      <c r="G138" s="327">
        <v>24000</v>
      </c>
      <c r="H138" s="327">
        <v>7900</v>
      </c>
      <c r="I138" s="327">
        <v>5801</v>
      </c>
      <c r="J138" s="340">
        <v>0.73430379746835439</v>
      </c>
      <c r="K138" s="327">
        <v>0</v>
      </c>
      <c r="L138" s="327">
        <v>0</v>
      </c>
      <c r="M138" s="328" t="s">
        <v>81</v>
      </c>
      <c r="N138" s="339" t="s">
        <v>234</v>
      </c>
      <c r="O138" s="324" t="s">
        <v>235</v>
      </c>
    </row>
    <row r="139" spans="1:15" ht="16.5" customHeight="1" x14ac:dyDescent="0.25">
      <c r="A139" s="1158" t="s">
        <v>203</v>
      </c>
      <c r="B139" s="336" t="s">
        <v>230</v>
      </c>
      <c r="C139" s="336" t="s">
        <v>231</v>
      </c>
      <c r="D139" s="336" t="s">
        <v>232</v>
      </c>
      <c r="E139" s="336" t="s">
        <v>233</v>
      </c>
      <c r="F139" s="20">
        <v>100</v>
      </c>
      <c r="G139" s="322">
        <v>115000</v>
      </c>
      <c r="H139" s="322">
        <v>31000</v>
      </c>
      <c r="I139" s="322">
        <v>30172</v>
      </c>
      <c r="J139" s="30">
        <v>0.97329032258064518</v>
      </c>
      <c r="K139" s="322">
        <v>0</v>
      </c>
      <c r="L139" s="322">
        <v>0</v>
      </c>
      <c r="M139" s="323" t="s">
        <v>81</v>
      </c>
      <c r="N139" s="337" t="s">
        <v>234</v>
      </c>
      <c r="O139" s="324" t="s">
        <v>235</v>
      </c>
    </row>
    <row r="140" spans="1:15" ht="16.5" customHeight="1" x14ac:dyDescent="0.25">
      <c r="A140" s="1159"/>
      <c r="B140" s="338" t="s">
        <v>236</v>
      </c>
      <c r="C140" s="338" t="s">
        <v>237</v>
      </c>
      <c r="D140" s="338" t="s">
        <v>238</v>
      </c>
      <c r="E140" s="338" t="s">
        <v>233</v>
      </c>
      <c r="F140" s="326">
        <v>100</v>
      </c>
      <c r="G140" s="327">
        <v>24000</v>
      </c>
      <c r="H140" s="327">
        <v>7900</v>
      </c>
      <c r="I140" s="327">
        <v>6648</v>
      </c>
      <c r="J140" s="340">
        <v>0.84151898734177211</v>
      </c>
      <c r="K140" s="327">
        <v>0</v>
      </c>
      <c r="L140" s="327">
        <v>0</v>
      </c>
      <c r="M140" s="328" t="s">
        <v>81</v>
      </c>
      <c r="N140" s="339" t="s">
        <v>234</v>
      </c>
      <c r="O140" s="324" t="s">
        <v>235</v>
      </c>
    </row>
    <row r="141" spans="1:15" ht="16.5" customHeight="1" x14ac:dyDescent="0.25">
      <c r="A141" s="1158" t="s">
        <v>204</v>
      </c>
      <c r="B141" s="336" t="s">
        <v>230</v>
      </c>
      <c r="C141" s="336" t="s">
        <v>231</v>
      </c>
      <c r="D141" s="336" t="s">
        <v>232</v>
      </c>
      <c r="E141" s="336" t="s">
        <v>233</v>
      </c>
      <c r="F141" s="20">
        <v>100</v>
      </c>
      <c r="G141" s="322">
        <v>115000</v>
      </c>
      <c r="H141" s="322">
        <v>31000</v>
      </c>
      <c r="I141" s="322">
        <v>34929</v>
      </c>
      <c r="J141" s="30">
        <v>1.126741935483871</v>
      </c>
      <c r="K141" s="322">
        <v>0</v>
      </c>
      <c r="L141" s="322">
        <v>0</v>
      </c>
      <c r="M141" s="323" t="s">
        <v>81</v>
      </c>
      <c r="N141" s="337" t="s">
        <v>234</v>
      </c>
      <c r="O141" s="324" t="s">
        <v>235</v>
      </c>
    </row>
    <row r="142" spans="1:15" ht="16.5" customHeight="1" x14ac:dyDescent="0.25">
      <c r="A142" s="1159"/>
      <c r="B142" s="338" t="s">
        <v>236</v>
      </c>
      <c r="C142" s="338" t="s">
        <v>237</v>
      </c>
      <c r="D142" s="338" t="s">
        <v>238</v>
      </c>
      <c r="E142" s="338" t="s">
        <v>233</v>
      </c>
      <c r="F142" s="326">
        <v>100</v>
      </c>
      <c r="G142" s="327">
        <v>24000</v>
      </c>
      <c r="H142" s="327">
        <v>7900</v>
      </c>
      <c r="I142" s="327">
        <v>7444</v>
      </c>
      <c r="J142" s="340">
        <v>0.94227848101265821</v>
      </c>
      <c r="K142" s="327">
        <v>0</v>
      </c>
      <c r="L142" s="327">
        <v>0</v>
      </c>
      <c r="M142" s="328" t="s">
        <v>81</v>
      </c>
      <c r="N142" s="339" t="s">
        <v>234</v>
      </c>
      <c r="O142" s="324" t="s">
        <v>235</v>
      </c>
    </row>
    <row r="143" spans="1:15" ht="16.5" customHeight="1" x14ac:dyDescent="0.25">
      <c r="A143" s="1158" t="s">
        <v>205</v>
      </c>
      <c r="B143" s="336" t="s">
        <v>230</v>
      </c>
      <c r="C143" s="336" t="s">
        <v>231</v>
      </c>
      <c r="D143" s="336" t="s">
        <v>232</v>
      </c>
      <c r="E143" s="336" t="s">
        <v>233</v>
      </c>
      <c r="F143" s="20">
        <v>100</v>
      </c>
      <c r="G143" s="322">
        <v>115000</v>
      </c>
      <c r="H143" s="322">
        <f>+[11]INVERSIÓN!CH10</f>
        <v>40000</v>
      </c>
      <c r="I143" s="322">
        <f>+[11]INVERSIÓN!CI10</f>
        <v>38962</v>
      </c>
      <c r="J143" s="367">
        <f>+I143/H143</f>
        <v>0.97404999999999997</v>
      </c>
      <c r="K143" s="322">
        <v>0</v>
      </c>
      <c r="L143" s="322">
        <v>0</v>
      </c>
      <c r="M143" s="330" t="s">
        <v>81</v>
      </c>
      <c r="N143" s="337" t="s">
        <v>234</v>
      </c>
      <c r="O143" s="324" t="s">
        <v>235</v>
      </c>
    </row>
    <row r="144" spans="1:15" ht="16.5" customHeight="1" x14ac:dyDescent="0.25">
      <c r="A144" s="1159"/>
      <c r="B144" s="336" t="s">
        <v>236</v>
      </c>
      <c r="C144" s="336" t="s">
        <v>237</v>
      </c>
      <c r="D144" s="336" t="s">
        <v>238</v>
      </c>
      <c r="E144" s="336" t="s">
        <v>233</v>
      </c>
      <c r="F144" s="20">
        <v>100</v>
      </c>
      <c r="G144" s="322">
        <v>24000</v>
      </c>
      <c r="H144" s="322">
        <f>+[11]INVERSIÓN!CH24</f>
        <v>8700</v>
      </c>
      <c r="I144" s="322">
        <f>+[11]INVERSIÓN!CI24</f>
        <v>8268</v>
      </c>
      <c r="J144" s="367">
        <f>+I144/H144</f>
        <v>0.95034482758620686</v>
      </c>
      <c r="K144" s="322">
        <v>0</v>
      </c>
      <c r="L144" s="322">
        <v>0</v>
      </c>
      <c r="M144" s="330" t="s">
        <v>81</v>
      </c>
      <c r="N144" s="337" t="s">
        <v>234</v>
      </c>
      <c r="O144" s="324" t="s">
        <v>235</v>
      </c>
    </row>
    <row r="145" spans="1:15" ht="15.75" thickBot="1" x14ac:dyDescent="0.3">
      <c r="O145" s="324" t="s">
        <v>235</v>
      </c>
    </row>
    <row r="146" spans="1:15" ht="20.25" x14ac:dyDescent="0.25">
      <c r="A146" s="1155" t="s">
        <v>250</v>
      </c>
      <c r="B146" s="1156"/>
      <c r="C146" s="1156"/>
      <c r="D146" s="1156"/>
      <c r="E146" s="1156"/>
      <c r="F146" s="1156"/>
      <c r="G146" s="1156"/>
      <c r="H146" s="1156"/>
      <c r="I146" s="1156"/>
      <c r="J146" s="1156"/>
      <c r="K146" s="1156"/>
      <c r="L146" s="1156"/>
      <c r="M146" s="1156"/>
      <c r="N146" s="1157"/>
    </row>
    <row r="147" spans="1:15" ht="44.25" customHeight="1" x14ac:dyDescent="0.25">
      <c r="A147" s="304" t="s">
        <v>28</v>
      </c>
      <c r="B147" s="305" t="s">
        <v>217</v>
      </c>
      <c r="C147" s="305" t="s">
        <v>218</v>
      </c>
      <c r="D147" s="305" t="s">
        <v>219</v>
      </c>
      <c r="E147" s="305" t="s">
        <v>220</v>
      </c>
      <c r="F147" s="305" t="s">
        <v>251</v>
      </c>
      <c r="G147" s="305" t="s">
        <v>246</v>
      </c>
      <c r="H147" s="305" t="s">
        <v>252</v>
      </c>
      <c r="I147" s="305" t="s">
        <v>253</v>
      </c>
      <c r="J147" s="305" t="s">
        <v>254</v>
      </c>
      <c r="K147" s="305" t="s">
        <v>226</v>
      </c>
      <c r="L147" s="305" t="s">
        <v>227</v>
      </c>
      <c r="M147" s="305" t="s">
        <v>228</v>
      </c>
      <c r="N147" s="306" t="s">
        <v>229</v>
      </c>
    </row>
    <row r="148" spans="1:15" ht="16.5" customHeight="1" x14ac:dyDescent="0.25">
      <c r="A148" s="1158" t="s">
        <v>207</v>
      </c>
      <c r="B148" s="336" t="s">
        <v>230</v>
      </c>
      <c r="C148" s="336" t="s">
        <v>231</v>
      </c>
      <c r="D148" s="336" t="s">
        <v>232</v>
      </c>
      <c r="E148" s="336" t="s">
        <v>233</v>
      </c>
      <c r="F148" s="20">
        <v>100</v>
      </c>
      <c r="G148" s="322">
        <v>115000</v>
      </c>
      <c r="H148" s="322">
        <v>28500</v>
      </c>
      <c r="I148" s="322">
        <v>1463</v>
      </c>
      <c r="J148" s="367">
        <v>5.1333333333333335E-2</v>
      </c>
      <c r="K148" s="322">
        <v>1038</v>
      </c>
      <c r="L148" s="322">
        <v>915</v>
      </c>
      <c r="M148" s="330">
        <v>0.88150289017340999</v>
      </c>
      <c r="N148" s="337" t="s">
        <v>234</v>
      </c>
      <c r="O148" s="324" t="s">
        <v>235</v>
      </c>
    </row>
    <row r="149" spans="1:15" ht="16.5" customHeight="1" x14ac:dyDescent="0.25">
      <c r="A149" s="1159"/>
      <c r="B149" s="338" t="s">
        <v>236</v>
      </c>
      <c r="C149" s="338" t="s">
        <v>237</v>
      </c>
      <c r="D149" s="338" t="s">
        <v>238</v>
      </c>
      <c r="E149" s="338" t="s">
        <v>233</v>
      </c>
      <c r="F149" s="326">
        <v>100</v>
      </c>
      <c r="G149" s="327">
        <v>24000</v>
      </c>
      <c r="H149" s="327">
        <v>5590</v>
      </c>
      <c r="I149" s="327">
        <v>291</v>
      </c>
      <c r="J149" s="340">
        <v>5.2057245080500893E-2</v>
      </c>
      <c r="K149" s="327">
        <v>432</v>
      </c>
      <c r="L149" s="327">
        <v>327</v>
      </c>
      <c r="M149" s="328">
        <v>0.75694444444444442</v>
      </c>
      <c r="N149" s="339" t="s">
        <v>234</v>
      </c>
      <c r="O149" s="324" t="s">
        <v>235</v>
      </c>
    </row>
    <row r="150" spans="1:15" ht="16.5" customHeight="1" x14ac:dyDescent="0.25">
      <c r="A150" s="1158" t="s">
        <v>208</v>
      </c>
      <c r="B150" s="336" t="s">
        <v>230</v>
      </c>
      <c r="C150" s="336" t="s">
        <v>231</v>
      </c>
      <c r="D150" s="336" t="s">
        <v>232</v>
      </c>
      <c r="E150" s="336" t="s">
        <v>233</v>
      </c>
      <c r="F150" s="20">
        <v>100</v>
      </c>
      <c r="G150" s="322">
        <v>115000</v>
      </c>
      <c r="H150" s="322">
        <v>28500</v>
      </c>
      <c r="I150" s="322">
        <v>4452</v>
      </c>
      <c r="J150" s="367">
        <v>0.15621052631578947</v>
      </c>
      <c r="K150" s="322">
        <v>1038</v>
      </c>
      <c r="L150" s="322">
        <v>1004</v>
      </c>
      <c r="M150" s="330">
        <v>0.96724470134874763</v>
      </c>
      <c r="N150" s="337" t="s">
        <v>234</v>
      </c>
      <c r="O150" s="324" t="s">
        <v>235</v>
      </c>
    </row>
    <row r="151" spans="1:15" ht="16.5" customHeight="1" x14ac:dyDescent="0.25">
      <c r="A151" s="1159"/>
      <c r="B151" s="338" t="s">
        <v>236</v>
      </c>
      <c r="C151" s="338" t="s">
        <v>237</v>
      </c>
      <c r="D151" s="338" t="s">
        <v>238</v>
      </c>
      <c r="E151" s="338" t="s">
        <v>233</v>
      </c>
      <c r="F151" s="326">
        <v>100</v>
      </c>
      <c r="G151" s="327">
        <v>24000</v>
      </c>
      <c r="H151" s="327">
        <v>5590</v>
      </c>
      <c r="I151" s="327">
        <v>625</v>
      </c>
      <c r="J151" s="340">
        <v>0.11180679785330948</v>
      </c>
      <c r="K151" s="327">
        <v>432</v>
      </c>
      <c r="L151" s="327">
        <v>390</v>
      </c>
      <c r="M151" s="328">
        <v>0.90277777777777779</v>
      </c>
      <c r="N151" s="339" t="s">
        <v>234</v>
      </c>
      <c r="O151" s="324" t="s">
        <v>235</v>
      </c>
    </row>
    <row r="152" spans="1:15" ht="16.5" customHeight="1" x14ac:dyDescent="0.25">
      <c r="A152" s="1158" t="s">
        <v>209</v>
      </c>
      <c r="B152" s="336" t="s">
        <v>230</v>
      </c>
      <c r="C152" s="336" t="s">
        <v>231</v>
      </c>
      <c r="D152" s="336" t="s">
        <v>232</v>
      </c>
      <c r="E152" s="336" t="s">
        <v>233</v>
      </c>
      <c r="F152" s="20">
        <v>100</v>
      </c>
      <c r="G152" s="322">
        <v>115000</v>
      </c>
      <c r="H152" s="322">
        <v>28500</v>
      </c>
      <c r="I152" s="322">
        <v>7365</v>
      </c>
      <c r="J152" s="367">
        <v>0.25842105263157894</v>
      </c>
      <c r="K152" s="322">
        <v>1038</v>
      </c>
      <c r="L152" s="322">
        <v>1038</v>
      </c>
      <c r="M152" s="330">
        <v>1</v>
      </c>
      <c r="N152" s="337" t="s">
        <v>234</v>
      </c>
      <c r="O152" s="324" t="s">
        <v>235</v>
      </c>
    </row>
    <row r="153" spans="1:15" ht="16.5" customHeight="1" x14ac:dyDescent="0.25">
      <c r="A153" s="1159"/>
      <c r="B153" s="338" t="s">
        <v>236</v>
      </c>
      <c r="C153" s="338" t="s">
        <v>237</v>
      </c>
      <c r="D153" s="338" t="s">
        <v>238</v>
      </c>
      <c r="E153" s="338" t="s">
        <v>233</v>
      </c>
      <c r="F153" s="326">
        <v>100</v>
      </c>
      <c r="G153" s="327">
        <v>24000</v>
      </c>
      <c r="H153" s="327">
        <v>5590</v>
      </c>
      <c r="I153" s="327">
        <v>883</v>
      </c>
      <c r="J153" s="340">
        <v>0.15796064400715565</v>
      </c>
      <c r="K153" s="327">
        <v>432</v>
      </c>
      <c r="L153" s="327">
        <v>432</v>
      </c>
      <c r="M153" s="328">
        <v>1</v>
      </c>
      <c r="N153" s="339" t="s">
        <v>234</v>
      </c>
      <c r="O153" s="324" t="s">
        <v>235</v>
      </c>
    </row>
    <row r="154" spans="1:15" ht="16.5" customHeight="1" x14ac:dyDescent="0.25">
      <c r="A154" s="1158" t="s">
        <v>210</v>
      </c>
      <c r="B154" s="336" t="s">
        <v>230</v>
      </c>
      <c r="C154" s="336" t="s">
        <v>231</v>
      </c>
      <c r="D154" s="336" t="s">
        <v>232</v>
      </c>
      <c r="E154" s="336" t="s">
        <v>233</v>
      </c>
      <c r="F154" s="20">
        <v>100</v>
      </c>
      <c r="G154" s="322">
        <v>115000</v>
      </c>
      <c r="H154" s="322">
        <v>28500</v>
      </c>
      <c r="I154" s="322">
        <v>10035</v>
      </c>
      <c r="J154" s="367">
        <v>0.35210526315789475</v>
      </c>
      <c r="K154" s="322">
        <v>1038</v>
      </c>
      <c r="L154" s="322">
        <v>1038</v>
      </c>
      <c r="M154" s="330">
        <v>1</v>
      </c>
      <c r="N154" s="337" t="s">
        <v>234</v>
      </c>
      <c r="O154" s="324" t="s">
        <v>235</v>
      </c>
    </row>
    <row r="155" spans="1:15" ht="16.5" customHeight="1" x14ac:dyDescent="0.25">
      <c r="A155" s="1159"/>
      <c r="B155" s="338" t="s">
        <v>236</v>
      </c>
      <c r="C155" s="338" t="s">
        <v>237</v>
      </c>
      <c r="D155" s="338" t="s">
        <v>238</v>
      </c>
      <c r="E155" s="338" t="s">
        <v>233</v>
      </c>
      <c r="F155" s="326">
        <v>100</v>
      </c>
      <c r="G155" s="327">
        <v>24000</v>
      </c>
      <c r="H155" s="327">
        <v>5590</v>
      </c>
      <c r="I155" s="327">
        <v>1333</v>
      </c>
      <c r="J155" s="340">
        <v>0.23846153846153847</v>
      </c>
      <c r="K155" s="327">
        <v>432</v>
      </c>
      <c r="L155" s="327">
        <v>432</v>
      </c>
      <c r="M155" s="328">
        <v>1</v>
      </c>
      <c r="N155" s="339" t="s">
        <v>234</v>
      </c>
      <c r="O155" s="324" t="s">
        <v>235</v>
      </c>
    </row>
    <row r="156" spans="1:15" ht="16.5" customHeight="1" x14ac:dyDescent="0.25">
      <c r="A156" s="1158" t="s">
        <v>211</v>
      </c>
      <c r="B156" s="336" t="s">
        <v>230</v>
      </c>
      <c r="C156" s="336" t="s">
        <v>231</v>
      </c>
      <c r="D156" s="336" t="s">
        <v>232</v>
      </c>
      <c r="E156" s="336" t="s">
        <v>233</v>
      </c>
      <c r="F156" s="20">
        <v>100</v>
      </c>
      <c r="G156" s="322">
        <v>115000</v>
      </c>
      <c r="H156" s="322">
        <v>28500</v>
      </c>
      <c r="I156" s="322">
        <v>12539</v>
      </c>
      <c r="J156" s="367">
        <v>0.43996491228070178</v>
      </c>
      <c r="K156" s="322">
        <v>1038</v>
      </c>
      <c r="L156" s="322">
        <v>1038</v>
      </c>
      <c r="M156" s="330">
        <v>1</v>
      </c>
      <c r="N156" s="337" t="s">
        <v>234</v>
      </c>
      <c r="O156" s="324" t="s">
        <v>235</v>
      </c>
    </row>
    <row r="157" spans="1:15" ht="16.5" customHeight="1" x14ac:dyDescent="0.25">
      <c r="A157" s="1159"/>
      <c r="B157" s="338" t="s">
        <v>236</v>
      </c>
      <c r="C157" s="338" t="s">
        <v>237</v>
      </c>
      <c r="D157" s="338" t="s">
        <v>238</v>
      </c>
      <c r="E157" s="338" t="s">
        <v>233</v>
      </c>
      <c r="F157" s="326">
        <v>100</v>
      </c>
      <c r="G157" s="327">
        <v>24000</v>
      </c>
      <c r="H157" s="327">
        <v>5590</v>
      </c>
      <c r="I157" s="327">
        <v>1844</v>
      </c>
      <c r="J157" s="340">
        <v>0.32987477638640428</v>
      </c>
      <c r="K157" s="327">
        <v>432</v>
      </c>
      <c r="L157" s="327">
        <v>432</v>
      </c>
      <c r="M157" s="328">
        <v>1</v>
      </c>
      <c r="N157" s="339" t="s">
        <v>234</v>
      </c>
      <c r="O157" s="324" t="s">
        <v>235</v>
      </c>
    </row>
    <row r="158" spans="1:15" ht="16.5" customHeight="1" x14ac:dyDescent="0.25">
      <c r="A158" s="1158" t="s">
        <v>212</v>
      </c>
      <c r="B158" s="336" t="s">
        <v>230</v>
      </c>
      <c r="C158" s="336" t="s">
        <v>231</v>
      </c>
      <c r="D158" s="336" t="s">
        <v>232</v>
      </c>
      <c r="E158" s="336" t="s">
        <v>233</v>
      </c>
      <c r="F158" s="20">
        <v>100</v>
      </c>
      <c r="G158" s="322">
        <v>115000</v>
      </c>
      <c r="H158" s="322">
        <v>28500</v>
      </c>
      <c r="I158" s="322">
        <v>15082</v>
      </c>
      <c r="J158" s="367">
        <v>0.52919298245614033</v>
      </c>
      <c r="K158" s="322">
        <v>1038</v>
      </c>
      <c r="L158" s="322">
        <v>1038</v>
      </c>
      <c r="M158" s="330">
        <v>1</v>
      </c>
      <c r="N158" s="337" t="s">
        <v>234</v>
      </c>
      <c r="O158" s="324" t="s">
        <v>235</v>
      </c>
    </row>
    <row r="159" spans="1:15" ht="16.5" customHeight="1" x14ac:dyDescent="0.25">
      <c r="A159" s="1159"/>
      <c r="B159" s="338" t="s">
        <v>236</v>
      </c>
      <c r="C159" s="338" t="s">
        <v>237</v>
      </c>
      <c r="D159" s="338" t="s">
        <v>238</v>
      </c>
      <c r="E159" s="338" t="s">
        <v>233</v>
      </c>
      <c r="F159" s="326">
        <v>100</v>
      </c>
      <c r="G159" s="327">
        <v>24000</v>
      </c>
      <c r="H159" s="327">
        <v>5590</v>
      </c>
      <c r="I159" s="327">
        <v>2398</v>
      </c>
      <c r="J159" s="340">
        <v>0.42898032200357783</v>
      </c>
      <c r="K159" s="327">
        <v>432</v>
      </c>
      <c r="L159" s="327">
        <v>432</v>
      </c>
      <c r="M159" s="328">
        <v>1</v>
      </c>
      <c r="N159" s="339" t="s">
        <v>234</v>
      </c>
      <c r="O159" s="324" t="s">
        <v>235</v>
      </c>
    </row>
    <row r="160" spans="1:15" ht="16.5" customHeight="1" x14ac:dyDescent="0.25">
      <c r="A160" s="1158" t="s">
        <v>199</v>
      </c>
      <c r="B160" s="336" t="s">
        <v>230</v>
      </c>
      <c r="C160" s="336" t="s">
        <v>231</v>
      </c>
      <c r="D160" s="336" t="s">
        <v>232</v>
      </c>
      <c r="E160" s="336" t="s">
        <v>233</v>
      </c>
      <c r="F160" s="20">
        <v>100</v>
      </c>
      <c r="G160" s="322">
        <v>115000</v>
      </c>
      <c r="H160" s="322">
        <v>28500</v>
      </c>
      <c r="I160" s="322">
        <v>17615</v>
      </c>
      <c r="J160" s="367">
        <v>0.61807017543859644</v>
      </c>
      <c r="K160" s="322">
        <v>1038</v>
      </c>
      <c r="L160" s="322">
        <v>1038</v>
      </c>
      <c r="M160" s="330">
        <v>1</v>
      </c>
      <c r="N160" s="337" t="s">
        <v>234</v>
      </c>
      <c r="O160" s="324" t="s">
        <v>235</v>
      </c>
    </row>
    <row r="161" spans="1:15" ht="16.5" customHeight="1" x14ac:dyDescent="0.25">
      <c r="A161" s="1159"/>
      <c r="B161" s="338" t="s">
        <v>236</v>
      </c>
      <c r="C161" s="338" t="s">
        <v>237</v>
      </c>
      <c r="D161" s="338" t="s">
        <v>238</v>
      </c>
      <c r="E161" s="338" t="s">
        <v>233</v>
      </c>
      <c r="F161" s="326">
        <v>100</v>
      </c>
      <c r="G161" s="327">
        <v>24000</v>
      </c>
      <c r="H161" s="327">
        <v>5590</v>
      </c>
      <c r="I161" s="327">
        <v>2954</v>
      </c>
      <c r="J161" s="340">
        <v>0.52844364937388189</v>
      </c>
      <c r="K161" s="327">
        <v>432</v>
      </c>
      <c r="L161" s="327">
        <v>432</v>
      </c>
      <c r="M161" s="328">
        <v>1</v>
      </c>
      <c r="N161" s="339" t="s">
        <v>234</v>
      </c>
      <c r="O161" s="324" t="s">
        <v>235</v>
      </c>
    </row>
    <row r="162" spans="1:15" ht="16.5" customHeight="1" x14ac:dyDescent="0.25">
      <c r="A162" s="1158" t="s">
        <v>201</v>
      </c>
      <c r="B162" s="336" t="s">
        <v>230</v>
      </c>
      <c r="C162" s="336" t="s">
        <v>231</v>
      </c>
      <c r="D162" s="336" t="s">
        <v>232</v>
      </c>
      <c r="E162" s="336" t="s">
        <v>233</v>
      </c>
      <c r="F162" s="20">
        <v>100</v>
      </c>
      <c r="G162" s="322">
        <v>115000</v>
      </c>
      <c r="H162" s="322">
        <v>28500</v>
      </c>
      <c r="I162" s="322">
        <v>20361</v>
      </c>
      <c r="J162" s="367">
        <v>0.71442105263157896</v>
      </c>
      <c r="K162" s="322">
        <v>1038</v>
      </c>
      <c r="L162" s="322">
        <v>1038</v>
      </c>
      <c r="M162" s="330">
        <v>1</v>
      </c>
      <c r="N162" s="337" t="s">
        <v>234</v>
      </c>
      <c r="O162" s="324" t="s">
        <v>235</v>
      </c>
    </row>
    <row r="163" spans="1:15" ht="16.5" customHeight="1" x14ac:dyDescent="0.25">
      <c r="A163" s="1159"/>
      <c r="B163" s="338" t="s">
        <v>236</v>
      </c>
      <c r="C163" s="338" t="s">
        <v>237</v>
      </c>
      <c r="D163" s="338" t="s">
        <v>238</v>
      </c>
      <c r="E163" s="338" t="s">
        <v>233</v>
      </c>
      <c r="F163" s="326">
        <v>100</v>
      </c>
      <c r="G163" s="327">
        <v>24000</v>
      </c>
      <c r="H163" s="327">
        <v>5590</v>
      </c>
      <c r="I163" s="327">
        <v>3525</v>
      </c>
      <c r="J163" s="340">
        <v>0.63059033989266544</v>
      </c>
      <c r="K163" s="327">
        <v>432</v>
      </c>
      <c r="L163" s="327">
        <v>432</v>
      </c>
      <c r="M163" s="328">
        <v>1</v>
      </c>
      <c r="N163" s="339" t="s">
        <v>234</v>
      </c>
      <c r="O163" s="324" t="s">
        <v>235</v>
      </c>
    </row>
    <row r="164" spans="1:15" ht="16.5" customHeight="1" x14ac:dyDescent="0.25">
      <c r="A164" s="1158" t="s">
        <v>202</v>
      </c>
      <c r="B164" s="336" t="s">
        <v>230</v>
      </c>
      <c r="C164" s="336" t="s">
        <v>231</v>
      </c>
      <c r="D164" s="336" t="s">
        <v>232</v>
      </c>
      <c r="E164" s="336" t="s">
        <v>233</v>
      </c>
      <c r="F164" s="20">
        <v>100</v>
      </c>
      <c r="G164" s="322">
        <v>115000</v>
      </c>
      <c r="H164" s="322">
        <v>28500</v>
      </c>
      <c r="I164" s="322">
        <v>22867</v>
      </c>
      <c r="J164" s="367">
        <v>0.80235087719298248</v>
      </c>
      <c r="K164" s="322">
        <v>1038</v>
      </c>
      <c r="L164" s="322">
        <v>1038</v>
      </c>
      <c r="M164" s="330">
        <v>1</v>
      </c>
      <c r="N164" s="337" t="s">
        <v>234</v>
      </c>
      <c r="O164" s="324" t="s">
        <v>235</v>
      </c>
    </row>
    <row r="165" spans="1:15" ht="16.5" customHeight="1" x14ac:dyDescent="0.25">
      <c r="A165" s="1159"/>
      <c r="B165" s="338" t="s">
        <v>236</v>
      </c>
      <c r="C165" s="338" t="s">
        <v>237</v>
      </c>
      <c r="D165" s="338" t="s">
        <v>238</v>
      </c>
      <c r="E165" s="338" t="s">
        <v>233</v>
      </c>
      <c r="F165" s="326">
        <v>100</v>
      </c>
      <c r="G165" s="327">
        <v>24000</v>
      </c>
      <c r="H165" s="327">
        <v>5590</v>
      </c>
      <c r="I165" s="327">
        <v>4120</v>
      </c>
      <c r="J165" s="340">
        <v>0.73703041144901615</v>
      </c>
      <c r="K165" s="327">
        <v>432</v>
      </c>
      <c r="L165" s="327">
        <v>432</v>
      </c>
      <c r="M165" s="328">
        <v>1</v>
      </c>
      <c r="N165" s="339" t="s">
        <v>234</v>
      </c>
      <c r="O165" s="324" t="s">
        <v>235</v>
      </c>
    </row>
    <row r="166" spans="1:15" ht="16.5" customHeight="1" x14ac:dyDescent="0.25">
      <c r="A166" s="1158" t="s">
        <v>203</v>
      </c>
      <c r="B166" s="336" t="s">
        <v>230</v>
      </c>
      <c r="C166" s="336" t="s">
        <v>231</v>
      </c>
      <c r="D166" s="336" t="s">
        <v>232</v>
      </c>
      <c r="E166" s="336" t="s">
        <v>233</v>
      </c>
      <c r="F166" s="20">
        <v>100</v>
      </c>
      <c r="G166" s="322">
        <v>115000</v>
      </c>
      <c r="H166" s="322">
        <v>28500</v>
      </c>
      <c r="I166" s="322">
        <v>25470</v>
      </c>
      <c r="J166" s="367">
        <v>0.89368421052631575</v>
      </c>
      <c r="K166" s="322">
        <v>1038</v>
      </c>
      <c r="L166" s="322">
        <v>1038</v>
      </c>
      <c r="M166" s="330">
        <v>1</v>
      </c>
      <c r="N166" s="337" t="s">
        <v>234</v>
      </c>
      <c r="O166" s="324" t="s">
        <v>235</v>
      </c>
    </row>
    <row r="167" spans="1:15" ht="16.5" customHeight="1" x14ac:dyDescent="0.25">
      <c r="A167" s="1159"/>
      <c r="B167" s="338" t="s">
        <v>236</v>
      </c>
      <c r="C167" s="338" t="s">
        <v>237</v>
      </c>
      <c r="D167" s="338" t="s">
        <v>238</v>
      </c>
      <c r="E167" s="338" t="s">
        <v>233</v>
      </c>
      <c r="F167" s="326">
        <v>100</v>
      </c>
      <c r="G167" s="327">
        <v>24000</v>
      </c>
      <c r="H167" s="327">
        <v>5590</v>
      </c>
      <c r="I167" s="327">
        <v>4705</v>
      </c>
      <c r="J167" s="340">
        <v>0.84168157423971379</v>
      </c>
      <c r="K167" s="327">
        <v>432</v>
      </c>
      <c r="L167" s="327">
        <v>432</v>
      </c>
      <c r="M167" s="328">
        <v>1</v>
      </c>
      <c r="N167" s="339" t="s">
        <v>234</v>
      </c>
      <c r="O167" s="324" t="s">
        <v>235</v>
      </c>
    </row>
    <row r="168" spans="1:15" ht="16.5" customHeight="1" x14ac:dyDescent="0.25">
      <c r="A168" s="1158" t="s">
        <v>204</v>
      </c>
      <c r="B168" s="336" t="s">
        <v>230</v>
      </c>
      <c r="C168" s="336" t="s">
        <v>231</v>
      </c>
      <c r="D168" s="336" t="s">
        <v>232</v>
      </c>
      <c r="E168" s="336" t="s">
        <v>233</v>
      </c>
      <c r="F168" s="20">
        <v>100</v>
      </c>
      <c r="G168" s="322">
        <v>115000</v>
      </c>
      <c r="H168" s="322">
        <v>28500</v>
      </c>
      <c r="I168" s="322">
        <v>28381</v>
      </c>
      <c r="J168" s="367">
        <v>0.99582456140350872</v>
      </c>
      <c r="K168" s="322">
        <v>1038</v>
      </c>
      <c r="L168" s="322">
        <v>1038</v>
      </c>
      <c r="M168" s="330">
        <v>1</v>
      </c>
      <c r="N168" s="337" t="s">
        <v>234</v>
      </c>
      <c r="O168" s="324" t="s">
        <v>235</v>
      </c>
    </row>
    <row r="169" spans="1:15" ht="16.5" customHeight="1" x14ac:dyDescent="0.25">
      <c r="A169" s="1159"/>
      <c r="B169" s="336" t="s">
        <v>236</v>
      </c>
      <c r="C169" s="336" t="s">
        <v>237</v>
      </c>
      <c r="D169" s="336" t="s">
        <v>238</v>
      </c>
      <c r="E169" s="336" t="s">
        <v>233</v>
      </c>
      <c r="F169" s="20">
        <v>100</v>
      </c>
      <c r="G169" s="322">
        <v>24000</v>
      </c>
      <c r="H169" s="322">
        <v>5590</v>
      </c>
      <c r="I169" s="322">
        <v>5143</v>
      </c>
      <c r="J169" s="367">
        <v>0.92003577817531301</v>
      </c>
      <c r="K169" s="322">
        <v>432</v>
      </c>
      <c r="L169" s="322">
        <v>432</v>
      </c>
      <c r="M169" s="330">
        <v>1</v>
      </c>
      <c r="N169" s="337" t="s">
        <v>234</v>
      </c>
      <c r="O169" s="324" t="s">
        <v>235</v>
      </c>
    </row>
    <row r="170" spans="1:15" ht="16.5" customHeight="1" x14ac:dyDescent="0.25">
      <c r="A170" s="1158" t="s">
        <v>205</v>
      </c>
      <c r="B170" s="336" t="s">
        <v>230</v>
      </c>
      <c r="C170" s="336" t="s">
        <v>231</v>
      </c>
      <c r="D170" s="336" t="s">
        <v>232</v>
      </c>
      <c r="E170" s="336" t="s">
        <v>233</v>
      </c>
      <c r="F170" s="20">
        <v>100</v>
      </c>
      <c r="G170" s="322">
        <v>115000</v>
      </c>
      <c r="H170" s="322">
        <v>31508</v>
      </c>
      <c r="I170" s="322">
        <v>31508</v>
      </c>
      <c r="J170" s="367">
        <v>1</v>
      </c>
      <c r="K170" s="322">
        <v>1038</v>
      </c>
      <c r="L170" s="322">
        <v>1038</v>
      </c>
      <c r="M170" s="330">
        <v>1</v>
      </c>
      <c r="N170" s="337" t="s">
        <v>234</v>
      </c>
      <c r="O170" s="324" t="s">
        <v>235</v>
      </c>
    </row>
    <row r="171" spans="1:15" ht="16.5" customHeight="1" x14ac:dyDescent="0.25">
      <c r="A171" s="1159"/>
      <c r="B171" s="336" t="s">
        <v>236</v>
      </c>
      <c r="C171" s="336" t="s">
        <v>237</v>
      </c>
      <c r="D171" s="336" t="s">
        <v>238</v>
      </c>
      <c r="E171" s="336" t="s">
        <v>233</v>
      </c>
      <c r="F171" s="20">
        <v>100</v>
      </c>
      <c r="G171" s="322">
        <v>24000</v>
      </c>
      <c r="H171" s="322">
        <v>6107</v>
      </c>
      <c r="I171" s="322">
        <v>6107</v>
      </c>
      <c r="J171" s="367">
        <v>1</v>
      </c>
      <c r="K171" s="322">
        <v>432</v>
      </c>
      <c r="L171" s="322">
        <v>432</v>
      </c>
      <c r="M171" s="330">
        <v>1</v>
      </c>
      <c r="N171" s="337" t="s">
        <v>234</v>
      </c>
      <c r="O171" s="324" t="s">
        <v>235</v>
      </c>
    </row>
    <row r="172" spans="1:15" ht="15.75" thickBot="1" x14ac:dyDescent="0.3">
      <c r="O172" s="324" t="s">
        <v>235</v>
      </c>
    </row>
    <row r="173" spans="1:15" ht="20.25" x14ac:dyDescent="0.25">
      <c r="A173" s="1155" t="s">
        <v>255</v>
      </c>
      <c r="B173" s="1156"/>
      <c r="C173" s="1156"/>
      <c r="D173" s="1156"/>
      <c r="E173" s="1156"/>
      <c r="F173" s="1156"/>
      <c r="G173" s="1156"/>
      <c r="H173" s="1156"/>
      <c r="I173" s="1156"/>
      <c r="J173" s="1156"/>
      <c r="K173" s="1156"/>
      <c r="L173" s="1156"/>
      <c r="M173" s="1156"/>
      <c r="N173" s="1157"/>
      <c r="O173" s="324" t="s">
        <v>235</v>
      </c>
    </row>
    <row r="174" spans="1:15" ht="44.25" customHeight="1" x14ac:dyDescent="0.25">
      <c r="A174" s="304" t="s">
        <v>29</v>
      </c>
      <c r="B174" s="305" t="s">
        <v>217</v>
      </c>
      <c r="C174" s="305" t="s">
        <v>218</v>
      </c>
      <c r="D174" s="305" t="s">
        <v>219</v>
      </c>
      <c r="E174" s="305" t="s">
        <v>220</v>
      </c>
      <c r="F174" s="305" t="s">
        <v>256</v>
      </c>
      <c r="G174" s="305" t="s">
        <v>246</v>
      </c>
      <c r="H174" s="305" t="s">
        <v>257</v>
      </c>
      <c r="I174" s="305" t="s">
        <v>258</v>
      </c>
      <c r="J174" s="342" t="s">
        <v>259</v>
      </c>
      <c r="K174" s="305" t="s">
        <v>226</v>
      </c>
      <c r="L174" s="305" t="s">
        <v>227</v>
      </c>
      <c r="M174" s="305" t="s">
        <v>228</v>
      </c>
      <c r="N174" s="306" t="s">
        <v>229</v>
      </c>
      <c r="O174" s="324" t="s">
        <v>235</v>
      </c>
    </row>
    <row r="175" spans="1:15" ht="33.75" customHeight="1" x14ac:dyDescent="0.25">
      <c r="A175" s="1163" t="s">
        <v>207</v>
      </c>
      <c r="B175" s="336" t="s">
        <v>230</v>
      </c>
      <c r="C175" s="336" t="s">
        <v>231</v>
      </c>
      <c r="D175" s="336" t="s">
        <v>232</v>
      </c>
      <c r="E175" s="336" t="s">
        <v>233</v>
      </c>
      <c r="F175" s="20">
        <v>100</v>
      </c>
      <c r="G175" s="322">
        <v>115000</v>
      </c>
      <c r="H175" s="322">
        <v>8250</v>
      </c>
      <c r="I175" s="414">
        <v>1585</v>
      </c>
      <c r="J175" s="417">
        <f t="shared" ref="J175:J187" si="5">I175/H175</f>
        <v>0.19212121212121211</v>
      </c>
      <c r="K175" s="414">
        <v>0</v>
      </c>
      <c r="L175" s="418">
        <v>0</v>
      </c>
      <c r="M175" s="414" t="e">
        <f t="shared" ref="M175:M187" si="6">L175/K175</f>
        <v>#DIV/0!</v>
      </c>
      <c r="N175" s="408" t="s">
        <v>234</v>
      </c>
      <c r="O175" s="324"/>
    </row>
    <row r="176" spans="1:15" ht="33.75" customHeight="1" x14ac:dyDescent="0.25">
      <c r="A176" s="1164"/>
      <c r="B176" s="338" t="s">
        <v>236</v>
      </c>
      <c r="C176" s="338" t="s">
        <v>237</v>
      </c>
      <c r="D176" s="338" t="s">
        <v>238</v>
      </c>
      <c r="E176" s="338" t="s">
        <v>233</v>
      </c>
      <c r="F176" s="326">
        <v>100</v>
      </c>
      <c r="G176" s="327">
        <v>24000</v>
      </c>
      <c r="H176" s="322">
        <v>2993</v>
      </c>
      <c r="I176" s="414">
        <v>308</v>
      </c>
      <c r="J176" s="417">
        <f t="shared" si="5"/>
        <v>0.10290678249248246</v>
      </c>
      <c r="K176" s="414">
        <v>0</v>
      </c>
      <c r="L176" s="414">
        <v>0</v>
      </c>
      <c r="M176" s="414" t="e">
        <f>L176/K176</f>
        <v>#DIV/0!</v>
      </c>
      <c r="N176" s="409" t="s">
        <v>234</v>
      </c>
      <c r="O176" s="324" t="s">
        <v>235</v>
      </c>
    </row>
    <row r="177" spans="1:15" ht="33.75" customHeight="1" x14ac:dyDescent="0.25">
      <c r="A177" s="1165" t="s">
        <v>208</v>
      </c>
      <c r="B177" s="336" t="s">
        <v>230</v>
      </c>
      <c r="C177" s="336" t="s">
        <v>231</v>
      </c>
      <c r="D177" s="336" t="s">
        <v>232</v>
      </c>
      <c r="E177" s="336" t="s">
        <v>233</v>
      </c>
      <c r="F177" s="414">
        <v>100</v>
      </c>
      <c r="G177" s="419">
        <v>115000</v>
      </c>
      <c r="H177" s="419">
        <v>8250</v>
      </c>
      <c r="I177" s="414">
        <v>3236</v>
      </c>
      <c r="J177" s="417">
        <f t="shared" si="5"/>
        <v>0.39224242424242423</v>
      </c>
      <c r="K177" s="414">
        <v>0</v>
      </c>
      <c r="L177" s="414">
        <v>0</v>
      </c>
      <c r="M177" s="414" t="e">
        <f t="shared" si="6"/>
        <v>#DIV/0!</v>
      </c>
      <c r="N177" s="409" t="s">
        <v>234</v>
      </c>
      <c r="O177" s="324" t="s">
        <v>235</v>
      </c>
    </row>
    <row r="178" spans="1:15" ht="33.75" customHeight="1" x14ac:dyDescent="0.25">
      <c r="A178" s="1166"/>
      <c r="B178" s="338" t="s">
        <v>236</v>
      </c>
      <c r="C178" s="338" t="s">
        <v>237</v>
      </c>
      <c r="D178" s="338" t="s">
        <v>238</v>
      </c>
      <c r="E178" s="338" t="s">
        <v>233</v>
      </c>
      <c r="F178" s="414">
        <v>100</v>
      </c>
      <c r="G178" s="419">
        <v>24000</v>
      </c>
      <c r="H178" s="419">
        <v>2993</v>
      </c>
      <c r="I178" s="414">
        <v>531</v>
      </c>
      <c r="J178" s="417">
        <f t="shared" si="5"/>
        <v>0.17741396592048111</v>
      </c>
      <c r="K178" s="414">
        <v>0</v>
      </c>
      <c r="L178" s="414">
        <v>0</v>
      </c>
      <c r="M178" s="414" t="e">
        <f t="shared" si="6"/>
        <v>#DIV/0!</v>
      </c>
      <c r="N178" s="409" t="s">
        <v>234</v>
      </c>
      <c r="O178" s="324" t="s">
        <v>235</v>
      </c>
    </row>
    <row r="179" spans="1:15" ht="18.75" customHeight="1" x14ac:dyDescent="0.25">
      <c r="A179" s="1167" t="s">
        <v>209</v>
      </c>
      <c r="B179" s="336" t="s">
        <v>230</v>
      </c>
      <c r="C179" s="336" t="s">
        <v>231</v>
      </c>
      <c r="D179" s="336" t="s">
        <v>232</v>
      </c>
      <c r="E179" s="336" t="s">
        <v>233</v>
      </c>
      <c r="F179" s="414">
        <v>100</v>
      </c>
      <c r="G179" s="419">
        <v>115000</v>
      </c>
      <c r="H179" s="419">
        <v>8250</v>
      </c>
      <c r="I179" s="299">
        <v>4766</v>
      </c>
      <c r="J179" s="421">
        <f t="shared" si="5"/>
        <v>0.57769696969696971</v>
      </c>
      <c r="K179" s="414">
        <v>0</v>
      </c>
      <c r="L179" s="414">
        <v>0</v>
      </c>
      <c r="M179" s="413" t="e">
        <f t="shared" si="6"/>
        <v>#DIV/0!</v>
      </c>
      <c r="N179" s="409" t="s">
        <v>234</v>
      </c>
      <c r="O179" s="324" t="s">
        <v>235</v>
      </c>
    </row>
    <row r="180" spans="1:15" ht="30.75" customHeight="1" x14ac:dyDescent="0.25">
      <c r="A180" s="1168"/>
      <c r="B180" s="338" t="s">
        <v>236</v>
      </c>
      <c r="C180" s="338" t="s">
        <v>237</v>
      </c>
      <c r="D180" s="338" t="s">
        <v>238</v>
      </c>
      <c r="E180" s="338" t="s">
        <v>233</v>
      </c>
      <c r="F180" s="414">
        <v>100</v>
      </c>
      <c r="G180" s="419">
        <v>24000</v>
      </c>
      <c r="H180" s="419">
        <v>2993</v>
      </c>
      <c r="I180" s="299">
        <v>1034</v>
      </c>
      <c r="J180" s="421">
        <f t="shared" si="5"/>
        <v>0.34547276979619113</v>
      </c>
      <c r="K180" s="414">
        <v>0</v>
      </c>
      <c r="L180" s="414">
        <v>0</v>
      </c>
      <c r="M180" s="319" t="e">
        <f t="shared" si="6"/>
        <v>#DIV/0!</v>
      </c>
      <c r="N180" s="409" t="s">
        <v>234</v>
      </c>
      <c r="O180" s="324" t="s">
        <v>235</v>
      </c>
    </row>
    <row r="181" spans="1:15" ht="16.5" customHeight="1" x14ac:dyDescent="0.25">
      <c r="A181" s="1165" t="s">
        <v>210</v>
      </c>
      <c r="B181" s="336" t="s">
        <v>230</v>
      </c>
      <c r="C181" s="336" t="s">
        <v>231</v>
      </c>
      <c r="D181" s="336" t="s">
        <v>232</v>
      </c>
      <c r="E181" s="336" t="s">
        <v>233</v>
      </c>
      <c r="F181" s="20">
        <v>100</v>
      </c>
      <c r="G181" s="20">
        <v>115000</v>
      </c>
      <c r="H181" s="20">
        <v>8250</v>
      </c>
      <c r="I181" s="322">
        <v>6710</v>
      </c>
      <c r="J181" s="519">
        <f t="shared" si="5"/>
        <v>0.81333333333333335</v>
      </c>
      <c r="K181" s="20">
        <v>0</v>
      </c>
      <c r="L181" s="20">
        <v>0</v>
      </c>
      <c r="M181" s="20" t="e">
        <f t="shared" si="6"/>
        <v>#DIV/0!</v>
      </c>
      <c r="N181" s="409" t="s">
        <v>234</v>
      </c>
      <c r="O181" s="324" t="s">
        <v>235</v>
      </c>
    </row>
    <row r="182" spans="1:15" ht="30" x14ac:dyDescent="0.25">
      <c r="A182" s="1166"/>
      <c r="B182" s="338" t="s">
        <v>236</v>
      </c>
      <c r="C182" s="338" t="s">
        <v>237</v>
      </c>
      <c r="D182" s="338" t="s">
        <v>238</v>
      </c>
      <c r="E182" s="338" t="s">
        <v>233</v>
      </c>
      <c r="F182" s="20">
        <v>100</v>
      </c>
      <c r="G182" s="20">
        <v>24000</v>
      </c>
      <c r="H182" s="20">
        <v>2993</v>
      </c>
      <c r="I182" s="20">
        <v>1354</v>
      </c>
      <c r="J182" s="519">
        <f t="shared" si="5"/>
        <v>0.45238890745071836</v>
      </c>
      <c r="K182" s="20">
        <v>0</v>
      </c>
      <c r="L182" s="20">
        <v>0</v>
      </c>
      <c r="M182" s="20" t="e">
        <f t="shared" si="6"/>
        <v>#DIV/0!</v>
      </c>
      <c r="N182" s="409" t="s">
        <v>234</v>
      </c>
      <c r="O182" s="324" t="s">
        <v>235</v>
      </c>
    </row>
    <row r="183" spans="1:15" ht="30" x14ac:dyDescent="0.25">
      <c r="A183" s="1172" t="s">
        <v>440</v>
      </c>
      <c r="B183" s="336" t="s">
        <v>230</v>
      </c>
      <c r="C183" s="336" t="s">
        <v>231</v>
      </c>
      <c r="D183" s="336" t="s">
        <v>232</v>
      </c>
      <c r="E183" s="336" t="s">
        <v>233</v>
      </c>
      <c r="F183" s="20">
        <v>100</v>
      </c>
      <c r="G183" s="20">
        <v>115000</v>
      </c>
      <c r="H183" s="20">
        <v>8250</v>
      </c>
      <c r="I183" s="20">
        <v>8285</v>
      </c>
      <c r="J183" s="519">
        <f t="shared" si="5"/>
        <v>1.0042424242424242</v>
      </c>
      <c r="K183" s="20">
        <v>0</v>
      </c>
      <c r="L183" s="20">
        <v>0</v>
      </c>
      <c r="M183" s="319" t="e">
        <f t="shared" si="6"/>
        <v>#DIV/0!</v>
      </c>
      <c r="N183" s="409" t="s">
        <v>234</v>
      </c>
      <c r="O183" s="324" t="s">
        <v>235</v>
      </c>
    </row>
    <row r="184" spans="1:15" ht="30" x14ac:dyDescent="0.25">
      <c r="A184" s="1173"/>
      <c r="B184" s="338" t="s">
        <v>236</v>
      </c>
      <c r="C184" s="338" t="s">
        <v>237</v>
      </c>
      <c r="D184" s="338" t="s">
        <v>238</v>
      </c>
      <c r="E184" s="338" t="s">
        <v>233</v>
      </c>
      <c r="F184" s="20">
        <v>100</v>
      </c>
      <c r="G184" s="20">
        <v>24000</v>
      </c>
      <c r="H184" s="20">
        <v>2751</v>
      </c>
      <c r="I184" s="20">
        <v>1895</v>
      </c>
      <c r="J184" s="519">
        <f t="shared" si="5"/>
        <v>0.68884042166484916</v>
      </c>
      <c r="K184" s="20">
        <v>0</v>
      </c>
      <c r="L184" s="20">
        <v>0</v>
      </c>
      <c r="M184" s="319" t="e">
        <f t="shared" si="6"/>
        <v>#DIV/0!</v>
      </c>
      <c r="N184" s="409" t="s">
        <v>234</v>
      </c>
      <c r="O184" s="324" t="s">
        <v>235</v>
      </c>
    </row>
    <row r="185" spans="1:15" x14ac:dyDescent="0.25">
      <c r="A185" s="307"/>
      <c r="B185" s="319"/>
      <c r="C185" s="319"/>
      <c r="D185" s="319"/>
      <c r="E185" s="319"/>
      <c r="F185" s="319"/>
      <c r="G185" s="319"/>
      <c r="H185" s="319"/>
      <c r="I185" s="319"/>
      <c r="J185" s="319" t="e">
        <f t="shared" si="5"/>
        <v>#DIV/0!</v>
      </c>
      <c r="K185" s="319"/>
      <c r="L185" s="319"/>
      <c r="M185" s="319" t="e">
        <f t="shared" si="6"/>
        <v>#DIV/0!</v>
      </c>
      <c r="N185" s="320"/>
      <c r="O185" s="324" t="s">
        <v>235</v>
      </c>
    </row>
    <row r="186" spans="1:15" x14ac:dyDescent="0.25">
      <c r="A186" s="307"/>
      <c r="B186" s="319"/>
      <c r="C186" s="319"/>
      <c r="D186" s="319"/>
      <c r="E186" s="319"/>
      <c r="F186" s="319"/>
      <c r="G186" s="319"/>
      <c r="H186" s="319"/>
      <c r="I186" s="319"/>
      <c r="J186" s="319" t="e">
        <f t="shared" si="5"/>
        <v>#DIV/0!</v>
      </c>
      <c r="K186" s="319"/>
      <c r="L186" s="319"/>
      <c r="M186" s="319" t="e">
        <f t="shared" si="6"/>
        <v>#DIV/0!</v>
      </c>
      <c r="N186" s="320"/>
      <c r="O186" s="324" t="s">
        <v>235</v>
      </c>
    </row>
    <row r="187" spans="1:15" ht="15.75" thickBot="1" x14ac:dyDescent="0.3">
      <c r="A187" s="313"/>
      <c r="B187" s="321"/>
      <c r="C187" s="321"/>
      <c r="D187" s="321"/>
      <c r="E187" s="321"/>
      <c r="F187" s="321"/>
      <c r="G187" s="321"/>
      <c r="H187" s="321"/>
      <c r="I187" s="321"/>
      <c r="J187" s="321" t="e">
        <f t="shared" si="5"/>
        <v>#DIV/0!</v>
      </c>
      <c r="K187" s="321"/>
      <c r="L187" s="321"/>
      <c r="M187" s="321" t="e">
        <f t="shared" si="6"/>
        <v>#DIV/0!</v>
      </c>
      <c r="N187" s="341"/>
      <c r="O187" s="324" t="s">
        <v>235</v>
      </c>
    </row>
    <row r="188" spans="1:15" x14ac:dyDescent="0.25">
      <c r="O188" s="324" t="s">
        <v>235</v>
      </c>
    </row>
    <row r="189" spans="1:15" ht="15.75" thickBot="1" x14ac:dyDescent="0.3">
      <c r="O189" s="324" t="s">
        <v>235</v>
      </c>
    </row>
    <row r="190" spans="1:15" ht="26.25" customHeight="1" x14ac:dyDescent="0.25">
      <c r="A190" s="1155" t="s">
        <v>260</v>
      </c>
      <c r="B190" s="1156"/>
      <c r="C190" s="1156"/>
      <c r="D190" s="1156"/>
      <c r="E190" s="1156"/>
      <c r="F190" s="1156"/>
      <c r="G190" s="1157"/>
      <c r="O190" s="324" t="s">
        <v>235</v>
      </c>
    </row>
    <row r="191" spans="1:15" ht="39" thickBot="1" x14ac:dyDescent="0.3">
      <c r="A191" s="304" t="s">
        <v>25</v>
      </c>
      <c r="B191" s="343" t="s">
        <v>217</v>
      </c>
      <c r="C191" s="343" t="s">
        <v>218</v>
      </c>
      <c r="D191" s="343" t="s">
        <v>261</v>
      </c>
      <c r="E191" s="343" t="s">
        <v>262</v>
      </c>
      <c r="F191" s="343" t="s">
        <v>263</v>
      </c>
      <c r="G191" s="344" t="s">
        <v>264</v>
      </c>
      <c r="O191" s="324" t="s">
        <v>235</v>
      </c>
    </row>
    <row r="192" spans="1:15" s="300" customFormat="1" ht="20.25" customHeight="1" x14ac:dyDescent="0.25">
      <c r="A192" s="1158" t="s">
        <v>199</v>
      </c>
      <c r="B192" s="336" t="s">
        <v>230</v>
      </c>
      <c r="C192" s="336" t="s">
        <v>231</v>
      </c>
      <c r="D192" s="345" t="s">
        <v>265</v>
      </c>
      <c r="E192" s="346">
        <v>1900000000</v>
      </c>
      <c r="F192" s="347">
        <v>0</v>
      </c>
      <c r="G192" s="348" t="s">
        <v>266</v>
      </c>
      <c r="H192" s="349" t="s">
        <v>235</v>
      </c>
      <c r="O192" s="324" t="s">
        <v>235</v>
      </c>
    </row>
    <row r="193" spans="1:15" s="300" customFormat="1" ht="20.25" customHeight="1" x14ac:dyDescent="0.25">
      <c r="A193" s="1169"/>
      <c r="B193" s="1170" t="s">
        <v>236</v>
      </c>
      <c r="C193" s="1170" t="s">
        <v>237</v>
      </c>
      <c r="D193" s="350" t="s">
        <v>267</v>
      </c>
      <c r="E193" s="351">
        <v>250000000</v>
      </c>
      <c r="F193" s="351">
        <v>0</v>
      </c>
      <c r="G193" s="352" t="s">
        <v>266</v>
      </c>
      <c r="H193" s="349" t="s">
        <v>235</v>
      </c>
      <c r="O193" s="324" t="s">
        <v>235</v>
      </c>
    </row>
    <row r="194" spans="1:15" s="300" customFormat="1" ht="20.25" customHeight="1" x14ac:dyDescent="0.25">
      <c r="A194" s="1159"/>
      <c r="B194" s="1171"/>
      <c r="C194" s="1171"/>
      <c r="D194" s="350" t="s">
        <v>268</v>
      </c>
      <c r="E194" s="351">
        <v>260000000</v>
      </c>
      <c r="F194" s="351">
        <v>0</v>
      </c>
      <c r="G194" s="352" t="s">
        <v>266</v>
      </c>
      <c r="H194" s="349" t="s">
        <v>235</v>
      </c>
      <c r="O194" s="324" t="s">
        <v>235</v>
      </c>
    </row>
    <row r="195" spans="1:15" s="300" customFormat="1" ht="20.25" customHeight="1" x14ac:dyDescent="0.25">
      <c r="A195" s="1158" t="s">
        <v>201</v>
      </c>
      <c r="B195" s="336" t="s">
        <v>230</v>
      </c>
      <c r="C195" s="336" t="s">
        <v>231</v>
      </c>
      <c r="D195" s="345" t="s">
        <v>265</v>
      </c>
      <c r="E195" s="346">
        <v>1900000000</v>
      </c>
      <c r="F195" s="347">
        <v>1101067</v>
      </c>
      <c r="G195" s="348" t="s">
        <v>269</v>
      </c>
      <c r="H195" s="349" t="s">
        <v>235</v>
      </c>
      <c r="O195" s="324" t="s">
        <v>235</v>
      </c>
    </row>
    <row r="196" spans="1:15" s="300" customFormat="1" ht="20.25" customHeight="1" x14ac:dyDescent="0.25">
      <c r="A196" s="1169"/>
      <c r="B196" s="1170" t="s">
        <v>236</v>
      </c>
      <c r="C196" s="1170" t="s">
        <v>237</v>
      </c>
      <c r="D196" s="350" t="s">
        <v>267</v>
      </c>
      <c r="E196" s="351">
        <v>250000000</v>
      </c>
      <c r="F196" s="351">
        <v>0</v>
      </c>
      <c r="G196" s="352" t="s">
        <v>266</v>
      </c>
      <c r="H196" s="349" t="s">
        <v>235</v>
      </c>
      <c r="O196" s="324" t="s">
        <v>235</v>
      </c>
    </row>
    <row r="197" spans="1:15" s="300" customFormat="1" ht="20.25" customHeight="1" x14ac:dyDescent="0.25">
      <c r="A197" s="1159"/>
      <c r="B197" s="1171"/>
      <c r="C197" s="1171"/>
      <c r="D197" s="350" t="s">
        <v>268</v>
      </c>
      <c r="E197" s="351">
        <v>260000000</v>
      </c>
      <c r="F197" s="351">
        <v>0</v>
      </c>
      <c r="G197" s="352" t="s">
        <v>266</v>
      </c>
      <c r="H197" s="349" t="s">
        <v>235</v>
      </c>
      <c r="O197" s="324" t="s">
        <v>235</v>
      </c>
    </row>
    <row r="198" spans="1:15" s="300" customFormat="1" ht="20.25" customHeight="1" x14ac:dyDescent="0.25">
      <c r="A198" s="1158" t="s">
        <v>202</v>
      </c>
      <c r="B198" s="336" t="s">
        <v>230</v>
      </c>
      <c r="C198" s="336" t="s">
        <v>231</v>
      </c>
      <c r="D198" s="345" t="s">
        <v>265</v>
      </c>
      <c r="E198" s="346">
        <v>1900000000</v>
      </c>
      <c r="F198" s="347">
        <v>182116899</v>
      </c>
      <c r="G198" s="348"/>
      <c r="H198" s="349" t="s">
        <v>235</v>
      </c>
      <c r="O198" s="324" t="s">
        <v>235</v>
      </c>
    </row>
    <row r="199" spans="1:15" s="300" customFormat="1" ht="20.25" customHeight="1" x14ac:dyDescent="0.25">
      <c r="A199" s="1169"/>
      <c r="B199" s="1170" t="s">
        <v>236</v>
      </c>
      <c r="C199" s="1170" t="s">
        <v>237</v>
      </c>
      <c r="D199" s="350" t="s">
        <v>267</v>
      </c>
      <c r="E199" s="351">
        <v>250000000</v>
      </c>
      <c r="F199" s="351">
        <v>16502000</v>
      </c>
      <c r="G199" s="352"/>
      <c r="H199" s="349" t="s">
        <v>235</v>
      </c>
      <c r="O199" s="324" t="s">
        <v>235</v>
      </c>
    </row>
    <row r="200" spans="1:15" s="300" customFormat="1" ht="20.25" customHeight="1" x14ac:dyDescent="0.25">
      <c r="A200" s="1159"/>
      <c r="B200" s="1171"/>
      <c r="C200" s="1171"/>
      <c r="D200" s="350" t="s">
        <v>268</v>
      </c>
      <c r="E200" s="351">
        <v>260000000</v>
      </c>
      <c r="F200" s="351">
        <v>15782600</v>
      </c>
      <c r="G200" s="352"/>
      <c r="H200" s="349" t="s">
        <v>235</v>
      </c>
      <c r="O200" s="324" t="s">
        <v>235</v>
      </c>
    </row>
    <row r="201" spans="1:15" s="300" customFormat="1" ht="20.25" customHeight="1" x14ac:dyDescent="0.25">
      <c r="A201" s="1158" t="s">
        <v>203</v>
      </c>
      <c r="B201" s="336" t="s">
        <v>230</v>
      </c>
      <c r="C201" s="336" t="s">
        <v>231</v>
      </c>
      <c r="D201" s="345" t="s">
        <v>265</v>
      </c>
      <c r="E201" s="346">
        <v>1900000000</v>
      </c>
      <c r="F201" s="347">
        <v>430958432</v>
      </c>
      <c r="G201" s="348"/>
      <c r="H201" s="349" t="s">
        <v>235</v>
      </c>
      <c r="O201" s="324" t="s">
        <v>235</v>
      </c>
    </row>
    <row r="202" spans="1:15" s="300" customFormat="1" ht="20.25" customHeight="1" x14ac:dyDescent="0.25">
      <c r="A202" s="1169"/>
      <c r="B202" s="1170" t="s">
        <v>236</v>
      </c>
      <c r="C202" s="1170" t="s">
        <v>237</v>
      </c>
      <c r="D202" s="350" t="s">
        <v>267</v>
      </c>
      <c r="E202" s="351">
        <v>250000000</v>
      </c>
      <c r="F202" s="351">
        <v>45152966</v>
      </c>
      <c r="G202" s="352"/>
      <c r="H202" s="349" t="s">
        <v>235</v>
      </c>
      <c r="O202" s="324" t="s">
        <v>235</v>
      </c>
    </row>
    <row r="203" spans="1:15" s="300" customFormat="1" ht="20.25" customHeight="1" x14ac:dyDescent="0.25">
      <c r="A203" s="1159"/>
      <c r="B203" s="1171"/>
      <c r="C203" s="1171"/>
      <c r="D203" s="350" t="s">
        <v>268</v>
      </c>
      <c r="E203" s="351">
        <v>260000000</v>
      </c>
      <c r="F203" s="351">
        <v>65071000</v>
      </c>
      <c r="G203" s="352"/>
      <c r="H203" s="349" t="s">
        <v>235</v>
      </c>
      <c r="O203" s="324" t="s">
        <v>235</v>
      </c>
    </row>
    <row r="204" spans="1:15" s="300" customFormat="1" ht="20.25" customHeight="1" x14ac:dyDescent="0.25">
      <c r="A204" s="1158" t="s">
        <v>204</v>
      </c>
      <c r="B204" s="336" t="s">
        <v>230</v>
      </c>
      <c r="C204" s="336" t="s">
        <v>231</v>
      </c>
      <c r="D204" s="345" t="s">
        <v>265</v>
      </c>
      <c r="E204" s="353">
        <f>+[5]INVERSIÓN!Q11</f>
        <v>1907236000</v>
      </c>
      <c r="F204" s="354">
        <v>822891599</v>
      </c>
      <c r="G204" s="348"/>
      <c r="H204" s="349" t="s">
        <v>235</v>
      </c>
      <c r="N204" s="355"/>
      <c r="O204" s="324" t="s">
        <v>235</v>
      </c>
    </row>
    <row r="205" spans="1:15" s="300" customFormat="1" ht="20.25" customHeight="1" x14ac:dyDescent="0.25">
      <c r="A205" s="1169"/>
      <c r="B205" s="1170" t="s">
        <v>236</v>
      </c>
      <c r="C205" s="1170" t="s">
        <v>237</v>
      </c>
      <c r="D205" s="350" t="s">
        <v>267</v>
      </c>
      <c r="E205" s="354">
        <f>+[5]INVERSIÓN!Q29</f>
        <v>250000000</v>
      </c>
      <c r="F205" s="354">
        <v>123516133</v>
      </c>
      <c r="G205" s="352"/>
      <c r="H205" s="349" t="s">
        <v>235</v>
      </c>
      <c r="O205" s="324" t="s">
        <v>235</v>
      </c>
    </row>
    <row r="206" spans="1:15" s="300" customFormat="1" ht="20.25" customHeight="1" x14ac:dyDescent="0.25">
      <c r="A206" s="1159"/>
      <c r="B206" s="1171"/>
      <c r="C206" s="1171"/>
      <c r="D206" s="350" t="s">
        <v>268</v>
      </c>
      <c r="E206" s="354">
        <f>+[5]INVERSIÓN!Q23</f>
        <v>252764000</v>
      </c>
      <c r="F206" s="354">
        <v>118647775</v>
      </c>
      <c r="G206" s="352"/>
      <c r="H206" s="349" t="s">
        <v>235</v>
      </c>
      <c r="O206" s="324" t="s">
        <v>235</v>
      </c>
    </row>
    <row r="207" spans="1:15" s="300" customFormat="1" ht="20.25" customHeight="1" x14ac:dyDescent="0.25">
      <c r="A207" s="1174" t="s">
        <v>205</v>
      </c>
      <c r="B207" s="356" t="s">
        <v>230</v>
      </c>
      <c r="C207" s="356" t="s">
        <v>231</v>
      </c>
      <c r="D207" s="356" t="s">
        <v>265</v>
      </c>
      <c r="E207" s="347">
        <v>1908587000</v>
      </c>
      <c r="F207" s="347">
        <v>1307435433</v>
      </c>
      <c r="G207" s="357"/>
      <c r="H207" s="349" t="s">
        <v>235</v>
      </c>
      <c r="O207" s="324" t="s">
        <v>235</v>
      </c>
    </row>
    <row r="208" spans="1:15" s="300" customFormat="1" ht="20.25" customHeight="1" x14ac:dyDescent="0.25">
      <c r="A208" s="1175"/>
      <c r="B208" s="1177" t="s">
        <v>236</v>
      </c>
      <c r="C208" s="1177" t="s">
        <v>237</v>
      </c>
      <c r="D208" s="358" t="s">
        <v>267</v>
      </c>
      <c r="E208" s="351">
        <v>250000000</v>
      </c>
      <c r="F208" s="351">
        <v>187257133</v>
      </c>
      <c r="G208" s="359"/>
      <c r="H208" s="349" t="s">
        <v>235</v>
      </c>
      <c r="O208" s="324" t="s">
        <v>235</v>
      </c>
    </row>
    <row r="209" spans="1:15" s="300" customFormat="1" ht="20.25" customHeight="1" thickBot="1" x14ac:dyDescent="0.3">
      <c r="A209" s="1176"/>
      <c r="B209" s="1178"/>
      <c r="C209" s="1178"/>
      <c r="D209" s="360" t="s">
        <v>268</v>
      </c>
      <c r="E209" s="361">
        <v>251413000</v>
      </c>
      <c r="F209" s="361">
        <v>179830775</v>
      </c>
      <c r="G209" s="362"/>
      <c r="H209" s="349" t="s">
        <v>235</v>
      </c>
      <c r="O209" s="324" t="s">
        <v>235</v>
      </c>
    </row>
    <row r="210" spans="1:15" ht="15.75" thickBot="1" x14ac:dyDescent="0.3">
      <c r="O210" s="324" t="s">
        <v>235</v>
      </c>
    </row>
    <row r="211" spans="1:15" ht="20.25" x14ac:dyDescent="0.3">
      <c r="A211" s="1179" t="s">
        <v>270</v>
      </c>
      <c r="B211" s="1180"/>
      <c r="C211" s="1180"/>
      <c r="D211" s="1180"/>
      <c r="E211" s="1180"/>
      <c r="F211" s="1180"/>
      <c r="G211" s="1181"/>
      <c r="O211" s="324" t="s">
        <v>235</v>
      </c>
    </row>
    <row r="212" spans="1:15" ht="39" thickBot="1" x14ac:dyDescent="0.3">
      <c r="A212" s="304" t="s">
        <v>26</v>
      </c>
      <c r="B212" s="343" t="s">
        <v>217</v>
      </c>
      <c r="C212" s="343" t="s">
        <v>218</v>
      </c>
      <c r="D212" s="343" t="s">
        <v>261</v>
      </c>
      <c r="E212" s="343" t="s">
        <v>271</v>
      </c>
      <c r="F212" s="343" t="s">
        <v>272</v>
      </c>
      <c r="G212" s="344" t="s">
        <v>264</v>
      </c>
      <c r="O212" s="324" t="s">
        <v>235</v>
      </c>
    </row>
    <row r="213" spans="1:15" s="300" customFormat="1" ht="20.25" customHeight="1" x14ac:dyDescent="0.25">
      <c r="A213" s="1158" t="s">
        <v>207</v>
      </c>
      <c r="B213" s="336" t="s">
        <v>230</v>
      </c>
      <c r="C213" s="336" t="s">
        <v>231</v>
      </c>
      <c r="D213" s="345" t="s">
        <v>265</v>
      </c>
      <c r="E213" s="363">
        <v>3710180000</v>
      </c>
      <c r="F213" s="347">
        <v>0</v>
      </c>
      <c r="G213" s="348"/>
      <c r="H213" s="349" t="s">
        <v>235</v>
      </c>
      <c r="O213" s="324" t="s">
        <v>235</v>
      </c>
    </row>
    <row r="214" spans="1:15" s="300" customFormat="1" ht="20.25" customHeight="1" x14ac:dyDescent="0.25">
      <c r="A214" s="1169"/>
      <c r="B214" s="1170" t="s">
        <v>236</v>
      </c>
      <c r="C214" s="1170" t="s">
        <v>237</v>
      </c>
      <c r="D214" s="350" t="s">
        <v>267</v>
      </c>
      <c r="E214" s="364">
        <v>390000000</v>
      </c>
      <c r="F214" s="351">
        <v>0</v>
      </c>
      <c r="G214" s="352"/>
      <c r="H214" s="349" t="s">
        <v>235</v>
      </c>
      <c r="O214" s="324" t="s">
        <v>235</v>
      </c>
    </row>
    <row r="215" spans="1:15" s="300" customFormat="1" ht="20.25" customHeight="1" x14ac:dyDescent="0.25">
      <c r="A215" s="1159"/>
      <c r="B215" s="1171"/>
      <c r="C215" s="1171"/>
      <c r="D215" s="350" t="s">
        <v>268</v>
      </c>
      <c r="E215" s="364">
        <v>464056000</v>
      </c>
      <c r="F215" s="351">
        <v>0</v>
      </c>
      <c r="G215" s="352"/>
      <c r="H215" s="349" t="s">
        <v>235</v>
      </c>
      <c r="O215" s="324" t="s">
        <v>235</v>
      </c>
    </row>
    <row r="216" spans="1:15" s="300" customFormat="1" ht="20.25" customHeight="1" x14ac:dyDescent="0.25">
      <c r="A216" s="1158" t="s">
        <v>208</v>
      </c>
      <c r="B216" s="336" t="s">
        <v>230</v>
      </c>
      <c r="C216" s="336" t="s">
        <v>231</v>
      </c>
      <c r="D216" s="345" t="s">
        <v>265</v>
      </c>
      <c r="E216" s="363">
        <v>3734626000</v>
      </c>
      <c r="F216" s="347">
        <v>0</v>
      </c>
      <c r="G216" s="348"/>
      <c r="H216" s="349" t="s">
        <v>235</v>
      </c>
      <c r="O216" s="324" t="s">
        <v>235</v>
      </c>
    </row>
    <row r="217" spans="1:15" s="300" customFormat="1" ht="20.25" customHeight="1" x14ac:dyDescent="0.25">
      <c r="A217" s="1169"/>
      <c r="B217" s="1170" t="s">
        <v>236</v>
      </c>
      <c r="C217" s="1170" t="s">
        <v>237</v>
      </c>
      <c r="D217" s="350" t="s">
        <v>267</v>
      </c>
      <c r="E217" s="364">
        <v>390000000</v>
      </c>
      <c r="F217" s="351">
        <v>0</v>
      </c>
      <c r="G217" s="352"/>
      <c r="H217" s="349" t="s">
        <v>235</v>
      </c>
      <c r="O217" s="324" t="s">
        <v>235</v>
      </c>
    </row>
    <row r="218" spans="1:15" s="300" customFormat="1" ht="20.25" customHeight="1" x14ac:dyDescent="0.25">
      <c r="A218" s="1159"/>
      <c r="B218" s="1171"/>
      <c r="C218" s="1171"/>
      <c r="D218" s="350" t="s">
        <v>268</v>
      </c>
      <c r="E218" s="364">
        <v>439610000</v>
      </c>
      <c r="F218" s="351">
        <v>0</v>
      </c>
      <c r="G218" s="352"/>
      <c r="H218" s="349" t="s">
        <v>235</v>
      </c>
      <c r="O218" s="324" t="s">
        <v>235</v>
      </c>
    </row>
    <row r="219" spans="1:15" s="300" customFormat="1" ht="20.25" customHeight="1" x14ac:dyDescent="0.25">
      <c r="A219" s="1158" t="s">
        <v>209</v>
      </c>
      <c r="B219" s="336" t="s">
        <v>230</v>
      </c>
      <c r="C219" s="336" t="s">
        <v>231</v>
      </c>
      <c r="D219" s="345" t="s">
        <v>265</v>
      </c>
      <c r="E219" s="363">
        <v>3734626000</v>
      </c>
      <c r="F219" s="347">
        <v>80812869</v>
      </c>
      <c r="G219" s="348"/>
      <c r="H219" s="349" t="s">
        <v>235</v>
      </c>
      <c r="O219" s="324" t="s">
        <v>235</v>
      </c>
    </row>
    <row r="220" spans="1:15" s="300" customFormat="1" ht="20.25" customHeight="1" x14ac:dyDescent="0.25">
      <c r="A220" s="1169"/>
      <c r="B220" s="1170" t="s">
        <v>236</v>
      </c>
      <c r="C220" s="1170" t="s">
        <v>237</v>
      </c>
      <c r="D220" s="350" t="s">
        <v>267</v>
      </c>
      <c r="E220" s="364">
        <v>390000000</v>
      </c>
      <c r="F220" s="351">
        <v>12052966</v>
      </c>
      <c r="G220" s="352"/>
      <c r="H220" s="349" t="s">
        <v>235</v>
      </c>
      <c r="O220" s="324" t="s">
        <v>235</v>
      </c>
    </row>
    <row r="221" spans="1:15" s="300" customFormat="1" ht="20.25" customHeight="1" x14ac:dyDescent="0.25">
      <c r="A221" s="1159"/>
      <c r="B221" s="1171"/>
      <c r="C221" s="1171"/>
      <c r="D221" s="350" t="s">
        <v>268</v>
      </c>
      <c r="E221" s="364">
        <v>439610000</v>
      </c>
      <c r="F221" s="351">
        <v>12276200</v>
      </c>
      <c r="G221" s="352"/>
      <c r="H221" s="349" t="s">
        <v>235</v>
      </c>
      <c r="O221" s="324" t="s">
        <v>235</v>
      </c>
    </row>
    <row r="222" spans="1:15" s="300" customFormat="1" ht="20.25" customHeight="1" x14ac:dyDescent="0.25">
      <c r="A222" s="1158" t="s">
        <v>210</v>
      </c>
      <c r="B222" s="336" t="s">
        <v>230</v>
      </c>
      <c r="C222" s="336" t="s">
        <v>231</v>
      </c>
      <c r="D222" s="345" t="s">
        <v>265</v>
      </c>
      <c r="E222" s="363">
        <v>3336253000</v>
      </c>
      <c r="F222" s="347">
        <v>364481204</v>
      </c>
      <c r="G222" s="348"/>
      <c r="H222" s="349" t="s">
        <v>235</v>
      </c>
      <c r="O222" s="324" t="s">
        <v>235</v>
      </c>
    </row>
    <row r="223" spans="1:15" s="300" customFormat="1" ht="20.25" customHeight="1" x14ac:dyDescent="0.25">
      <c r="A223" s="1169"/>
      <c r="B223" s="1170" t="s">
        <v>236</v>
      </c>
      <c r="C223" s="1170" t="s">
        <v>237</v>
      </c>
      <c r="D223" s="350" t="s">
        <v>267</v>
      </c>
      <c r="E223" s="364">
        <v>390000000</v>
      </c>
      <c r="F223" s="351">
        <v>50454733</v>
      </c>
      <c r="G223" s="352"/>
      <c r="H223" s="349" t="s">
        <v>235</v>
      </c>
      <c r="O223" s="324" t="s">
        <v>235</v>
      </c>
    </row>
    <row r="224" spans="1:15" s="300" customFormat="1" ht="20.25" customHeight="1" x14ac:dyDescent="0.25">
      <c r="A224" s="1159"/>
      <c r="B224" s="1171"/>
      <c r="C224" s="1171"/>
      <c r="D224" s="350" t="s">
        <v>268</v>
      </c>
      <c r="E224" s="364">
        <v>439610000</v>
      </c>
      <c r="F224" s="351">
        <v>38775533</v>
      </c>
      <c r="G224" s="352"/>
      <c r="H224" s="349" t="s">
        <v>235</v>
      </c>
      <c r="O224" s="324" t="s">
        <v>235</v>
      </c>
    </row>
    <row r="225" spans="1:15" s="300" customFormat="1" ht="20.25" customHeight="1" x14ac:dyDescent="0.25">
      <c r="A225" s="1158" t="s">
        <v>211</v>
      </c>
      <c r="B225" s="336" t="s">
        <v>230</v>
      </c>
      <c r="C225" s="336" t="s">
        <v>231</v>
      </c>
      <c r="D225" s="345" t="s">
        <v>265</v>
      </c>
      <c r="E225" s="363">
        <v>3361768000</v>
      </c>
      <c r="F225" s="347">
        <v>678372537</v>
      </c>
      <c r="G225" s="348"/>
      <c r="H225" s="349" t="s">
        <v>235</v>
      </c>
      <c r="N225" s="355"/>
      <c r="O225" s="324" t="s">
        <v>235</v>
      </c>
    </row>
    <row r="226" spans="1:15" s="300" customFormat="1" ht="20.25" customHeight="1" x14ac:dyDescent="0.25">
      <c r="A226" s="1169"/>
      <c r="B226" s="1170" t="s">
        <v>236</v>
      </c>
      <c r="C226" s="1170" t="s">
        <v>237</v>
      </c>
      <c r="D226" s="350" t="s">
        <v>267</v>
      </c>
      <c r="E226" s="364">
        <v>387466000</v>
      </c>
      <c r="F226" s="351">
        <v>94890733</v>
      </c>
      <c r="G226" s="352"/>
      <c r="H226" s="349" t="s">
        <v>235</v>
      </c>
      <c r="O226" s="324" t="s">
        <v>235</v>
      </c>
    </row>
    <row r="227" spans="1:15" s="300" customFormat="1" ht="20.25" customHeight="1" x14ac:dyDescent="0.25">
      <c r="A227" s="1159"/>
      <c r="B227" s="1171"/>
      <c r="C227" s="1171"/>
      <c r="D227" s="350" t="s">
        <v>268</v>
      </c>
      <c r="E227" s="364">
        <v>416629000</v>
      </c>
      <c r="F227" s="351">
        <v>77767000</v>
      </c>
      <c r="G227" s="352"/>
      <c r="H227" s="349" t="s">
        <v>235</v>
      </c>
      <c r="O227" s="324" t="s">
        <v>235</v>
      </c>
    </row>
    <row r="228" spans="1:15" s="300" customFormat="1" ht="20.25" customHeight="1" x14ac:dyDescent="0.25">
      <c r="A228" s="1158" t="s">
        <v>212</v>
      </c>
      <c r="B228" s="336" t="s">
        <v>230</v>
      </c>
      <c r="C228" s="336" t="s">
        <v>231</v>
      </c>
      <c r="D228" s="345" t="s">
        <v>265</v>
      </c>
      <c r="E228" s="363">
        <v>3361768000</v>
      </c>
      <c r="F228" s="347">
        <v>1002721537</v>
      </c>
      <c r="G228" s="348"/>
      <c r="H228" s="349" t="s">
        <v>235</v>
      </c>
      <c r="O228" s="324" t="s">
        <v>235</v>
      </c>
    </row>
    <row r="229" spans="1:15" s="300" customFormat="1" ht="20.25" customHeight="1" x14ac:dyDescent="0.25">
      <c r="A229" s="1169"/>
      <c r="B229" s="1170" t="s">
        <v>236</v>
      </c>
      <c r="C229" s="1170" t="s">
        <v>237</v>
      </c>
      <c r="D229" s="350" t="s">
        <v>267</v>
      </c>
      <c r="E229" s="364">
        <v>387466000</v>
      </c>
      <c r="F229" s="351">
        <v>114352000</v>
      </c>
      <c r="G229" s="352"/>
      <c r="H229" s="349" t="s">
        <v>235</v>
      </c>
      <c r="O229" s="324" t="s">
        <v>235</v>
      </c>
    </row>
    <row r="230" spans="1:15" s="300" customFormat="1" ht="20.25" customHeight="1" x14ac:dyDescent="0.25">
      <c r="A230" s="1159"/>
      <c r="B230" s="1171"/>
      <c r="C230" s="1171"/>
      <c r="D230" s="350" t="s">
        <v>268</v>
      </c>
      <c r="E230" s="364">
        <v>416629000</v>
      </c>
      <c r="F230" s="351">
        <v>139326733</v>
      </c>
      <c r="G230" s="352"/>
      <c r="H230" s="349" t="s">
        <v>235</v>
      </c>
      <c r="O230" s="324" t="s">
        <v>235</v>
      </c>
    </row>
    <row r="231" spans="1:15" s="300" customFormat="1" ht="20.25" customHeight="1" x14ac:dyDescent="0.25">
      <c r="A231" s="1158" t="s">
        <v>199</v>
      </c>
      <c r="B231" s="336" t="s">
        <v>230</v>
      </c>
      <c r="C231" s="336" t="s">
        <v>231</v>
      </c>
      <c r="D231" s="345" t="s">
        <v>265</v>
      </c>
      <c r="E231" s="363">
        <v>3361768000</v>
      </c>
      <c r="F231" s="347">
        <v>1338258637</v>
      </c>
      <c r="G231" s="348"/>
      <c r="H231" s="349" t="s">
        <v>235</v>
      </c>
      <c r="O231" s="324" t="s">
        <v>235</v>
      </c>
    </row>
    <row r="232" spans="1:15" s="300" customFormat="1" ht="20.25" customHeight="1" x14ac:dyDescent="0.25">
      <c r="A232" s="1169"/>
      <c r="B232" s="1170" t="s">
        <v>236</v>
      </c>
      <c r="C232" s="1170" t="s">
        <v>237</v>
      </c>
      <c r="D232" s="350" t="s">
        <v>267</v>
      </c>
      <c r="E232" s="364">
        <v>387466000</v>
      </c>
      <c r="F232" s="351">
        <v>183762733</v>
      </c>
      <c r="G232" s="352"/>
      <c r="H232" s="349" t="s">
        <v>235</v>
      </c>
      <c r="O232" s="324" t="s">
        <v>235</v>
      </c>
    </row>
    <row r="233" spans="1:15" s="300" customFormat="1" ht="20.25" customHeight="1" x14ac:dyDescent="0.25">
      <c r="A233" s="1159"/>
      <c r="B233" s="1171"/>
      <c r="C233" s="1171"/>
      <c r="D233" s="350" t="s">
        <v>268</v>
      </c>
      <c r="E233" s="364">
        <v>416629000</v>
      </c>
      <c r="F233" s="351">
        <v>154759600</v>
      </c>
      <c r="G233" s="352"/>
      <c r="H233" s="349" t="s">
        <v>235</v>
      </c>
      <c r="O233" s="324" t="s">
        <v>235</v>
      </c>
    </row>
    <row r="234" spans="1:15" s="300" customFormat="1" ht="20.25" customHeight="1" x14ac:dyDescent="0.25">
      <c r="A234" s="1158" t="s">
        <v>201</v>
      </c>
      <c r="B234" s="336" t="s">
        <v>230</v>
      </c>
      <c r="C234" s="336" t="s">
        <v>231</v>
      </c>
      <c r="D234" s="345" t="s">
        <v>265</v>
      </c>
      <c r="E234" s="363">
        <v>4150941000</v>
      </c>
      <c r="F234" s="347">
        <v>1763243412</v>
      </c>
      <c r="G234" s="348"/>
      <c r="H234" s="349" t="s">
        <v>235</v>
      </c>
      <c r="O234" s="324" t="s">
        <v>235</v>
      </c>
    </row>
    <row r="235" spans="1:15" s="300" customFormat="1" ht="20.25" customHeight="1" x14ac:dyDescent="0.25">
      <c r="A235" s="1169"/>
      <c r="B235" s="1170" t="s">
        <v>236</v>
      </c>
      <c r="C235" s="1170" t="s">
        <v>237</v>
      </c>
      <c r="D235" s="350" t="s">
        <v>267</v>
      </c>
      <c r="E235" s="364">
        <v>387466000</v>
      </c>
      <c r="F235" s="351">
        <v>228198733</v>
      </c>
      <c r="G235" s="352"/>
      <c r="H235" s="349" t="s">
        <v>235</v>
      </c>
      <c r="O235" s="324" t="s">
        <v>235</v>
      </c>
    </row>
    <row r="236" spans="1:15" s="300" customFormat="1" ht="20.25" customHeight="1" x14ac:dyDescent="0.25">
      <c r="A236" s="1159"/>
      <c r="B236" s="1171"/>
      <c r="C236" s="1171"/>
      <c r="D236" s="350" t="s">
        <v>268</v>
      </c>
      <c r="E236" s="364">
        <v>439629000</v>
      </c>
      <c r="F236" s="351">
        <v>195052600</v>
      </c>
      <c r="G236" s="352"/>
      <c r="H236" s="349" t="s">
        <v>235</v>
      </c>
      <c r="O236" s="324" t="s">
        <v>235</v>
      </c>
    </row>
    <row r="237" spans="1:15" s="300" customFormat="1" ht="20.25" customHeight="1" x14ac:dyDescent="0.25">
      <c r="A237" s="1158" t="s">
        <v>202</v>
      </c>
      <c r="B237" s="336" t="s">
        <v>230</v>
      </c>
      <c r="C237" s="336" t="s">
        <v>231</v>
      </c>
      <c r="D237" s="345" t="s">
        <v>265</v>
      </c>
      <c r="E237" s="363">
        <v>4047083963</v>
      </c>
      <c r="F237" s="347">
        <v>2135008871</v>
      </c>
      <c r="G237" s="348"/>
      <c r="H237" s="349"/>
      <c r="O237" s="324" t="s">
        <v>235</v>
      </c>
    </row>
    <row r="238" spans="1:15" s="300" customFormat="1" ht="20.25" customHeight="1" x14ac:dyDescent="0.25">
      <c r="A238" s="1169"/>
      <c r="B238" s="1170" t="s">
        <v>236</v>
      </c>
      <c r="C238" s="1170" t="s">
        <v>237</v>
      </c>
      <c r="D238" s="350" t="s">
        <v>267</v>
      </c>
      <c r="E238" s="364">
        <v>483639037</v>
      </c>
      <c r="F238" s="351">
        <v>272634733</v>
      </c>
      <c r="G238" s="352"/>
      <c r="H238" s="349"/>
      <c r="O238" s="324" t="s">
        <v>235</v>
      </c>
    </row>
    <row r="239" spans="1:15" s="300" customFormat="1" ht="20.25" customHeight="1" x14ac:dyDescent="0.25">
      <c r="A239" s="1159"/>
      <c r="B239" s="1171"/>
      <c r="C239" s="1171"/>
      <c r="D239" s="350" t="s">
        <v>268</v>
      </c>
      <c r="E239" s="364">
        <v>447313000</v>
      </c>
      <c r="F239" s="351">
        <v>231907600</v>
      </c>
      <c r="G239" s="352"/>
      <c r="H239" s="349"/>
      <c r="O239" s="324" t="s">
        <v>235</v>
      </c>
    </row>
    <row r="240" spans="1:15" s="300" customFormat="1" ht="20.25" customHeight="1" x14ac:dyDescent="0.25">
      <c r="A240" s="1158" t="s">
        <v>203</v>
      </c>
      <c r="B240" s="336" t="s">
        <v>230</v>
      </c>
      <c r="C240" s="336" t="s">
        <v>231</v>
      </c>
      <c r="D240" s="345" t="s">
        <v>265</v>
      </c>
      <c r="E240" s="363">
        <f>+[9]INVERSIÓN!BD11</f>
        <v>4047083963</v>
      </c>
      <c r="F240" s="347">
        <f>+[9]INVERSIÓN!BE12</f>
        <v>2498635720</v>
      </c>
      <c r="G240" s="348"/>
      <c r="H240" s="349" t="s">
        <v>235</v>
      </c>
      <c r="O240" s="324" t="s">
        <v>235</v>
      </c>
    </row>
    <row r="241" spans="1:15" s="300" customFormat="1" ht="20.25" customHeight="1" x14ac:dyDescent="0.25">
      <c r="A241" s="1169"/>
      <c r="B241" s="1170" t="s">
        <v>236</v>
      </c>
      <c r="C241" s="1170" t="s">
        <v>237</v>
      </c>
      <c r="D241" s="350" t="s">
        <v>267</v>
      </c>
      <c r="E241" s="364">
        <f>+[9]INVERSIÓN!BD32</f>
        <v>483639037</v>
      </c>
      <c r="F241" s="351">
        <f>+[9]INVERSIÓN!BE33</f>
        <v>317070733</v>
      </c>
      <c r="G241" s="352"/>
      <c r="H241" s="349" t="s">
        <v>235</v>
      </c>
      <c r="O241" s="324" t="s">
        <v>235</v>
      </c>
    </row>
    <row r="242" spans="1:15" s="300" customFormat="1" ht="20.25" customHeight="1" x14ac:dyDescent="0.25">
      <c r="A242" s="1159"/>
      <c r="B242" s="1171"/>
      <c r="C242" s="1171"/>
      <c r="D242" s="350" t="s">
        <v>268</v>
      </c>
      <c r="E242" s="364">
        <f>+[9]INVERSIÓN!BD25</f>
        <v>447313000</v>
      </c>
      <c r="F242" s="351">
        <f>+[9]INVERSIÓN!BE26</f>
        <v>262459600</v>
      </c>
      <c r="G242" s="352"/>
      <c r="H242" s="349" t="s">
        <v>235</v>
      </c>
      <c r="O242" s="324" t="s">
        <v>235</v>
      </c>
    </row>
    <row r="243" spans="1:15" s="300" customFormat="1" ht="20.25" customHeight="1" x14ac:dyDescent="0.25">
      <c r="A243" s="1158" t="s">
        <v>204</v>
      </c>
      <c r="B243" s="336" t="s">
        <v>230</v>
      </c>
      <c r="C243" s="336" t="s">
        <v>231</v>
      </c>
      <c r="D243" s="345" t="s">
        <v>265</v>
      </c>
      <c r="E243" s="363">
        <v>4047083963</v>
      </c>
      <c r="F243" s="347">
        <v>2826673053</v>
      </c>
      <c r="G243" s="348"/>
      <c r="H243" s="349" t="s">
        <v>235</v>
      </c>
      <c r="O243" s="324" t="s">
        <v>235</v>
      </c>
    </row>
    <row r="244" spans="1:15" s="300" customFormat="1" ht="20.25" customHeight="1" x14ac:dyDescent="0.25">
      <c r="A244" s="1169"/>
      <c r="B244" s="1170" t="s">
        <v>236</v>
      </c>
      <c r="C244" s="1170" t="s">
        <v>237</v>
      </c>
      <c r="D244" s="350" t="s">
        <v>267</v>
      </c>
      <c r="E244" s="364">
        <v>483639037</v>
      </c>
      <c r="F244" s="351">
        <v>359366733</v>
      </c>
      <c r="G244" s="352"/>
      <c r="H244" s="349" t="s">
        <v>235</v>
      </c>
      <c r="O244" s="324" t="s">
        <v>235</v>
      </c>
    </row>
    <row r="245" spans="1:15" s="300" customFormat="1" ht="20.25" customHeight="1" x14ac:dyDescent="0.25">
      <c r="A245" s="1159"/>
      <c r="B245" s="1171"/>
      <c r="C245" s="1171"/>
      <c r="D245" s="350" t="s">
        <v>268</v>
      </c>
      <c r="E245" s="364">
        <v>447313000</v>
      </c>
      <c r="F245" s="351">
        <v>292017800</v>
      </c>
      <c r="G245" s="352"/>
      <c r="H245" s="349" t="s">
        <v>235</v>
      </c>
      <c r="O245" s="324" t="s">
        <v>235</v>
      </c>
    </row>
    <row r="246" spans="1:15" s="300" customFormat="1" ht="20.25" customHeight="1" x14ac:dyDescent="0.25">
      <c r="A246" s="1158" t="s">
        <v>205</v>
      </c>
      <c r="B246" s="336" t="s">
        <v>230</v>
      </c>
      <c r="C246" s="336" t="s">
        <v>231</v>
      </c>
      <c r="D246" s="345" t="s">
        <v>265</v>
      </c>
      <c r="E246" s="363">
        <v>3946845100</v>
      </c>
      <c r="F246" s="347">
        <v>3256605235</v>
      </c>
      <c r="G246" s="348"/>
      <c r="H246" s="349" t="s">
        <v>235</v>
      </c>
      <c r="O246" s="324" t="s">
        <v>235</v>
      </c>
    </row>
    <row r="247" spans="1:15" s="300" customFormat="1" ht="20.25" customHeight="1" x14ac:dyDescent="0.25">
      <c r="A247" s="1169"/>
      <c r="B247" s="1170" t="s">
        <v>236</v>
      </c>
      <c r="C247" s="1170" t="s">
        <v>237</v>
      </c>
      <c r="D247" s="350" t="s">
        <v>267</v>
      </c>
      <c r="E247" s="364">
        <v>483639037</v>
      </c>
      <c r="F247" s="351">
        <v>427291966</v>
      </c>
      <c r="G247" s="352"/>
      <c r="H247" s="349" t="s">
        <v>235</v>
      </c>
      <c r="O247" s="324" t="s">
        <v>235</v>
      </c>
    </row>
    <row r="248" spans="1:15" s="300" customFormat="1" ht="20.25" customHeight="1" x14ac:dyDescent="0.25">
      <c r="A248" s="1159"/>
      <c r="B248" s="1171"/>
      <c r="C248" s="1171"/>
      <c r="D248" s="350" t="s">
        <v>268</v>
      </c>
      <c r="E248" s="364">
        <v>447313000</v>
      </c>
      <c r="F248" s="351">
        <v>363545385</v>
      </c>
      <c r="G248" s="352"/>
      <c r="H248" s="349" t="s">
        <v>235</v>
      </c>
      <c r="O248" s="324" t="s">
        <v>235</v>
      </c>
    </row>
    <row r="249" spans="1:15" ht="15.75" thickBot="1" x14ac:dyDescent="0.3">
      <c r="A249" s="365"/>
      <c r="G249" s="300"/>
    </row>
    <row r="250" spans="1:15" ht="20.25" x14ac:dyDescent="0.3">
      <c r="A250" s="1179" t="s">
        <v>273</v>
      </c>
      <c r="B250" s="1180"/>
      <c r="C250" s="1180"/>
      <c r="D250" s="1180"/>
      <c r="E250" s="1180"/>
      <c r="F250" s="1180"/>
      <c r="G250" s="1181"/>
    </row>
    <row r="251" spans="1:15" ht="39" thickBot="1" x14ac:dyDescent="0.3">
      <c r="A251" s="304" t="s">
        <v>27</v>
      </c>
      <c r="B251" s="343" t="s">
        <v>217</v>
      </c>
      <c r="C251" s="343" t="s">
        <v>218</v>
      </c>
      <c r="D251" s="343" t="s">
        <v>261</v>
      </c>
      <c r="E251" s="343" t="s">
        <v>274</v>
      </c>
      <c r="F251" s="343" t="s">
        <v>275</v>
      </c>
      <c r="G251" s="344" t="s">
        <v>264</v>
      </c>
    </row>
    <row r="252" spans="1:15" ht="16.5" customHeight="1" x14ac:dyDescent="0.25">
      <c r="A252" s="1158" t="s">
        <v>207</v>
      </c>
      <c r="B252" s="336" t="s">
        <v>230</v>
      </c>
      <c r="C252" s="336" t="s">
        <v>231</v>
      </c>
      <c r="D252" s="345" t="s">
        <v>265</v>
      </c>
      <c r="E252" s="363">
        <v>4954580000</v>
      </c>
      <c r="F252" s="347">
        <v>0</v>
      </c>
      <c r="G252" s="348"/>
    </row>
    <row r="253" spans="1:15" ht="16.5" customHeight="1" x14ac:dyDescent="0.25">
      <c r="A253" s="1169"/>
      <c r="B253" s="1170" t="s">
        <v>236</v>
      </c>
      <c r="C253" s="1170" t="s">
        <v>237</v>
      </c>
      <c r="D253" s="350" t="s">
        <v>267</v>
      </c>
      <c r="E253" s="364">
        <v>376030000</v>
      </c>
      <c r="F253" s="351">
        <v>0</v>
      </c>
      <c r="G253" s="352"/>
    </row>
    <row r="254" spans="1:15" ht="16.5" customHeight="1" x14ac:dyDescent="0.25">
      <c r="A254" s="1159"/>
      <c r="B254" s="1171"/>
      <c r="C254" s="1171"/>
      <c r="D254" s="350" t="s">
        <v>268</v>
      </c>
      <c r="E254" s="364">
        <v>934892000</v>
      </c>
      <c r="F254" s="351">
        <v>0</v>
      </c>
      <c r="G254" s="352"/>
    </row>
    <row r="255" spans="1:15" ht="16.5" customHeight="1" x14ac:dyDescent="0.25">
      <c r="A255" s="1158" t="s">
        <v>208</v>
      </c>
      <c r="B255" s="336" t="s">
        <v>230</v>
      </c>
      <c r="C255" s="336" t="s">
        <v>231</v>
      </c>
      <c r="D255" s="345" t="s">
        <v>265</v>
      </c>
      <c r="E255" s="363">
        <v>4954580000</v>
      </c>
      <c r="F255" s="347">
        <v>51687467</v>
      </c>
      <c r="G255" s="348"/>
    </row>
    <row r="256" spans="1:15" ht="16.5" customHeight="1" x14ac:dyDescent="0.25">
      <c r="A256" s="1169"/>
      <c r="B256" s="1170" t="s">
        <v>236</v>
      </c>
      <c r="C256" s="1170" t="s">
        <v>237</v>
      </c>
      <c r="D256" s="350" t="s">
        <v>267</v>
      </c>
      <c r="E256" s="364">
        <v>376030000</v>
      </c>
      <c r="F256" s="351">
        <v>5394100</v>
      </c>
      <c r="G256" s="352"/>
    </row>
    <row r="257" spans="1:14" ht="16.5" customHeight="1" x14ac:dyDescent="0.25">
      <c r="A257" s="1159"/>
      <c r="B257" s="1171"/>
      <c r="C257" s="1171"/>
      <c r="D257" s="350" t="s">
        <v>268</v>
      </c>
      <c r="E257" s="364">
        <v>934892000</v>
      </c>
      <c r="F257" s="351">
        <v>4644934</v>
      </c>
      <c r="G257" s="352"/>
    </row>
    <row r="258" spans="1:14" ht="16.5" customHeight="1" x14ac:dyDescent="0.25">
      <c r="A258" s="1158" t="s">
        <v>209</v>
      </c>
      <c r="B258" s="336" t="s">
        <v>230</v>
      </c>
      <c r="C258" s="336" t="s">
        <v>231</v>
      </c>
      <c r="D258" s="345" t="s">
        <v>265</v>
      </c>
      <c r="E258" s="363">
        <v>4954580000</v>
      </c>
      <c r="F258" s="347">
        <v>525588170</v>
      </c>
      <c r="G258" s="348"/>
    </row>
    <row r="259" spans="1:14" ht="16.5" customHeight="1" x14ac:dyDescent="0.25">
      <c r="A259" s="1169"/>
      <c r="B259" s="1170" t="s">
        <v>236</v>
      </c>
      <c r="C259" s="1170" t="s">
        <v>237</v>
      </c>
      <c r="D259" s="350" t="s">
        <v>267</v>
      </c>
      <c r="E259" s="364">
        <v>376030000</v>
      </c>
      <c r="F259" s="351">
        <v>43999433</v>
      </c>
      <c r="G259" s="352"/>
    </row>
    <row r="260" spans="1:14" ht="16.5" customHeight="1" x14ac:dyDescent="0.25">
      <c r="A260" s="1159"/>
      <c r="B260" s="1171"/>
      <c r="C260" s="1171"/>
      <c r="D260" s="350" t="s">
        <v>268</v>
      </c>
      <c r="E260" s="364">
        <v>934892000</v>
      </c>
      <c r="F260" s="351">
        <v>87490491</v>
      </c>
      <c r="G260" s="352"/>
    </row>
    <row r="261" spans="1:14" ht="16.5" customHeight="1" x14ac:dyDescent="0.25">
      <c r="A261" s="1158" t="s">
        <v>210</v>
      </c>
      <c r="B261" s="336" t="s">
        <v>230</v>
      </c>
      <c r="C261" s="336" t="s">
        <v>231</v>
      </c>
      <c r="D261" s="345" t="s">
        <v>265</v>
      </c>
      <c r="E261" s="363">
        <v>4954580000</v>
      </c>
      <c r="F261" s="347">
        <v>996627880</v>
      </c>
      <c r="G261" s="348"/>
    </row>
    <row r="262" spans="1:14" ht="16.5" customHeight="1" x14ac:dyDescent="0.25">
      <c r="A262" s="1169"/>
      <c r="B262" s="1170" t="s">
        <v>236</v>
      </c>
      <c r="C262" s="1170" t="s">
        <v>237</v>
      </c>
      <c r="D262" s="350" t="s">
        <v>267</v>
      </c>
      <c r="E262" s="364">
        <v>376030000</v>
      </c>
      <c r="F262" s="351">
        <v>82805433</v>
      </c>
      <c r="G262" s="352"/>
    </row>
    <row r="263" spans="1:14" ht="16.5" customHeight="1" x14ac:dyDescent="0.25">
      <c r="A263" s="1159"/>
      <c r="B263" s="1171"/>
      <c r="C263" s="1171"/>
      <c r="D263" s="350" t="s">
        <v>268</v>
      </c>
      <c r="E263" s="364">
        <v>934892000</v>
      </c>
      <c r="F263" s="351">
        <v>176766408</v>
      </c>
      <c r="G263" s="352"/>
    </row>
    <row r="264" spans="1:14" ht="16.5" customHeight="1" x14ac:dyDescent="0.25">
      <c r="A264" s="1158" t="s">
        <v>211</v>
      </c>
      <c r="B264" s="336" t="s">
        <v>230</v>
      </c>
      <c r="C264" s="336" t="s">
        <v>231</v>
      </c>
      <c r="D264" s="345" t="s">
        <v>265</v>
      </c>
      <c r="E264" s="363">
        <v>4954580000</v>
      </c>
      <c r="F264" s="347">
        <v>1398007847</v>
      </c>
      <c r="G264" s="348"/>
    </row>
    <row r="265" spans="1:14" ht="16.5" customHeight="1" x14ac:dyDescent="0.25">
      <c r="A265" s="1169"/>
      <c r="B265" s="1170" t="s">
        <v>236</v>
      </c>
      <c r="C265" s="1170" t="s">
        <v>237</v>
      </c>
      <c r="D265" s="350" t="s">
        <v>267</v>
      </c>
      <c r="E265" s="364">
        <v>376030000</v>
      </c>
      <c r="F265" s="351">
        <v>121611433</v>
      </c>
      <c r="G265" s="352"/>
    </row>
    <row r="266" spans="1:14" ht="16.5" customHeight="1" x14ac:dyDescent="0.25">
      <c r="A266" s="1159"/>
      <c r="B266" s="1171"/>
      <c r="C266" s="1171"/>
      <c r="D266" s="350" t="s">
        <v>268</v>
      </c>
      <c r="E266" s="364">
        <v>934892000</v>
      </c>
      <c r="F266" s="351">
        <v>240205008</v>
      </c>
      <c r="G266" s="352"/>
    </row>
    <row r="267" spans="1:14" ht="16.5" customHeight="1" x14ac:dyDescent="0.25">
      <c r="A267" s="1158" t="s">
        <v>212</v>
      </c>
      <c r="B267" s="336" t="s">
        <v>230</v>
      </c>
      <c r="C267" s="336" t="s">
        <v>231</v>
      </c>
      <c r="D267" s="345" t="s">
        <v>265</v>
      </c>
      <c r="E267" s="363">
        <v>4954580000</v>
      </c>
      <c r="F267" s="347">
        <v>1815654865</v>
      </c>
      <c r="G267" s="348"/>
    </row>
    <row r="268" spans="1:14" ht="16.5" customHeight="1" x14ac:dyDescent="0.25">
      <c r="A268" s="1169"/>
      <c r="B268" s="1170" t="s">
        <v>236</v>
      </c>
      <c r="C268" s="1170" t="s">
        <v>237</v>
      </c>
      <c r="D268" s="350" t="s">
        <v>267</v>
      </c>
      <c r="E268" s="364">
        <v>376030000</v>
      </c>
      <c r="F268" s="351">
        <v>160417433</v>
      </c>
      <c r="G268" s="352"/>
    </row>
    <row r="269" spans="1:14" ht="16.5" customHeight="1" x14ac:dyDescent="0.25">
      <c r="A269" s="1159"/>
      <c r="B269" s="1171"/>
      <c r="C269" s="1171"/>
      <c r="D269" s="350" t="s">
        <v>268</v>
      </c>
      <c r="E269" s="364">
        <v>934892000</v>
      </c>
      <c r="F269" s="351">
        <v>339629285</v>
      </c>
      <c r="G269" s="352"/>
      <c r="I269" s="366"/>
      <c r="J269" s="366"/>
      <c r="K269" s="366"/>
      <c r="L269" s="366"/>
      <c r="M269" s="366"/>
      <c r="N269" s="366"/>
    </row>
    <row r="270" spans="1:14" ht="16.5" customHeight="1" x14ac:dyDescent="0.25">
      <c r="A270" s="1158" t="s">
        <v>199</v>
      </c>
      <c r="B270" s="336" t="s">
        <v>230</v>
      </c>
      <c r="C270" s="336" t="s">
        <v>231</v>
      </c>
      <c r="D270" s="345" t="s">
        <v>265</v>
      </c>
      <c r="E270" s="363">
        <v>4954580000</v>
      </c>
      <c r="F270" s="347">
        <v>2275399175</v>
      </c>
      <c r="G270" s="348"/>
      <c r="I270" s="366"/>
      <c r="J270" s="366"/>
      <c r="K270" s="366"/>
      <c r="L270" s="366"/>
      <c r="M270" s="366"/>
      <c r="N270" s="366"/>
    </row>
    <row r="271" spans="1:14" ht="16.5" customHeight="1" x14ac:dyDescent="0.25">
      <c r="A271" s="1169"/>
      <c r="B271" s="1170" t="s">
        <v>236</v>
      </c>
      <c r="C271" s="1170" t="s">
        <v>237</v>
      </c>
      <c r="D271" s="350" t="s">
        <v>267</v>
      </c>
      <c r="E271" s="364">
        <v>376030000</v>
      </c>
      <c r="F271" s="351">
        <v>199223433</v>
      </c>
      <c r="G271" s="352"/>
      <c r="I271" s="366"/>
      <c r="J271" s="366"/>
      <c r="K271" s="366"/>
      <c r="L271" s="366"/>
      <c r="M271" s="366"/>
      <c r="N271" s="366"/>
    </row>
    <row r="272" spans="1:14" ht="16.5" customHeight="1" x14ac:dyDescent="0.25">
      <c r="A272" s="1159"/>
      <c r="B272" s="1171"/>
      <c r="C272" s="1171"/>
      <c r="D272" s="350" t="s">
        <v>268</v>
      </c>
      <c r="E272" s="364">
        <v>934892000</v>
      </c>
      <c r="F272" s="351">
        <v>426881142</v>
      </c>
      <c r="G272" s="352"/>
      <c r="I272" s="366"/>
      <c r="J272" s="366"/>
      <c r="K272" s="366"/>
      <c r="L272" s="366"/>
      <c r="M272" s="366"/>
      <c r="N272" s="366"/>
    </row>
    <row r="273" spans="1:14" ht="16.5" customHeight="1" x14ac:dyDescent="0.25">
      <c r="A273" s="1158" t="s">
        <v>201</v>
      </c>
      <c r="B273" s="336" t="s">
        <v>230</v>
      </c>
      <c r="C273" s="336" t="s">
        <v>231</v>
      </c>
      <c r="D273" s="345" t="s">
        <v>265</v>
      </c>
      <c r="E273" s="363">
        <v>4954580000</v>
      </c>
      <c r="F273" s="347">
        <v>2672839241</v>
      </c>
      <c r="G273" s="348"/>
      <c r="I273" s="366"/>
      <c r="J273" s="366"/>
      <c r="K273" s="366"/>
      <c r="L273" s="366"/>
      <c r="M273" s="366"/>
      <c r="N273" s="366"/>
    </row>
    <row r="274" spans="1:14" ht="16.5" customHeight="1" x14ac:dyDescent="0.25">
      <c r="A274" s="1169"/>
      <c r="B274" s="1170" t="s">
        <v>236</v>
      </c>
      <c r="C274" s="1170" t="s">
        <v>237</v>
      </c>
      <c r="D274" s="350" t="s">
        <v>267</v>
      </c>
      <c r="E274" s="364">
        <v>376030000</v>
      </c>
      <c r="F274" s="351">
        <v>238029433</v>
      </c>
      <c r="G274" s="352"/>
      <c r="I274" s="366"/>
      <c r="J274" s="366"/>
      <c r="K274" s="366"/>
      <c r="L274" s="366"/>
      <c r="M274" s="366"/>
      <c r="N274" s="366"/>
    </row>
    <row r="275" spans="1:14" ht="16.5" customHeight="1" x14ac:dyDescent="0.25">
      <c r="A275" s="1159"/>
      <c r="B275" s="1171"/>
      <c r="C275" s="1171"/>
      <c r="D275" s="350" t="s">
        <v>268</v>
      </c>
      <c r="E275" s="364">
        <v>934892000</v>
      </c>
      <c r="F275" s="351">
        <v>498702142</v>
      </c>
      <c r="G275" s="352"/>
      <c r="I275" s="366"/>
      <c r="J275" s="366"/>
      <c r="K275" s="366"/>
      <c r="L275" s="366"/>
      <c r="M275" s="366"/>
      <c r="N275" s="366"/>
    </row>
    <row r="276" spans="1:14" ht="16.5" customHeight="1" x14ac:dyDescent="0.25">
      <c r="A276" s="1158" t="s">
        <v>202</v>
      </c>
      <c r="B276" s="336" t="s">
        <v>230</v>
      </c>
      <c r="C276" s="336" t="s">
        <v>231</v>
      </c>
      <c r="D276" s="345" t="s">
        <v>265</v>
      </c>
      <c r="E276" s="363">
        <v>4954580000</v>
      </c>
      <c r="F276" s="347">
        <v>3102338458</v>
      </c>
      <c r="G276" s="348"/>
      <c r="I276" s="366"/>
      <c r="J276" s="366"/>
      <c r="K276" s="366"/>
      <c r="L276" s="366"/>
      <c r="M276" s="366"/>
      <c r="N276" s="366"/>
    </row>
    <row r="277" spans="1:14" ht="16.5" customHeight="1" x14ac:dyDescent="0.25">
      <c r="A277" s="1169"/>
      <c r="B277" s="1170" t="s">
        <v>236</v>
      </c>
      <c r="C277" s="1170" t="s">
        <v>237</v>
      </c>
      <c r="D277" s="350" t="s">
        <v>267</v>
      </c>
      <c r="E277" s="364">
        <v>376030000</v>
      </c>
      <c r="F277" s="351">
        <v>276835433</v>
      </c>
      <c r="G277" s="352"/>
      <c r="I277" s="366"/>
      <c r="J277" s="366"/>
      <c r="K277" s="366"/>
      <c r="L277" s="366"/>
      <c r="M277" s="366"/>
      <c r="N277" s="366"/>
    </row>
    <row r="278" spans="1:14" ht="16.5" customHeight="1" x14ac:dyDescent="0.25">
      <c r="A278" s="1159"/>
      <c r="B278" s="1171"/>
      <c r="C278" s="1171"/>
      <c r="D278" s="350" t="s">
        <v>268</v>
      </c>
      <c r="E278" s="364">
        <v>934892000</v>
      </c>
      <c r="F278" s="351">
        <v>575204152</v>
      </c>
      <c r="G278" s="352"/>
      <c r="I278" s="366"/>
      <c r="J278" s="366"/>
      <c r="K278" s="366"/>
      <c r="L278" s="366"/>
      <c r="M278" s="366"/>
      <c r="N278" s="366"/>
    </row>
    <row r="279" spans="1:14" ht="16.5" customHeight="1" x14ac:dyDescent="0.25">
      <c r="A279" s="1158" t="s">
        <v>203</v>
      </c>
      <c r="B279" s="336" t="s">
        <v>230</v>
      </c>
      <c r="C279" s="336" t="s">
        <v>231</v>
      </c>
      <c r="D279" s="345" t="s">
        <v>265</v>
      </c>
      <c r="E279" s="363">
        <v>5417865408</v>
      </c>
      <c r="F279" s="347">
        <v>3561604733</v>
      </c>
      <c r="G279" s="348"/>
      <c r="I279" s="366"/>
      <c r="J279" s="366"/>
      <c r="K279" s="366"/>
      <c r="L279" s="366"/>
      <c r="M279" s="366"/>
      <c r="N279" s="366"/>
    </row>
    <row r="280" spans="1:14" ht="16.5" customHeight="1" x14ac:dyDescent="0.25">
      <c r="A280" s="1169"/>
      <c r="B280" s="1170" t="s">
        <v>236</v>
      </c>
      <c r="C280" s="1170" t="s">
        <v>237</v>
      </c>
      <c r="D280" s="350" t="s">
        <v>267</v>
      </c>
      <c r="E280" s="364">
        <v>414143767</v>
      </c>
      <c r="F280" s="351">
        <v>300461433</v>
      </c>
      <c r="G280" s="352"/>
      <c r="I280" s="366"/>
      <c r="J280" s="366"/>
      <c r="K280" s="366"/>
      <c r="L280" s="366"/>
      <c r="M280" s="366"/>
      <c r="N280" s="366"/>
    </row>
    <row r="281" spans="1:14" ht="16.5" customHeight="1" x14ac:dyDescent="0.25">
      <c r="A281" s="1159"/>
      <c r="B281" s="1171"/>
      <c r="C281" s="1171"/>
      <c r="D281" s="350" t="s">
        <v>268</v>
      </c>
      <c r="E281" s="364">
        <v>1016963433</v>
      </c>
      <c r="F281" s="351">
        <v>666625711</v>
      </c>
      <c r="G281" s="352"/>
      <c r="I281" s="366"/>
      <c r="J281" s="366"/>
      <c r="K281" s="366"/>
      <c r="L281" s="366"/>
      <c r="M281" s="366"/>
      <c r="N281" s="366"/>
    </row>
    <row r="282" spans="1:14" ht="16.5" customHeight="1" x14ac:dyDescent="0.25">
      <c r="A282" s="1158" t="s">
        <v>204</v>
      </c>
      <c r="B282" s="336" t="s">
        <v>230</v>
      </c>
      <c r="C282" s="336" t="s">
        <v>231</v>
      </c>
      <c r="D282" s="345" t="s">
        <v>265</v>
      </c>
      <c r="E282" s="363">
        <v>5417865408</v>
      </c>
      <c r="F282" s="347">
        <v>4018293904.7976189</v>
      </c>
      <c r="G282" s="348"/>
      <c r="I282" s="366"/>
      <c r="J282" s="366"/>
      <c r="K282" s="366"/>
      <c r="L282" s="366"/>
      <c r="M282" s="366"/>
      <c r="N282" s="366"/>
    </row>
    <row r="283" spans="1:14" ht="16.5" customHeight="1" x14ac:dyDescent="0.25">
      <c r="A283" s="1169"/>
      <c r="B283" s="1170" t="s">
        <v>236</v>
      </c>
      <c r="C283" s="1170" t="s">
        <v>237</v>
      </c>
      <c r="D283" s="350" t="s">
        <v>267</v>
      </c>
      <c r="E283" s="364">
        <v>414143767</v>
      </c>
      <c r="F283" s="351">
        <v>331677433</v>
      </c>
      <c r="G283" s="352"/>
      <c r="I283" s="366"/>
      <c r="J283" s="366"/>
      <c r="K283" s="366"/>
      <c r="L283" s="366"/>
      <c r="M283" s="366"/>
      <c r="N283" s="366"/>
    </row>
    <row r="284" spans="1:14" ht="16.5" customHeight="1" x14ac:dyDescent="0.25">
      <c r="A284" s="1159"/>
      <c r="B284" s="1171"/>
      <c r="C284" s="1171"/>
      <c r="D284" s="350" t="s">
        <v>268</v>
      </c>
      <c r="E284" s="364">
        <v>1016963433</v>
      </c>
      <c r="F284" s="351">
        <v>763710954.2023809</v>
      </c>
      <c r="G284" s="352"/>
      <c r="I284" s="366"/>
      <c r="J284" s="366"/>
      <c r="K284" s="366"/>
      <c r="L284" s="366"/>
      <c r="M284" s="366"/>
      <c r="N284" s="366"/>
    </row>
    <row r="285" spans="1:14" ht="16.5" customHeight="1" x14ac:dyDescent="0.25">
      <c r="A285" s="1158" t="s">
        <v>205</v>
      </c>
      <c r="B285" s="336" t="s">
        <v>230</v>
      </c>
      <c r="C285" s="336" t="s">
        <v>231</v>
      </c>
      <c r="D285" s="345" t="s">
        <v>265</v>
      </c>
      <c r="E285" s="368">
        <f>+[11]INVERSIÓN!CH11</f>
        <v>5591787367</v>
      </c>
      <c r="F285" s="354">
        <f>+[11]INVERSIÓN!CI12</f>
        <v>4761657202</v>
      </c>
      <c r="G285" s="348"/>
      <c r="I285" s="366"/>
      <c r="J285" s="366"/>
      <c r="K285" s="366"/>
      <c r="L285" s="366"/>
      <c r="M285" s="366"/>
      <c r="N285" s="366"/>
    </row>
    <row r="286" spans="1:14" ht="16.5" customHeight="1" x14ac:dyDescent="0.25">
      <c r="A286" s="1169"/>
      <c r="B286" s="1183" t="s">
        <v>236</v>
      </c>
      <c r="C286" s="1183" t="s">
        <v>237</v>
      </c>
      <c r="D286" s="345" t="s">
        <v>267</v>
      </c>
      <c r="E286" s="368">
        <f>+[11]INVERSIÓN!CH32</f>
        <v>414143767</v>
      </c>
      <c r="F286" s="354">
        <f>+[11]INVERSIÓN!CI33</f>
        <v>384569267</v>
      </c>
      <c r="G286" s="348"/>
      <c r="I286" s="366"/>
      <c r="J286" s="366"/>
      <c r="K286" s="366"/>
      <c r="L286" s="366"/>
      <c r="M286" s="366"/>
      <c r="N286" s="366"/>
    </row>
    <row r="287" spans="1:14" ht="16.5" customHeight="1" x14ac:dyDescent="0.25">
      <c r="A287" s="1159"/>
      <c r="B287" s="1184"/>
      <c r="C287" s="1184"/>
      <c r="D287" s="345" t="s">
        <v>268</v>
      </c>
      <c r="E287" s="368">
        <f>+[11]INVERSIÓN!CH25</f>
        <v>1149129700</v>
      </c>
      <c r="F287" s="354">
        <f>+[11]INVERSIÓN!CI26</f>
        <v>877660777</v>
      </c>
      <c r="G287" s="348"/>
      <c r="I287" s="366"/>
      <c r="J287" s="366"/>
      <c r="K287" s="366"/>
      <c r="L287" s="366"/>
      <c r="M287" s="366"/>
      <c r="N287" s="366"/>
    </row>
    <row r="288" spans="1:14" ht="15.75" thickBot="1" x14ac:dyDescent="0.3">
      <c r="A288" s="365"/>
      <c r="I288" s="366"/>
      <c r="J288" s="366"/>
      <c r="K288" s="366"/>
      <c r="L288" s="366"/>
      <c r="M288" s="366"/>
      <c r="N288" s="366"/>
    </row>
    <row r="289" spans="1:13" ht="20.25" x14ac:dyDescent="0.3">
      <c r="A289" s="1179" t="s">
        <v>276</v>
      </c>
      <c r="B289" s="1180"/>
      <c r="C289" s="1180"/>
      <c r="D289" s="1180"/>
      <c r="E289" s="1180"/>
      <c r="F289" s="1180"/>
      <c r="G289" s="1181"/>
    </row>
    <row r="290" spans="1:13" ht="39" thickBot="1" x14ac:dyDescent="0.3">
      <c r="A290" s="304" t="s">
        <v>28</v>
      </c>
      <c r="B290" s="343" t="s">
        <v>217</v>
      </c>
      <c r="C290" s="343" t="s">
        <v>218</v>
      </c>
      <c r="D290" s="343" t="s">
        <v>261</v>
      </c>
      <c r="E290" s="343" t="s">
        <v>277</v>
      </c>
      <c r="F290" s="343" t="s">
        <v>278</v>
      </c>
      <c r="G290" s="344" t="s">
        <v>264</v>
      </c>
    </row>
    <row r="291" spans="1:13" ht="16.5" customHeight="1" x14ac:dyDescent="0.25">
      <c r="A291" s="1158" t="s">
        <v>207</v>
      </c>
      <c r="B291" s="336" t="s">
        <v>230</v>
      </c>
      <c r="C291" s="336" t="s">
        <v>231</v>
      </c>
      <c r="D291" s="345" t="s">
        <v>265</v>
      </c>
      <c r="E291" s="363">
        <v>4036010000</v>
      </c>
      <c r="F291" s="347">
        <v>0</v>
      </c>
      <c r="G291" s="348"/>
    </row>
    <row r="292" spans="1:13" ht="16.5" customHeight="1" x14ac:dyDescent="0.25">
      <c r="A292" s="1169"/>
      <c r="B292" s="1170" t="s">
        <v>236</v>
      </c>
      <c r="C292" s="1170" t="s">
        <v>237</v>
      </c>
      <c r="D292" s="350" t="s">
        <v>267</v>
      </c>
      <c r="E292" s="364">
        <v>224969000</v>
      </c>
      <c r="F292" s="351">
        <v>0</v>
      </c>
      <c r="G292" s="352"/>
      <c r="I292" s="366"/>
      <c r="J292" s="366"/>
      <c r="K292" s="366"/>
      <c r="L292" s="366"/>
    </row>
    <row r="293" spans="1:13" ht="16.5" customHeight="1" x14ac:dyDescent="0.25">
      <c r="A293" s="1159"/>
      <c r="B293" s="1171"/>
      <c r="C293" s="1171"/>
      <c r="D293" s="350" t="s">
        <v>268</v>
      </c>
      <c r="E293" s="364">
        <v>653358000</v>
      </c>
      <c r="F293" s="351">
        <v>0</v>
      </c>
      <c r="G293" s="352"/>
      <c r="I293" s="366"/>
      <c r="J293" s="366"/>
      <c r="K293" s="366"/>
      <c r="L293" s="366"/>
    </row>
    <row r="294" spans="1:13" ht="16.5" customHeight="1" x14ac:dyDescent="0.25">
      <c r="A294" s="1158" t="s">
        <v>208</v>
      </c>
      <c r="B294" s="336" t="s">
        <v>230</v>
      </c>
      <c r="C294" s="336" t="s">
        <v>231</v>
      </c>
      <c r="D294" s="345" t="s">
        <v>265</v>
      </c>
      <c r="E294" s="363">
        <v>4036010000</v>
      </c>
      <c r="F294" s="347">
        <v>0</v>
      </c>
      <c r="G294" s="348"/>
      <c r="I294" s="366"/>
      <c r="J294" s="366"/>
      <c r="K294" s="366"/>
      <c r="L294" s="366"/>
    </row>
    <row r="295" spans="1:13" ht="16.5" customHeight="1" x14ac:dyDescent="0.25">
      <c r="A295" s="1169"/>
      <c r="B295" s="1170" t="s">
        <v>236</v>
      </c>
      <c r="C295" s="1170" t="s">
        <v>237</v>
      </c>
      <c r="D295" s="350" t="s">
        <v>267</v>
      </c>
      <c r="E295" s="364">
        <v>224969000</v>
      </c>
      <c r="F295" s="351">
        <v>0</v>
      </c>
      <c r="G295" s="352"/>
      <c r="I295" s="366"/>
      <c r="J295" s="366"/>
      <c r="K295" s="366"/>
      <c r="L295" s="366"/>
    </row>
    <row r="296" spans="1:13" ht="16.5" customHeight="1" x14ac:dyDescent="0.25">
      <c r="A296" s="1159"/>
      <c r="B296" s="1171"/>
      <c r="C296" s="1171"/>
      <c r="D296" s="350" t="s">
        <v>268</v>
      </c>
      <c r="E296" s="364">
        <v>653358000</v>
      </c>
      <c r="F296" s="351">
        <v>0</v>
      </c>
      <c r="G296" s="352"/>
      <c r="I296" s="366"/>
      <c r="J296" s="366"/>
      <c r="K296" s="366"/>
      <c r="L296" s="366"/>
    </row>
    <row r="297" spans="1:13" ht="16.5" customHeight="1" x14ac:dyDescent="0.25">
      <c r="A297" s="1158" t="s">
        <v>209</v>
      </c>
      <c r="B297" s="913" t="s">
        <v>230</v>
      </c>
      <c r="C297" s="913" t="s">
        <v>231</v>
      </c>
      <c r="D297" s="345" t="s">
        <v>265</v>
      </c>
      <c r="E297" s="363">
        <v>3996329000</v>
      </c>
      <c r="F297" s="363">
        <v>1705667</v>
      </c>
      <c r="G297" s="374"/>
      <c r="I297" s="366"/>
      <c r="J297" s="366"/>
      <c r="K297" s="366"/>
      <c r="L297" s="366"/>
    </row>
    <row r="298" spans="1:13" ht="16.5" customHeight="1" x14ac:dyDescent="0.25">
      <c r="A298" s="1169"/>
      <c r="B298" s="913"/>
      <c r="C298" s="913"/>
      <c r="D298" s="345" t="s">
        <v>339</v>
      </c>
      <c r="E298" s="363">
        <v>39681000</v>
      </c>
      <c r="F298" s="363">
        <v>0</v>
      </c>
      <c r="G298" s="375"/>
      <c r="I298" s="366"/>
      <c r="J298" s="366"/>
      <c r="K298" s="366"/>
      <c r="L298" s="366"/>
    </row>
    <row r="299" spans="1:13" ht="16.5" customHeight="1" x14ac:dyDescent="0.25">
      <c r="A299" s="1169"/>
      <c r="B299" s="1182" t="s">
        <v>236</v>
      </c>
      <c r="C299" s="1182" t="s">
        <v>237</v>
      </c>
      <c r="D299" s="350" t="s">
        <v>267</v>
      </c>
      <c r="E299" s="364">
        <v>224969000</v>
      </c>
      <c r="F299" s="364">
        <v>7165533</v>
      </c>
      <c r="G299" s="376"/>
      <c r="I299" s="366"/>
      <c r="J299" s="366"/>
      <c r="K299" s="366"/>
      <c r="L299" s="366"/>
    </row>
    <row r="300" spans="1:13" ht="16.5" customHeight="1" x14ac:dyDescent="0.25">
      <c r="A300" s="1159"/>
      <c r="B300" s="1182"/>
      <c r="C300" s="1182"/>
      <c r="D300" s="350" t="s">
        <v>268</v>
      </c>
      <c r="E300" s="364">
        <v>653358000</v>
      </c>
      <c r="F300" s="364">
        <v>0</v>
      </c>
      <c r="G300" s="376"/>
      <c r="I300" s="366"/>
      <c r="J300" s="366"/>
      <c r="K300" s="366"/>
      <c r="L300" s="366"/>
    </row>
    <row r="301" spans="1:13" ht="16.5" customHeight="1" x14ac:dyDescent="0.25">
      <c r="A301" s="1158" t="s">
        <v>210</v>
      </c>
      <c r="B301" s="913" t="s">
        <v>230</v>
      </c>
      <c r="C301" s="913" t="s">
        <v>231</v>
      </c>
      <c r="D301" s="345" t="s">
        <v>265</v>
      </c>
      <c r="E301" s="363">
        <v>3996329000</v>
      </c>
      <c r="F301" s="363">
        <v>174826270</v>
      </c>
      <c r="G301" s="374"/>
      <c r="I301" s="366"/>
      <c r="J301" s="366"/>
      <c r="K301" s="366"/>
      <c r="L301" s="366"/>
    </row>
    <row r="302" spans="1:13" ht="16.5" customHeight="1" x14ac:dyDescent="0.25">
      <c r="A302" s="1169"/>
      <c r="B302" s="913"/>
      <c r="C302" s="913"/>
      <c r="D302" s="345" t="s">
        <v>339</v>
      </c>
      <c r="E302" s="363">
        <v>39681000</v>
      </c>
      <c r="F302" s="363">
        <v>0</v>
      </c>
      <c r="G302" s="375"/>
      <c r="I302" s="366"/>
      <c r="J302" s="366"/>
      <c r="K302" s="366"/>
      <c r="L302" s="366"/>
    </row>
    <row r="303" spans="1:13" ht="16.5" customHeight="1" x14ac:dyDescent="0.25">
      <c r="A303" s="1169"/>
      <c r="B303" s="1182" t="s">
        <v>236</v>
      </c>
      <c r="C303" s="1182" t="s">
        <v>237</v>
      </c>
      <c r="D303" s="350" t="s">
        <v>267</v>
      </c>
      <c r="E303" s="364">
        <v>224969000</v>
      </c>
      <c r="F303" s="364">
        <v>19487300</v>
      </c>
      <c r="G303" s="376"/>
      <c r="I303" s="373"/>
      <c r="J303" s="373"/>
      <c r="K303" s="373"/>
      <c r="L303" s="373"/>
      <c r="M303" s="373"/>
    </row>
    <row r="304" spans="1:13" ht="16.5" customHeight="1" x14ac:dyDescent="0.25">
      <c r="A304" s="1159"/>
      <c r="B304" s="1182"/>
      <c r="C304" s="1182"/>
      <c r="D304" s="350" t="s">
        <v>268</v>
      </c>
      <c r="E304" s="364">
        <v>653358000</v>
      </c>
      <c r="F304" s="364">
        <v>4521934</v>
      </c>
      <c r="G304" s="376"/>
      <c r="I304" s="373"/>
      <c r="J304" s="373"/>
      <c r="K304" s="373"/>
      <c r="L304" s="373"/>
      <c r="M304" s="373"/>
    </row>
    <row r="305" spans="1:13" ht="16.5" customHeight="1" x14ac:dyDescent="0.25">
      <c r="A305" s="1158" t="s">
        <v>211</v>
      </c>
      <c r="B305" s="913" t="s">
        <v>230</v>
      </c>
      <c r="C305" s="913" t="s">
        <v>231</v>
      </c>
      <c r="D305" s="345" t="s">
        <v>265</v>
      </c>
      <c r="E305" s="363">
        <v>3996329000</v>
      </c>
      <c r="F305" s="363">
        <v>489616170</v>
      </c>
      <c r="G305" s="374"/>
      <c r="I305" s="366"/>
      <c r="J305" s="366"/>
      <c r="K305" s="366"/>
      <c r="L305" s="366"/>
    </row>
    <row r="306" spans="1:13" ht="16.5" customHeight="1" x14ac:dyDescent="0.25">
      <c r="A306" s="1169"/>
      <c r="B306" s="913"/>
      <c r="C306" s="913"/>
      <c r="D306" s="345" t="s">
        <v>339</v>
      </c>
      <c r="E306" s="363">
        <v>39681000</v>
      </c>
      <c r="F306" s="363">
        <v>1028767</v>
      </c>
      <c r="G306" s="375"/>
      <c r="I306" s="366"/>
      <c r="J306" s="366"/>
      <c r="K306" s="366"/>
      <c r="L306" s="366"/>
    </row>
    <row r="307" spans="1:13" ht="16.5" customHeight="1" x14ac:dyDescent="0.25">
      <c r="A307" s="1169"/>
      <c r="B307" s="1182" t="s">
        <v>236</v>
      </c>
      <c r="C307" s="1182" t="s">
        <v>237</v>
      </c>
      <c r="D307" s="350" t="s">
        <v>267</v>
      </c>
      <c r="E307" s="364">
        <v>224969000</v>
      </c>
      <c r="F307" s="364">
        <v>38191300</v>
      </c>
      <c r="G307" s="376"/>
      <c r="I307" s="373"/>
      <c r="J307" s="373"/>
      <c r="K307" s="373"/>
      <c r="L307" s="373"/>
      <c r="M307" s="373"/>
    </row>
    <row r="308" spans="1:13" ht="16.5" customHeight="1" x14ac:dyDescent="0.25">
      <c r="A308" s="1159"/>
      <c r="B308" s="1182"/>
      <c r="C308" s="1182"/>
      <c r="D308" s="350" t="s">
        <v>268</v>
      </c>
      <c r="E308" s="364">
        <v>653358000</v>
      </c>
      <c r="F308" s="364">
        <v>46364533</v>
      </c>
      <c r="G308" s="376"/>
      <c r="I308" s="373"/>
      <c r="J308" s="373"/>
      <c r="K308" s="373"/>
      <c r="L308" s="373"/>
      <c r="M308" s="373"/>
    </row>
    <row r="309" spans="1:13" ht="16.5" customHeight="1" x14ac:dyDescent="0.25">
      <c r="A309" s="1158" t="s">
        <v>212</v>
      </c>
      <c r="B309" s="913" t="s">
        <v>230</v>
      </c>
      <c r="C309" s="913" t="s">
        <v>231</v>
      </c>
      <c r="D309" s="345" t="s">
        <v>265</v>
      </c>
      <c r="E309" s="363">
        <v>3996329000</v>
      </c>
      <c r="F309" s="363">
        <v>847175879.48809528</v>
      </c>
      <c r="G309" s="374"/>
      <c r="I309" s="366"/>
      <c r="J309" s="366"/>
      <c r="K309" s="366"/>
      <c r="L309" s="366"/>
    </row>
    <row r="310" spans="1:13" ht="16.5" customHeight="1" x14ac:dyDescent="0.25">
      <c r="A310" s="1169"/>
      <c r="B310" s="913"/>
      <c r="C310" s="913"/>
      <c r="D310" s="345" t="s">
        <v>339</v>
      </c>
      <c r="E310" s="363">
        <v>39681000</v>
      </c>
      <c r="F310" s="363">
        <v>5437767</v>
      </c>
      <c r="G310" s="375"/>
      <c r="I310" s="366"/>
      <c r="J310" s="366"/>
      <c r="K310" s="366"/>
      <c r="L310" s="366"/>
    </row>
    <row r="311" spans="1:13" ht="16.5" customHeight="1" x14ac:dyDescent="0.25">
      <c r="A311" s="1169"/>
      <c r="B311" s="1182" t="s">
        <v>236</v>
      </c>
      <c r="C311" s="1182" t="s">
        <v>237</v>
      </c>
      <c r="D311" s="350" t="s">
        <v>267</v>
      </c>
      <c r="E311" s="364">
        <v>224969000</v>
      </c>
      <c r="F311" s="364">
        <v>56895300</v>
      </c>
      <c r="G311" s="376"/>
      <c r="I311" s="373"/>
      <c r="J311" s="373"/>
      <c r="K311" s="373"/>
      <c r="L311" s="373"/>
      <c r="M311" s="373"/>
    </row>
    <row r="312" spans="1:13" ht="16.5" customHeight="1" x14ac:dyDescent="0.25">
      <c r="A312" s="1159"/>
      <c r="B312" s="1182"/>
      <c r="C312" s="1182"/>
      <c r="D312" s="350" t="s">
        <v>268</v>
      </c>
      <c r="E312" s="364">
        <v>653358000</v>
      </c>
      <c r="F312" s="364">
        <v>108499379.51190476</v>
      </c>
      <c r="G312" s="376"/>
      <c r="I312" s="373"/>
      <c r="J312" s="373"/>
      <c r="K312" s="373"/>
      <c r="L312" s="373"/>
      <c r="M312" s="373"/>
    </row>
    <row r="313" spans="1:13" ht="16.5" customHeight="1" x14ac:dyDescent="0.25">
      <c r="A313" s="1158" t="s">
        <v>199</v>
      </c>
      <c r="B313" s="913" t="s">
        <v>230</v>
      </c>
      <c r="C313" s="913" t="s">
        <v>231</v>
      </c>
      <c r="D313" s="345" t="s">
        <v>265</v>
      </c>
      <c r="E313" s="363">
        <v>3996329000</v>
      </c>
      <c r="F313" s="363">
        <v>1254104274.7261906</v>
      </c>
      <c r="G313" s="374"/>
      <c r="I313" s="366"/>
      <c r="J313" s="366"/>
      <c r="K313" s="366"/>
      <c r="L313" s="366"/>
    </row>
    <row r="314" spans="1:13" ht="16.5" customHeight="1" x14ac:dyDescent="0.25">
      <c r="A314" s="1169"/>
      <c r="B314" s="913"/>
      <c r="C314" s="913"/>
      <c r="D314" s="345" t="s">
        <v>339</v>
      </c>
      <c r="E314" s="363">
        <v>39681000</v>
      </c>
      <c r="F314" s="363">
        <v>9846767</v>
      </c>
      <c r="G314" s="375"/>
      <c r="I314" s="366"/>
      <c r="J314" s="366"/>
      <c r="K314" s="366"/>
      <c r="L314" s="366"/>
    </row>
    <row r="315" spans="1:13" ht="16.5" customHeight="1" x14ac:dyDescent="0.25">
      <c r="A315" s="1169"/>
      <c r="B315" s="1182" t="s">
        <v>236</v>
      </c>
      <c r="C315" s="1182" t="s">
        <v>237</v>
      </c>
      <c r="D315" s="350" t="s">
        <v>267</v>
      </c>
      <c r="E315" s="364">
        <v>224969000</v>
      </c>
      <c r="F315" s="364">
        <v>75599300</v>
      </c>
      <c r="G315" s="376"/>
      <c r="I315" s="373"/>
      <c r="J315" s="373"/>
      <c r="K315" s="373"/>
      <c r="L315" s="373"/>
      <c r="M315" s="373"/>
    </row>
    <row r="316" spans="1:13" ht="16.5" customHeight="1" x14ac:dyDescent="0.25">
      <c r="A316" s="1159"/>
      <c r="B316" s="1182"/>
      <c r="C316" s="1182"/>
      <c r="D316" s="350" t="s">
        <v>268</v>
      </c>
      <c r="E316" s="364">
        <v>653358000</v>
      </c>
      <c r="F316" s="364">
        <v>168582284.27380952</v>
      </c>
      <c r="G316" s="376"/>
      <c r="I316" s="373"/>
      <c r="J316" s="373"/>
      <c r="K316" s="373"/>
      <c r="L316" s="373"/>
      <c r="M316" s="373"/>
    </row>
    <row r="317" spans="1:13" ht="16.5" customHeight="1" x14ac:dyDescent="0.25">
      <c r="A317" s="1158" t="s">
        <v>201</v>
      </c>
      <c r="B317" s="1183" t="s">
        <v>230</v>
      </c>
      <c r="C317" s="1183" t="s">
        <v>231</v>
      </c>
      <c r="D317" s="345" t="s">
        <v>265</v>
      </c>
      <c r="E317" s="363">
        <v>3996329000</v>
      </c>
      <c r="F317" s="363">
        <v>1635585209.7261906</v>
      </c>
      <c r="G317" s="374"/>
      <c r="I317" s="366"/>
      <c r="J317" s="366"/>
      <c r="K317" s="366"/>
      <c r="L317" s="366"/>
    </row>
    <row r="318" spans="1:13" ht="16.5" customHeight="1" x14ac:dyDescent="0.25">
      <c r="A318" s="1169"/>
      <c r="B318" s="1184"/>
      <c r="C318" s="1184"/>
      <c r="D318" s="345" t="s">
        <v>339</v>
      </c>
      <c r="E318" s="363">
        <v>39681000</v>
      </c>
      <c r="F318" s="363">
        <v>14255767</v>
      </c>
      <c r="G318" s="375"/>
      <c r="I318" s="366"/>
      <c r="J318" s="366"/>
      <c r="K318" s="366"/>
      <c r="L318" s="366"/>
    </row>
    <row r="319" spans="1:13" ht="16.5" customHeight="1" x14ac:dyDescent="0.25">
      <c r="A319" s="1169"/>
      <c r="B319" s="1170" t="s">
        <v>236</v>
      </c>
      <c r="C319" s="1170" t="s">
        <v>237</v>
      </c>
      <c r="D319" s="350" t="s">
        <v>267</v>
      </c>
      <c r="E319" s="364">
        <v>224969000</v>
      </c>
      <c r="F319" s="364">
        <v>95521900</v>
      </c>
      <c r="G319" s="376"/>
      <c r="I319" s="373"/>
      <c r="J319" s="373"/>
      <c r="K319" s="373"/>
      <c r="L319" s="373"/>
      <c r="M319" s="373"/>
    </row>
    <row r="320" spans="1:13" ht="16.5" customHeight="1" x14ac:dyDescent="0.25">
      <c r="A320" s="1159"/>
      <c r="B320" s="1171"/>
      <c r="C320" s="1171"/>
      <c r="D320" s="350" t="s">
        <v>268</v>
      </c>
      <c r="E320" s="364">
        <v>653358000</v>
      </c>
      <c r="F320" s="364">
        <v>227089098.3392857</v>
      </c>
      <c r="G320" s="376"/>
      <c r="I320" s="373"/>
      <c r="J320" s="373"/>
      <c r="K320" s="373"/>
      <c r="L320" s="373"/>
      <c r="M320" s="373"/>
    </row>
    <row r="321" spans="1:40" ht="16.5" customHeight="1" x14ac:dyDescent="0.25">
      <c r="A321" s="1158" t="s">
        <v>202</v>
      </c>
      <c r="B321" s="1183" t="s">
        <v>230</v>
      </c>
      <c r="C321" s="1183" t="s">
        <v>231</v>
      </c>
      <c r="D321" s="345" t="s">
        <v>265</v>
      </c>
      <c r="E321" s="363">
        <v>3996329000</v>
      </c>
      <c r="F321" s="363">
        <v>2065842855.7261906</v>
      </c>
      <c r="G321" s="374"/>
      <c r="I321" s="366"/>
      <c r="J321" s="366"/>
      <c r="K321" s="366"/>
      <c r="L321" s="366"/>
    </row>
    <row r="322" spans="1:40" ht="16.5" customHeight="1" x14ac:dyDescent="0.25">
      <c r="A322" s="1169"/>
      <c r="B322" s="1184"/>
      <c r="C322" s="1184"/>
      <c r="D322" s="345" t="s">
        <v>339</v>
      </c>
      <c r="E322" s="363">
        <v>39681000</v>
      </c>
      <c r="F322" s="363">
        <v>18664767</v>
      </c>
      <c r="G322" s="375"/>
      <c r="I322" s="366"/>
      <c r="J322" s="366"/>
      <c r="K322" s="366"/>
      <c r="L322" s="366"/>
    </row>
    <row r="323" spans="1:40" ht="16.5" customHeight="1" x14ac:dyDescent="0.25">
      <c r="A323" s="1169"/>
      <c r="B323" s="1170" t="s">
        <v>236</v>
      </c>
      <c r="C323" s="1170" t="s">
        <v>237</v>
      </c>
      <c r="D323" s="350" t="s">
        <v>267</v>
      </c>
      <c r="E323" s="364">
        <v>224969000</v>
      </c>
      <c r="F323" s="364">
        <v>116256900</v>
      </c>
      <c r="G323" s="376"/>
      <c r="I323" s="373"/>
      <c r="J323" s="373"/>
      <c r="K323" s="373"/>
      <c r="L323" s="373"/>
      <c r="M323" s="373"/>
    </row>
    <row r="324" spans="1:40" ht="16.5" customHeight="1" x14ac:dyDescent="0.25">
      <c r="A324" s="1159"/>
      <c r="B324" s="1171"/>
      <c r="C324" s="1171"/>
      <c r="D324" s="350" t="s">
        <v>268</v>
      </c>
      <c r="E324" s="364">
        <v>653358000</v>
      </c>
      <c r="F324" s="364">
        <v>308185547.33928573</v>
      </c>
      <c r="G324" s="376"/>
      <c r="I324" s="373"/>
      <c r="J324" s="373"/>
      <c r="K324" s="373"/>
      <c r="L324" s="373"/>
      <c r="M324" s="373"/>
    </row>
    <row r="325" spans="1:40" ht="16.5" customHeight="1" x14ac:dyDescent="0.25">
      <c r="A325" s="1193" t="s">
        <v>203</v>
      </c>
      <c r="B325" s="1196" t="s">
        <v>230</v>
      </c>
      <c r="C325" s="1196" t="s">
        <v>231</v>
      </c>
      <c r="D325" s="489" t="s">
        <v>265</v>
      </c>
      <c r="E325" s="363">
        <v>4006831200</v>
      </c>
      <c r="F325" s="363">
        <v>2517546735.7261906</v>
      </c>
      <c r="G325" s="374"/>
      <c r="H325" s="373"/>
      <c r="I325" s="373"/>
      <c r="J325" s="373"/>
      <c r="K325" s="373"/>
      <c r="L325" s="373"/>
      <c r="M325" s="373"/>
      <c r="N325" s="373"/>
      <c r="O325" s="373"/>
      <c r="P325" s="373"/>
      <c r="Q325" s="373"/>
      <c r="R325" s="373"/>
      <c r="S325" s="373"/>
      <c r="T325" s="373"/>
      <c r="U325" s="373"/>
      <c r="V325" s="373"/>
      <c r="W325" s="373"/>
      <c r="X325" s="373"/>
      <c r="Y325" s="373"/>
      <c r="Z325" s="373"/>
      <c r="AA325" s="373"/>
      <c r="AB325" s="373"/>
      <c r="AC325" s="373"/>
      <c r="AD325" s="373"/>
      <c r="AE325" s="373"/>
      <c r="AF325" s="373"/>
      <c r="AG325" s="373"/>
      <c r="AH325" s="373"/>
      <c r="AI325" s="373"/>
      <c r="AJ325" s="373"/>
      <c r="AK325" s="373"/>
      <c r="AL325" s="373"/>
      <c r="AM325" s="373"/>
      <c r="AN325" s="373"/>
    </row>
    <row r="326" spans="1:40" ht="16.5" customHeight="1" x14ac:dyDescent="0.25">
      <c r="A326" s="1194"/>
      <c r="B326" s="1197"/>
      <c r="C326" s="1197"/>
      <c r="D326" s="489" t="s">
        <v>339</v>
      </c>
      <c r="E326" s="363">
        <v>38946167</v>
      </c>
      <c r="F326" s="363">
        <v>23073767</v>
      </c>
      <c r="G326" s="375"/>
      <c r="H326" s="373"/>
      <c r="I326" s="373"/>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3"/>
      <c r="AG326" s="373"/>
      <c r="AH326" s="373"/>
      <c r="AI326" s="373"/>
      <c r="AJ326" s="373"/>
      <c r="AK326" s="373"/>
      <c r="AL326" s="373"/>
      <c r="AM326" s="373"/>
      <c r="AN326" s="373"/>
    </row>
    <row r="327" spans="1:40" ht="16.5" customHeight="1" x14ac:dyDescent="0.25">
      <c r="A327" s="1194"/>
      <c r="B327" s="1198" t="s">
        <v>236</v>
      </c>
      <c r="C327" s="1198" t="s">
        <v>237</v>
      </c>
      <c r="D327" s="490" t="s">
        <v>267</v>
      </c>
      <c r="E327" s="364">
        <v>675744633</v>
      </c>
      <c r="F327" s="364">
        <v>136991900</v>
      </c>
      <c r="G327" s="376"/>
      <c r="H327" s="373"/>
      <c r="I327" s="373"/>
      <c r="J327" s="373"/>
      <c r="K327" s="373"/>
      <c r="L327" s="373"/>
      <c r="M327" s="373"/>
      <c r="N327" s="373"/>
      <c r="O327" s="373"/>
      <c r="P327" s="373"/>
      <c r="Q327" s="373"/>
      <c r="R327" s="373"/>
      <c r="S327" s="373"/>
      <c r="T327" s="373"/>
      <c r="U327" s="373"/>
      <c r="V327" s="373"/>
      <c r="W327" s="373"/>
      <c r="X327" s="373"/>
      <c r="Y327" s="373"/>
      <c r="Z327" s="373"/>
      <c r="AA327" s="373"/>
      <c r="AB327" s="373"/>
      <c r="AC327" s="373"/>
      <c r="AD327" s="373"/>
      <c r="AE327" s="373"/>
      <c r="AF327" s="373"/>
      <c r="AG327" s="373"/>
      <c r="AH327" s="373"/>
      <c r="AI327" s="373"/>
      <c r="AJ327" s="373"/>
      <c r="AK327" s="373"/>
      <c r="AL327" s="373"/>
      <c r="AM327" s="373"/>
      <c r="AN327" s="373"/>
    </row>
    <row r="328" spans="1:40" ht="16.5" customHeight="1" x14ac:dyDescent="0.25">
      <c r="A328" s="1195"/>
      <c r="B328" s="1199"/>
      <c r="C328" s="1199"/>
      <c r="D328" s="490" t="s">
        <v>268</v>
      </c>
      <c r="E328" s="364">
        <v>192815000</v>
      </c>
      <c r="F328" s="364">
        <v>395775111.33928573</v>
      </c>
      <c r="G328" s="376"/>
      <c r="H328" s="373"/>
      <c r="I328" s="373"/>
      <c r="J328" s="373"/>
      <c r="K328" s="373"/>
      <c r="L328" s="373"/>
      <c r="M328" s="373"/>
      <c r="N328" s="373"/>
      <c r="O328" s="373"/>
      <c r="P328" s="373"/>
      <c r="Q328" s="373"/>
      <c r="R328" s="373"/>
      <c r="S328" s="373"/>
      <c r="T328" s="373"/>
      <c r="U328" s="373"/>
      <c r="V328" s="373"/>
      <c r="W328" s="373"/>
      <c r="X328" s="373"/>
      <c r="Y328" s="373"/>
      <c r="Z328" s="373"/>
      <c r="AA328" s="373"/>
      <c r="AB328" s="373"/>
      <c r="AC328" s="373"/>
      <c r="AD328" s="373"/>
      <c r="AE328" s="373"/>
      <c r="AF328" s="373"/>
      <c r="AG328" s="373"/>
      <c r="AH328" s="373"/>
      <c r="AI328" s="373"/>
      <c r="AJ328" s="373"/>
      <c r="AK328" s="373"/>
      <c r="AL328" s="373"/>
      <c r="AM328" s="373"/>
      <c r="AN328" s="373"/>
    </row>
    <row r="329" spans="1:40" ht="16.5" customHeight="1" x14ac:dyDescent="0.25">
      <c r="A329" s="1193" t="s">
        <v>204</v>
      </c>
      <c r="B329" s="1196" t="s">
        <v>230</v>
      </c>
      <c r="C329" s="1196" t="s">
        <v>231</v>
      </c>
      <c r="D329" s="489" t="s">
        <v>265</v>
      </c>
      <c r="E329" s="363">
        <v>4078387480</v>
      </c>
      <c r="F329" s="363">
        <v>2921453546</v>
      </c>
      <c r="G329" s="374"/>
      <c r="H329" s="373"/>
      <c r="I329" s="373"/>
      <c r="J329" s="373"/>
      <c r="K329" s="373"/>
      <c r="L329" s="373"/>
      <c r="M329" s="373"/>
      <c r="N329" s="373"/>
      <c r="O329" s="373"/>
      <c r="P329" s="373"/>
      <c r="Q329" s="373"/>
      <c r="R329" s="373"/>
      <c r="S329" s="373"/>
      <c r="T329" s="373"/>
      <c r="U329" s="373"/>
      <c r="V329" s="373"/>
      <c r="W329" s="373"/>
      <c r="X329" s="373"/>
      <c r="Y329" s="373"/>
      <c r="Z329" s="373"/>
      <c r="AA329" s="373"/>
      <c r="AB329" s="373"/>
      <c r="AC329" s="373"/>
      <c r="AD329" s="373"/>
      <c r="AE329" s="373"/>
      <c r="AF329" s="373"/>
      <c r="AG329" s="373"/>
      <c r="AH329" s="373"/>
      <c r="AI329" s="373"/>
      <c r="AJ329" s="373"/>
      <c r="AK329" s="373"/>
      <c r="AL329" s="373"/>
      <c r="AM329" s="373"/>
      <c r="AN329" s="373"/>
    </row>
    <row r="330" spans="1:40" ht="16.5" customHeight="1" x14ac:dyDescent="0.25">
      <c r="A330" s="1194"/>
      <c r="B330" s="1197"/>
      <c r="C330" s="1197"/>
      <c r="D330" s="489" t="s">
        <v>339</v>
      </c>
      <c r="E330" s="363">
        <v>38946167</v>
      </c>
      <c r="F330" s="363">
        <v>27482767</v>
      </c>
      <c r="G330" s="375"/>
      <c r="H330" s="373"/>
      <c r="I330" s="373"/>
      <c r="J330" s="373"/>
      <c r="K330" s="373"/>
      <c r="L330" s="373"/>
      <c r="M330" s="373"/>
      <c r="N330" s="373"/>
      <c r="O330" s="373"/>
      <c r="P330" s="373"/>
      <c r="Q330" s="373"/>
      <c r="R330" s="373"/>
      <c r="S330" s="373"/>
      <c r="T330" s="373"/>
      <c r="U330" s="373"/>
      <c r="V330" s="373"/>
      <c r="W330" s="373"/>
      <c r="X330" s="373"/>
      <c r="Y330" s="373"/>
      <c r="Z330" s="373"/>
      <c r="AA330" s="373"/>
      <c r="AB330" s="373"/>
      <c r="AC330" s="373"/>
      <c r="AD330" s="373"/>
      <c r="AE330" s="373"/>
      <c r="AF330" s="373"/>
      <c r="AG330" s="373"/>
      <c r="AH330" s="373"/>
      <c r="AI330" s="373"/>
      <c r="AJ330" s="373"/>
      <c r="AK330" s="373"/>
      <c r="AL330" s="373"/>
      <c r="AM330" s="373"/>
      <c r="AN330" s="373"/>
    </row>
    <row r="331" spans="1:40" ht="16.5" customHeight="1" x14ac:dyDescent="0.25">
      <c r="A331" s="1194"/>
      <c r="B331" s="1198" t="s">
        <v>236</v>
      </c>
      <c r="C331" s="1198" t="s">
        <v>237</v>
      </c>
      <c r="D331" s="490" t="s">
        <v>267</v>
      </c>
      <c r="E331" s="364">
        <v>675744633</v>
      </c>
      <c r="F331" s="364">
        <v>157726900</v>
      </c>
      <c r="G331" s="376"/>
      <c r="H331" s="373"/>
      <c r="I331" s="373"/>
      <c r="J331" s="373"/>
      <c r="K331" s="373"/>
      <c r="L331" s="373"/>
      <c r="M331" s="373"/>
      <c r="N331" s="373"/>
      <c r="O331" s="373"/>
      <c r="P331" s="373"/>
      <c r="Q331" s="373"/>
      <c r="R331" s="373"/>
      <c r="S331" s="373"/>
      <c r="T331" s="373"/>
      <c r="U331" s="373"/>
      <c r="V331" s="373"/>
      <c r="W331" s="373"/>
      <c r="X331" s="373"/>
      <c r="Y331" s="373"/>
      <c r="Z331" s="373"/>
      <c r="AA331" s="373"/>
      <c r="AB331" s="373"/>
      <c r="AC331" s="373"/>
      <c r="AD331" s="373"/>
      <c r="AE331" s="373"/>
      <c r="AF331" s="373"/>
      <c r="AG331" s="373"/>
      <c r="AH331" s="373"/>
      <c r="AI331" s="373"/>
      <c r="AJ331" s="373"/>
      <c r="AK331" s="373"/>
      <c r="AL331" s="373"/>
      <c r="AM331" s="373"/>
      <c r="AN331" s="373"/>
    </row>
    <row r="332" spans="1:40" ht="16.5" customHeight="1" x14ac:dyDescent="0.25">
      <c r="A332" s="1195"/>
      <c r="B332" s="1199"/>
      <c r="C332" s="1199"/>
      <c r="D332" s="490" t="s">
        <v>268</v>
      </c>
      <c r="E332" s="364">
        <v>192815000</v>
      </c>
      <c r="F332" s="364">
        <v>476057369</v>
      </c>
      <c r="G332" s="376"/>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3"/>
      <c r="AL332" s="373"/>
      <c r="AM332" s="373"/>
      <c r="AN332" s="373"/>
    </row>
    <row r="333" spans="1:40" ht="31.5" customHeight="1" x14ac:dyDescent="0.25">
      <c r="A333" s="1185" t="s">
        <v>205</v>
      </c>
      <c r="B333" s="1187" t="s">
        <v>230</v>
      </c>
      <c r="C333" s="1189" t="s">
        <v>231</v>
      </c>
      <c r="D333" s="491" t="s">
        <v>265</v>
      </c>
      <c r="E333" s="410">
        <f>+[6]INVERSIÓN!DL11</f>
        <v>4078387480</v>
      </c>
      <c r="F333" s="410">
        <f>+[6]INVERSIÓN!DM12</f>
        <v>3576548682</v>
      </c>
      <c r="G333" s="411"/>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3"/>
      <c r="AF333" s="373"/>
      <c r="AG333" s="373"/>
      <c r="AH333" s="373"/>
      <c r="AI333" s="373"/>
      <c r="AJ333" s="373"/>
      <c r="AK333" s="373"/>
      <c r="AL333" s="373"/>
      <c r="AM333" s="373"/>
      <c r="AN333" s="373"/>
    </row>
    <row r="334" spans="1:40" ht="16.5" customHeight="1" x14ac:dyDescent="0.25">
      <c r="A334" s="1186"/>
      <c r="B334" s="1188"/>
      <c r="C334" s="1189"/>
      <c r="D334" s="491" t="s">
        <v>339</v>
      </c>
      <c r="E334" s="410">
        <f>+[6]INVERSIÓN!DL18</f>
        <v>38946167</v>
      </c>
      <c r="F334" s="410">
        <f>+[6]INVERSIÓN!DM19</f>
        <v>36300767</v>
      </c>
      <c r="G334" s="412"/>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3"/>
      <c r="AG334" s="373"/>
      <c r="AH334" s="373"/>
      <c r="AI334" s="373"/>
      <c r="AJ334" s="373"/>
      <c r="AK334" s="373"/>
      <c r="AL334" s="373"/>
      <c r="AM334" s="373"/>
      <c r="AN334" s="373"/>
    </row>
    <row r="335" spans="1:40" ht="16.5" customHeight="1" x14ac:dyDescent="0.25">
      <c r="A335" s="1186"/>
      <c r="B335" s="1187" t="s">
        <v>236</v>
      </c>
      <c r="C335" s="1189" t="s">
        <v>237</v>
      </c>
      <c r="D335" s="491" t="s">
        <v>267</v>
      </c>
      <c r="E335" s="410">
        <f>+[6]INVERSIÓN!DL32</f>
        <v>192815000</v>
      </c>
      <c r="F335" s="410">
        <f>+[6]INVERSIÓN!DM33</f>
        <v>182846367</v>
      </c>
      <c r="G335" s="412"/>
      <c r="H335" s="373"/>
      <c r="I335" s="37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3"/>
      <c r="AG335" s="373"/>
      <c r="AH335" s="373"/>
      <c r="AI335" s="373"/>
      <c r="AJ335" s="373"/>
      <c r="AK335" s="373"/>
      <c r="AL335" s="373"/>
      <c r="AM335" s="373"/>
      <c r="AN335" s="373"/>
    </row>
    <row r="336" spans="1:40" ht="16.5" customHeight="1" x14ac:dyDescent="0.25">
      <c r="A336" s="1186"/>
      <c r="B336" s="1188"/>
      <c r="C336" s="1189"/>
      <c r="D336" s="491" t="s">
        <v>268</v>
      </c>
      <c r="E336" s="410">
        <f>+[6]INVERSIÓN!DL25</f>
        <v>675744633</v>
      </c>
      <c r="F336" s="410">
        <f>+[6]INVERSIÓN!DM26</f>
        <v>592158409</v>
      </c>
      <c r="G336" s="412"/>
      <c r="H336" s="373"/>
      <c r="I336" s="373"/>
      <c r="J336" s="373"/>
      <c r="K336" s="373"/>
      <c r="L336" s="373"/>
      <c r="M336" s="373"/>
      <c r="N336" s="373"/>
      <c r="O336" s="373"/>
      <c r="P336" s="373"/>
      <c r="Q336" s="373"/>
      <c r="R336" s="373"/>
      <c r="S336" s="373"/>
      <c r="T336" s="373"/>
      <c r="U336" s="373"/>
      <c r="V336" s="373"/>
      <c r="W336" s="373"/>
      <c r="X336" s="373"/>
      <c r="Y336" s="373"/>
      <c r="Z336" s="373"/>
      <c r="AA336" s="373"/>
      <c r="AB336" s="373"/>
      <c r="AC336" s="373"/>
      <c r="AD336" s="373"/>
      <c r="AE336" s="373"/>
      <c r="AF336" s="373"/>
      <c r="AG336" s="373"/>
      <c r="AH336" s="373"/>
      <c r="AI336" s="373"/>
      <c r="AJ336" s="373"/>
      <c r="AK336" s="373"/>
      <c r="AL336" s="373"/>
      <c r="AM336" s="373"/>
      <c r="AN336" s="373"/>
    </row>
    <row r="337" spans="1:40" ht="16.5" customHeight="1" x14ac:dyDescent="0.25">
      <c r="A337" s="492"/>
      <c r="B337" s="493"/>
      <c r="C337" s="493"/>
      <c r="D337" s="494"/>
      <c r="E337" s="398"/>
      <c r="F337" s="398"/>
      <c r="G337" s="494"/>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3"/>
      <c r="AG337" s="373"/>
      <c r="AH337" s="373"/>
      <c r="AI337" s="373"/>
      <c r="AJ337" s="373"/>
      <c r="AK337" s="373"/>
      <c r="AL337" s="373"/>
      <c r="AM337" s="373"/>
      <c r="AN337" s="373"/>
    </row>
    <row r="338" spans="1:40" ht="15.75" thickBot="1" x14ac:dyDescent="0.3">
      <c r="A338" s="495"/>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373"/>
      <c r="AN338" s="373"/>
    </row>
    <row r="339" spans="1:40" ht="20.25" x14ac:dyDescent="0.3">
      <c r="A339" s="1190" t="s">
        <v>279</v>
      </c>
      <c r="B339" s="1191"/>
      <c r="C339" s="1191"/>
      <c r="D339" s="1191"/>
      <c r="E339" s="1191"/>
      <c r="F339" s="1191"/>
      <c r="G339" s="1192"/>
      <c r="H339" s="373"/>
      <c r="I339" s="373"/>
      <c r="J339" s="373"/>
      <c r="K339" s="373"/>
      <c r="L339" s="373"/>
      <c r="M339" s="373"/>
      <c r="N339" s="373"/>
      <c r="O339" s="373"/>
      <c r="P339" s="373"/>
      <c r="Q339" s="373"/>
      <c r="R339" s="373"/>
      <c r="S339" s="373"/>
      <c r="T339" s="373"/>
      <c r="U339" s="373"/>
      <c r="V339" s="373"/>
      <c r="W339" s="373"/>
      <c r="X339" s="373"/>
      <c r="Y339" s="373"/>
      <c r="Z339" s="373"/>
      <c r="AA339" s="373"/>
      <c r="AB339" s="373"/>
      <c r="AC339" s="373"/>
      <c r="AD339" s="373"/>
      <c r="AE339" s="373"/>
      <c r="AF339" s="373"/>
      <c r="AG339" s="373"/>
      <c r="AH339" s="373"/>
      <c r="AI339" s="373"/>
      <c r="AJ339" s="373"/>
      <c r="AK339" s="373"/>
      <c r="AL339" s="373"/>
      <c r="AM339" s="373"/>
      <c r="AN339" s="373"/>
    </row>
    <row r="340" spans="1:40" ht="39" thickBot="1" x14ac:dyDescent="0.3">
      <c r="A340" s="496" t="s">
        <v>29</v>
      </c>
      <c r="B340" s="497" t="s">
        <v>217</v>
      </c>
      <c r="C340" s="497" t="s">
        <v>218</v>
      </c>
      <c r="D340" s="497" t="s">
        <v>261</v>
      </c>
      <c r="E340" s="497" t="s">
        <v>280</v>
      </c>
      <c r="F340" s="497" t="s">
        <v>281</v>
      </c>
      <c r="G340" s="498" t="s">
        <v>264</v>
      </c>
      <c r="H340" s="373"/>
      <c r="I340" s="373"/>
      <c r="J340" s="373"/>
      <c r="K340" s="373"/>
      <c r="L340" s="373"/>
      <c r="M340" s="373"/>
      <c r="N340" s="373"/>
      <c r="O340" s="373"/>
      <c r="P340" s="373"/>
      <c r="Q340" s="373"/>
      <c r="R340" s="373"/>
      <c r="S340" s="373"/>
      <c r="T340" s="373"/>
      <c r="U340" s="373"/>
      <c r="V340" s="373"/>
      <c r="W340" s="373"/>
      <c r="X340" s="373"/>
      <c r="Y340" s="373"/>
      <c r="Z340" s="373"/>
      <c r="AA340" s="373"/>
      <c r="AB340" s="373"/>
      <c r="AC340" s="373"/>
      <c r="AD340" s="373"/>
      <c r="AE340" s="373"/>
      <c r="AF340" s="373"/>
      <c r="AG340" s="373"/>
      <c r="AH340" s="373"/>
      <c r="AI340" s="373"/>
      <c r="AJ340" s="373"/>
      <c r="AK340" s="373"/>
      <c r="AL340" s="373"/>
      <c r="AM340" s="373"/>
      <c r="AN340" s="373"/>
    </row>
    <row r="341" spans="1:40" x14ac:dyDescent="0.25">
      <c r="A341" s="1200" t="s">
        <v>207</v>
      </c>
      <c r="B341" s="1203" t="s">
        <v>230</v>
      </c>
      <c r="C341" s="1204" t="s">
        <v>231</v>
      </c>
      <c r="D341" s="491" t="s">
        <v>265</v>
      </c>
      <c r="E341" s="499">
        <f>+[12]INVERSIÓN!DN11</f>
        <v>6232912000</v>
      </c>
      <c r="F341" s="499">
        <f>+[12]INVERSIÓN!DP12</f>
        <v>0</v>
      </c>
      <c r="G341" s="500"/>
      <c r="H341" s="373"/>
      <c r="I341" s="373"/>
      <c r="J341" s="373"/>
      <c r="K341" s="373"/>
      <c r="L341" s="373"/>
      <c r="M341" s="373"/>
      <c r="N341" s="373"/>
      <c r="O341" s="373"/>
      <c r="P341" s="373"/>
      <c r="Q341" s="373"/>
      <c r="R341" s="373"/>
      <c r="S341" s="373"/>
      <c r="T341" s="373"/>
      <c r="U341" s="373"/>
      <c r="V341" s="373"/>
      <c r="W341" s="373"/>
      <c r="X341" s="373"/>
      <c r="Y341" s="373"/>
      <c r="Z341" s="373"/>
      <c r="AA341" s="373"/>
      <c r="AB341" s="373"/>
      <c r="AC341" s="373"/>
      <c r="AD341" s="373"/>
      <c r="AE341" s="373"/>
      <c r="AF341" s="373"/>
      <c r="AG341" s="373"/>
      <c r="AH341" s="373"/>
      <c r="AI341" s="373"/>
      <c r="AJ341" s="373"/>
      <c r="AK341" s="373"/>
      <c r="AL341" s="373"/>
      <c r="AM341" s="373"/>
      <c r="AN341" s="373"/>
    </row>
    <row r="342" spans="1:40" x14ac:dyDescent="0.25">
      <c r="A342" s="1201"/>
      <c r="B342" s="1197"/>
      <c r="C342" s="1188"/>
      <c r="D342" s="491" t="s">
        <v>339</v>
      </c>
      <c r="E342" s="499">
        <f>+[12]INVERSIÓN!DN18</f>
        <v>106920000</v>
      </c>
      <c r="F342" s="499">
        <f>+[12]INVERSIÓN!DP19</f>
        <v>0</v>
      </c>
      <c r="G342" s="500"/>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3"/>
      <c r="AG342" s="373"/>
      <c r="AH342" s="373"/>
      <c r="AI342" s="373"/>
      <c r="AJ342" s="373"/>
      <c r="AK342" s="373"/>
      <c r="AL342" s="373"/>
      <c r="AM342" s="373"/>
      <c r="AN342" s="373"/>
    </row>
    <row r="343" spans="1:40" ht="16.5" customHeight="1" x14ac:dyDescent="0.25">
      <c r="A343" s="1201"/>
      <c r="B343" s="1198" t="s">
        <v>236</v>
      </c>
      <c r="C343" s="1187" t="s">
        <v>237</v>
      </c>
      <c r="D343" s="491" t="s">
        <v>267</v>
      </c>
      <c r="E343" s="499">
        <f>+[12]INVERSIÓN!DN32</f>
        <v>259248000</v>
      </c>
      <c r="F343" s="499">
        <f>+[12]INVERSIÓN!DP33</f>
        <v>0</v>
      </c>
      <c r="G343" s="463"/>
      <c r="H343" s="373"/>
      <c r="I343" s="373"/>
      <c r="J343" s="373"/>
      <c r="K343" s="373"/>
      <c r="L343" s="373"/>
      <c r="M343" s="373"/>
      <c r="N343" s="373"/>
      <c r="O343" s="373"/>
      <c r="P343" s="373"/>
      <c r="Q343" s="373"/>
      <c r="R343" s="373"/>
      <c r="S343" s="373"/>
      <c r="T343" s="373"/>
      <c r="U343" s="373"/>
      <c r="V343" s="373"/>
      <c r="W343" s="373"/>
      <c r="X343" s="373"/>
      <c r="Y343" s="373"/>
      <c r="Z343" s="373"/>
      <c r="AA343" s="373"/>
      <c r="AB343" s="373"/>
      <c r="AC343" s="373"/>
      <c r="AD343" s="373"/>
      <c r="AE343" s="373"/>
      <c r="AF343" s="373"/>
      <c r="AG343" s="373"/>
      <c r="AH343" s="373"/>
      <c r="AI343" s="373"/>
      <c r="AJ343" s="373"/>
      <c r="AK343" s="373"/>
      <c r="AL343" s="373"/>
      <c r="AM343" s="373"/>
      <c r="AN343" s="373"/>
    </row>
    <row r="344" spans="1:40" ht="16.5" customHeight="1" thickBot="1" x14ac:dyDescent="0.3">
      <c r="A344" s="1202"/>
      <c r="B344" s="1199"/>
      <c r="C344" s="1188"/>
      <c r="D344" s="491" t="s">
        <v>268</v>
      </c>
      <c r="E344" s="501">
        <f>+[12]INVERSIÓN!DN25</f>
        <v>970542000</v>
      </c>
      <c r="F344" s="499">
        <f>+[12]INVERSIÓN!DP26</f>
        <v>0</v>
      </c>
      <c r="G344" s="463"/>
      <c r="H344" s="373"/>
      <c r="I344" s="373"/>
      <c r="J344" s="373"/>
      <c r="K344" s="373"/>
      <c r="L344" s="373"/>
      <c r="M344" s="373"/>
      <c r="N344" s="373"/>
      <c r="O344" s="373"/>
      <c r="P344" s="373"/>
      <c r="Q344" s="373"/>
      <c r="R344" s="373"/>
      <c r="S344" s="373"/>
      <c r="T344" s="373"/>
      <c r="U344" s="373"/>
      <c r="V344" s="373"/>
      <c r="W344" s="373"/>
      <c r="X344" s="373"/>
      <c r="Y344" s="373"/>
      <c r="Z344" s="373"/>
      <c r="AA344" s="373"/>
      <c r="AB344" s="373"/>
      <c r="AC344" s="373"/>
      <c r="AD344" s="373"/>
      <c r="AE344" s="373"/>
      <c r="AF344" s="373"/>
      <c r="AG344" s="373"/>
      <c r="AH344" s="373"/>
      <c r="AI344" s="373"/>
      <c r="AJ344" s="373"/>
      <c r="AK344" s="373"/>
      <c r="AL344" s="373"/>
      <c r="AM344" s="373"/>
      <c r="AN344" s="373"/>
    </row>
    <row r="345" spans="1:40" ht="16.5" customHeight="1" x14ac:dyDescent="0.25">
      <c r="A345" s="1205" t="s">
        <v>208</v>
      </c>
      <c r="B345" s="1203" t="s">
        <v>230</v>
      </c>
      <c r="C345" s="1204" t="s">
        <v>231</v>
      </c>
      <c r="D345" s="491" t="s">
        <v>265</v>
      </c>
      <c r="E345" s="502">
        <v>6232912000</v>
      </c>
      <c r="F345" s="502">
        <f>+[12]INVERSIÓN!DR12</f>
        <v>53144233</v>
      </c>
      <c r="G345" s="463"/>
      <c r="H345" s="373"/>
      <c r="I345" s="373"/>
      <c r="J345" s="373"/>
      <c r="K345" s="373"/>
      <c r="L345" s="373"/>
      <c r="M345" s="373"/>
      <c r="N345" s="373"/>
      <c r="O345" s="373"/>
      <c r="P345" s="373"/>
      <c r="Q345" s="373"/>
      <c r="R345" s="373"/>
      <c r="S345" s="373"/>
      <c r="T345" s="373"/>
      <c r="U345" s="373"/>
      <c r="V345" s="373"/>
      <c r="W345" s="373"/>
      <c r="X345" s="373"/>
      <c r="Y345" s="373"/>
      <c r="Z345" s="373"/>
      <c r="AA345" s="373"/>
      <c r="AB345" s="373"/>
      <c r="AC345" s="373"/>
      <c r="AD345" s="373"/>
      <c r="AE345" s="373"/>
      <c r="AF345" s="373"/>
      <c r="AG345" s="373"/>
      <c r="AH345" s="373"/>
      <c r="AI345" s="373"/>
      <c r="AJ345" s="373"/>
      <c r="AK345" s="373"/>
      <c r="AL345" s="373"/>
      <c r="AM345" s="373"/>
      <c r="AN345" s="373"/>
    </row>
    <row r="346" spans="1:40" ht="16.5" customHeight="1" x14ac:dyDescent="0.25">
      <c r="A346" s="1206"/>
      <c r="B346" s="1197"/>
      <c r="C346" s="1188"/>
      <c r="D346" s="491" t="s">
        <v>339</v>
      </c>
      <c r="E346" s="502">
        <v>106920000</v>
      </c>
      <c r="F346" s="502">
        <f>+[12]INVERSIÓN!DR19</f>
        <v>1763600</v>
      </c>
      <c r="G346" s="463"/>
      <c r="H346" s="373"/>
      <c r="I346" s="373"/>
      <c r="J346" s="373"/>
      <c r="K346" s="373"/>
      <c r="L346" s="373"/>
      <c r="M346" s="373"/>
      <c r="N346" s="373"/>
      <c r="O346" s="373"/>
      <c r="P346" s="373"/>
      <c r="Q346" s="373"/>
      <c r="R346" s="373"/>
      <c r="S346" s="373"/>
      <c r="T346" s="373"/>
      <c r="U346" s="373"/>
      <c r="V346" s="373"/>
      <c r="W346" s="373"/>
      <c r="X346" s="373"/>
      <c r="Y346" s="373"/>
      <c r="Z346" s="373"/>
      <c r="AA346" s="373"/>
      <c r="AB346" s="373"/>
      <c r="AC346" s="373"/>
      <c r="AD346" s="373"/>
      <c r="AE346" s="373"/>
      <c r="AF346" s="373"/>
      <c r="AG346" s="373"/>
      <c r="AH346" s="373"/>
      <c r="AI346" s="373"/>
      <c r="AJ346" s="373"/>
      <c r="AK346" s="373"/>
      <c r="AL346" s="373"/>
      <c r="AM346" s="373"/>
      <c r="AN346" s="373"/>
    </row>
    <row r="347" spans="1:40" ht="16.5" customHeight="1" x14ac:dyDescent="0.25">
      <c r="A347" s="1206"/>
      <c r="B347" s="1198" t="s">
        <v>236</v>
      </c>
      <c r="C347" s="1187" t="s">
        <v>237</v>
      </c>
      <c r="D347" s="491" t="s">
        <v>267</v>
      </c>
      <c r="E347" s="502">
        <v>259248000</v>
      </c>
      <c r="F347" s="502">
        <f>+[12]INVERSIÓN!DR26</f>
        <v>5177199</v>
      </c>
      <c r="G347" s="463"/>
      <c r="H347" s="373"/>
      <c r="I347" s="373"/>
      <c r="J347" s="373"/>
      <c r="K347" s="373"/>
      <c r="L347" s="373"/>
      <c r="M347" s="373"/>
      <c r="N347" s="373"/>
      <c r="O347" s="373"/>
      <c r="P347" s="373"/>
      <c r="Q347" s="373"/>
      <c r="R347" s="373"/>
      <c r="S347" s="373"/>
      <c r="T347" s="373"/>
      <c r="U347" s="373"/>
      <c r="V347" s="373"/>
      <c r="W347" s="373"/>
      <c r="X347" s="373"/>
      <c r="Y347" s="373"/>
      <c r="Z347" s="373"/>
      <c r="AA347" s="373"/>
      <c r="AB347" s="373"/>
      <c r="AC347" s="373"/>
      <c r="AD347" s="373"/>
      <c r="AE347" s="373"/>
      <c r="AF347" s="373"/>
      <c r="AG347" s="373"/>
      <c r="AH347" s="373"/>
      <c r="AI347" s="373"/>
      <c r="AJ347" s="373"/>
      <c r="AK347" s="373"/>
      <c r="AL347" s="373"/>
      <c r="AM347" s="373"/>
      <c r="AN347" s="373"/>
    </row>
    <row r="348" spans="1:40" ht="16.5" customHeight="1" thickBot="1" x14ac:dyDescent="0.3">
      <c r="A348" s="1207"/>
      <c r="B348" s="1199"/>
      <c r="C348" s="1188"/>
      <c r="D348" s="491" t="s">
        <v>268</v>
      </c>
      <c r="E348" s="502">
        <v>970542000</v>
      </c>
      <c r="F348" s="502">
        <f>+[12]INVERSIÓN!DR33</f>
        <v>0</v>
      </c>
      <c r="G348" s="463"/>
      <c r="H348" s="373"/>
      <c r="I348" s="373"/>
      <c r="J348" s="373"/>
      <c r="K348" s="373"/>
      <c r="L348" s="373"/>
      <c r="M348" s="373"/>
      <c r="N348" s="373"/>
      <c r="O348" s="373"/>
      <c r="P348" s="373"/>
      <c r="Q348" s="373"/>
      <c r="R348" s="373"/>
      <c r="S348" s="373"/>
      <c r="T348" s="373"/>
      <c r="U348" s="373"/>
      <c r="V348" s="373"/>
      <c r="W348" s="373"/>
      <c r="X348" s="373"/>
      <c r="Y348" s="373"/>
      <c r="Z348" s="373"/>
      <c r="AA348" s="373"/>
      <c r="AB348" s="373"/>
      <c r="AC348" s="373"/>
      <c r="AD348" s="373"/>
      <c r="AE348" s="373"/>
      <c r="AF348" s="373"/>
      <c r="AG348" s="373"/>
      <c r="AH348" s="373"/>
      <c r="AI348" s="373"/>
      <c r="AJ348" s="373"/>
      <c r="AK348" s="373"/>
      <c r="AL348" s="373"/>
      <c r="AM348" s="373"/>
      <c r="AN348" s="373"/>
    </row>
    <row r="349" spans="1:40" x14ac:dyDescent="0.25">
      <c r="A349" s="1185" t="s">
        <v>209</v>
      </c>
      <c r="B349" s="1203" t="s">
        <v>230</v>
      </c>
      <c r="C349" s="1204" t="s">
        <v>231</v>
      </c>
      <c r="D349" s="491" t="s">
        <v>265</v>
      </c>
      <c r="E349" s="502">
        <v>6232912000</v>
      </c>
      <c r="F349" s="503">
        <v>250425666</v>
      </c>
      <c r="G349" s="504"/>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3"/>
      <c r="AG349" s="373"/>
      <c r="AH349" s="373"/>
      <c r="AI349" s="373"/>
      <c r="AJ349" s="373"/>
      <c r="AK349" s="373"/>
      <c r="AL349" s="373"/>
      <c r="AM349" s="373"/>
      <c r="AN349" s="373"/>
    </row>
    <row r="350" spans="1:40" x14ac:dyDescent="0.25">
      <c r="A350" s="1186"/>
      <c r="B350" s="1197"/>
      <c r="C350" s="1188"/>
      <c r="D350" s="491" t="s">
        <v>339</v>
      </c>
      <c r="E350" s="502">
        <v>106920000</v>
      </c>
      <c r="F350" s="505">
        <v>6172600</v>
      </c>
      <c r="G350" s="46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3"/>
      <c r="AG350" s="373"/>
      <c r="AH350" s="373"/>
      <c r="AI350" s="373"/>
      <c r="AJ350" s="373"/>
      <c r="AK350" s="373"/>
      <c r="AL350" s="373"/>
      <c r="AM350" s="373"/>
      <c r="AN350" s="373"/>
    </row>
    <row r="351" spans="1:40" x14ac:dyDescent="0.25">
      <c r="A351" s="1186"/>
      <c r="B351" s="1198" t="s">
        <v>236</v>
      </c>
      <c r="C351" s="1187" t="s">
        <v>237</v>
      </c>
      <c r="D351" s="491" t="s">
        <v>267</v>
      </c>
      <c r="E351" s="502">
        <v>259248000</v>
      </c>
      <c r="F351" s="505">
        <v>25205166</v>
      </c>
      <c r="G351" s="46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3"/>
      <c r="AG351" s="373"/>
      <c r="AH351" s="373"/>
      <c r="AI351" s="373"/>
      <c r="AJ351" s="373"/>
      <c r="AK351" s="373"/>
      <c r="AL351" s="373"/>
      <c r="AM351" s="373"/>
      <c r="AN351" s="373"/>
    </row>
    <row r="352" spans="1:40" ht="15.75" thickBot="1" x14ac:dyDescent="0.3">
      <c r="A352" s="1208"/>
      <c r="B352" s="1199"/>
      <c r="C352" s="1188"/>
      <c r="D352" s="491" t="s">
        <v>268</v>
      </c>
      <c r="E352" s="502">
        <v>970542000</v>
      </c>
      <c r="F352" s="505">
        <v>1982400</v>
      </c>
      <c r="G352" s="46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3"/>
      <c r="AG352" s="373"/>
      <c r="AH352" s="373"/>
      <c r="AI352" s="373"/>
      <c r="AJ352" s="373"/>
      <c r="AK352" s="373"/>
      <c r="AL352" s="373"/>
      <c r="AM352" s="373"/>
      <c r="AN352" s="373"/>
    </row>
    <row r="353" spans="1:40" x14ac:dyDescent="0.25">
      <c r="A353" s="1185" t="s">
        <v>210</v>
      </c>
      <c r="B353" s="1203" t="s">
        <v>230</v>
      </c>
      <c r="C353" s="1204" t="s">
        <v>231</v>
      </c>
      <c r="D353" s="488" t="s">
        <v>265</v>
      </c>
      <c r="E353" s="527">
        <v>6232912000</v>
      </c>
      <c r="F353" s="505">
        <v>529189020.80046946</v>
      </c>
      <c r="G353" s="463"/>
      <c r="H353" s="373"/>
      <c r="I353" s="373"/>
      <c r="J353" s="373"/>
      <c r="K353" s="373"/>
      <c r="L353" s="373"/>
      <c r="M353" s="373"/>
      <c r="N353" s="373"/>
      <c r="O353" s="373"/>
      <c r="P353" s="373"/>
      <c r="Q353" s="373"/>
      <c r="R353" s="373"/>
      <c r="S353" s="373"/>
      <c r="T353" s="373"/>
      <c r="U353" s="373"/>
      <c r="V353" s="373"/>
      <c r="W353" s="373"/>
      <c r="X353" s="373"/>
      <c r="Y353" s="373"/>
      <c r="Z353" s="373"/>
      <c r="AA353" s="373"/>
      <c r="AB353" s="373"/>
      <c r="AC353" s="373"/>
      <c r="AD353" s="373"/>
      <c r="AE353" s="373"/>
      <c r="AF353" s="373"/>
      <c r="AG353" s="373"/>
      <c r="AH353" s="373"/>
      <c r="AI353" s="373"/>
      <c r="AJ353" s="373"/>
      <c r="AK353" s="373"/>
      <c r="AL353" s="373"/>
      <c r="AM353" s="373"/>
      <c r="AN353" s="373"/>
    </row>
    <row r="354" spans="1:40" x14ac:dyDescent="0.25">
      <c r="A354" s="1186"/>
      <c r="B354" s="1197"/>
      <c r="C354" s="1188"/>
      <c r="D354" s="506" t="s">
        <v>339</v>
      </c>
      <c r="E354" s="528">
        <v>106920000</v>
      </c>
      <c r="F354" s="507">
        <v>9250600</v>
      </c>
      <c r="G354" s="508"/>
      <c r="H354" s="373"/>
      <c r="I354" s="373"/>
      <c r="J354" s="373"/>
      <c r="K354" s="373"/>
      <c r="L354" s="373"/>
      <c r="M354" s="373"/>
      <c r="N354" s="373"/>
      <c r="O354" s="373"/>
      <c r="P354" s="373"/>
      <c r="Q354" s="373"/>
      <c r="R354" s="373"/>
      <c r="S354" s="373"/>
      <c r="T354" s="373"/>
      <c r="U354" s="373"/>
      <c r="V354" s="373"/>
      <c r="W354" s="373"/>
      <c r="X354" s="373"/>
      <c r="Y354" s="373"/>
      <c r="Z354" s="373"/>
      <c r="AA354" s="373"/>
      <c r="AB354" s="373"/>
      <c r="AC354" s="373"/>
      <c r="AD354" s="373"/>
      <c r="AE354" s="373"/>
      <c r="AF354" s="373"/>
      <c r="AG354" s="373"/>
      <c r="AH354" s="373"/>
      <c r="AI354" s="373"/>
      <c r="AJ354" s="373"/>
      <c r="AK354" s="373"/>
      <c r="AL354" s="373"/>
      <c r="AM354" s="373"/>
      <c r="AN354" s="373"/>
    </row>
    <row r="355" spans="1:40" x14ac:dyDescent="0.25">
      <c r="A355" s="1186"/>
      <c r="B355" s="1198" t="s">
        <v>236</v>
      </c>
      <c r="C355" s="1187" t="s">
        <v>237</v>
      </c>
      <c r="D355" s="506" t="s">
        <v>267</v>
      </c>
      <c r="E355" s="528">
        <v>259248000</v>
      </c>
      <c r="F355" s="507">
        <v>53645494.19953052</v>
      </c>
      <c r="G355" s="508"/>
      <c r="H355" s="373"/>
      <c r="I355" s="373"/>
      <c r="J355" s="373"/>
      <c r="K355" s="373"/>
      <c r="L355" s="373"/>
      <c r="M355" s="373"/>
      <c r="N355" s="373"/>
      <c r="O355" s="373"/>
      <c r="P355" s="373"/>
      <c r="Q355" s="373"/>
      <c r="R355" s="373"/>
      <c r="S355" s="373"/>
      <c r="T355" s="373"/>
      <c r="U355" s="373"/>
      <c r="V355" s="373"/>
      <c r="W355" s="373"/>
      <c r="X355" s="373"/>
      <c r="Y355" s="373"/>
      <c r="Z355" s="373"/>
      <c r="AA355" s="373"/>
      <c r="AB355" s="373"/>
      <c r="AC355" s="373"/>
      <c r="AD355" s="373"/>
      <c r="AE355" s="373"/>
      <c r="AF355" s="373"/>
      <c r="AG355" s="373"/>
      <c r="AH355" s="373"/>
      <c r="AI355" s="373"/>
      <c r="AJ355" s="373"/>
      <c r="AK355" s="373"/>
      <c r="AL355" s="373"/>
      <c r="AM355" s="373"/>
      <c r="AN355" s="373"/>
    </row>
    <row r="356" spans="1:40" ht="15.75" thickBot="1" x14ac:dyDescent="0.3">
      <c r="A356" s="1208"/>
      <c r="B356" s="1199"/>
      <c r="C356" s="1188"/>
      <c r="D356" s="506" t="s">
        <v>268</v>
      </c>
      <c r="E356" s="528">
        <v>970542000</v>
      </c>
      <c r="F356" s="507">
        <v>13535600</v>
      </c>
      <c r="G356" s="508"/>
      <c r="H356" s="373"/>
      <c r="I356" s="373"/>
      <c r="J356" s="373"/>
      <c r="K356" s="373"/>
      <c r="L356" s="373"/>
      <c r="M356" s="373"/>
      <c r="N356" s="373"/>
      <c r="O356" s="373"/>
      <c r="P356" s="373"/>
      <c r="Q356" s="373"/>
      <c r="R356" s="373"/>
      <c r="S356" s="373"/>
      <c r="T356" s="373"/>
      <c r="U356" s="373"/>
      <c r="V356" s="373"/>
      <c r="W356" s="373"/>
      <c r="X356" s="373"/>
      <c r="Y356" s="373"/>
      <c r="Z356" s="373"/>
      <c r="AA356" s="373"/>
      <c r="AB356" s="373"/>
      <c r="AC356" s="373"/>
      <c r="AD356" s="373"/>
      <c r="AE356" s="373"/>
      <c r="AF356" s="373"/>
      <c r="AG356" s="373"/>
      <c r="AH356" s="373"/>
      <c r="AI356" s="373"/>
      <c r="AJ356" s="373"/>
      <c r="AK356" s="373"/>
      <c r="AL356" s="373"/>
      <c r="AM356" s="373"/>
      <c r="AN356" s="373"/>
    </row>
    <row r="357" spans="1:40" x14ac:dyDescent="0.25">
      <c r="A357" s="1210" t="s">
        <v>211</v>
      </c>
      <c r="B357" s="1203" t="s">
        <v>230</v>
      </c>
      <c r="C357" s="1204" t="s">
        <v>231</v>
      </c>
      <c r="D357" s="488" t="s">
        <v>265</v>
      </c>
      <c r="E357" s="527">
        <v>6232912000</v>
      </c>
      <c r="F357" s="528">
        <v>868229591.02347422</v>
      </c>
      <c r="G357" s="508"/>
      <c r="H357" s="373"/>
      <c r="I357" s="373"/>
      <c r="J357" s="373"/>
      <c r="K357" s="373"/>
      <c r="L357" s="373"/>
      <c r="M357" s="373"/>
      <c r="N357" s="373"/>
      <c r="O357" s="373"/>
      <c r="P357" s="373"/>
      <c r="Q357" s="373"/>
      <c r="R357" s="373"/>
      <c r="S357" s="373"/>
      <c r="T357" s="373"/>
      <c r="U357" s="373"/>
      <c r="V357" s="373"/>
      <c r="W357" s="373"/>
      <c r="X357" s="373"/>
      <c r="Y357" s="373"/>
      <c r="Z357" s="373"/>
      <c r="AA357" s="373"/>
      <c r="AB357" s="373"/>
      <c r="AC357" s="373"/>
      <c r="AD357" s="373"/>
      <c r="AE357" s="373"/>
      <c r="AF357" s="373"/>
      <c r="AG357" s="373"/>
      <c r="AH357" s="373"/>
      <c r="AI357" s="373"/>
      <c r="AJ357" s="373"/>
      <c r="AK357" s="373"/>
      <c r="AL357" s="373"/>
      <c r="AM357" s="373"/>
      <c r="AN357" s="373"/>
    </row>
    <row r="358" spans="1:40" x14ac:dyDescent="0.25">
      <c r="A358" s="1211"/>
      <c r="B358" s="1197"/>
      <c r="C358" s="1188"/>
      <c r="D358" s="506" t="s">
        <v>339</v>
      </c>
      <c r="E358" s="528">
        <v>106920000</v>
      </c>
      <c r="F358" s="528">
        <v>16756000</v>
      </c>
      <c r="G358" s="508"/>
      <c r="H358" s="373"/>
      <c r="I358" s="373"/>
      <c r="J358" s="373"/>
      <c r="K358" s="373"/>
      <c r="L358" s="373"/>
      <c r="M358" s="373"/>
      <c r="N358" s="373"/>
      <c r="O358" s="373"/>
      <c r="P358" s="373"/>
      <c r="Q358" s="373"/>
      <c r="R358" s="373"/>
      <c r="S358" s="373"/>
      <c r="T358" s="373"/>
      <c r="U358" s="373"/>
      <c r="V358" s="373"/>
      <c r="W358" s="373"/>
      <c r="X358" s="373"/>
      <c r="Y358" s="373"/>
      <c r="Z358" s="373"/>
      <c r="AA358" s="373"/>
      <c r="AB358" s="373"/>
      <c r="AC358" s="373"/>
      <c r="AD358" s="373"/>
      <c r="AE358" s="373"/>
      <c r="AF358" s="373"/>
      <c r="AG358" s="373"/>
      <c r="AH358" s="373"/>
      <c r="AI358" s="373"/>
      <c r="AJ358" s="373"/>
      <c r="AK358" s="373"/>
      <c r="AL358" s="373"/>
      <c r="AM358" s="373"/>
      <c r="AN358" s="373"/>
    </row>
    <row r="359" spans="1:40" x14ac:dyDescent="0.25">
      <c r="A359" s="1211"/>
      <c r="B359" s="1198" t="s">
        <v>236</v>
      </c>
      <c r="C359" s="1187" t="s">
        <v>237</v>
      </c>
      <c r="D359" s="506" t="s">
        <v>267</v>
      </c>
      <c r="E359" s="528">
        <v>259248000</v>
      </c>
      <c r="F359" s="528">
        <v>106322987.97652581</v>
      </c>
      <c r="G359" s="508"/>
      <c r="H359" s="373"/>
      <c r="I359" s="373"/>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3"/>
      <c r="AG359" s="373"/>
      <c r="AH359" s="373"/>
      <c r="AI359" s="373"/>
      <c r="AJ359" s="373"/>
      <c r="AK359" s="373"/>
      <c r="AL359" s="373"/>
      <c r="AM359" s="373"/>
      <c r="AN359" s="373"/>
    </row>
    <row r="360" spans="1:40" ht="15.75" thickBot="1" x14ac:dyDescent="0.3">
      <c r="A360" s="1212"/>
      <c r="B360" s="1199"/>
      <c r="C360" s="1188"/>
      <c r="D360" s="506" t="s">
        <v>268</v>
      </c>
      <c r="E360" s="528">
        <v>970542000</v>
      </c>
      <c r="F360" s="529">
        <v>26979600</v>
      </c>
      <c r="G360" s="455"/>
      <c r="H360" s="373"/>
      <c r="I360" s="373"/>
      <c r="J360" s="373"/>
      <c r="K360" s="373"/>
      <c r="L360" s="373"/>
      <c r="M360" s="373"/>
      <c r="N360" s="373"/>
      <c r="O360" s="373"/>
      <c r="P360" s="373"/>
      <c r="Q360" s="373"/>
      <c r="R360" s="373"/>
      <c r="S360" s="373"/>
      <c r="T360" s="373"/>
      <c r="U360" s="373"/>
      <c r="V360" s="373"/>
      <c r="W360" s="373"/>
      <c r="X360" s="373"/>
      <c r="Y360" s="373"/>
      <c r="Z360" s="373"/>
      <c r="AA360" s="373"/>
      <c r="AB360" s="373"/>
      <c r="AC360" s="373"/>
      <c r="AD360" s="373"/>
      <c r="AE360" s="373"/>
      <c r="AF360" s="373"/>
      <c r="AG360" s="373"/>
      <c r="AH360" s="373"/>
      <c r="AI360" s="373"/>
      <c r="AJ360" s="373"/>
      <c r="AK360" s="373"/>
      <c r="AL360" s="373"/>
      <c r="AM360" s="373"/>
      <c r="AN360" s="373"/>
    </row>
    <row r="361" spans="1:40" ht="15.75" thickBot="1" x14ac:dyDescent="0.3">
      <c r="A361" s="373"/>
      <c r="B361" s="373"/>
      <c r="C361" s="373"/>
      <c r="D361" s="373"/>
      <c r="E361" s="373"/>
      <c r="F361" s="373"/>
      <c r="G361" s="373"/>
      <c r="H361" s="373"/>
      <c r="I361" s="373"/>
      <c r="J361" s="373"/>
      <c r="K361" s="456"/>
      <c r="L361" s="373"/>
      <c r="M361" s="373"/>
      <c r="N361" s="373"/>
      <c r="O361" s="373"/>
      <c r="P361" s="373"/>
      <c r="Q361" s="373"/>
      <c r="R361" s="373"/>
      <c r="S361" s="373"/>
      <c r="T361" s="373"/>
      <c r="U361" s="373"/>
      <c r="V361" s="373"/>
      <c r="W361" s="373"/>
      <c r="X361" s="373"/>
      <c r="Y361" s="373"/>
      <c r="Z361" s="373"/>
      <c r="AA361" s="373"/>
      <c r="AB361" s="373"/>
      <c r="AC361" s="373"/>
      <c r="AD361" s="373"/>
      <c r="AE361" s="373"/>
      <c r="AF361" s="373"/>
      <c r="AG361" s="373"/>
      <c r="AH361" s="373"/>
      <c r="AI361" s="373"/>
      <c r="AJ361" s="373"/>
      <c r="AK361" s="373"/>
      <c r="AL361" s="373"/>
      <c r="AM361" s="373"/>
      <c r="AN361" s="373"/>
    </row>
    <row r="362" spans="1:40" ht="24.75" customHeight="1" x14ac:dyDescent="0.3">
      <c r="A362" s="510" t="s">
        <v>282</v>
      </c>
      <c r="B362" s="457"/>
      <c r="C362" s="457"/>
      <c r="D362" s="457"/>
      <c r="E362" s="457"/>
      <c r="F362" s="457"/>
      <c r="G362" s="457"/>
      <c r="H362" s="458"/>
      <c r="I362" s="373"/>
      <c r="J362" s="373"/>
      <c r="K362" s="459"/>
      <c r="L362" s="373"/>
      <c r="M362" s="373"/>
      <c r="N362" s="373"/>
      <c r="O362" s="373"/>
      <c r="P362" s="373"/>
      <c r="Q362" s="373"/>
      <c r="R362" s="373"/>
      <c r="S362" s="373"/>
      <c r="T362" s="373"/>
      <c r="U362" s="373"/>
      <c r="V362" s="373"/>
      <c r="W362" s="373"/>
      <c r="X362" s="373"/>
      <c r="Y362" s="373"/>
      <c r="Z362" s="373"/>
      <c r="AA362" s="373"/>
      <c r="AB362" s="373"/>
      <c r="AC362" s="373"/>
      <c r="AD362" s="373"/>
      <c r="AE362" s="373"/>
      <c r="AF362" s="373"/>
      <c r="AG362" s="373"/>
      <c r="AH362" s="373"/>
      <c r="AI362" s="373"/>
      <c r="AJ362" s="373"/>
      <c r="AK362" s="373"/>
      <c r="AL362" s="373"/>
      <c r="AM362" s="373"/>
      <c r="AN362" s="373"/>
    </row>
    <row r="363" spans="1:40" ht="46.5" customHeight="1" x14ac:dyDescent="0.25">
      <c r="A363" s="496" t="s">
        <v>25</v>
      </c>
      <c r="B363" s="511" t="s">
        <v>283</v>
      </c>
      <c r="C363" s="452" t="s">
        <v>220</v>
      </c>
      <c r="D363" s="452" t="s">
        <v>221</v>
      </c>
      <c r="E363" s="452" t="s">
        <v>284</v>
      </c>
      <c r="F363" s="452" t="s">
        <v>285</v>
      </c>
      <c r="G363" s="452" t="s">
        <v>286</v>
      </c>
      <c r="H363" s="460" t="s">
        <v>264</v>
      </c>
      <c r="I363" s="373"/>
      <c r="J363" s="373"/>
      <c r="K363" s="373"/>
      <c r="L363" s="373"/>
      <c r="M363" s="373"/>
      <c r="N363" s="373"/>
      <c r="O363" s="373"/>
      <c r="P363" s="373"/>
      <c r="Q363" s="373"/>
      <c r="R363" s="373"/>
      <c r="S363" s="373"/>
      <c r="T363" s="373"/>
      <c r="U363" s="373"/>
      <c r="V363" s="373"/>
      <c r="W363" s="373"/>
      <c r="X363" s="373"/>
      <c r="Y363" s="373"/>
      <c r="Z363" s="373"/>
      <c r="AA363" s="373"/>
      <c r="AB363" s="373"/>
      <c r="AC363" s="373"/>
      <c r="AD363" s="373"/>
      <c r="AE363" s="373"/>
      <c r="AF363" s="373"/>
      <c r="AG363" s="373"/>
      <c r="AH363" s="373"/>
      <c r="AI363" s="373"/>
      <c r="AJ363" s="373"/>
      <c r="AK363" s="373"/>
      <c r="AL363" s="373"/>
      <c r="AM363" s="373"/>
      <c r="AN363" s="373"/>
    </row>
    <row r="364" spans="1:40" x14ac:dyDescent="0.25">
      <c r="A364" s="512" t="s">
        <v>199</v>
      </c>
      <c r="B364" s="488" t="s">
        <v>287</v>
      </c>
      <c r="C364" s="488" t="s">
        <v>288</v>
      </c>
      <c r="D364" s="476">
        <v>100</v>
      </c>
      <c r="E364" s="461">
        <v>12.5</v>
      </c>
      <c r="F364" s="461">
        <v>1.42</v>
      </c>
      <c r="G364" s="462">
        <f>F364/E364</f>
        <v>0.11359999999999999</v>
      </c>
      <c r="H364" s="463" t="s">
        <v>289</v>
      </c>
      <c r="I364" s="373" t="s">
        <v>235</v>
      </c>
      <c r="J364" s="373"/>
      <c r="K364" s="373"/>
      <c r="L364" s="373"/>
      <c r="M364" s="456"/>
      <c r="N364" s="373"/>
      <c r="O364" s="373"/>
      <c r="P364" s="373"/>
      <c r="Q364" s="373"/>
      <c r="R364" s="373"/>
      <c r="S364" s="373"/>
      <c r="T364" s="373"/>
      <c r="U364" s="373"/>
      <c r="V364" s="373"/>
      <c r="W364" s="373"/>
      <c r="X364" s="373"/>
      <c r="Y364" s="373"/>
      <c r="Z364" s="373"/>
      <c r="AA364" s="373"/>
      <c r="AB364" s="373"/>
      <c r="AC364" s="373"/>
      <c r="AD364" s="373"/>
      <c r="AE364" s="373"/>
      <c r="AF364" s="373"/>
      <c r="AG364" s="373"/>
      <c r="AH364" s="373"/>
      <c r="AI364" s="373"/>
      <c r="AJ364" s="373"/>
      <c r="AK364" s="373"/>
      <c r="AL364" s="373"/>
      <c r="AM364" s="373"/>
      <c r="AN364" s="373"/>
    </row>
    <row r="365" spans="1:40" x14ac:dyDescent="0.25">
      <c r="A365" s="512" t="s">
        <v>201</v>
      </c>
      <c r="B365" s="488" t="s">
        <v>287</v>
      </c>
      <c r="C365" s="488" t="s">
        <v>288</v>
      </c>
      <c r="D365" s="476">
        <v>100</v>
      </c>
      <c r="E365" s="461">
        <v>12.5</v>
      </c>
      <c r="F365" s="461">
        <v>1.923</v>
      </c>
      <c r="G365" s="462">
        <f>F365/E365</f>
        <v>0.15384</v>
      </c>
      <c r="H365" s="463" t="s">
        <v>289</v>
      </c>
      <c r="I365" s="373" t="s">
        <v>235</v>
      </c>
      <c r="J365" s="464"/>
      <c r="K365" s="456"/>
      <c r="L365" s="373"/>
      <c r="M365" s="373"/>
      <c r="N365" s="373"/>
      <c r="O365" s="373"/>
      <c r="P365" s="373"/>
      <c r="Q365" s="373"/>
      <c r="R365" s="373"/>
      <c r="S365" s="373"/>
      <c r="T365" s="373"/>
      <c r="U365" s="373"/>
      <c r="V365" s="373"/>
      <c r="W365" s="373"/>
      <c r="X365" s="373"/>
      <c r="Y365" s="373"/>
      <c r="Z365" s="373"/>
      <c r="AA365" s="373"/>
      <c r="AB365" s="373"/>
      <c r="AC365" s="373"/>
      <c r="AD365" s="373"/>
      <c r="AE365" s="373"/>
      <c r="AF365" s="373"/>
      <c r="AG365" s="373"/>
      <c r="AH365" s="373"/>
      <c r="AI365" s="373"/>
      <c r="AJ365" s="373"/>
      <c r="AK365" s="373"/>
      <c r="AL365" s="373"/>
      <c r="AM365" s="373"/>
      <c r="AN365" s="373"/>
    </row>
    <row r="366" spans="1:40" x14ac:dyDescent="0.25">
      <c r="A366" s="512" t="s">
        <v>202</v>
      </c>
      <c r="B366" s="488" t="s">
        <v>287</v>
      </c>
      <c r="C366" s="488" t="s">
        <v>288</v>
      </c>
      <c r="D366" s="476">
        <v>100</v>
      </c>
      <c r="E366" s="461">
        <v>12.5</v>
      </c>
      <c r="F366" s="461">
        <v>4.9000000000000004</v>
      </c>
      <c r="G366" s="462">
        <f>F366/E366</f>
        <v>0.39200000000000002</v>
      </c>
      <c r="H366" s="463" t="s">
        <v>289</v>
      </c>
      <c r="I366" s="373" t="s">
        <v>235</v>
      </c>
      <c r="J366" s="465"/>
      <c r="K366" s="456"/>
      <c r="L366" s="373"/>
      <c r="M366" s="373"/>
      <c r="N366" s="373"/>
      <c r="O366" s="373"/>
      <c r="P366" s="373"/>
      <c r="Q366" s="373"/>
      <c r="R366" s="373"/>
      <c r="S366" s="373"/>
      <c r="T366" s="373"/>
      <c r="U366" s="373"/>
      <c r="V366" s="373"/>
      <c r="W366" s="373"/>
      <c r="X366" s="373"/>
      <c r="Y366" s="373"/>
      <c r="Z366" s="373"/>
      <c r="AA366" s="373"/>
      <c r="AB366" s="373"/>
      <c r="AC366" s="373"/>
      <c r="AD366" s="373"/>
      <c r="AE366" s="373"/>
      <c r="AF366" s="373"/>
      <c r="AG366" s="373"/>
      <c r="AH366" s="373"/>
      <c r="AI366" s="373"/>
      <c r="AJ366" s="373"/>
      <c r="AK366" s="373"/>
      <c r="AL366" s="373"/>
      <c r="AM366" s="373"/>
      <c r="AN366" s="373"/>
    </row>
    <row r="367" spans="1:40" x14ac:dyDescent="0.25">
      <c r="A367" s="512" t="s">
        <v>203</v>
      </c>
      <c r="B367" s="488" t="s">
        <v>287</v>
      </c>
      <c r="C367" s="488" t="s">
        <v>288</v>
      </c>
      <c r="D367" s="476">
        <v>100</v>
      </c>
      <c r="E367" s="461">
        <v>12.5</v>
      </c>
      <c r="F367" s="466">
        <v>7.7039999999999997</v>
      </c>
      <c r="G367" s="462">
        <f>F367/E367</f>
        <v>0.61631999999999998</v>
      </c>
      <c r="H367" s="463" t="s">
        <v>289</v>
      </c>
      <c r="I367" s="373" t="s">
        <v>235</v>
      </c>
      <c r="J367" s="373"/>
      <c r="K367" s="464"/>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373"/>
      <c r="AL367" s="373"/>
      <c r="AM367" s="373"/>
      <c r="AN367" s="373"/>
    </row>
    <row r="368" spans="1:40" x14ac:dyDescent="0.25">
      <c r="A368" s="512" t="s">
        <v>204</v>
      </c>
      <c r="B368" s="488" t="s">
        <v>287</v>
      </c>
      <c r="C368" s="488" t="s">
        <v>288</v>
      </c>
      <c r="D368" s="476">
        <v>100</v>
      </c>
      <c r="E368" s="461">
        <v>12.5</v>
      </c>
      <c r="F368" s="467">
        <v>9.23</v>
      </c>
      <c r="G368" s="468">
        <f>+F368/E368</f>
        <v>0.73840000000000006</v>
      </c>
      <c r="H368" s="463" t="s">
        <v>289</v>
      </c>
      <c r="I368" s="373" t="s">
        <v>235</v>
      </c>
      <c r="J368" s="373"/>
      <c r="K368" s="373"/>
      <c r="L368" s="373"/>
      <c r="M368" s="373"/>
      <c r="N368" s="373"/>
      <c r="O368" s="373"/>
      <c r="P368" s="373"/>
      <c r="Q368" s="373"/>
      <c r="R368" s="373"/>
      <c r="S368" s="373"/>
      <c r="T368" s="373"/>
      <c r="U368" s="373"/>
      <c r="V368" s="373"/>
      <c r="W368" s="373"/>
      <c r="X368" s="373"/>
      <c r="Y368" s="373"/>
      <c r="Z368" s="373"/>
      <c r="AA368" s="373"/>
      <c r="AB368" s="373"/>
      <c r="AC368" s="373"/>
      <c r="AD368" s="373"/>
      <c r="AE368" s="373"/>
      <c r="AF368" s="373"/>
      <c r="AG368" s="373"/>
      <c r="AH368" s="373"/>
      <c r="AI368" s="373"/>
      <c r="AJ368" s="373"/>
      <c r="AK368" s="373"/>
      <c r="AL368" s="373"/>
      <c r="AM368" s="373"/>
      <c r="AN368" s="373"/>
    </row>
    <row r="369" spans="1:40" ht="15.75" thickBot="1" x14ac:dyDescent="0.3">
      <c r="A369" s="509" t="s">
        <v>205</v>
      </c>
      <c r="B369" s="454" t="s">
        <v>287</v>
      </c>
      <c r="C369" s="454" t="s">
        <v>288</v>
      </c>
      <c r="D369" s="470">
        <v>100</v>
      </c>
      <c r="E369" s="469">
        <v>12.5</v>
      </c>
      <c r="F369" s="470">
        <v>11.5</v>
      </c>
      <c r="G369" s="471">
        <f>+F369/E369</f>
        <v>0.92</v>
      </c>
      <c r="H369" s="455" t="s">
        <v>289</v>
      </c>
      <c r="I369" s="373" t="s">
        <v>235</v>
      </c>
      <c r="J369" s="373"/>
      <c r="K369" s="373"/>
      <c r="L369" s="373"/>
      <c r="M369" s="373"/>
      <c r="N369" s="373"/>
      <c r="O369" s="373"/>
      <c r="P369" s="373"/>
      <c r="Q369" s="373"/>
      <c r="R369" s="373"/>
      <c r="S369" s="373"/>
      <c r="T369" s="373"/>
      <c r="U369" s="373"/>
      <c r="V369" s="373"/>
      <c r="W369" s="373"/>
      <c r="X369" s="373"/>
      <c r="Y369" s="373"/>
      <c r="Z369" s="373"/>
      <c r="AA369" s="373"/>
      <c r="AB369" s="373"/>
      <c r="AC369" s="373"/>
      <c r="AD369" s="373"/>
      <c r="AE369" s="373"/>
      <c r="AF369" s="373"/>
      <c r="AG369" s="373"/>
      <c r="AH369" s="373"/>
      <c r="AI369" s="373"/>
      <c r="AJ369" s="373"/>
      <c r="AK369" s="373"/>
      <c r="AL369" s="373"/>
      <c r="AM369" s="373"/>
      <c r="AN369" s="373"/>
    </row>
    <row r="370" spans="1:40" ht="15.75" thickBot="1" x14ac:dyDescent="0.3">
      <c r="A370" s="373"/>
      <c r="B370" s="373"/>
      <c r="C370" s="373"/>
      <c r="D370" s="373"/>
      <c r="E370" s="373"/>
      <c r="F370" s="373"/>
      <c r="G370" s="373"/>
      <c r="H370" s="373"/>
      <c r="I370" s="373" t="s">
        <v>235</v>
      </c>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row>
    <row r="371" spans="1:40" ht="25.5" customHeight="1" x14ac:dyDescent="0.25">
      <c r="A371" s="513" t="s">
        <v>290</v>
      </c>
      <c r="B371" s="472"/>
      <c r="C371" s="472"/>
      <c r="D371" s="472"/>
      <c r="E371" s="472"/>
      <c r="F371" s="472"/>
      <c r="G371" s="472"/>
      <c r="H371" s="473"/>
      <c r="I371" s="373" t="s">
        <v>235</v>
      </c>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row>
    <row r="372" spans="1:40" ht="53.25" customHeight="1" x14ac:dyDescent="0.25">
      <c r="A372" s="496" t="s">
        <v>26</v>
      </c>
      <c r="B372" s="511" t="s">
        <v>283</v>
      </c>
      <c r="C372" s="452" t="s">
        <v>220</v>
      </c>
      <c r="D372" s="452" t="s">
        <v>240</v>
      </c>
      <c r="E372" s="452" t="s">
        <v>291</v>
      </c>
      <c r="F372" s="452" t="s">
        <v>292</v>
      </c>
      <c r="G372" s="452" t="s">
        <v>293</v>
      </c>
      <c r="H372" s="460" t="s">
        <v>264</v>
      </c>
      <c r="I372" s="373" t="s">
        <v>235</v>
      </c>
      <c r="J372" s="373"/>
      <c r="K372" s="373"/>
      <c r="L372" s="373"/>
      <c r="M372" s="373"/>
      <c r="N372" s="373"/>
      <c r="O372" s="373"/>
      <c r="P372" s="373"/>
      <c r="Q372" s="373"/>
      <c r="R372" s="373"/>
      <c r="S372" s="373"/>
      <c r="T372" s="373"/>
      <c r="U372" s="373"/>
      <c r="V372" s="373"/>
      <c r="W372" s="373"/>
      <c r="X372" s="373"/>
      <c r="Y372" s="373"/>
      <c r="Z372" s="373"/>
      <c r="AA372" s="373"/>
      <c r="AB372" s="373"/>
      <c r="AC372" s="373"/>
      <c r="AD372" s="373"/>
      <c r="AE372" s="373"/>
      <c r="AF372" s="373"/>
      <c r="AG372" s="373"/>
      <c r="AH372" s="373"/>
      <c r="AI372" s="373"/>
      <c r="AJ372" s="373"/>
      <c r="AK372" s="373"/>
      <c r="AL372" s="373"/>
      <c r="AM372" s="373"/>
      <c r="AN372" s="373"/>
    </row>
    <row r="373" spans="1:40" ht="16.5" customHeight="1" x14ac:dyDescent="0.25">
      <c r="A373" s="512" t="s">
        <v>207</v>
      </c>
      <c r="B373" s="488" t="s">
        <v>287</v>
      </c>
      <c r="C373" s="488" t="s">
        <v>288</v>
      </c>
      <c r="D373" s="476">
        <v>100</v>
      </c>
      <c r="E373" s="461">
        <v>25</v>
      </c>
      <c r="F373" s="461">
        <v>0</v>
      </c>
      <c r="G373" s="468">
        <f>F373/E373</f>
        <v>0</v>
      </c>
      <c r="H373" s="463" t="s">
        <v>294</v>
      </c>
      <c r="I373" s="373" t="s">
        <v>235</v>
      </c>
      <c r="J373" s="373"/>
      <c r="K373" s="373"/>
      <c r="L373" s="373"/>
      <c r="M373" s="373"/>
      <c r="N373" s="373"/>
      <c r="O373" s="373"/>
      <c r="P373" s="373"/>
      <c r="Q373" s="373"/>
      <c r="R373" s="373"/>
      <c r="S373" s="373"/>
      <c r="T373" s="373"/>
      <c r="U373" s="373"/>
      <c r="V373" s="373"/>
      <c r="W373" s="373"/>
      <c r="X373" s="373"/>
      <c r="Y373" s="373"/>
      <c r="Z373" s="373"/>
      <c r="AA373" s="373"/>
      <c r="AB373" s="373"/>
      <c r="AC373" s="373"/>
      <c r="AD373" s="373"/>
      <c r="AE373" s="373"/>
      <c r="AF373" s="373"/>
      <c r="AG373" s="373"/>
      <c r="AH373" s="373"/>
      <c r="AI373" s="373"/>
      <c r="AJ373" s="373"/>
      <c r="AK373" s="373"/>
      <c r="AL373" s="373"/>
      <c r="AM373" s="373"/>
      <c r="AN373" s="373"/>
    </row>
    <row r="374" spans="1:40" ht="16.5" customHeight="1" x14ac:dyDescent="0.25">
      <c r="A374" s="512" t="s">
        <v>208</v>
      </c>
      <c r="B374" s="488" t="s">
        <v>287</v>
      </c>
      <c r="C374" s="488" t="s">
        <v>288</v>
      </c>
      <c r="D374" s="476">
        <v>100</v>
      </c>
      <c r="E374" s="461">
        <v>25</v>
      </c>
      <c r="F374" s="461">
        <v>2.9</v>
      </c>
      <c r="G374" s="468">
        <f>+F374/E374</f>
        <v>0.11599999999999999</v>
      </c>
      <c r="H374" s="463" t="s">
        <v>294</v>
      </c>
      <c r="I374" s="373" t="s">
        <v>235</v>
      </c>
      <c r="J374" s="474"/>
      <c r="K374" s="373"/>
      <c r="L374" s="373"/>
      <c r="M374" s="373"/>
      <c r="N374" s="373"/>
      <c r="O374" s="373"/>
      <c r="P374" s="373"/>
      <c r="Q374" s="373"/>
      <c r="R374" s="373"/>
      <c r="S374" s="373"/>
      <c r="T374" s="373"/>
      <c r="U374" s="373"/>
      <c r="V374" s="373"/>
      <c r="W374" s="373"/>
      <c r="X374" s="373"/>
      <c r="Y374" s="373"/>
      <c r="Z374" s="373"/>
      <c r="AA374" s="373"/>
      <c r="AB374" s="373"/>
      <c r="AC374" s="373"/>
      <c r="AD374" s="373"/>
      <c r="AE374" s="373"/>
      <c r="AF374" s="373"/>
      <c r="AG374" s="373"/>
      <c r="AH374" s="373"/>
      <c r="AI374" s="373"/>
      <c r="AJ374" s="373"/>
      <c r="AK374" s="373"/>
      <c r="AL374" s="373"/>
      <c r="AM374" s="373"/>
      <c r="AN374" s="373"/>
    </row>
    <row r="375" spans="1:40" ht="16.5" customHeight="1" x14ac:dyDescent="0.25">
      <c r="A375" s="512" t="s">
        <v>209</v>
      </c>
      <c r="B375" s="488" t="s">
        <v>287</v>
      </c>
      <c r="C375" s="488" t="s">
        <v>288</v>
      </c>
      <c r="D375" s="476">
        <v>100</v>
      </c>
      <c r="E375" s="461">
        <v>25</v>
      </c>
      <c r="F375" s="461">
        <v>4.2</v>
      </c>
      <c r="G375" s="468">
        <f>+F375/E375</f>
        <v>0.16800000000000001</v>
      </c>
      <c r="H375" s="463" t="s">
        <v>294</v>
      </c>
      <c r="I375" s="373" t="s">
        <v>235</v>
      </c>
      <c r="J375" s="475"/>
      <c r="K375" s="464"/>
      <c r="L375" s="373"/>
      <c r="M375" s="373"/>
      <c r="N375" s="373"/>
      <c r="O375" s="373"/>
      <c r="P375" s="373"/>
      <c r="Q375" s="373"/>
      <c r="R375" s="373"/>
      <c r="S375" s="373"/>
      <c r="T375" s="373"/>
      <c r="U375" s="373"/>
      <c r="V375" s="373"/>
      <c r="W375" s="373"/>
      <c r="X375" s="373"/>
      <c r="Y375" s="373"/>
      <c r="Z375" s="373"/>
      <c r="AA375" s="373"/>
      <c r="AB375" s="373"/>
      <c r="AC375" s="373"/>
      <c r="AD375" s="373"/>
      <c r="AE375" s="373"/>
      <c r="AF375" s="373"/>
      <c r="AG375" s="373"/>
      <c r="AH375" s="373"/>
      <c r="AI375" s="373"/>
      <c r="AJ375" s="373"/>
      <c r="AK375" s="373"/>
      <c r="AL375" s="373"/>
      <c r="AM375" s="373"/>
      <c r="AN375" s="373"/>
    </row>
    <row r="376" spans="1:40" ht="16.5" customHeight="1" x14ac:dyDescent="0.25">
      <c r="A376" s="512" t="s">
        <v>210</v>
      </c>
      <c r="B376" s="488" t="s">
        <v>287</v>
      </c>
      <c r="C376" s="488" t="s">
        <v>288</v>
      </c>
      <c r="D376" s="476">
        <v>100</v>
      </c>
      <c r="E376" s="461">
        <v>25</v>
      </c>
      <c r="F376" s="461">
        <v>7.4</v>
      </c>
      <c r="G376" s="468">
        <f>+F376/E376</f>
        <v>0.29600000000000004</v>
      </c>
      <c r="H376" s="463" t="s">
        <v>294</v>
      </c>
      <c r="I376" s="373" t="s">
        <v>235</v>
      </c>
      <c r="J376" s="373"/>
      <c r="K376" s="373"/>
      <c r="L376" s="373"/>
      <c r="M376" s="373"/>
      <c r="N376" s="373"/>
      <c r="O376" s="373"/>
      <c r="P376" s="373"/>
      <c r="Q376" s="373"/>
      <c r="R376" s="373"/>
      <c r="S376" s="373"/>
      <c r="T376" s="373"/>
      <c r="U376" s="373"/>
      <c r="V376" s="373"/>
      <c r="W376" s="373"/>
      <c r="X376" s="373"/>
      <c r="Y376" s="373"/>
      <c r="Z376" s="373"/>
      <c r="AA376" s="373"/>
      <c r="AB376" s="373"/>
      <c r="AC376" s="373"/>
      <c r="AD376" s="373"/>
      <c r="AE376" s="373"/>
      <c r="AF376" s="373"/>
      <c r="AG376" s="373"/>
      <c r="AH376" s="373"/>
      <c r="AI376" s="373"/>
      <c r="AJ376" s="373"/>
      <c r="AK376" s="373"/>
      <c r="AL376" s="373"/>
      <c r="AM376" s="373"/>
      <c r="AN376" s="373"/>
    </row>
    <row r="377" spans="1:40" ht="16.5" customHeight="1" x14ac:dyDescent="0.25">
      <c r="A377" s="512" t="s">
        <v>211</v>
      </c>
      <c r="B377" s="488" t="s">
        <v>287</v>
      </c>
      <c r="C377" s="488" t="s">
        <v>288</v>
      </c>
      <c r="D377" s="476">
        <v>100</v>
      </c>
      <c r="E377" s="461">
        <v>25</v>
      </c>
      <c r="F377" s="461">
        <v>11.3</v>
      </c>
      <c r="G377" s="468">
        <f>+F377/E377</f>
        <v>0.45200000000000001</v>
      </c>
      <c r="H377" s="463" t="s">
        <v>294</v>
      </c>
      <c r="I377" s="373" t="s">
        <v>235</v>
      </c>
      <c r="J377" s="373"/>
      <c r="K377" s="373"/>
      <c r="L377" s="373"/>
      <c r="M377" s="373"/>
      <c r="N377" s="373"/>
      <c r="O377" s="373"/>
      <c r="P377" s="373"/>
      <c r="Q377" s="373"/>
      <c r="R377" s="373"/>
      <c r="S377" s="373"/>
      <c r="T377" s="373"/>
      <c r="U377" s="373"/>
      <c r="V377" s="373"/>
      <c r="W377" s="373"/>
      <c r="X377" s="373"/>
      <c r="Y377" s="373"/>
      <c r="Z377" s="373"/>
      <c r="AA377" s="373"/>
      <c r="AB377" s="373"/>
      <c r="AC377" s="373"/>
      <c r="AD377" s="373"/>
      <c r="AE377" s="373"/>
      <c r="AF377" s="373"/>
      <c r="AG377" s="373"/>
      <c r="AH377" s="373"/>
      <c r="AI377" s="373"/>
      <c r="AJ377" s="373"/>
      <c r="AK377" s="373"/>
      <c r="AL377" s="373"/>
      <c r="AM377" s="373"/>
      <c r="AN377" s="373"/>
    </row>
    <row r="378" spans="1:40" ht="16.5" customHeight="1" x14ac:dyDescent="0.25">
      <c r="A378" s="512" t="s">
        <v>212</v>
      </c>
      <c r="B378" s="488" t="s">
        <v>287</v>
      </c>
      <c r="C378" s="488" t="s">
        <v>288</v>
      </c>
      <c r="D378" s="476">
        <v>100</v>
      </c>
      <c r="E378" s="461">
        <v>25</v>
      </c>
      <c r="F378" s="461">
        <v>14.54</v>
      </c>
      <c r="G378" s="468">
        <f>+F378/E378</f>
        <v>0.58160000000000001</v>
      </c>
      <c r="H378" s="463" t="s">
        <v>294</v>
      </c>
      <c r="I378" s="373" t="s">
        <v>235</v>
      </c>
      <c r="J378" s="373"/>
      <c r="K378" s="373"/>
      <c r="L378" s="373"/>
      <c r="M378" s="373"/>
      <c r="N378" s="373"/>
      <c r="O378" s="373"/>
      <c r="P378" s="373"/>
      <c r="Q378" s="373"/>
      <c r="R378" s="373"/>
      <c r="S378" s="373"/>
      <c r="T378" s="373"/>
      <c r="U378" s="373"/>
      <c r="V378" s="373"/>
      <c r="W378" s="373"/>
      <c r="X378" s="373"/>
      <c r="Y378" s="373"/>
      <c r="Z378" s="373"/>
      <c r="AA378" s="373"/>
      <c r="AB378" s="373"/>
      <c r="AC378" s="373"/>
      <c r="AD378" s="373"/>
      <c r="AE378" s="373"/>
      <c r="AF378" s="373"/>
      <c r="AG378" s="373"/>
      <c r="AH378" s="373"/>
      <c r="AI378" s="373"/>
      <c r="AJ378" s="373"/>
      <c r="AK378" s="373"/>
      <c r="AL378" s="373"/>
      <c r="AM378" s="373"/>
      <c r="AN378" s="373"/>
    </row>
    <row r="379" spans="1:40" x14ac:dyDescent="0.25">
      <c r="A379" s="512" t="s">
        <v>199</v>
      </c>
      <c r="B379" s="488" t="s">
        <v>287</v>
      </c>
      <c r="C379" s="488" t="s">
        <v>288</v>
      </c>
      <c r="D379" s="476">
        <v>100</v>
      </c>
      <c r="E379" s="461">
        <v>25</v>
      </c>
      <c r="F379" s="461">
        <v>16.920000000000002</v>
      </c>
      <c r="G379" s="468">
        <v>0.58160000000000001</v>
      </c>
      <c r="H379" s="463" t="s">
        <v>294</v>
      </c>
      <c r="I379" s="373" t="s">
        <v>235</v>
      </c>
      <c r="J379" s="373"/>
      <c r="K379" s="373"/>
      <c r="L379" s="464"/>
      <c r="M379" s="373"/>
      <c r="N379" s="373"/>
      <c r="O379" s="373"/>
      <c r="P379" s="373"/>
      <c r="Q379" s="373"/>
      <c r="R379" s="373"/>
      <c r="S379" s="373"/>
      <c r="T379" s="373"/>
      <c r="U379" s="373"/>
      <c r="V379" s="373"/>
      <c r="W379" s="373"/>
      <c r="X379" s="373"/>
      <c r="Y379" s="373"/>
      <c r="Z379" s="373"/>
      <c r="AA379" s="373"/>
      <c r="AB379" s="373"/>
      <c r="AC379" s="373"/>
      <c r="AD379" s="373"/>
      <c r="AE379" s="373"/>
      <c r="AF379" s="373"/>
      <c r="AG379" s="373"/>
      <c r="AH379" s="373"/>
      <c r="AI379" s="373"/>
      <c r="AJ379" s="373"/>
      <c r="AK379" s="373"/>
      <c r="AL379" s="373"/>
      <c r="AM379" s="373"/>
      <c r="AN379" s="373"/>
    </row>
    <row r="380" spans="1:40" x14ac:dyDescent="0.25">
      <c r="A380" s="512" t="s">
        <v>201</v>
      </c>
      <c r="B380" s="488" t="s">
        <v>287</v>
      </c>
      <c r="C380" s="488" t="s">
        <v>288</v>
      </c>
      <c r="D380" s="476">
        <v>100</v>
      </c>
      <c r="E380" s="461">
        <v>25</v>
      </c>
      <c r="F380" s="461">
        <v>17.95</v>
      </c>
      <c r="G380" s="468">
        <f>+F380/E380</f>
        <v>0.71799999999999997</v>
      </c>
      <c r="H380" s="463" t="s">
        <v>294</v>
      </c>
      <c r="I380" s="373" t="s">
        <v>235</v>
      </c>
      <c r="J380" s="373"/>
      <c r="K380" s="373"/>
      <c r="L380" s="373"/>
      <c r="M380" s="373"/>
      <c r="N380" s="373"/>
      <c r="O380" s="373"/>
      <c r="P380" s="373"/>
      <c r="Q380" s="373"/>
      <c r="R380" s="373"/>
      <c r="S380" s="373"/>
      <c r="T380" s="373"/>
      <c r="U380" s="373"/>
      <c r="V380" s="373"/>
      <c r="W380" s="373"/>
      <c r="X380" s="373"/>
      <c r="Y380" s="373"/>
      <c r="Z380" s="373"/>
      <c r="AA380" s="373"/>
      <c r="AB380" s="373"/>
      <c r="AC380" s="373"/>
      <c r="AD380" s="373"/>
      <c r="AE380" s="373"/>
      <c r="AF380" s="373"/>
      <c r="AG380" s="373"/>
      <c r="AH380" s="373"/>
      <c r="AI380" s="373"/>
      <c r="AJ380" s="373"/>
      <c r="AK380" s="373"/>
      <c r="AL380" s="373"/>
      <c r="AM380" s="373"/>
      <c r="AN380" s="373"/>
    </row>
    <row r="381" spans="1:40" x14ac:dyDescent="0.25">
      <c r="A381" s="512" t="s">
        <v>202</v>
      </c>
      <c r="B381" s="488" t="s">
        <v>287</v>
      </c>
      <c r="C381" s="488" t="s">
        <v>288</v>
      </c>
      <c r="D381" s="476">
        <v>100</v>
      </c>
      <c r="E381" s="461">
        <v>25</v>
      </c>
      <c r="F381" s="461">
        <v>19.05</v>
      </c>
      <c r="G381" s="468">
        <f>+F381/E381</f>
        <v>0.76200000000000001</v>
      </c>
      <c r="H381" s="463" t="s">
        <v>294</v>
      </c>
      <c r="I381" s="373" t="s">
        <v>235</v>
      </c>
      <c r="J381" s="373"/>
      <c r="K381" s="373"/>
      <c r="L381" s="373"/>
      <c r="M381" s="373"/>
      <c r="N381" s="373"/>
      <c r="O381" s="373"/>
      <c r="P381" s="373"/>
      <c r="Q381" s="373"/>
      <c r="R381" s="373"/>
      <c r="S381" s="373"/>
      <c r="T381" s="373"/>
      <c r="U381" s="373"/>
      <c r="V381" s="373"/>
      <c r="W381" s="373"/>
      <c r="X381" s="373"/>
      <c r="Y381" s="373"/>
      <c r="Z381" s="373"/>
      <c r="AA381" s="373"/>
      <c r="AB381" s="373"/>
      <c r="AC381" s="373"/>
      <c r="AD381" s="373"/>
      <c r="AE381" s="373"/>
      <c r="AF381" s="373"/>
      <c r="AG381" s="373"/>
      <c r="AH381" s="373"/>
      <c r="AI381" s="373"/>
      <c r="AJ381" s="373"/>
      <c r="AK381" s="373"/>
      <c r="AL381" s="373"/>
      <c r="AM381" s="373"/>
      <c r="AN381" s="373"/>
    </row>
    <row r="382" spans="1:40" x14ac:dyDescent="0.25">
      <c r="A382" s="512" t="s">
        <v>203</v>
      </c>
      <c r="B382" s="488" t="s">
        <v>287</v>
      </c>
      <c r="C382" s="488" t="s">
        <v>288</v>
      </c>
      <c r="D382" s="476">
        <v>100</v>
      </c>
      <c r="E382" s="461">
        <v>25</v>
      </c>
      <c r="F382" s="461">
        <v>21.07</v>
      </c>
      <c r="G382" s="468">
        <f>+F382/E382</f>
        <v>0.84279999999999999</v>
      </c>
      <c r="H382" s="463" t="s">
        <v>294</v>
      </c>
      <c r="I382" s="373" t="s">
        <v>235</v>
      </c>
      <c r="J382" s="373"/>
      <c r="K382" s="373"/>
      <c r="L382" s="373"/>
      <c r="M382" s="373"/>
      <c r="N382" s="373"/>
      <c r="O382" s="373"/>
      <c r="P382" s="373"/>
      <c r="Q382" s="373"/>
      <c r="R382" s="373"/>
      <c r="S382" s="373"/>
      <c r="T382" s="373"/>
      <c r="U382" s="373"/>
      <c r="V382" s="373"/>
      <c r="W382" s="373"/>
      <c r="X382" s="373"/>
      <c r="Y382" s="373"/>
      <c r="Z382" s="373"/>
      <c r="AA382" s="373"/>
      <c r="AB382" s="373"/>
      <c r="AC382" s="373"/>
      <c r="AD382" s="373"/>
      <c r="AE382" s="373"/>
      <c r="AF382" s="373"/>
      <c r="AG382" s="373"/>
      <c r="AH382" s="373"/>
      <c r="AI382" s="373"/>
      <c r="AJ382" s="373"/>
      <c r="AK382" s="373"/>
      <c r="AL382" s="373"/>
      <c r="AM382" s="373"/>
      <c r="AN382" s="373"/>
    </row>
    <row r="383" spans="1:40" x14ac:dyDescent="0.25">
      <c r="A383" s="512" t="s">
        <v>204</v>
      </c>
      <c r="B383" s="488" t="s">
        <v>287</v>
      </c>
      <c r="C383" s="488" t="s">
        <v>288</v>
      </c>
      <c r="D383" s="476">
        <v>100</v>
      </c>
      <c r="E383" s="461">
        <v>25</v>
      </c>
      <c r="F383" s="461">
        <v>23.19</v>
      </c>
      <c r="G383" s="468">
        <f>+F383/E383</f>
        <v>0.92760000000000009</v>
      </c>
      <c r="H383" s="463" t="s">
        <v>294</v>
      </c>
      <c r="I383" s="373" t="s">
        <v>235</v>
      </c>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3"/>
      <c r="AG383" s="373"/>
      <c r="AH383" s="373"/>
      <c r="AI383" s="373"/>
      <c r="AJ383" s="373"/>
      <c r="AK383" s="373"/>
      <c r="AL383" s="373"/>
      <c r="AM383" s="373"/>
      <c r="AN383" s="373"/>
    </row>
    <row r="384" spans="1:40" ht="15.75" thickBot="1" x14ac:dyDescent="0.3">
      <c r="A384" s="509" t="s">
        <v>205</v>
      </c>
      <c r="B384" s="454" t="s">
        <v>287</v>
      </c>
      <c r="C384" s="454" t="s">
        <v>288</v>
      </c>
      <c r="D384" s="470">
        <v>100</v>
      </c>
      <c r="E384" s="469">
        <v>25</v>
      </c>
      <c r="F384" s="470">
        <v>25.08</v>
      </c>
      <c r="G384" s="471">
        <f>+F384/E384</f>
        <v>1.0031999999999999</v>
      </c>
      <c r="H384" s="455" t="s">
        <v>294</v>
      </c>
      <c r="I384" s="373" t="s">
        <v>235</v>
      </c>
      <c r="J384" s="373"/>
      <c r="K384" s="373"/>
      <c r="L384" s="373"/>
      <c r="M384" s="373"/>
      <c r="N384" s="373"/>
      <c r="O384" s="373"/>
      <c r="P384" s="373"/>
      <c r="Q384" s="373"/>
      <c r="R384" s="373"/>
      <c r="S384" s="373"/>
      <c r="T384" s="373"/>
      <c r="U384" s="373"/>
      <c r="V384" s="373"/>
      <c r="W384" s="373"/>
      <c r="X384" s="373"/>
      <c r="Y384" s="373"/>
      <c r="Z384" s="373"/>
      <c r="AA384" s="373"/>
      <c r="AB384" s="373"/>
      <c r="AC384" s="373"/>
      <c r="AD384" s="373"/>
      <c r="AE384" s="373"/>
      <c r="AF384" s="373"/>
      <c r="AG384" s="373"/>
      <c r="AH384" s="373"/>
      <c r="AI384" s="373"/>
      <c r="AJ384" s="373"/>
      <c r="AK384" s="373"/>
      <c r="AL384" s="373"/>
      <c r="AM384" s="373"/>
      <c r="AN384" s="373"/>
    </row>
    <row r="385" spans="1:40" ht="15.75" thickBot="1" x14ac:dyDescent="0.3">
      <c r="A385" s="373"/>
      <c r="B385" s="373"/>
      <c r="C385" s="373"/>
      <c r="D385" s="373"/>
      <c r="E385" s="373"/>
      <c r="F385" s="373"/>
      <c r="G385" s="373"/>
      <c r="H385" s="373"/>
      <c r="I385" s="373" t="s">
        <v>235</v>
      </c>
      <c r="J385" s="373"/>
      <c r="K385" s="373"/>
      <c r="L385" s="373"/>
      <c r="M385" s="373"/>
      <c r="N385" s="373"/>
      <c r="O385" s="373"/>
      <c r="P385" s="373"/>
      <c r="Q385" s="373"/>
      <c r="R385" s="373"/>
      <c r="S385" s="373"/>
      <c r="T385" s="373"/>
      <c r="U385" s="373"/>
      <c r="V385" s="373"/>
      <c r="W385" s="373"/>
      <c r="X385" s="373"/>
      <c r="Y385" s="373"/>
      <c r="Z385" s="373"/>
      <c r="AA385" s="373"/>
      <c r="AB385" s="373"/>
      <c r="AC385" s="373"/>
      <c r="AD385" s="373"/>
      <c r="AE385" s="373"/>
      <c r="AF385" s="373"/>
      <c r="AG385" s="373"/>
      <c r="AH385" s="373"/>
      <c r="AI385" s="373"/>
      <c r="AJ385" s="373"/>
      <c r="AK385" s="373"/>
      <c r="AL385" s="373"/>
      <c r="AM385" s="373"/>
      <c r="AN385" s="373"/>
    </row>
    <row r="386" spans="1:40" ht="20.25" customHeight="1" x14ac:dyDescent="0.3">
      <c r="A386" s="510" t="s">
        <v>295</v>
      </c>
      <c r="B386" s="457"/>
      <c r="C386" s="457"/>
      <c r="D386" s="457"/>
      <c r="E386" s="457"/>
      <c r="F386" s="457"/>
      <c r="G386" s="457"/>
      <c r="H386" s="458"/>
      <c r="I386" s="373" t="s">
        <v>235</v>
      </c>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3"/>
      <c r="AG386" s="373"/>
      <c r="AH386" s="373"/>
      <c r="AI386" s="373"/>
      <c r="AJ386" s="373"/>
      <c r="AK386" s="373"/>
      <c r="AL386" s="373"/>
      <c r="AM386" s="373"/>
      <c r="AN386" s="373"/>
    </row>
    <row r="387" spans="1:40" ht="54.75" customHeight="1" x14ac:dyDescent="0.25">
      <c r="A387" s="496" t="s">
        <v>27</v>
      </c>
      <c r="B387" s="511" t="s">
        <v>283</v>
      </c>
      <c r="C387" s="452" t="s">
        <v>220</v>
      </c>
      <c r="D387" s="452" t="s">
        <v>245</v>
      </c>
      <c r="E387" s="452" t="s">
        <v>296</v>
      </c>
      <c r="F387" s="452" t="s">
        <v>297</v>
      </c>
      <c r="G387" s="452" t="s">
        <v>298</v>
      </c>
      <c r="H387" s="460" t="s">
        <v>264</v>
      </c>
      <c r="I387" s="373" t="s">
        <v>235</v>
      </c>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3"/>
      <c r="AG387" s="373"/>
      <c r="AH387" s="373"/>
      <c r="AI387" s="373"/>
      <c r="AJ387" s="373"/>
      <c r="AK387" s="373"/>
      <c r="AL387" s="373"/>
      <c r="AM387" s="373"/>
      <c r="AN387" s="373"/>
    </row>
    <row r="388" spans="1:40" ht="16.5" customHeight="1" x14ac:dyDescent="0.25">
      <c r="A388" s="512" t="s">
        <v>207</v>
      </c>
      <c r="B388" s="488" t="s">
        <v>287</v>
      </c>
      <c r="C388" s="488" t="s">
        <v>288</v>
      </c>
      <c r="D388" s="476">
        <v>100</v>
      </c>
      <c r="E388" s="461">
        <v>25</v>
      </c>
      <c r="F388" s="461">
        <v>1.1599999999999999</v>
      </c>
      <c r="G388" s="468">
        <f>F388/E388</f>
        <v>4.6399999999999997E-2</v>
      </c>
      <c r="H388" s="463" t="s">
        <v>294</v>
      </c>
      <c r="I388" s="373" t="s">
        <v>235</v>
      </c>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3"/>
      <c r="AG388" s="373"/>
      <c r="AH388" s="373"/>
      <c r="AI388" s="373"/>
      <c r="AJ388" s="373"/>
      <c r="AK388" s="373"/>
      <c r="AL388" s="373"/>
      <c r="AM388" s="373"/>
      <c r="AN388" s="373"/>
    </row>
    <row r="389" spans="1:40" ht="16.5" customHeight="1" x14ac:dyDescent="0.25">
      <c r="A389" s="512" t="s">
        <v>208</v>
      </c>
      <c r="B389" s="488" t="s">
        <v>287</v>
      </c>
      <c r="C389" s="488" t="s">
        <v>288</v>
      </c>
      <c r="D389" s="476">
        <v>100</v>
      </c>
      <c r="E389" s="461">
        <v>25</v>
      </c>
      <c r="F389" s="461">
        <v>2.19</v>
      </c>
      <c r="G389" s="468">
        <f>F389/E389</f>
        <v>8.7599999999999997E-2</v>
      </c>
      <c r="H389" s="463" t="s">
        <v>294</v>
      </c>
      <c r="I389" s="373" t="s">
        <v>235</v>
      </c>
      <c r="J389" s="373"/>
      <c r="K389" s="373"/>
      <c r="L389" s="373"/>
      <c r="M389" s="373"/>
      <c r="N389" s="373"/>
      <c r="O389" s="373"/>
      <c r="P389" s="373"/>
      <c r="Q389" s="373"/>
      <c r="R389" s="373"/>
      <c r="S389" s="373"/>
      <c r="T389" s="373"/>
      <c r="U389" s="373"/>
      <c r="V389" s="373"/>
      <c r="W389" s="373"/>
      <c r="X389" s="373"/>
      <c r="Y389" s="373"/>
      <c r="Z389" s="373"/>
      <c r="AA389" s="373"/>
      <c r="AB389" s="373"/>
      <c r="AC389" s="373"/>
      <c r="AD389" s="373"/>
      <c r="AE389" s="373"/>
      <c r="AF389" s="373"/>
      <c r="AG389" s="373"/>
      <c r="AH389" s="373"/>
      <c r="AI389" s="373"/>
      <c r="AJ389" s="373"/>
      <c r="AK389" s="373"/>
      <c r="AL389" s="373"/>
      <c r="AM389" s="373"/>
      <c r="AN389" s="373"/>
    </row>
    <row r="390" spans="1:40" ht="16.5" customHeight="1" x14ac:dyDescent="0.25">
      <c r="A390" s="512" t="s">
        <v>209</v>
      </c>
      <c r="B390" s="488" t="s">
        <v>287</v>
      </c>
      <c r="C390" s="488" t="s">
        <v>288</v>
      </c>
      <c r="D390" s="476">
        <v>100</v>
      </c>
      <c r="E390" s="461">
        <v>25</v>
      </c>
      <c r="F390" s="461">
        <v>4.4000000000000004</v>
      </c>
      <c r="G390" s="468">
        <f>F390/E390</f>
        <v>0.17600000000000002</v>
      </c>
      <c r="H390" s="463" t="s">
        <v>294</v>
      </c>
      <c r="I390" s="373" t="s">
        <v>235</v>
      </c>
      <c r="J390" s="373"/>
      <c r="K390" s="373"/>
      <c r="L390" s="373"/>
      <c r="M390" s="373"/>
      <c r="N390" s="373"/>
      <c r="O390" s="373"/>
      <c r="P390" s="373"/>
      <c r="Q390" s="373"/>
      <c r="R390" s="373"/>
      <c r="S390" s="373"/>
      <c r="T390" s="373"/>
      <c r="U390" s="373"/>
      <c r="V390" s="373"/>
      <c r="W390" s="373"/>
      <c r="X390" s="373"/>
      <c r="Y390" s="373"/>
      <c r="Z390" s="373"/>
      <c r="AA390" s="373"/>
      <c r="AB390" s="373"/>
      <c r="AC390" s="373"/>
      <c r="AD390" s="373"/>
      <c r="AE390" s="373"/>
      <c r="AF390" s="373"/>
      <c r="AG390" s="373"/>
      <c r="AH390" s="373"/>
      <c r="AI390" s="373"/>
      <c r="AJ390" s="373"/>
      <c r="AK390" s="373"/>
      <c r="AL390" s="373"/>
      <c r="AM390" s="373"/>
      <c r="AN390" s="373"/>
    </row>
    <row r="391" spans="1:40" ht="16.5" customHeight="1" x14ac:dyDescent="0.25">
      <c r="A391" s="512" t="s">
        <v>210</v>
      </c>
      <c r="B391" s="488" t="s">
        <v>287</v>
      </c>
      <c r="C391" s="488" t="s">
        <v>288</v>
      </c>
      <c r="D391" s="476">
        <v>100</v>
      </c>
      <c r="E391" s="461">
        <v>25</v>
      </c>
      <c r="F391" s="461">
        <v>6.86</v>
      </c>
      <c r="G391" s="468">
        <f>F391/E391</f>
        <v>0.27440000000000003</v>
      </c>
      <c r="H391" s="463" t="s">
        <v>294</v>
      </c>
      <c r="I391" s="373" t="s">
        <v>235</v>
      </c>
      <c r="J391" s="373"/>
      <c r="K391" s="373"/>
      <c r="L391" s="373"/>
      <c r="M391" s="373"/>
      <c r="N391" s="373"/>
      <c r="O391" s="373"/>
      <c r="P391" s="373"/>
      <c r="Q391" s="373"/>
      <c r="R391" s="373"/>
      <c r="S391" s="373"/>
      <c r="T391" s="373"/>
      <c r="U391" s="373"/>
      <c r="V391" s="373"/>
      <c r="W391" s="373"/>
      <c r="X391" s="373"/>
      <c r="Y391" s="373"/>
      <c r="Z391" s="373"/>
      <c r="AA391" s="373"/>
      <c r="AB391" s="373"/>
      <c r="AC391" s="373"/>
      <c r="AD391" s="373"/>
      <c r="AE391" s="373"/>
      <c r="AF391" s="373"/>
      <c r="AG391" s="373"/>
      <c r="AH391" s="373"/>
      <c r="AI391" s="373"/>
      <c r="AJ391" s="373"/>
      <c r="AK391" s="373"/>
      <c r="AL391" s="373"/>
      <c r="AM391" s="373"/>
      <c r="AN391" s="373"/>
    </row>
    <row r="392" spans="1:40" ht="16.5" customHeight="1" x14ac:dyDescent="0.25">
      <c r="A392" s="512" t="s">
        <v>211</v>
      </c>
      <c r="B392" s="488" t="s">
        <v>287</v>
      </c>
      <c r="C392" s="488" t="s">
        <v>288</v>
      </c>
      <c r="D392" s="476">
        <v>100</v>
      </c>
      <c r="E392" s="461">
        <v>25</v>
      </c>
      <c r="F392" s="476">
        <v>9.44</v>
      </c>
      <c r="G392" s="468">
        <f>F392/E392</f>
        <v>0.37759999999999999</v>
      </c>
      <c r="H392" s="463" t="s">
        <v>294</v>
      </c>
      <c r="I392" s="373" t="s">
        <v>235</v>
      </c>
      <c r="J392" s="373"/>
      <c r="K392" s="373"/>
      <c r="L392" s="373"/>
      <c r="M392" s="373"/>
      <c r="N392" s="373"/>
      <c r="O392" s="373"/>
      <c r="P392" s="373"/>
      <c r="Q392" s="373"/>
      <c r="R392" s="373"/>
      <c r="S392" s="373"/>
      <c r="T392" s="373"/>
      <c r="U392" s="373"/>
      <c r="V392" s="373"/>
      <c r="W392" s="373"/>
      <c r="X392" s="373"/>
      <c r="Y392" s="373"/>
      <c r="Z392" s="373"/>
      <c r="AA392" s="373"/>
      <c r="AB392" s="373"/>
      <c r="AC392" s="373"/>
      <c r="AD392" s="373"/>
      <c r="AE392" s="373"/>
      <c r="AF392" s="373"/>
      <c r="AG392" s="373"/>
      <c r="AH392" s="373"/>
      <c r="AI392" s="373"/>
      <c r="AJ392" s="373"/>
      <c r="AK392" s="373"/>
      <c r="AL392" s="373"/>
      <c r="AM392" s="373"/>
      <c r="AN392" s="373"/>
    </row>
    <row r="393" spans="1:40" ht="16.5" customHeight="1" x14ac:dyDescent="0.25">
      <c r="A393" s="512" t="s">
        <v>212</v>
      </c>
      <c r="B393" s="488" t="s">
        <v>287</v>
      </c>
      <c r="C393" s="488" t="s">
        <v>288</v>
      </c>
      <c r="D393" s="476">
        <v>100</v>
      </c>
      <c r="E393" s="461">
        <v>25</v>
      </c>
      <c r="F393" s="476">
        <v>11.85</v>
      </c>
      <c r="G393" s="468">
        <f>+F393/E393</f>
        <v>0.47399999999999998</v>
      </c>
      <c r="H393" s="463" t="s">
        <v>294</v>
      </c>
      <c r="I393" s="373" t="s">
        <v>235</v>
      </c>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3"/>
      <c r="AG393" s="373"/>
      <c r="AH393" s="373"/>
      <c r="AI393" s="373"/>
      <c r="AJ393" s="373"/>
      <c r="AK393" s="373"/>
      <c r="AL393" s="373"/>
      <c r="AM393" s="373"/>
      <c r="AN393" s="373"/>
    </row>
    <row r="394" spans="1:40" x14ac:dyDescent="0.25">
      <c r="A394" s="512" t="s">
        <v>199</v>
      </c>
      <c r="B394" s="488" t="s">
        <v>287</v>
      </c>
      <c r="C394" s="488" t="s">
        <v>288</v>
      </c>
      <c r="D394" s="476">
        <v>100</v>
      </c>
      <c r="E394" s="461">
        <v>25</v>
      </c>
      <c r="F394" s="476">
        <v>14.43</v>
      </c>
      <c r="G394" s="468">
        <f>+F394/E394</f>
        <v>0.57719999999999994</v>
      </c>
      <c r="H394" s="463" t="s">
        <v>294</v>
      </c>
      <c r="I394" s="373" t="s">
        <v>235</v>
      </c>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373"/>
      <c r="AG394" s="373"/>
      <c r="AH394" s="373"/>
      <c r="AI394" s="373"/>
      <c r="AJ394" s="373"/>
      <c r="AK394" s="373"/>
      <c r="AL394" s="373"/>
      <c r="AM394" s="373"/>
      <c r="AN394" s="373"/>
    </row>
    <row r="395" spans="1:40" x14ac:dyDescent="0.25">
      <c r="A395" s="512" t="s">
        <v>201</v>
      </c>
      <c r="B395" s="488" t="s">
        <v>287</v>
      </c>
      <c r="C395" s="488" t="s">
        <v>288</v>
      </c>
      <c r="D395" s="476">
        <v>100</v>
      </c>
      <c r="E395" s="461">
        <v>25</v>
      </c>
      <c r="F395" s="476">
        <v>17.010000000000002</v>
      </c>
      <c r="G395" s="468">
        <f>F395/E395</f>
        <v>0.68040000000000012</v>
      </c>
      <c r="H395" s="463" t="s">
        <v>294</v>
      </c>
      <c r="I395" s="373" t="s">
        <v>235</v>
      </c>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3"/>
      <c r="AG395" s="373"/>
      <c r="AH395" s="373"/>
      <c r="AI395" s="373"/>
      <c r="AJ395" s="373"/>
      <c r="AK395" s="373"/>
      <c r="AL395" s="373"/>
      <c r="AM395" s="373"/>
      <c r="AN395" s="373"/>
    </row>
    <row r="396" spans="1:40" x14ac:dyDescent="0.25">
      <c r="A396" s="512" t="s">
        <v>202</v>
      </c>
      <c r="B396" s="488" t="s">
        <v>287</v>
      </c>
      <c r="C396" s="488" t="s">
        <v>288</v>
      </c>
      <c r="D396" s="476">
        <v>100</v>
      </c>
      <c r="E396" s="461">
        <v>25</v>
      </c>
      <c r="F396" s="477">
        <v>19.8</v>
      </c>
      <c r="G396" s="468">
        <f>F396/E396</f>
        <v>0.79200000000000004</v>
      </c>
      <c r="H396" s="463" t="s">
        <v>294</v>
      </c>
      <c r="I396" s="373" t="s">
        <v>235</v>
      </c>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3"/>
      <c r="AK396" s="373"/>
      <c r="AL396" s="373"/>
      <c r="AM396" s="373"/>
      <c r="AN396" s="373"/>
    </row>
    <row r="397" spans="1:40" x14ac:dyDescent="0.25">
      <c r="A397" s="512" t="s">
        <v>203</v>
      </c>
      <c r="B397" s="488" t="s">
        <v>287</v>
      </c>
      <c r="C397" s="488" t="s">
        <v>288</v>
      </c>
      <c r="D397" s="476">
        <v>100</v>
      </c>
      <c r="E397" s="461">
        <v>25</v>
      </c>
      <c r="F397" s="477">
        <v>22.23</v>
      </c>
      <c r="G397" s="468">
        <f>F397/E397</f>
        <v>0.88919999999999999</v>
      </c>
      <c r="H397" s="463" t="s">
        <v>294</v>
      </c>
      <c r="I397" s="373" t="s">
        <v>235</v>
      </c>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3"/>
      <c r="AG397" s="373"/>
      <c r="AH397" s="373"/>
      <c r="AI397" s="373"/>
      <c r="AJ397" s="373"/>
      <c r="AK397" s="373"/>
      <c r="AL397" s="373"/>
      <c r="AM397" s="373"/>
      <c r="AN397" s="373"/>
    </row>
    <row r="398" spans="1:40" ht="19.5" customHeight="1" x14ac:dyDescent="0.25">
      <c r="A398" s="512" t="s">
        <v>204</v>
      </c>
      <c r="B398" s="488" t="s">
        <v>287</v>
      </c>
      <c r="C398" s="488" t="s">
        <v>288</v>
      </c>
      <c r="D398" s="476">
        <v>100</v>
      </c>
      <c r="E398" s="461">
        <v>25</v>
      </c>
      <c r="F398" s="477">
        <v>25.24</v>
      </c>
      <c r="G398" s="468">
        <f>F398/E398</f>
        <v>1.0095999999999998</v>
      </c>
      <c r="H398" s="463" t="s">
        <v>294</v>
      </c>
      <c r="I398" s="373" t="s">
        <v>235</v>
      </c>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3"/>
      <c r="AG398" s="373"/>
      <c r="AH398" s="373"/>
      <c r="AI398" s="373"/>
      <c r="AJ398" s="373"/>
      <c r="AK398" s="373"/>
      <c r="AL398" s="373"/>
      <c r="AM398" s="373"/>
      <c r="AN398" s="373"/>
    </row>
    <row r="399" spans="1:40" ht="15.75" thickBot="1" x14ac:dyDescent="0.3">
      <c r="A399" s="373"/>
      <c r="B399" s="373"/>
      <c r="C399" s="373"/>
      <c r="D399" s="373"/>
      <c r="E399" s="373"/>
      <c r="F399" s="373"/>
      <c r="G399" s="373"/>
      <c r="H399" s="373"/>
      <c r="I399" s="373" t="s">
        <v>235</v>
      </c>
      <c r="J399" s="373"/>
      <c r="K399" s="373"/>
      <c r="L399" s="373"/>
      <c r="M399" s="373"/>
      <c r="N399" s="373"/>
      <c r="O399" s="373"/>
      <c r="P399" s="373"/>
      <c r="Q399" s="373"/>
      <c r="R399" s="373"/>
      <c r="S399" s="373"/>
      <c r="T399" s="373"/>
      <c r="U399" s="373"/>
      <c r="V399" s="373"/>
      <c r="W399" s="373"/>
      <c r="X399" s="373"/>
      <c r="Y399" s="373"/>
      <c r="Z399" s="373"/>
      <c r="AA399" s="373"/>
      <c r="AB399" s="373"/>
      <c r="AC399" s="373"/>
      <c r="AD399" s="373"/>
      <c r="AE399" s="373"/>
      <c r="AF399" s="373"/>
      <c r="AG399" s="373"/>
      <c r="AH399" s="373"/>
      <c r="AI399" s="373"/>
      <c r="AJ399" s="373"/>
      <c r="AK399" s="373"/>
      <c r="AL399" s="373"/>
      <c r="AM399" s="373"/>
      <c r="AN399" s="373"/>
    </row>
    <row r="400" spans="1:40" ht="20.25" x14ac:dyDescent="0.3">
      <c r="A400" s="510" t="s">
        <v>299</v>
      </c>
      <c r="B400" s="457"/>
      <c r="C400" s="457"/>
      <c r="D400" s="457"/>
      <c r="E400" s="457"/>
      <c r="F400" s="457"/>
      <c r="G400" s="457"/>
      <c r="H400" s="458"/>
      <c r="I400" s="373" t="s">
        <v>235</v>
      </c>
      <c r="J400" s="373"/>
      <c r="K400" s="373"/>
      <c r="L400" s="373"/>
      <c r="M400" s="373"/>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3"/>
      <c r="AK400" s="373"/>
      <c r="AL400" s="373"/>
      <c r="AM400" s="373"/>
      <c r="AN400" s="373"/>
    </row>
    <row r="401" spans="1:40" ht="54.75" customHeight="1" x14ac:dyDescent="0.25">
      <c r="A401" s="496" t="s">
        <v>28</v>
      </c>
      <c r="B401" s="511" t="s">
        <v>283</v>
      </c>
      <c r="C401" s="452" t="s">
        <v>220</v>
      </c>
      <c r="D401" s="452" t="s">
        <v>251</v>
      </c>
      <c r="E401" s="452" t="s">
        <v>300</v>
      </c>
      <c r="F401" s="452" t="s">
        <v>301</v>
      </c>
      <c r="G401" s="452" t="s">
        <v>302</v>
      </c>
      <c r="H401" s="460" t="s">
        <v>264</v>
      </c>
      <c r="I401" s="373" t="s">
        <v>235</v>
      </c>
      <c r="J401" s="373"/>
      <c r="K401" s="373"/>
      <c r="L401" s="373"/>
      <c r="M401" s="373"/>
      <c r="N401" s="373"/>
      <c r="O401" s="373"/>
      <c r="P401" s="373"/>
      <c r="Q401" s="373"/>
      <c r="R401" s="373"/>
      <c r="S401" s="373"/>
      <c r="T401" s="373"/>
      <c r="U401" s="373"/>
      <c r="V401" s="373"/>
      <c r="W401" s="373"/>
      <c r="X401" s="373"/>
      <c r="Y401" s="373"/>
      <c r="Z401" s="373"/>
      <c r="AA401" s="373"/>
      <c r="AB401" s="373"/>
      <c r="AC401" s="373"/>
      <c r="AD401" s="373"/>
      <c r="AE401" s="373"/>
      <c r="AF401" s="373"/>
      <c r="AG401" s="373"/>
      <c r="AH401" s="373"/>
      <c r="AI401" s="373"/>
      <c r="AJ401" s="373"/>
      <c r="AK401" s="373"/>
      <c r="AL401" s="373"/>
      <c r="AM401" s="373"/>
      <c r="AN401" s="373"/>
    </row>
    <row r="402" spans="1:40" ht="16.5" customHeight="1" x14ac:dyDescent="0.25">
      <c r="A402" s="512" t="s">
        <v>207</v>
      </c>
      <c r="B402" s="488" t="s">
        <v>287</v>
      </c>
      <c r="C402" s="488" t="s">
        <v>288</v>
      </c>
      <c r="D402" s="476">
        <v>100</v>
      </c>
      <c r="E402" s="461">
        <v>25</v>
      </c>
      <c r="F402" s="461">
        <v>1.1599999999999999</v>
      </c>
      <c r="G402" s="468">
        <f t="shared" ref="G402:G409" si="7">F402/E402</f>
        <v>4.6399999999999997E-2</v>
      </c>
      <c r="H402" s="463" t="s">
        <v>338</v>
      </c>
      <c r="I402" s="373" t="s">
        <v>235</v>
      </c>
      <c r="J402" s="373"/>
      <c r="K402" s="478"/>
      <c r="L402" s="456"/>
      <c r="M402" s="373"/>
      <c r="N402" s="373"/>
      <c r="O402" s="373"/>
      <c r="P402" s="373"/>
      <c r="Q402" s="373"/>
      <c r="R402" s="373"/>
      <c r="S402" s="373"/>
      <c r="T402" s="373"/>
      <c r="U402" s="373"/>
      <c r="V402" s="373"/>
      <c r="W402" s="373"/>
      <c r="X402" s="373"/>
      <c r="Y402" s="373"/>
      <c r="Z402" s="373"/>
      <c r="AA402" s="373"/>
      <c r="AB402" s="373"/>
      <c r="AC402" s="373"/>
      <c r="AD402" s="373"/>
      <c r="AE402" s="373"/>
      <c r="AF402" s="373"/>
      <c r="AG402" s="373"/>
      <c r="AH402" s="373"/>
      <c r="AI402" s="373"/>
      <c r="AJ402" s="373"/>
      <c r="AK402" s="373"/>
      <c r="AL402" s="373"/>
      <c r="AM402" s="373"/>
      <c r="AN402" s="373"/>
    </row>
    <row r="403" spans="1:40" ht="16.5" customHeight="1" x14ac:dyDescent="0.25">
      <c r="A403" s="512" t="s">
        <v>208</v>
      </c>
      <c r="B403" s="488" t="s">
        <v>287</v>
      </c>
      <c r="C403" s="488" t="s">
        <v>288</v>
      </c>
      <c r="D403" s="476">
        <v>100</v>
      </c>
      <c r="E403" s="461">
        <v>25</v>
      </c>
      <c r="F403" s="461">
        <v>2.82</v>
      </c>
      <c r="G403" s="468">
        <f t="shared" si="7"/>
        <v>0.1128</v>
      </c>
      <c r="H403" s="463" t="s">
        <v>338</v>
      </c>
      <c r="I403" s="373" t="s">
        <v>235</v>
      </c>
      <c r="J403" s="373"/>
      <c r="K403" s="479"/>
      <c r="L403" s="464"/>
      <c r="M403" s="373"/>
      <c r="N403" s="373"/>
      <c r="O403" s="373"/>
      <c r="P403" s="373"/>
      <c r="Q403" s="373"/>
      <c r="R403" s="373"/>
      <c r="S403" s="373"/>
      <c r="T403" s="373"/>
      <c r="U403" s="373"/>
      <c r="V403" s="373"/>
      <c r="W403" s="373"/>
      <c r="X403" s="373"/>
      <c r="Y403" s="373"/>
      <c r="Z403" s="373"/>
      <c r="AA403" s="373"/>
      <c r="AB403" s="373"/>
      <c r="AC403" s="373"/>
      <c r="AD403" s="373"/>
      <c r="AE403" s="373"/>
      <c r="AF403" s="373"/>
      <c r="AG403" s="373"/>
      <c r="AH403" s="373"/>
      <c r="AI403" s="373"/>
      <c r="AJ403" s="373"/>
      <c r="AK403" s="373"/>
      <c r="AL403" s="373"/>
      <c r="AM403" s="373"/>
      <c r="AN403" s="373"/>
    </row>
    <row r="404" spans="1:40" ht="16.5" customHeight="1" x14ac:dyDescent="0.25">
      <c r="A404" s="512" t="s">
        <v>209</v>
      </c>
      <c r="B404" s="488" t="s">
        <v>287</v>
      </c>
      <c r="C404" s="488" t="s">
        <v>288</v>
      </c>
      <c r="D404" s="476">
        <v>100</v>
      </c>
      <c r="E404" s="461">
        <v>25</v>
      </c>
      <c r="F404" s="467">
        <v>4.4000000000000004</v>
      </c>
      <c r="G404" s="468">
        <f t="shared" si="7"/>
        <v>0.17600000000000002</v>
      </c>
      <c r="H404" s="463" t="s">
        <v>338</v>
      </c>
      <c r="I404" s="373" t="s">
        <v>235</v>
      </c>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3"/>
      <c r="AG404" s="373"/>
      <c r="AH404" s="373"/>
      <c r="AI404" s="373"/>
      <c r="AJ404" s="373"/>
      <c r="AK404" s="373"/>
      <c r="AL404" s="373"/>
      <c r="AM404" s="373"/>
      <c r="AN404" s="373"/>
    </row>
    <row r="405" spans="1:40" ht="16.5" customHeight="1" x14ac:dyDescent="0.25">
      <c r="A405" s="512" t="s">
        <v>210</v>
      </c>
      <c r="B405" s="488" t="s">
        <v>287</v>
      </c>
      <c r="C405" s="488" t="s">
        <v>288</v>
      </c>
      <c r="D405" s="476">
        <v>100</v>
      </c>
      <c r="E405" s="461">
        <v>25</v>
      </c>
      <c r="F405" s="461">
        <v>6.27</v>
      </c>
      <c r="G405" s="468">
        <f t="shared" si="7"/>
        <v>0.25079999999999997</v>
      </c>
      <c r="H405" s="463" t="s">
        <v>338</v>
      </c>
      <c r="I405" s="373" t="s">
        <v>235</v>
      </c>
      <c r="J405" s="373"/>
      <c r="K405" s="373"/>
      <c r="L405" s="373"/>
      <c r="M405" s="373"/>
      <c r="N405" s="373"/>
      <c r="O405" s="373"/>
      <c r="P405" s="373"/>
      <c r="Q405" s="373"/>
      <c r="R405" s="373"/>
      <c r="S405" s="373"/>
      <c r="T405" s="373"/>
      <c r="U405" s="373"/>
      <c r="V405" s="373"/>
      <c r="W405" s="373"/>
      <c r="X405" s="373"/>
      <c r="Y405" s="373"/>
      <c r="Z405" s="373"/>
      <c r="AA405" s="373"/>
      <c r="AB405" s="373"/>
      <c r="AC405" s="373"/>
      <c r="AD405" s="373"/>
      <c r="AE405" s="373"/>
      <c r="AF405" s="373"/>
      <c r="AG405" s="373"/>
      <c r="AH405" s="373"/>
      <c r="AI405" s="373"/>
      <c r="AJ405" s="373"/>
      <c r="AK405" s="373"/>
      <c r="AL405" s="373"/>
      <c r="AM405" s="373"/>
      <c r="AN405" s="373"/>
    </row>
    <row r="406" spans="1:40" ht="16.5" customHeight="1" x14ac:dyDescent="0.25">
      <c r="A406" s="512" t="s">
        <v>211</v>
      </c>
      <c r="B406" s="488" t="s">
        <v>287</v>
      </c>
      <c r="C406" s="488" t="s">
        <v>288</v>
      </c>
      <c r="D406" s="476">
        <v>100</v>
      </c>
      <c r="E406" s="461">
        <v>25</v>
      </c>
      <c r="F406" s="461">
        <v>8.43</v>
      </c>
      <c r="G406" s="468">
        <f t="shared" si="7"/>
        <v>0.3372</v>
      </c>
      <c r="H406" s="463" t="s">
        <v>338</v>
      </c>
      <c r="I406" s="373" t="s">
        <v>235</v>
      </c>
      <c r="J406" s="373"/>
      <c r="K406" s="373"/>
      <c r="L406" s="373"/>
      <c r="M406" s="373"/>
      <c r="N406" s="373"/>
      <c r="O406" s="373"/>
      <c r="P406" s="373"/>
      <c r="Q406" s="373"/>
      <c r="R406" s="373"/>
      <c r="S406" s="373"/>
      <c r="T406" s="373"/>
      <c r="U406" s="373"/>
      <c r="V406" s="373"/>
      <c r="W406" s="373"/>
      <c r="X406" s="373"/>
      <c r="Y406" s="373"/>
      <c r="Z406" s="373"/>
      <c r="AA406" s="373"/>
      <c r="AB406" s="373"/>
      <c r="AC406" s="373"/>
      <c r="AD406" s="373"/>
      <c r="AE406" s="373"/>
      <c r="AF406" s="373"/>
      <c r="AG406" s="373"/>
      <c r="AH406" s="373"/>
      <c r="AI406" s="373"/>
      <c r="AJ406" s="373"/>
      <c r="AK406" s="373"/>
      <c r="AL406" s="373"/>
      <c r="AM406" s="373"/>
      <c r="AN406" s="373"/>
    </row>
    <row r="407" spans="1:40" ht="16.5" customHeight="1" x14ac:dyDescent="0.25">
      <c r="A407" s="512" t="s">
        <v>212</v>
      </c>
      <c r="B407" s="488" t="s">
        <v>287</v>
      </c>
      <c r="C407" s="488" t="s">
        <v>288</v>
      </c>
      <c r="D407" s="476">
        <v>100</v>
      </c>
      <c r="E407" s="461">
        <v>25</v>
      </c>
      <c r="F407" s="476">
        <v>10.62</v>
      </c>
      <c r="G407" s="468">
        <f t="shared" si="7"/>
        <v>0.42479999999999996</v>
      </c>
      <c r="H407" s="463" t="s">
        <v>338</v>
      </c>
      <c r="I407" s="373" t="s">
        <v>235</v>
      </c>
      <c r="J407" s="373"/>
      <c r="K407" s="373"/>
      <c r="L407" s="373"/>
      <c r="M407" s="373"/>
      <c r="N407" s="373"/>
      <c r="O407" s="373"/>
      <c r="P407" s="373"/>
      <c r="Q407" s="373"/>
      <c r="R407" s="373"/>
      <c r="S407" s="373"/>
      <c r="T407" s="373"/>
      <c r="U407" s="373"/>
      <c r="V407" s="373"/>
      <c r="W407" s="373"/>
      <c r="X407" s="373"/>
      <c r="Y407" s="373"/>
      <c r="Z407" s="373"/>
      <c r="AA407" s="373"/>
      <c r="AB407" s="373"/>
      <c r="AC407" s="373"/>
      <c r="AD407" s="373"/>
      <c r="AE407" s="373"/>
      <c r="AF407" s="373"/>
      <c r="AG407" s="373"/>
      <c r="AH407" s="373"/>
      <c r="AI407" s="373"/>
      <c r="AJ407" s="373"/>
      <c r="AK407" s="373"/>
      <c r="AL407" s="373"/>
      <c r="AM407" s="373"/>
      <c r="AN407" s="373"/>
    </row>
    <row r="408" spans="1:40" ht="16.5" customHeight="1" x14ac:dyDescent="0.25">
      <c r="A408" s="512" t="s">
        <v>199</v>
      </c>
      <c r="B408" s="488" t="s">
        <v>287</v>
      </c>
      <c r="C408" s="488" t="s">
        <v>288</v>
      </c>
      <c r="D408" s="476">
        <v>100</v>
      </c>
      <c r="E408" s="461">
        <v>25</v>
      </c>
      <c r="F408" s="476">
        <v>12.84</v>
      </c>
      <c r="G408" s="468">
        <f t="shared" si="7"/>
        <v>0.51359999999999995</v>
      </c>
      <c r="H408" s="463" t="s">
        <v>338</v>
      </c>
      <c r="I408" s="373" t="s">
        <v>235</v>
      </c>
      <c r="J408" s="373"/>
      <c r="K408" s="373"/>
      <c r="L408" s="373"/>
      <c r="M408" s="373"/>
      <c r="N408" s="373"/>
      <c r="O408" s="373"/>
      <c r="P408" s="373"/>
      <c r="Q408" s="373"/>
      <c r="R408" s="373"/>
      <c r="S408" s="373"/>
      <c r="T408" s="373"/>
      <c r="U408" s="373"/>
      <c r="V408" s="373"/>
      <c r="W408" s="373"/>
      <c r="X408" s="373"/>
      <c r="Y408" s="373"/>
      <c r="Z408" s="373"/>
      <c r="AA408" s="373"/>
      <c r="AB408" s="373"/>
      <c r="AC408" s="373"/>
      <c r="AD408" s="373"/>
      <c r="AE408" s="373"/>
      <c r="AF408" s="373"/>
      <c r="AG408" s="373"/>
      <c r="AH408" s="373"/>
      <c r="AI408" s="373"/>
      <c r="AJ408" s="373"/>
      <c r="AK408" s="373"/>
      <c r="AL408" s="373"/>
      <c r="AM408" s="373"/>
      <c r="AN408" s="373"/>
    </row>
    <row r="409" spans="1:40" x14ac:dyDescent="0.25">
      <c r="A409" s="512" t="s">
        <v>201</v>
      </c>
      <c r="B409" s="488" t="s">
        <v>287</v>
      </c>
      <c r="C409" s="488" t="s">
        <v>288</v>
      </c>
      <c r="D409" s="476">
        <v>100</v>
      </c>
      <c r="E409" s="461">
        <v>25</v>
      </c>
      <c r="F409" s="476">
        <v>15.11</v>
      </c>
      <c r="G409" s="468">
        <f t="shared" si="7"/>
        <v>0.60439999999999994</v>
      </c>
      <c r="H409" s="463" t="s">
        <v>338</v>
      </c>
      <c r="I409" s="373" t="s">
        <v>235</v>
      </c>
      <c r="J409" s="373"/>
      <c r="K409" s="373"/>
      <c r="L409" s="373"/>
      <c r="M409" s="373"/>
      <c r="N409" s="373"/>
      <c r="O409" s="373"/>
      <c r="P409" s="373"/>
      <c r="Q409" s="373"/>
      <c r="R409" s="373"/>
      <c r="S409" s="373"/>
      <c r="T409" s="373"/>
      <c r="U409" s="373"/>
      <c r="V409" s="373"/>
      <c r="W409" s="373"/>
      <c r="X409" s="373"/>
      <c r="Y409" s="373"/>
      <c r="Z409" s="373"/>
      <c r="AA409" s="373"/>
      <c r="AB409" s="373"/>
      <c r="AC409" s="373"/>
      <c r="AD409" s="373"/>
      <c r="AE409" s="373"/>
      <c r="AF409" s="373"/>
      <c r="AG409" s="373"/>
      <c r="AH409" s="373"/>
      <c r="AI409" s="373"/>
      <c r="AJ409" s="373"/>
      <c r="AK409" s="373"/>
      <c r="AL409" s="373"/>
      <c r="AM409" s="373"/>
      <c r="AN409" s="373"/>
    </row>
    <row r="410" spans="1:40" x14ac:dyDescent="0.25">
      <c r="A410" s="512" t="s">
        <v>202</v>
      </c>
      <c r="B410" s="488" t="s">
        <v>287</v>
      </c>
      <c r="C410" s="488" t="s">
        <v>288</v>
      </c>
      <c r="D410" s="476">
        <v>100</v>
      </c>
      <c r="E410" s="461">
        <v>25</v>
      </c>
      <c r="F410" s="476">
        <v>17.350000000000001</v>
      </c>
      <c r="G410" s="468">
        <f>F410/E410</f>
        <v>0.69400000000000006</v>
      </c>
      <c r="H410" s="463" t="s">
        <v>338</v>
      </c>
      <c r="I410" s="373" t="s">
        <v>235</v>
      </c>
      <c r="J410" s="373"/>
      <c r="K410" s="478"/>
      <c r="L410" s="456"/>
      <c r="M410" s="373"/>
      <c r="N410" s="373"/>
      <c r="O410" s="373"/>
      <c r="P410" s="373"/>
      <c r="Q410" s="373"/>
      <c r="R410" s="373"/>
      <c r="S410" s="373"/>
      <c r="T410" s="373"/>
      <c r="U410" s="373"/>
      <c r="V410" s="373"/>
      <c r="W410" s="373"/>
      <c r="X410" s="373"/>
      <c r="Y410" s="373"/>
      <c r="Z410" s="373"/>
      <c r="AA410" s="373"/>
      <c r="AB410" s="373"/>
      <c r="AC410" s="373"/>
      <c r="AD410" s="373"/>
      <c r="AE410" s="373"/>
      <c r="AF410" s="373"/>
      <c r="AG410" s="373"/>
      <c r="AH410" s="373"/>
      <c r="AI410" s="373"/>
      <c r="AJ410" s="373"/>
      <c r="AK410" s="373"/>
      <c r="AL410" s="373"/>
      <c r="AM410" s="373"/>
      <c r="AN410" s="373"/>
    </row>
    <row r="411" spans="1:40" x14ac:dyDescent="0.25">
      <c r="A411" s="512" t="s">
        <v>203</v>
      </c>
      <c r="B411" s="488" t="s">
        <v>287</v>
      </c>
      <c r="C411" s="488" t="s">
        <v>288</v>
      </c>
      <c r="D411" s="476">
        <v>100</v>
      </c>
      <c r="E411" s="461">
        <v>25</v>
      </c>
      <c r="F411" s="476">
        <v>19.600000000000001</v>
      </c>
      <c r="G411" s="468">
        <f>F411/E411</f>
        <v>0.78400000000000003</v>
      </c>
      <c r="H411" s="463" t="s">
        <v>338</v>
      </c>
      <c r="I411" s="373" t="s">
        <v>235</v>
      </c>
      <c r="J411" s="373"/>
      <c r="K411" s="518"/>
      <c r="L411" s="464"/>
      <c r="M411" s="373"/>
      <c r="N411" s="373"/>
      <c r="O411" s="373"/>
      <c r="P411" s="373"/>
      <c r="Q411" s="373"/>
      <c r="R411" s="373"/>
      <c r="S411" s="373"/>
      <c r="T411" s="373"/>
      <c r="U411" s="373"/>
      <c r="V411" s="373"/>
      <c r="W411" s="373"/>
      <c r="X411" s="373"/>
      <c r="Y411" s="373"/>
      <c r="Z411" s="373"/>
      <c r="AA411" s="373"/>
      <c r="AB411" s="373"/>
      <c r="AC411" s="373"/>
      <c r="AD411" s="373"/>
      <c r="AE411" s="373"/>
      <c r="AF411" s="373"/>
      <c r="AG411" s="373"/>
      <c r="AH411" s="373"/>
      <c r="AI411" s="373"/>
      <c r="AJ411" s="373"/>
      <c r="AK411" s="373"/>
      <c r="AL411" s="373"/>
      <c r="AM411" s="373"/>
      <c r="AN411" s="373"/>
    </row>
    <row r="412" spans="1:40" x14ac:dyDescent="0.25">
      <c r="A412" s="512" t="s">
        <v>204</v>
      </c>
      <c r="B412" s="488" t="s">
        <v>287</v>
      </c>
      <c r="C412" s="488" t="s">
        <v>288</v>
      </c>
      <c r="D412" s="476">
        <v>100</v>
      </c>
      <c r="E412" s="461">
        <v>25</v>
      </c>
      <c r="F412" s="477">
        <v>21.76</v>
      </c>
      <c r="G412" s="468">
        <f>F412/E412</f>
        <v>0.87040000000000006</v>
      </c>
      <c r="H412" s="463" t="s">
        <v>338</v>
      </c>
      <c r="I412" s="373" t="s">
        <v>235</v>
      </c>
      <c r="J412" s="373"/>
      <c r="K412" s="478"/>
      <c r="L412" s="456"/>
      <c r="M412" s="373"/>
      <c r="N412" s="373"/>
      <c r="O412" s="373"/>
      <c r="P412" s="373"/>
      <c r="Q412" s="373"/>
      <c r="R412" s="373"/>
      <c r="S412" s="373"/>
      <c r="T412" s="373"/>
      <c r="U412" s="373"/>
      <c r="V412" s="373"/>
      <c r="W412" s="373"/>
      <c r="X412" s="373"/>
      <c r="Y412" s="373"/>
      <c r="Z412" s="373"/>
      <c r="AA412" s="373"/>
      <c r="AB412" s="373"/>
      <c r="AC412" s="373"/>
      <c r="AD412" s="373"/>
      <c r="AE412" s="373"/>
      <c r="AF412" s="373"/>
      <c r="AG412" s="373"/>
      <c r="AH412" s="373"/>
      <c r="AI412" s="373"/>
      <c r="AJ412" s="373"/>
      <c r="AK412" s="373"/>
      <c r="AL412" s="373"/>
      <c r="AM412" s="373"/>
      <c r="AN412" s="373"/>
    </row>
    <row r="413" spans="1:40" ht="15.75" thickBot="1" x14ac:dyDescent="0.3">
      <c r="A413" s="514" t="s">
        <v>205</v>
      </c>
      <c r="B413" s="515" t="s">
        <v>287</v>
      </c>
      <c r="C413" s="515" t="s">
        <v>288</v>
      </c>
      <c r="D413" s="481">
        <v>100</v>
      </c>
      <c r="E413" s="480">
        <v>25</v>
      </c>
      <c r="F413" s="481">
        <v>23.75</v>
      </c>
      <c r="G413" s="482">
        <f>F413/E413</f>
        <v>0.95</v>
      </c>
      <c r="H413" s="483" t="s">
        <v>338</v>
      </c>
      <c r="I413" s="373" t="s">
        <v>235</v>
      </c>
      <c r="J413" s="373"/>
      <c r="K413" s="479"/>
      <c r="L413" s="464"/>
      <c r="M413" s="373"/>
      <c r="N413" s="373"/>
      <c r="O413" s="373"/>
      <c r="P413" s="373"/>
      <c r="Q413" s="373"/>
      <c r="R413" s="373"/>
      <c r="S413" s="373"/>
      <c r="T413" s="373"/>
      <c r="U413" s="373"/>
      <c r="V413" s="373"/>
      <c r="W413" s="373"/>
      <c r="X413" s="373"/>
      <c r="Y413" s="373"/>
      <c r="Z413" s="373"/>
      <c r="AA413" s="373"/>
      <c r="AB413" s="373"/>
      <c r="AC413" s="373"/>
      <c r="AD413" s="373"/>
      <c r="AE413" s="373"/>
      <c r="AF413" s="373"/>
      <c r="AG413" s="373"/>
      <c r="AH413" s="373"/>
      <c r="AI413" s="373"/>
      <c r="AJ413" s="373"/>
      <c r="AK413" s="373"/>
      <c r="AL413" s="373"/>
      <c r="AM413" s="373"/>
      <c r="AN413" s="373"/>
    </row>
    <row r="414" spans="1:40" ht="15.75" thickBot="1" x14ac:dyDescent="0.3">
      <c r="A414" s="373"/>
      <c r="B414" s="373"/>
      <c r="C414" s="373"/>
      <c r="D414" s="373"/>
      <c r="E414" s="373"/>
      <c r="F414" s="373"/>
      <c r="G414" s="373"/>
      <c r="H414" s="373"/>
      <c r="I414" s="373" t="s">
        <v>235</v>
      </c>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3"/>
      <c r="AG414" s="373"/>
      <c r="AH414" s="373"/>
      <c r="AI414" s="373"/>
      <c r="AJ414" s="373"/>
      <c r="AK414" s="373"/>
      <c r="AL414" s="373"/>
      <c r="AM414" s="373"/>
      <c r="AN414" s="373"/>
    </row>
    <row r="415" spans="1:40" ht="20.25" x14ac:dyDescent="0.3">
      <c r="A415" s="513" t="s">
        <v>303</v>
      </c>
      <c r="B415" s="457"/>
      <c r="C415" s="457"/>
      <c r="D415" s="457"/>
      <c r="E415" s="457"/>
      <c r="F415" s="457"/>
      <c r="G415" s="457"/>
      <c r="H415" s="458"/>
      <c r="I415" s="373" t="s">
        <v>235</v>
      </c>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3"/>
      <c r="AG415" s="373"/>
      <c r="AH415" s="373"/>
      <c r="AI415" s="373"/>
      <c r="AJ415" s="373"/>
      <c r="AK415" s="373"/>
      <c r="AL415" s="373"/>
      <c r="AM415" s="373"/>
      <c r="AN415" s="373"/>
    </row>
    <row r="416" spans="1:40" ht="63.75" customHeight="1" x14ac:dyDescent="0.25">
      <c r="A416" s="496" t="s">
        <v>29</v>
      </c>
      <c r="B416" s="511" t="s">
        <v>283</v>
      </c>
      <c r="C416" s="452" t="s">
        <v>220</v>
      </c>
      <c r="D416" s="452" t="s">
        <v>256</v>
      </c>
      <c r="E416" s="452" t="s">
        <v>304</v>
      </c>
      <c r="F416" s="452" t="s">
        <v>305</v>
      </c>
      <c r="G416" s="452" t="s">
        <v>306</v>
      </c>
      <c r="H416" s="460" t="s">
        <v>264</v>
      </c>
      <c r="I416" s="373" t="s">
        <v>235</v>
      </c>
      <c r="J416" s="373"/>
      <c r="K416" s="373"/>
      <c r="L416" s="456"/>
      <c r="M416" s="373"/>
      <c r="N416" s="373"/>
      <c r="O416" s="373"/>
      <c r="P416" s="373"/>
      <c r="Q416" s="373"/>
      <c r="R416" s="373"/>
      <c r="S416" s="373"/>
      <c r="T416" s="373"/>
      <c r="U416" s="373"/>
      <c r="V416" s="373"/>
      <c r="W416" s="373"/>
      <c r="X416" s="373"/>
      <c r="Y416" s="373"/>
      <c r="Z416" s="373"/>
      <c r="AA416" s="373"/>
      <c r="AB416" s="373"/>
      <c r="AC416" s="373"/>
      <c r="AD416" s="373"/>
      <c r="AE416" s="373"/>
      <c r="AF416" s="373"/>
      <c r="AG416" s="373"/>
      <c r="AH416" s="373"/>
      <c r="AI416" s="373"/>
      <c r="AJ416" s="373"/>
      <c r="AK416" s="373"/>
      <c r="AL416" s="373"/>
      <c r="AM416" s="373"/>
      <c r="AN416" s="373"/>
    </row>
    <row r="417" spans="1:44" ht="40.5" customHeight="1" x14ac:dyDescent="0.25">
      <c r="A417" s="516" t="s">
        <v>207</v>
      </c>
      <c r="B417" s="517" t="s">
        <v>287</v>
      </c>
      <c r="C417" s="517" t="s">
        <v>288</v>
      </c>
      <c r="D417" s="461">
        <v>100</v>
      </c>
      <c r="E417" s="461">
        <v>12.5</v>
      </c>
      <c r="F417" s="484">
        <v>2.1564249663355914</v>
      </c>
      <c r="G417" s="485">
        <f>F417/E417</f>
        <v>0.17251399730684733</v>
      </c>
      <c r="H417" s="486" t="s">
        <v>358</v>
      </c>
      <c r="I417" s="373" t="s">
        <v>235</v>
      </c>
      <c r="J417" s="373"/>
      <c r="K417" s="373"/>
      <c r="L417" s="464"/>
      <c r="M417" s="373"/>
      <c r="N417" s="373"/>
      <c r="O417" s="373"/>
      <c r="P417" s="373"/>
      <c r="Q417" s="373"/>
      <c r="R417" s="373"/>
      <c r="S417" s="373"/>
      <c r="T417" s="373"/>
      <c r="U417" s="373"/>
      <c r="V417" s="373"/>
      <c r="W417" s="373"/>
      <c r="X417" s="373"/>
      <c r="Y417" s="373"/>
      <c r="Z417" s="373"/>
      <c r="AA417" s="373"/>
      <c r="AB417" s="373"/>
      <c r="AC417" s="373"/>
      <c r="AD417" s="373"/>
      <c r="AE417" s="373"/>
      <c r="AF417" s="373"/>
      <c r="AG417" s="373"/>
      <c r="AH417" s="373"/>
      <c r="AI417" s="373"/>
      <c r="AJ417" s="373"/>
      <c r="AK417" s="373"/>
      <c r="AL417" s="373"/>
      <c r="AM417" s="373"/>
      <c r="AN417" s="373"/>
    </row>
    <row r="418" spans="1:44" ht="30.75" customHeight="1" x14ac:dyDescent="0.25">
      <c r="A418" s="516" t="s">
        <v>208</v>
      </c>
      <c r="B418" s="517" t="s">
        <v>287</v>
      </c>
      <c r="C418" s="517" t="s">
        <v>288</v>
      </c>
      <c r="D418" s="461">
        <v>100</v>
      </c>
      <c r="E418" s="461">
        <v>12.5</v>
      </c>
      <c r="F418" s="461">
        <v>2.5499999999999998</v>
      </c>
      <c r="G418" s="485">
        <f t="shared" ref="G418:G428" si="8">F418/E418</f>
        <v>0.20399999999999999</v>
      </c>
      <c r="H418" s="486" t="s">
        <v>357</v>
      </c>
      <c r="I418" s="373" t="s">
        <v>235</v>
      </c>
      <c r="J418" s="373"/>
      <c r="K418" s="373"/>
      <c r="L418" s="373"/>
      <c r="M418" s="373"/>
      <c r="N418" s="373"/>
      <c r="O418" s="373"/>
      <c r="P418" s="373"/>
      <c r="Q418" s="373"/>
      <c r="R418" s="373"/>
      <c r="S418" s="373"/>
      <c r="T418" s="373"/>
      <c r="U418" s="373"/>
      <c r="V418" s="373"/>
      <c r="W418" s="373"/>
      <c r="X418" s="373"/>
      <c r="Y418" s="373"/>
      <c r="Z418" s="373"/>
      <c r="AA418" s="373"/>
      <c r="AB418" s="373"/>
      <c r="AC418" s="373"/>
      <c r="AD418" s="373"/>
      <c r="AE418" s="373"/>
      <c r="AF418" s="373"/>
      <c r="AG418" s="373"/>
      <c r="AH418" s="373"/>
      <c r="AI418" s="373"/>
      <c r="AJ418" s="373"/>
      <c r="AK418" s="373"/>
      <c r="AL418" s="373"/>
      <c r="AM418" s="373"/>
      <c r="AN418" s="373"/>
    </row>
    <row r="419" spans="1:44" ht="30.75" customHeight="1" x14ac:dyDescent="0.25">
      <c r="A419" s="516" t="s">
        <v>209</v>
      </c>
      <c r="B419" s="517" t="s">
        <v>287</v>
      </c>
      <c r="C419" s="517" t="s">
        <v>288</v>
      </c>
      <c r="D419" s="461">
        <v>100</v>
      </c>
      <c r="E419" s="461">
        <v>12.5</v>
      </c>
      <c r="F419" s="461">
        <v>4.17</v>
      </c>
      <c r="G419" s="485">
        <f>F419/E419</f>
        <v>0.33360000000000001</v>
      </c>
      <c r="H419" s="487" t="s">
        <v>357</v>
      </c>
      <c r="I419" s="373" t="s">
        <v>235</v>
      </c>
      <c r="J419" s="373"/>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c r="AJ419" s="373"/>
      <c r="AK419" s="373"/>
      <c r="AL419" s="373"/>
      <c r="AM419" s="373"/>
      <c r="AN419" s="373"/>
    </row>
    <row r="420" spans="1:44" ht="43.5" customHeight="1" x14ac:dyDescent="0.25">
      <c r="A420" s="516" t="s">
        <v>210</v>
      </c>
      <c r="B420" s="517" t="s">
        <v>287</v>
      </c>
      <c r="C420" s="517" t="s">
        <v>288</v>
      </c>
      <c r="D420" s="461">
        <v>100</v>
      </c>
      <c r="E420" s="461">
        <v>12.5</v>
      </c>
      <c r="F420" s="466">
        <v>7.0522570024501618</v>
      </c>
      <c r="G420" s="485">
        <f t="shared" si="8"/>
        <v>0.56418056019601293</v>
      </c>
      <c r="H420" s="463" t="s">
        <v>357</v>
      </c>
      <c r="I420" s="373" t="s">
        <v>235</v>
      </c>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373"/>
      <c r="AF420" s="373"/>
      <c r="AG420" s="373"/>
      <c r="AH420" s="373"/>
      <c r="AI420" s="373"/>
      <c r="AJ420" s="373"/>
      <c r="AK420" s="373"/>
      <c r="AL420" s="373"/>
      <c r="AM420" s="373"/>
      <c r="AN420" s="373"/>
    </row>
    <row r="421" spans="1:44" ht="75" x14ac:dyDescent="0.25">
      <c r="A421" s="516" t="s">
        <v>211</v>
      </c>
      <c r="B421" s="517" t="s">
        <v>287</v>
      </c>
      <c r="C421" s="517" t="s">
        <v>288</v>
      </c>
      <c r="D421" s="461">
        <v>100</v>
      </c>
      <c r="E421" s="461">
        <v>12.5</v>
      </c>
      <c r="F421" s="461">
        <v>10.1</v>
      </c>
      <c r="G421" s="485">
        <f t="shared" si="8"/>
        <v>0.80799999999999994</v>
      </c>
      <c r="H421" s="463" t="s">
        <v>357</v>
      </c>
      <c r="I421" s="373" t="s">
        <v>235</v>
      </c>
      <c r="J421" s="373"/>
      <c r="K421" s="373"/>
      <c r="L421" s="373"/>
      <c r="M421" s="373"/>
      <c r="N421" s="373"/>
      <c r="O421" s="373"/>
      <c r="P421" s="373"/>
      <c r="Q421" s="373"/>
      <c r="R421" s="373"/>
      <c r="S421" s="373"/>
      <c r="T421" s="373"/>
      <c r="U421" s="373"/>
      <c r="V421" s="373"/>
      <c r="W421" s="373"/>
      <c r="X421" s="373"/>
      <c r="Y421" s="373"/>
      <c r="Z421" s="373"/>
      <c r="AA421" s="373"/>
      <c r="AB421" s="373"/>
      <c r="AC421" s="373"/>
      <c r="AD421" s="373"/>
      <c r="AE421" s="373"/>
      <c r="AF421" s="373"/>
      <c r="AG421" s="373"/>
      <c r="AH421" s="373"/>
      <c r="AI421" s="373"/>
      <c r="AJ421" s="373"/>
      <c r="AK421" s="373"/>
      <c r="AL421" s="373"/>
      <c r="AM421" s="373"/>
      <c r="AN421" s="373"/>
    </row>
    <row r="422" spans="1:44" x14ac:dyDescent="0.25">
      <c r="A422" s="512" t="s">
        <v>212</v>
      </c>
      <c r="B422" s="488"/>
      <c r="C422" s="488"/>
      <c r="D422" s="488"/>
      <c r="E422" s="488"/>
      <c r="F422" s="488"/>
      <c r="G422" s="488" t="e">
        <f t="shared" si="8"/>
        <v>#DIV/0!</v>
      </c>
      <c r="H422" s="463"/>
      <c r="I422" s="373" t="s">
        <v>235</v>
      </c>
      <c r="J422" s="373"/>
      <c r="K422" s="373"/>
      <c r="L422" s="373"/>
      <c r="M422" s="373"/>
      <c r="N422" s="373"/>
      <c r="O422" s="373"/>
      <c r="P422" s="373"/>
      <c r="Q422" s="373"/>
      <c r="R422" s="373"/>
      <c r="S422" s="373"/>
      <c r="T422" s="373"/>
      <c r="U422" s="373"/>
      <c r="V422" s="373"/>
      <c r="W422" s="373"/>
      <c r="X422" s="373"/>
      <c r="Y422" s="373"/>
      <c r="Z422" s="373"/>
      <c r="AA422" s="373"/>
      <c r="AB422" s="373"/>
      <c r="AC422" s="373"/>
      <c r="AD422" s="373"/>
      <c r="AE422" s="373"/>
      <c r="AF422" s="373"/>
      <c r="AG422" s="373"/>
      <c r="AH422" s="373"/>
      <c r="AI422" s="373"/>
      <c r="AJ422" s="373"/>
      <c r="AK422" s="373"/>
      <c r="AL422" s="373"/>
      <c r="AM422" s="373"/>
      <c r="AN422" s="373"/>
    </row>
    <row r="423" spans="1:44" x14ac:dyDescent="0.25">
      <c r="A423" s="512" t="s">
        <v>199</v>
      </c>
      <c r="B423" s="488"/>
      <c r="C423" s="488"/>
      <c r="D423" s="488"/>
      <c r="E423" s="488"/>
      <c r="F423" s="488"/>
      <c r="G423" s="488" t="e">
        <f t="shared" si="8"/>
        <v>#DIV/0!</v>
      </c>
      <c r="H423" s="463"/>
      <c r="I423" s="373" t="s">
        <v>235</v>
      </c>
      <c r="J423" s="373"/>
      <c r="K423" s="373"/>
      <c r="L423" s="373"/>
      <c r="M423" s="373"/>
      <c r="N423" s="373"/>
      <c r="O423" s="373"/>
      <c r="P423" s="373"/>
      <c r="Q423" s="373"/>
      <c r="R423" s="373"/>
      <c r="S423" s="373"/>
      <c r="T423" s="373"/>
      <c r="U423" s="373"/>
      <c r="V423" s="373"/>
      <c r="W423" s="373"/>
      <c r="X423" s="373"/>
      <c r="Y423" s="373"/>
      <c r="Z423" s="373"/>
      <c r="AA423" s="373"/>
      <c r="AB423" s="373"/>
      <c r="AC423" s="373"/>
      <c r="AD423" s="373"/>
      <c r="AE423" s="373"/>
      <c r="AF423" s="373"/>
      <c r="AG423" s="373"/>
      <c r="AH423" s="373"/>
      <c r="AI423" s="373"/>
      <c r="AJ423" s="373"/>
      <c r="AK423" s="373"/>
      <c r="AL423" s="373"/>
      <c r="AM423" s="373"/>
      <c r="AN423" s="373"/>
    </row>
    <row r="424" spans="1:44" x14ac:dyDescent="0.25">
      <c r="A424" s="512" t="s">
        <v>201</v>
      </c>
      <c r="B424" s="488"/>
      <c r="C424" s="488"/>
      <c r="D424" s="488"/>
      <c r="E424" s="488"/>
      <c r="F424" s="488"/>
      <c r="G424" s="488" t="e">
        <f t="shared" si="8"/>
        <v>#DIV/0!</v>
      </c>
      <c r="H424" s="463"/>
      <c r="I424" s="373" t="s">
        <v>235</v>
      </c>
      <c r="J424" s="373"/>
      <c r="K424" s="373"/>
      <c r="L424" s="373"/>
      <c r="M424" s="373"/>
      <c r="N424" s="373"/>
      <c r="O424" s="373"/>
      <c r="P424" s="373"/>
      <c r="Q424" s="373"/>
      <c r="R424" s="373"/>
      <c r="S424" s="373"/>
      <c r="T424" s="373"/>
      <c r="U424" s="373"/>
      <c r="V424" s="373"/>
      <c r="W424" s="373"/>
      <c r="X424" s="373"/>
      <c r="Y424" s="373"/>
      <c r="Z424" s="373"/>
      <c r="AA424" s="373"/>
      <c r="AB424" s="373"/>
      <c r="AC424" s="373"/>
      <c r="AD424" s="373"/>
      <c r="AE424" s="373"/>
      <c r="AF424" s="373"/>
      <c r="AG424" s="373"/>
      <c r="AH424" s="373"/>
      <c r="AI424" s="373"/>
      <c r="AJ424" s="373"/>
      <c r="AK424" s="373"/>
      <c r="AL424" s="373"/>
      <c r="AM424" s="373"/>
      <c r="AN424" s="373"/>
    </row>
    <row r="425" spans="1:44" x14ac:dyDescent="0.25">
      <c r="A425" s="512" t="s">
        <v>202</v>
      </c>
      <c r="B425" s="488"/>
      <c r="C425" s="488"/>
      <c r="D425" s="488"/>
      <c r="E425" s="488"/>
      <c r="F425" s="488"/>
      <c r="G425" s="488" t="e">
        <f t="shared" si="8"/>
        <v>#DIV/0!</v>
      </c>
      <c r="H425" s="463"/>
      <c r="I425" s="373" t="s">
        <v>235</v>
      </c>
      <c r="J425" s="373"/>
      <c r="K425" s="373"/>
      <c r="L425" s="373"/>
      <c r="M425" s="373"/>
      <c r="N425" s="373"/>
      <c r="O425" s="373"/>
      <c r="P425" s="373"/>
      <c r="Q425" s="373"/>
      <c r="R425" s="373"/>
      <c r="S425" s="373"/>
      <c r="T425" s="373"/>
      <c r="U425" s="373"/>
      <c r="V425" s="373"/>
      <c r="W425" s="373"/>
      <c r="X425" s="373"/>
      <c r="Y425" s="373"/>
      <c r="Z425" s="373"/>
      <c r="AA425" s="373"/>
      <c r="AB425" s="373"/>
      <c r="AC425" s="373"/>
      <c r="AD425" s="373"/>
      <c r="AE425" s="373"/>
      <c r="AF425" s="373"/>
      <c r="AG425" s="373"/>
      <c r="AH425" s="373"/>
      <c r="AI425" s="373"/>
      <c r="AJ425" s="373"/>
      <c r="AK425" s="373"/>
      <c r="AL425" s="373"/>
      <c r="AM425" s="373"/>
      <c r="AN425" s="373"/>
    </row>
    <row r="426" spans="1:44" x14ac:dyDescent="0.25">
      <c r="A426" s="512" t="s">
        <v>203</v>
      </c>
      <c r="B426" s="488"/>
      <c r="C426" s="488"/>
      <c r="D426" s="488"/>
      <c r="E426" s="488"/>
      <c r="F426" s="488"/>
      <c r="G426" s="488" t="e">
        <f t="shared" si="8"/>
        <v>#DIV/0!</v>
      </c>
      <c r="H426" s="463"/>
      <c r="I426" s="373" t="s">
        <v>235</v>
      </c>
      <c r="J426" s="373"/>
      <c r="K426" s="373"/>
      <c r="L426" s="373"/>
      <c r="M426" s="373"/>
      <c r="N426" s="373"/>
      <c r="O426" s="373"/>
      <c r="P426" s="373"/>
      <c r="Q426" s="373"/>
      <c r="R426" s="373"/>
      <c r="S426" s="373"/>
      <c r="T426" s="373"/>
      <c r="U426" s="373"/>
      <c r="V426" s="373"/>
      <c r="W426" s="373"/>
      <c r="X426" s="373"/>
      <c r="Y426" s="373"/>
      <c r="Z426" s="373"/>
      <c r="AA426" s="373"/>
      <c r="AB426" s="373"/>
      <c r="AC426" s="373"/>
      <c r="AD426" s="373"/>
      <c r="AE426" s="373"/>
      <c r="AF426" s="373"/>
      <c r="AG426" s="373"/>
      <c r="AH426" s="373"/>
      <c r="AI426" s="373"/>
      <c r="AJ426" s="373"/>
      <c r="AK426" s="373"/>
      <c r="AL426" s="373"/>
      <c r="AM426" s="373"/>
      <c r="AN426" s="373"/>
    </row>
    <row r="427" spans="1:44" x14ac:dyDescent="0.25">
      <c r="A427" s="512" t="s">
        <v>204</v>
      </c>
      <c r="B427" s="488"/>
      <c r="C427" s="488"/>
      <c r="D427" s="488"/>
      <c r="E427" s="488"/>
      <c r="F427" s="488"/>
      <c r="G427" s="488" t="e">
        <f t="shared" si="8"/>
        <v>#DIV/0!</v>
      </c>
      <c r="H427" s="463"/>
      <c r="I427" s="373" t="s">
        <v>235</v>
      </c>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3"/>
      <c r="AJ427" s="373"/>
      <c r="AK427" s="373"/>
      <c r="AL427" s="373"/>
      <c r="AM427" s="373"/>
      <c r="AN427" s="373"/>
    </row>
    <row r="428" spans="1:44" ht="15.75" thickBot="1" x14ac:dyDescent="0.3">
      <c r="A428" s="509" t="s">
        <v>205</v>
      </c>
      <c r="B428" s="454"/>
      <c r="C428" s="454"/>
      <c r="D428" s="454"/>
      <c r="E428" s="454"/>
      <c r="F428" s="454"/>
      <c r="G428" s="454" t="e">
        <f t="shared" si="8"/>
        <v>#DIV/0!</v>
      </c>
      <c r="H428" s="455"/>
      <c r="I428" s="373" t="s">
        <v>235</v>
      </c>
      <c r="J428" s="373"/>
      <c r="K428" s="373"/>
      <c r="L428" s="373"/>
      <c r="M428" s="373"/>
      <c r="N428" s="373"/>
      <c r="O428" s="373"/>
      <c r="P428" s="373"/>
      <c r="Q428" s="373"/>
      <c r="R428" s="373"/>
      <c r="S428" s="373"/>
      <c r="T428" s="373"/>
      <c r="U428" s="373"/>
      <c r="V428" s="373"/>
      <c r="W428" s="373"/>
      <c r="X428" s="373"/>
      <c r="Y428" s="373"/>
      <c r="Z428" s="373"/>
      <c r="AA428" s="373"/>
      <c r="AB428" s="373"/>
      <c r="AC428" s="373"/>
      <c r="AD428" s="373"/>
      <c r="AE428" s="373"/>
      <c r="AF428" s="373"/>
      <c r="AG428" s="373"/>
      <c r="AH428" s="373"/>
      <c r="AI428" s="373"/>
      <c r="AJ428" s="373"/>
      <c r="AK428" s="373"/>
      <c r="AL428" s="373"/>
      <c r="AM428" s="373"/>
      <c r="AN428" s="373"/>
    </row>
    <row r="429" spans="1:44" ht="26.25" customHeight="1" x14ac:dyDescent="0.25">
      <c r="A429" s="26" t="s">
        <v>82</v>
      </c>
      <c r="B429" s="23"/>
      <c r="C429" s="23"/>
      <c r="D429" s="23"/>
      <c r="E429" s="24"/>
      <c r="F429" s="24"/>
      <c r="G429" s="24"/>
      <c r="H429" s="24"/>
      <c r="I429" s="24"/>
      <c r="J429" s="24"/>
      <c r="K429" s="24"/>
      <c r="L429" s="24"/>
      <c r="M429" s="24"/>
      <c r="N429" s="24"/>
      <c r="O429" s="24"/>
      <c r="P429" s="24"/>
      <c r="Q429" s="24"/>
      <c r="R429" s="24"/>
      <c r="S429" s="24"/>
      <c r="T429" s="24"/>
      <c r="U429" s="24"/>
      <c r="V429" s="24"/>
      <c r="W429" s="24"/>
      <c r="X429" s="23"/>
      <c r="Y429" s="23"/>
      <c r="Z429" s="23"/>
      <c r="AA429" s="23"/>
      <c r="AB429" s="23"/>
      <c r="AC429" s="23"/>
      <c r="AD429" s="301"/>
      <c r="AE429" s="301"/>
      <c r="AF429" s="301"/>
      <c r="AG429" s="301"/>
      <c r="AH429" s="301"/>
      <c r="AI429" s="301"/>
      <c r="AJ429" s="302"/>
      <c r="AK429" s="302"/>
      <c r="AL429" s="303"/>
      <c r="AM429" s="303"/>
      <c r="AN429" s="303"/>
      <c r="AO429" s="303"/>
      <c r="AP429" s="303"/>
      <c r="AQ429" s="303"/>
      <c r="AR429" s="303"/>
    </row>
    <row r="430" spans="1:44" ht="26.25" customHeight="1" x14ac:dyDescent="0.25">
      <c r="A430" s="27" t="s">
        <v>83</v>
      </c>
      <c r="B430" s="1209" t="s">
        <v>84</v>
      </c>
      <c r="C430" s="1209"/>
      <c r="D430" s="1209"/>
      <c r="E430" s="1009" t="s">
        <v>85</v>
      </c>
      <c r="F430" s="1009"/>
      <c r="G430" s="1009"/>
      <c r="H430" s="1009"/>
      <c r="I430" s="1009"/>
      <c r="J430" s="1009"/>
      <c r="K430" s="1009"/>
      <c r="L430" s="1009"/>
      <c r="M430" s="1009"/>
      <c r="N430" s="1009"/>
      <c r="O430" s="23"/>
      <c r="P430" s="23"/>
      <c r="Q430" s="23"/>
      <c r="R430" s="23"/>
      <c r="S430" s="23"/>
      <c r="T430" s="23"/>
      <c r="U430" s="23"/>
      <c r="V430" s="23"/>
      <c r="W430" s="23"/>
      <c r="X430" s="23"/>
      <c r="Y430" s="23"/>
      <c r="Z430" s="23"/>
      <c r="AA430" s="23"/>
      <c r="AB430" s="23"/>
      <c r="AC430" s="23"/>
      <c r="AD430" s="301"/>
      <c r="AE430" s="301"/>
      <c r="AF430" s="301"/>
      <c r="AG430" s="301"/>
      <c r="AH430" s="301"/>
      <c r="AI430" s="301"/>
      <c r="AJ430" s="302"/>
      <c r="AK430" s="302"/>
      <c r="AL430" s="301"/>
      <c r="AM430" s="301"/>
      <c r="AN430" s="301"/>
      <c r="AO430" s="301"/>
      <c r="AP430" s="301"/>
      <c r="AQ430" s="301"/>
      <c r="AR430" s="302"/>
    </row>
    <row r="431" spans="1:44" ht="43.5" customHeight="1" x14ac:dyDescent="0.25">
      <c r="A431" s="461">
        <v>13</v>
      </c>
      <c r="B431" s="996" t="s">
        <v>120</v>
      </c>
      <c r="C431" s="997"/>
      <c r="D431" s="998"/>
      <c r="E431" s="999" t="s">
        <v>87</v>
      </c>
      <c r="F431" s="999"/>
      <c r="G431" s="999"/>
      <c r="H431" s="999"/>
      <c r="I431" s="999"/>
      <c r="J431" s="999"/>
      <c r="K431" s="999"/>
      <c r="L431" s="999"/>
      <c r="M431" s="999"/>
      <c r="N431" s="999"/>
      <c r="O431" s="999"/>
      <c r="P431" s="999"/>
      <c r="Q431" s="999"/>
      <c r="R431" s="999"/>
      <c r="S431" s="23"/>
      <c r="T431" s="23"/>
      <c r="U431" s="23"/>
      <c r="V431" s="23"/>
      <c r="W431" s="23"/>
      <c r="X431" s="23"/>
      <c r="Y431" s="23"/>
      <c r="Z431" s="23"/>
      <c r="AA431" s="23"/>
      <c r="AB431" s="23"/>
      <c r="AC431" s="23"/>
      <c r="AD431" s="23"/>
      <c r="AE431" s="23"/>
      <c r="AF431" s="23"/>
      <c r="AG431" s="23"/>
      <c r="AH431" s="23"/>
      <c r="AI431" s="23"/>
      <c r="AJ431" s="25"/>
      <c r="AK431" s="25"/>
      <c r="AL431" s="23"/>
      <c r="AM431" s="23"/>
      <c r="AN431" s="23"/>
      <c r="AO431" s="23"/>
      <c r="AP431" s="23"/>
      <c r="AQ431" s="23"/>
      <c r="AR431" s="25"/>
    </row>
    <row r="432" spans="1:44" ht="38.25" customHeight="1" x14ac:dyDescent="0.25">
      <c r="A432" s="20">
        <v>14</v>
      </c>
      <c r="B432" s="996" t="s">
        <v>88</v>
      </c>
      <c r="C432" s="997"/>
      <c r="D432" s="998"/>
      <c r="E432" s="999" t="s">
        <v>89</v>
      </c>
      <c r="F432" s="999"/>
      <c r="G432" s="999"/>
      <c r="H432" s="999"/>
      <c r="I432" s="999"/>
      <c r="J432" s="999"/>
      <c r="K432" s="999"/>
      <c r="L432" s="999"/>
      <c r="M432" s="999"/>
      <c r="N432" s="999"/>
      <c r="O432" s="999"/>
      <c r="P432" s="999"/>
      <c r="Q432" s="999"/>
      <c r="R432" s="999"/>
    </row>
  </sheetData>
  <mergeCells count="248">
    <mergeCell ref="E430:N430"/>
    <mergeCell ref="B431:D431"/>
    <mergeCell ref="E431:R431"/>
    <mergeCell ref="B432:D432"/>
    <mergeCell ref="E432:R432"/>
    <mergeCell ref="A349:A352"/>
    <mergeCell ref="B349:B350"/>
    <mergeCell ref="C349:C350"/>
    <mergeCell ref="B351:B352"/>
    <mergeCell ref="C351:C352"/>
    <mergeCell ref="B430:D430"/>
    <mergeCell ref="A353:A356"/>
    <mergeCell ref="B353:B354"/>
    <mergeCell ref="B355:B356"/>
    <mergeCell ref="C353:C354"/>
    <mergeCell ref="C355:C356"/>
    <mergeCell ref="A357:A360"/>
    <mergeCell ref="B357:B358"/>
    <mergeCell ref="B359:B360"/>
    <mergeCell ref="C357:C358"/>
    <mergeCell ref="C359:C360"/>
    <mergeCell ref="A341:A344"/>
    <mergeCell ref="B341:B342"/>
    <mergeCell ref="C341:C342"/>
    <mergeCell ref="B343:B344"/>
    <mergeCell ref="C343:C344"/>
    <mergeCell ref="A345:A348"/>
    <mergeCell ref="B345:B346"/>
    <mergeCell ref="C345:C346"/>
    <mergeCell ref="B347:B348"/>
    <mergeCell ref="C347:C348"/>
    <mergeCell ref="A333:A336"/>
    <mergeCell ref="B333:B334"/>
    <mergeCell ref="C333:C334"/>
    <mergeCell ref="B335:B336"/>
    <mergeCell ref="C335:C336"/>
    <mergeCell ref="A339:G339"/>
    <mergeCell ref="A325:A328"/>
    <mergeCell ref="B325:B326"/>
    <mergeCell ref="C325:C326"/>
    <mergeCell ref="B327:B328"/>
    <mergeCell ref="C327:C328"/>
    <mergeCell ref="A329:A332"/>
    <mergeCell ref="B329:B330"/>
    <mergeCell ref="C329:C330"/>
    <mergeCell ref="B331:B332"/>
    <mergeCell ref="C331:C332"/>
    <mergeCell ref="A317:A320"/>
    <mergeCell ref="B317:B318"/>
    <mergeCell ref="C317:C318"/>
    <mergeCell ref="B319:B320"/>
    <mergeCell ref="C319:C320"/>
    <mergeCell ref="A321:A324"/>
    <mergeCell ref="B321:B322"/>
    <mergeCell ref="C321:C322"/>
    <mergeCell ref="B323:B324"/>
    <mergeCell ref="C323:C324"/>
    <mergeCell ref="A309:A312"/>
    <mergeCell ref="B309:B310"/>
    <mergeCell ref="C309:C310"/>
    <mergeCell ref="B311:B312"/>
    <mergeCell ref="C311:C312"/>
    <mergeCell ref="A313:A316"/>
    <mergeCell ref="B313:B314"/>
    <mergeCell ref="C313:C314"/>
    <mergeCell ref="B315:B316"/>
    <mergeCell ref="C315:C316"/>
    <mergeCell ref="A301:A304"/>
    <mergeCell ref="B301:B302"/>
    <mergeCell ref="C301:C302"/>
    <mergeCell ref="B303:B304"/>
    <mergeCell ref="C303:C304"/>
    <mergeCell ref="A305:A308"/>
    <mergeCell ref="B305:B306"/>
    <mergeCell ref="C305:C306"/>
    <mergeCell ref="B307:B308"/>
    <mergeCell ref="C307:C308"/>
    <mergeCell ref="A294:A296"/>
    <mergeCell ref="B295:B296"/>
    <mergeCell ref="C295:C296"/>
    <mergeCell ref="A297:A300"/>
    <mergeCell ref="B297:B298"/>
    <mergeCell ref="C297:C298"/>
    <mergeCell ref="B299:B300"/>
    <mergeCell ref="C299:C300"/>
    <mergeCell ref="A285:A287"/>
    <mergeCell ref="B286:B287"/>
    <mergeCell ref="C286:C287"/>
    <mergeCell ref="A289:G289"/>
    <mergeCell ref="A291:A293"/>
    <mergeCell ref="B292:B293"/>
    <mergeCell ref="C292:C293"/>
    <mergeCell ref="A279:A281"/>
    <mergeCell ref="B280:B281"/>
    <mergeCell ref="C280:C281"/>
    <mergeCell ref="A282:A284"/>
    <mergeCell ref="B283:B284"/>
    <mergeCell ref="C283:C284"/>
    <mergeCell ref="A273:A275"/>
    <mergeCell ref="B274:B275"/>
    <mergeCell ref="C274:C275"/>
    <mergeCell ref="A276:A278"/>
    <mergeCell ref="B277:B278"/>
    <mergeCell ref="C277:C278"/>
    <mergeCell ref="A267:A269"/>
    <mergeCell ref="B268:B269"/>
    <mergeCell ref="C268:C269"/>
    <mergeCell ref="A270:A272"/>
    <mergeCell ref="B271:B272"/>
    <mergeCell ref="C271:C272"/>
    <mergeCell ref="A261:A263"/>
    <mergeCell ref="B262:B263"/>
    <mergeCell ref="C262:C263"/>
    <mergeCell ref="A264:A266"/>
    <mergeCell ref="B265:B266"/>
    <mergeCell ref="C265:C266"/>
    <mergeCell ref="A255:A257"/>
    <mergeCell ref="B256:B257"/>
    <mergeCell ref="C256:C257"/>
    <mergeCell ref="A258:A260"/>
    <mergeCell ref="B259:B260"/>
    <mergeCell ref="C259:C260"/>
    <mergeCell ref="A246:A248"/>
    <mergeCell ref="B247:B248"/>
    <mergeCell ref="C247:C248"/>
    <mergeCell ref="A250:G250"/>
    <mergeCell ref="A252:A254"/>
    <mergeCell ref="B253:B254"/>
    <mergeCell ref="C253:C254"/>
    <mergeCell ref="A240:A242"/>
    <mergeCell ref="B241:B242"/>
    <mergeCell ref="C241:C242"/>
    <mergeCell ref="A243:A245"/>
    <mergeCell ref="B244:B245"/>
    <mergeCell ref="C244:C245"/>
    <mergeCell ref="A234:A236"/>
    <mergeCell ref="B235:B236"/>
    <mergeCell ref="C235:C236"/>
    <mergeCell ref="A237:A239"/>
    <mergeCell ref="B238:B239"/>
    <mergeCell ref="C238:C239"/>
    <mergeCell ref="A228:A230"/>
    <mergeCell ref="B229:B230"/>
    <mergeCell ref="C229:C230"/>
    <mergeCell ref="A231:A233"/>
    <mergeCell ref="B232:B233"/>
    <mergeCell ref="C232:C233"/>
    <mergeCell ref="A222:A224"/>
    <mergeCell ref="B223:B224"/>
    <mergeCell ref="C223:C224"/>
    <mergeCell ref="A225:A227"/>
    <mergeCell ref="B226:B227"/>
    <mergeCell ref="C226:C227"/>
    <mergeCell ref="A216:A218"/>
    <mergeCell ref="B217:B218"/>
    <mergeCell ref="C217:C218"/>
    <mergeCell ref="A219:A221"/>
    <mergeCell ref="B220:B221"/>
    <mergeCell ref="C220:C221"/>
    <mergeCell ref="A207:A209"/>
    <mergeCell ref="B208:B209"/>
    <mergeCell ref="C208:C209"/>
    <mergeCell ref="A211:G211"/>
    <mergeCell ref="A213:A215"/>
    <mergeCell ref="B214:B215"/>
    <mergeCell ref="C214:C215"/>
    <mergeCell ref="A201:A203"/>
    <mergeCell ref="B202:B203"/>
    <mergeCell ref="C202:C203"/>
    <mergeCell ref="A204:A206"/>
    <mergeCell ref="B205:B206"/>
    <mergeCell ref="C205:C206"/>
    <mergeCell ref="A195:A197"/>
    <mergeCell ref="B196:B197"/>
    <mergeCell ref="C196:C197"/>
    <mergeCell ref="A198:A200"/>
    <mergeCell ref="B199:B200"/>
    <mergeCell ref="C199:C200"/>
    <mergeCell ref="A175:A176"/>
    <mergeCell ref="A177:A178"/>
    <mergeCell ref="A179:A180"/>
    <mergeCell ref="A190:G190"/>
    <mergeCell ref="A192:A194"/>
    <mergeCell ref="B193:B194"/>
    <mergeCell ref="C193:C194"/>
    <mergeCell ref="A162:A163"/>
    <mergeCell ref="A164:A165"/>
    <mergeCell ref="A166:A167"/>
    <mergeCell ref="A168:A169"/>
    <mergeCell ref="A170:A171"/>
    <mergeCell ref="A173:N173"/>
    <mergeCell ref="A181:A182"/>
    <mergeCell ref="A183:A184"/>
    <mergeCell ref="A150:A151"/>
    <mergeCell ref="A152:A153"/>
    <mergeCell ref="A154:A155"/>
    <mergeCell ref="A156:A157"/>
    <mergeCell ref="A158:A159"/>
    <mergeCell ref="A160:A161"/>
    <mergeCell ref="A137:A138"/>
    <mergeCell ref="A139:A140"/>
    <mergeCell ref="A141:A142"/>
    <mergeCell ref="A143:A144"/>
    <mergeCell ref="A146:N146"/>
    <mergeCell ref="A148:A149"/>
    <mergeCell ref="A125:A126"/>
    <mergeCell ref="A127:A128"/>
    <mergeCell ref="A129:A130"/>
    <mergeCell ref="A131:A132"/>
    <mergeCell ref="A133:A134"/>
    <mergeCell ref="A135:A136"/>
    <mergeCell ref="A112:A113"/>
    <mergeCell ref="A114:A115"/>
    <mergeCell ref="A116:A117"/>
    <mergeCell ref="A119:N119"/>
    <mergeCell ref="A121:A122"/>
    <mergeCell ref="A123:A124"/>
    <mergeCell ref="A100:A101"/>
    <mergeCell ref="A102:A103"/>
    <mergeCell ref="A104:A105"/>
    <mergeCell ref="A106:A107"/>
    <mergeCell ref="A108:A109"/>
    <mergeCell ref="A110:A111"/>
    <mergeCell ref="A86:A87"/>
    <mergeCell ref="A88:A89"/>
    <mergeCell ref="A92:N92"/>
    <mergeCell ref="A94:A95"/>
    <mergeCell ref="A96:A97"/>
    <mergeCell ref="A98:A99"/>
    <mergeCell ref="A78:A79"/>
    <mergeCell ref="A80:A81"/>
    <mergeCell ref="A82:A83"/>
    <mergeCell ref="A84:A85"/>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 2023 SSFFS-SPCI</vt:lpstr>
      <vt:lpstr>GESTIÓN</vt:lpstr>
      <vt:lpstr>INVERSIÓN</vt:lpstr>
      <vt:lpstr>ACT 2024 SSFFS-SPCI </vt:lpstr>
      <vt:lpstr>ACTIVIDADES</vt:lpstr>
      <vt:lpstr>TERRITORIALIZACIÓN</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Usuario</cp:lastModifiedBy>
  <dcterms:created xsi:type="dcterms:W3CDTF">2022-05-05T01:45:32Z</dcterms:created>
  <dcterms:modified xsi:type="dcterms:W3CDTF">2024-08-01T21:38:31Z</dcterms:modified>
</cp:coreProperties>
</file>