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AF160678-3996-4DAA-866C-C8476DD5DF45}" xr6:coauthVersionLast="47" xr6:coauthVersionMax="47" xr10:uidLastSave="{00000000-0000-0000-0000-000000000000}"/>
  <bookViews>
    <workbookView xWindow="-120" yWindow="-120" windowWidth="20730" windowHeight="11160" tabRatio="601" xr2:uid="{00000000-000D-0000-FFFF-FFFF00000000}"/>
  </bookViews>
  <sheets>
    <sheet name="GESTIÓN" sheetId="29" r:id="rId1"/>
    <sheet name="INVERSIÓN" sheetId="6" r:id="rId2"/>
    <sheet name="ACTIVIDADES" sheetId="21" r:id="rId3"/>
    <sheet name="TERRITORIALIZACIÓN" sheetId="30" r:id="rId4"/>
    <sheet name="SPI." sheetId="27" r:id="rId5"/>
    <sheet name="SPI" sheetId="14" state="hidden" r:id="rId6"/>
  </sheets>
  <externalReferences>
    <externalReference r:id="rId7"/>
    <externalReference r:id="rId8"/>
  </externalReferences>
  <definedNames>
    <definedName name="_xlnm._FilterDatabase" localSheetId="2" hidden="1">ACTIVIDADES!$A$7:$C$8</definedName>
    <definedName name="_xlnm._FilterDatabase" localSheetId="0" hidden="1">GESTIÓN!$A$12:$FA$12</definedName>
    <definedName name="_xlnm._FilterDatabase" localSheetId="1" hidden="1">INVERSIÓN!$A$9:$GZ$33</definedName>
    <definedName name="_xlnm.Print_Area" localSheetId="2">ACTIVIDADES!$A$1:$V$40</definedName>
    <definedName name="_xlnm.Print_Area" localSheetId="0">GESTIÓN!$A$1:$FA$14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[1]Variables!$C$1:$C$24</definedName>
    <definedName name="GRUPO_ETAREO" localSheetId="2">[1]Variables!$A$1:$A$8</definedName>
    <definedName name="GRUPO_ETAREO" localSheetId="4">[1]Variables!$A$1:$A$8</definedName>
    <definedName name="GRUPO_ETAREO">[1]Variables!$A$1:$A$8</definedName>
    <definedName name="GRUPO_ETAREOS" localSheetId="2">#REF!</definedName>
    <definedName name="GRUPO_ETAREOS" localSheetId="0">#REF!</definedName>
    <definedName name="GRUPO_ETAREOS" localSheetId="4">#REF!</definedName>
    <definedName name="GRUPO_ETAREOS">#REF!</definedName>
    <definedName name="GRUPO_ETARIO" localSheetId="2">#REF!</definedName>
    <definedName name="GRUPO_ETARIO" localSheetId="0">#REF!</definedName>
    <definedName name="GRUPO_ETARIO" localSheetId="4">#REF!</definedName>
    <definedName name="GRUPO_ETARIO">#REF!</definedName>
    <definedName name="GRUPO_ETNICO" localSheetId="2">#REF!</definedName>
    <definedName name="GRUPO_ETNICO" localSheetId="0">#REF!</definedName>
    <definedName name="GRUPO_ETNICO" localSheetId="4">#REF!</definedName>
    <definedName name="GRUPO_ETNICO">#REF!</definedName>
    <definedName name="GRUPOETNICO" localSheetId="2">#REF!</definedName>
    <definedName name="GRUPOETNICO" localSheetId="0">#REF!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[1]Variables!$H$1:$H$8</definedName>
    <definedName name="LOCALIDAD" localSheetId="2">#REF!</definedName>
    <definedName name="LOCALIDAD" localSheetId="0">#REF!</definedName>
    <definedName name="LOCALIDAD" localSheetId="4">#REF!</definedName>
    <definedName name="LOCALIDAD">#REF!</definedName>
    <definedName name="LOCALIZACION" localSheetId="2">#REF!</definedName>
    <definedName name="LOCALIZACION" localSheetId="0">#REF!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0" i="30" l="1"/>
  <c r="Y149" i="30"/>
  <c r="O149" i="30"/>
  <c r="N149" i="30"/>
  <c r="M149" i="30"/>
  <c r="K149" i="30"/>
  <c r="J149" i="30"/>
  <c r="I149" i="30"/>
  <c r="H149" i="30"/>
  <c r="G149" i="30"/>
  <c r="F149" i="30"/>
  <c r="E149" i="30"/>
  <c r="Z148" i="30"/>
  <c r="Y148" i="30"/>
  <c r="J148" i="30"/>
  <c r="I148" i="30"/>
  <c r="I150" i="30" s="1"/>
  <c r="H148" i="30"/>
  <c r="H150" i="30" s="1"/>
  <c r="G148" i="30"/>
  <c r="F148" i="30"/>
  <c r="E148" i="30"/>
  <c r="L147" i="30"/>
  <c r="AB133" i="30"/>
  <c r="AB149" i="30" s="1"/>
  <c r="AA133" i="30"/>
  <c r="AA149" i="30" s="1"/>
  <c r="Z133" i="30"/>
  <c r="Z149" i="30" s="1"/>
  <c r="Y133" i="30"/>
  <c r="X133" i="30"/>
  <c r="X149" i="30" s="1"/>
  <c r="O133" i="30"/>
  <c r="N133" i="30"/>
  <c r="M133" i="30"/>
  <c r="L133" i="30"/>
  <c r="L149" i="30" s="1"/>
  <c r="AB132" i="30"/>
  <c r="AA132" i="30"/>
  <c r="Z132" i="30"/>
  <c r="Y132" i="30"/>
  <c r="X132" i="30"/>
  <c r="O132" i="30"/>
  <c r="N132" i="30"/>
  <c r="M132" i="30"/>
  <c r="L132" i="30"/>
  <c r="K132" i="30"/>
  <c r="AB131" i="30"/>
  <c r="AB148" i="30" s="1"/>
  <c r="AA131" i="30"/>
  <c r="AA148" i="30" s="1"/>
  <c r="Z131" i="30"/>
  <c r="Y131" i="30"/>
  <c r="X131" i="30"/>
  <c r="X148" i="30" s="1"/>
  <c r="O131" i="30"/>
  <c r="O148" i="30" s="1"/>
  <c r="N131" i="30"/>
  <c r="N148" i="30" s="1"/>
  <c r="N150" i="30" s="1"/>
  <c r="M131" i="30"/>
  <c r="M148" i="30" s="1"/>
  <c r="M150" i="30" s="1"/>
  <c r="L131" i="30"/>
  <c r="L148" i="30" s="1"/>
  <c r="L150" i="30" s="1"/>
  <c r="K131" i="30"/>
  <c r="K148" i="30" s="1"/>
  <c r="K150" i="30" s="1"/>
  <c r="AP130" i="30"/>
  <c r="AO130" i="30"/>
  <c r="AA130" i="30"/>
  <c r="AA134" i="30" s="1"/>
  <c r="Y130" i="30"/>
  <c r="Y134" i="30" s="1"/>
  <c r="X130" i="30"/>
  <c r="X134" i="30" s="1"/>
  <c r="O130" i="30"/>
  <c r="O134" i="30" s="1"/>
  <c r="N130" i="30"/>
  <c r="N134" i="30" s="1"/>
  <c r="M130" i="30"/>
  <c r="L130" i="30"/>
  <c r="K130" i="30"/>
  <c r="AB129" i="30"/>
  <c r="AA129" i="30"/>
  <c r="Z129" i="30"/>
  <c r="Y129" i="30"/>
  <c r="X129" i="30"/>
  <c r="X135" i="30" s="1"/>
  <c r="O129" i="30"/>
  <c r="N129" i="30"/>
  <c r="M129" i="30"/>
  <c r="L129" i="30"/>
  <c r="K129" i="30"/>
  <c r="AB128" i="30"/>
  <c r="AA128" i="30"/>
  <c r="Z128" i="30"/>
  <c r="Y128" i="30"/>
  <c r="X128" i="30"/>
  <c r="O128" i="30"/>
  <c r="N128" i="30"/>
  <c r="M128" i="30"/>
  <c r="L128" i="30"/>
  <c r="K128" i="30"/>
  <c r="AB123" i="30"/>
  <c r="AA123" i="30"/>
  <c r="Z123" i="30"/>
  <c r="Y123" i="30"/>
  <c r="X123" i="30"/>
  <c r="O123" i="30"/>
  <c r="N123" i="30"/>
  <c r="M123" i="30"/>
  <c r="L123" i="30"/>
  <c r="K123" i="30"/>
  <c r="AB122" i="30"/>
  <c r="AA122" i="30"/>
  <c r="Z122" i="30"/>
  <c r="Y122" i="30"/>
  <c r="X122" i="30"/>
  <c r="O122" i="30"/>
  <c r="N122" i="30"/>
  <c r="M122" i="30"/>
  <c r="L122" i="30"/>
  <c r="K122" i="30"/>
  <c r="AN118" i="30"/>
  <c r="AB117" i="30"/>
  <c r="AA117" i="30"/>
  <c r="Z117" i="30"/>
  <c r="Y117" i="30"/>
  <c r="X117" i="30"/>
  <c r="O117" i="30"/>
  <c r="N117" i="30"/>
  <c r="M117" i="30"/>
  <c r="L117" i="30"/>
  <c r="K117" i="30"/>
  <c r="AB116" i="30"/>
  <c r="AA116" i="30"/>
  <c r="Z116" i="30"/>
  <c r="Y116" i="30"/>
  <c r="X116" i="30"/>
  <c r="O116" i="30"/>
  <c r="N116" i="30"/>
  <c r="M116" i="30"/>
  <c r="L116" i="30"/>
  <c r="K116" i="30"/>
  <c r="AN112" i="30"/>
  <c r="AB111" i="30"/>
  <c r="AA111" i="30"/>
  <c r="Z111" i="30"/>
  <c r="Y111" i="30"/>
  <c r="X111" i="30"/>
  <c r="O111" i="30"/>
  <c r="N111" i="30"/>
  <c r="M111" i="30"/>
  <c r="L111" i="30"/>
  <c r="K111" i="30"/>
  <c r="AB110" i="30"/>
  <c r="AA110" i="30"/>
  <c r="Z110" i="30"/>
  <c r="Y110" i="30"/>
  <c r="X110" i="30"/>
  <c r="O110" i="30"/>
  <c r="N110" i="30"/>
  <c r="M110" i="30"/>
  <c r="L110" i="30"/>
  <c r="K110" i="30"/>
  <c r="AN106" i="30"/>
  <c r="AB105" i="30"/>
  <c r="AA105" i="30"/>
  <c r="Z105" i="30"/>
  <c r="Y105" i="30"/>
  <c r="X105" i="30"/>
  <c r="O105" i="30"/>
  <c r="N105" i="30"/>
  <c r="M105" i="30"/>
  <c r="L105" i="30"/>
  <c r="K105" i="30"/>
  <c r="AB104" i="30"/>
  <c r="AA104" i="30"/>
  <c r="Z104" i="30"/>
  <c r="Y104" i="30"/>
  <c r="X104" i="30"/>
  <c r="O104" i="30"/>
  <c r="N104" i="30"/>
  <c r="M104" i="30"/>
  <c r="L104" i="30"/>
  <c r="K104" i="30"/>
  <c r="AN100" i="30"/>
  <c r="AB99" i="30"/>
  <c r="AA99" i="30"/>
  <c r="Z99" i="30"/>
  <c r="Y99" i="30"/>
  <c r="X99" i="30"/>
  <c r="O99" i="30"/>
  <c r="N99" i="30"/>
  <c r="M99" i="30"/>
  <c r="L99" i="30"/>
  <c r="K99" i="30"/>
  <c r="AB98" i="30"/>
  <c r="AA98" i="30"/>
  <c r="Z98" i="30"/>
  <c r="Y98" i="30"/>
  <c r="X98" i="30"/>
  <c r="O98" i="30"/>
  <c r="N98" i="30"/>
  <c r="M98" i="30"/>
  <c r="L98" i="30"/>
  <c r="K98" i="30"/>
  <c r="AN94" i="30"/>
  <c r="AB93" i="30"/>
  <c r="AA93" i="30"/>
  <c r="Z93" i="30"/>
  <c r="Y93" i="30"/>
  <c r="X93" i="30"/>
  <c r="O93" i="30"/>
  <c r="N93" i="30"/>
  <c r="M93" i="30"/>
  <c r="L93" i="30"/>
  <c r="K93" i="30"/>
  <c r="AB92" i="30"/>
  <c r="AA92" i="30"/>
  <c r="Z92" i="30"/>
  <c r="Y92" i="30"/>
  <c r="X92" i="30"/>
  <c r="O92" i="30"/>
  <c r="N92" i="30"/>
  <c r="M92" i="30"/>
  <c r="L92" i="30"/>
  <c r="K92" i="30"/>
  <c r="AN88" i="30"/>
  <c r="AB87" i="30"/>
  <c r="AA87" i="30"/>
  <c r="Z87" i="30"/>
  <c r="Y87" i="30"/>
  <c r="X87" i="30"/>
  <c r="O87" i="30"/>
  <c r="N87" i="30"/>
  <c r="M87" i="30"/>
  <c r="L87" i="30"/>
  <c r="K87" i="30"/>
  <c r="AB86" i="30"/>
  <c r="AA86" i="30"/>
  <c r="Z86" i="30"/>
  <c r="Y86" i="30"/>
  <c r="X86" i="30"/>
  <c r="O86" i="30"/>
  <c r="N86" i="30"/>
  <c r="M86" i="30"/>
  <c r="L86" i="30"/>
  <c r="K86" i="30"/>
  <c r="AN82" i="30"/>
  <c r="AB81" i="30"/>
  <c r="AA81" i="30"/>
  <c r="Z81" i="30"/>
  <c r="Y81" i="30"/>
  <c r="X81" i="30"/>
  <c r="O81" i="30"/>
  <c r="N81" i="30"/>
  <c r="M81" i="30"/>
  <c r="L81" i="30"/>
  <c r="K81" i="30"/>
  <c r="AB80" i="30"/>
  <c r="AA80" i="30"/>
  <c r="Z80" i="30"/>
  <c r="Y80" i="30"/>
  <c r="X80" i="30"/>
  <c r="O80" i="30"/>
  <c r="N80" i="30"/>
  <c r="M80" i="30"/>
  <c r="L80" i="30"/>
  <c r="K80" i="30"/>
  <c r="AN76" i="30"/>
  <c r="AB75" i="30"/>
  <c r="AA75" i="30"/>
  <c r="Z75" i="30"/>
  <c r="Y75" i="30"/>
  <c r="X75" i="30"/>
  <c r="O75" i="30"/>
  <c r="N75" i="30"/>
  <c r="M75" i="30"/>
  <c r="L75" i="30"/>
  <c r="K75" i="30"/>
  <c r="AB74" i="30"/>
  <c r="AA74" i="30"/>
  <c r="Z74" i="30"/>
  <c r="Y74" i="30"/>
  <c r="X74" i="30"/>
  <c r="O74" i="30"/>
  <c r="N74" i="30"/>
  <c r="M74" i="30"/>
  <c r="L74" i="30"/>
  <c r="K74" i="30"/>
  <c r="AN70" i="30"/>
  <c r="AB69" i="30"/>
  <c r="AA69" i="30"/>
  <c r="Z69" i="30"/>
  <c r="Y69" i="30"/>
  <c r="X69" i="30"/>
  <c r="O69" i="30"/>
  <c r="N69" i="30"/>
  <c r="M69" i="30"/>
  <c r="L69" i="30"/>
  <c r="K69" i="30"/>
  <c r="AB68" i="30"/>
  <c r="AA68" i="30"/>
  <c r="Z68" i="30"/>
  <c r="Y68" i="30"/>
  <c r="X68" i="30"/>
  <c r="O68" i="30"/>
  <c r="N68" i="30"/>
  <c r="M68" i="30"/>
  <c r="L68" i="30"/>
  <c r="K68" i="30"/>
  <c r="AN64" i="30"/>
  <c r="AB63" i="30"/>
  <c r="AA63" i="30"/>
  <c r="Z63" i="30"/>
  <c r="Y63" i="30"/>
  <c r="X63" i="30"/>
  <c r="O63" i="30"/>
  <c r="N63" i="30"/>
  <c r="M63" i="30"/>
  <c r="L63" i="30"/>
  <c r="K63" i="30"/>
  <c r="AB62" i="30"/>
  <c r="AA62" i="30"/>
  <c r="Z62" i="30"/>
  <c r="Y62" i="30"/>
  <c r="X62" i="30"/>
  <c r="O62" i="30"/>
  <c r="N62" i="30"/>
  <c r="M62" i="30"/>
  <c r="L62" i="30"/>
  <c r="K62" i="30"/>
  <c r="AN58" i="30"/>
  <c r="AB57" i="30"/>
  <c r="AA57" i="30"/>
  <c r="Z57" i="30"/>
  <c r="Y57" i="30"/>
  <c r="X57" i="30"/>
  <c r="O57" i="30"/>
  <c r="N57" i="30"/>
  <c r="M57" i="30"/>
  <c r="L57" i="30"/>
  <c r="K57" i="30"/>
  <c r="AB56" i="30"/>
  <c r="AA56" i="30"/>
  <c r="Z56" i="30"/>
  <c r="Y56" i="30"/>
  <c r="X56" i="30"/>
  <c r="O56" i="30"/>
  <c r="N56" i="30"/>
  <c r="M56" i="30"/>
  <c r="L56" i="30"/>
  <c r="K56" i="30"/>
  <c r="AN52" i="30"/>
  <c r="AB51" i="30"/>
  <c r="AA51" i="30"/>
  <c r="Z51" i="30"/>
  <c r="Y51" i="30"/>
  <c r="X51" i="30"/>
  <c r="O51" i="30"/>
  <c r="N51" i="30"/>
  <c r="M51" i="30"/>
  <c r="L51" i="30"/>
  <c r="K51" i="30"/>
  <c r="AB50" i="30"/>
  <c r="AA50" i="30"/>
  <c r="Z50" i="30"/>
  <c r="Y50" i="30"/>
  <c r="X50" i="30"/>
  <c r="O50" i="30"/>
  <c r="N50" i="30"/>
  <c r="M50" i="30"/>
  <c r="L50" i="30"/>
  <c r="K50" i="30"/>
  <c r="AN46" i="30"/>
  <c r="AB45" i="30"/>
  <c r="AA45" i="30"/>
  <c r="Z45" i="30"/>
  <c r="Y45" i="30"/>
  <c r="X45" i="30"/>
  <c r="O45" i="30"/>
  <c r="N45" i="30"/>
  <c r="M45" i="30"/>
  <c r="L45" i="30"/>
  <c r="K45" i="30"/>
  <c r="AB44" i="30"/>
  <c r="AA44" i="30"/>
  <c r="Z44" i="30"/>
  <c r="Y44" i="30"/>
  <c r="X44" i="30"/>
  <c r="O44" i="30"/>
  <c r="N44" i="30"/>
  <c r="M44" i="30"/>
  <c r="L44" i="30"/>
  <c r="K44" i="30"/>
  <c r="AN40" i="30"/>
  <c r="AB39" i="30"/>
  <c r="AA39" i="30"/>
  <c r="Z39" i="30"/>
  <c r="Y39" i="30"/>
  <c r="X39" i="30"/>
  <c r="O39" i="30"/>
  <c r="N39" i="30"/>
  <c r="M39" i="30"/>
  <c r="L39" i="30"/>
  <c r="K39" i="30"/>
  <c r="AB38" i="30"/>
  <c r="AA38" i="30"/>
  <c r="Z38" i="30"/>
  <c r="Y38" i="30"/>
  <c r="X38" i="30"/>
  <c r="O38" i="30"/>
  <c r="N38" i="30"/>
  <c r="M38" i="30"/>
  <c r="L38" i="30"/>
  <c r="K38" i="30"/>
  <c r="AN34" i="30"/>
  <c r="AB33" i="30"/>
  <c r="AA33" i="30"/>
  <c r="Z33" i="30"/>
  <c r="Y33" i="30"/>
  <c r="X33" i="30"/>
  <c r="O33" i="30"/>
  <c r="N33" i="30"/>
  <c r="M33" i="30"/>
  <c r="L33" i="30"/>
  <c r="K33" i="30"/>
  <c r="AB32" i="30"/>
  <c r="AA32" i="30"/>
  <c r="Z32" i="30"/>
  <c r="Y32" i="30"/>
  <c r="X32" i="30"/>
  <c r="O32" i="30"/>
  <c r="N32" i="30"/>
  <c r="M32" i="30"/>
  <c r="L32" i="30"/>
  <c r="K32" i="30"/>
  <c r="AN28" i="30"/>
  <c r="AB27" i="30"/>
  <c r="AA27" i="30"/>
  <c r="Z27" i="30"/>
  <c r="Y27" i="30"/>
  <c r="X27" i="30"/>
  <c r="O27" i="30"/>
  <c r="N27" i="30"/>
  <c r="M27" i="30"/>
  <c r="L27" i="30"/>
  <c r="K27" i="30"/>
  <c r="AB26" i="30"/>
  <c r="AA26" i="30"/>
  <c r="Z26" i="30"/>
  <c r="Y26" i="30"/>
  <c r="X26" i="30"/>
  <c r="O26" i="30"/>
  <c r="N26" i="30"/>
  <c r="M26" i="30"/>
  <c r="L26" i="30"/>
  <c r="K26" i="30"/>
  <c r="AN22" i="30"/>
  <c r="AB21" i="30"/>
  <c r="AA21" i="30"/>
  <c r="Z21" i="30"/>
  <c r="Y21" i="30"/>
  <c r="X21" i="30"/>
  <c r="O21" i="30"/>
  <c r="N21" i="30"/>
  <c r="M21" i="30"/>
  <c r="L21" i="30"/>
  <c r="K21" i="30"/>
  <c r="AB20" i="30"/>
  <c r="AA20" i="30"/>
  <c r="Z20" i="30"/>
  <c r="Y20" i="30"/>
  <c r="X20" i="30"/>
  <c r="O20" i="30"/>
  <c r="N20" i="30"/>
  <c r="M20" i="30"/>
  <c r="L20" i="30"/>
  <c r="AN16" i="30"/>
  <c r="AB15" i="30"/>
  <c r="AA15" i="30"/>
  <c r="Z15" i="30"/>
  <c r="Y15" i="30"/>
  <c r="X15" i="30"/>
  <c r="O15" i="30"/>
  <c r="N15" i="30"/>
  <c r="M15" i="30"/>
  <c r="L15" i="30"/>
  <c r="K15" i="30"/>
  <c r="AA14" i="30"/>
  <c r="Z14" i="30"/>
  <c r="Y14" i="30"/>
  <c r="X14" i="30"/>
  <c r="O14" i="30"/>
  <c r="N14" i="30"/>
  <c r="M14" i="30"/>
  <c r="L14" i="30"/>
  <c r="K14" i="30"/>
  <c r="AN10" i="30"/>
  <c r="AB10" i="30"/>
  <c r="AB14" i="30" s="1"/>
  <c r="Z10" i="30"/>
  <c r="Z130" i="30" s="1"/>
  <c r="Z134" i="30" s="1"/>
  <c r="AN130" i="30" l="1"/>
  <c r="AB150" i="30"/>
  <c r="F150" i="30"/>
  <c r="Z150" i="30"/>
  <c r="Z135" i="30"/>
  <c r="G150" i="30"/>
  <c r="L135" i="30"/>
  <c r="AB135" i="30"/>
  <c r="O150" i="30"/>
  <c r="M135" i="30"/>
  <c r="K134" i="30"/>
  <c r="AB130" i="30"/>
  <c r="AB134" i="30" s="1"/>
  <c r="X150" i="30"/>
  <c r="K135" i="30"/>
  <c r="N135" i="30"/>
  <c r="L134" i="30"/>
  <c r="AA135" i="30"/>
  <c r="O135" i="30"/>
  <c r="M134" i="30"/>
  <c r="Y135" i="30"/>
  <c r="AA150" i="30"/>
  <c r="E150" i="30"/>
  <c r="Y150" i="30"/>
  <c r="ER13" i="29"/>
  <c r="ER14" i="29"/>
  <c r="DG13" i="29"/>
  <c r="DL13" i="29" s="1"/>
  <c r="ER12" i="6"/>
  <c r="ER13" i="6"/>
  <c r="ER14" i="6"/>
  <c r="ER17" i="6"/>
  <c r="ER18" i="6"/>
  <c r="ER19" i="6"/>
  <c r="ER20" i="6"/>
  <c r="ER21" i="6"/>
  <c r="ER24" i="6"/>
  <c r="ER25" i="6"/>
  <c r="ER26" i="6"/>
  <c r="ER27" i="6"/>
  <c r="ER28" i="6"/>
  <c r="ER29" i="6"/>
  <c r="ER11" i="6"/>
  <c r="ER10" i="6"/>
  <c r="H57" i="27"/>
  <c r="DJ28" i="29"/>
  <c r="DK11" i="6" l="1"/>
  <c r="DK14" i="6" l="1"/>
  <c r="DK16" i="6" s="1"/>
  <c r="DK12" i="6"/>
  <c r="DJ12" i="6"/>
  <c r="ES12" i="6" l="1"/>
  <c r="DK28" i="6"/>
  <c r="DA30" i="6" l="1"/>
  <c r="DK17" i="6" l="1"/>
  <c r="DJ11" i="6"/>
  <c r="ES11" i="6" s="1"/>
  <c r="DJ13" i="6"/>
  <c r="DJ17" i="6"/>
  <c r="DJ18" i="6"/>
  <c r="DJ19" i="6"/>
  <c r="DJ20" i="6"/>
  <c r="DJ21" i="6"/>
  <c r="DJ24" i="6"/>
  <c r="DJ25" i="6"/>
  <c r="DJ26" i="6"/>
  <c r="DJ27" i="6"/>
  <c r="DJ28" i="6"/>
  <c r="DJ10" i="6"/>
  <c r="DK19" i="6"/>
  <c r="DB22" i="6"/>
  <c r="I15" i="29" l="1"/>
  <c r="DM14" i="29"/>
  <c r="DL14" i="29"/>
  <c r="DK14" i="29"/>
  <c r="DJ14" i="29"/>
  <c r="DI14" i="29"/>
  <c r="CI14" i="29"/>
  <c r="CH14" i="29"/>
  <c r="CG14" i="29"/>
  <c r="CF14" i="29"/>
  <c r="CE14" i="29"/>
  <c r="BD14" i="29"/>
  <c r="BB14" i="29"/>
  <c r="BA14" i="29"/>
  <c r="AH14" i="29"/>
  <c r="T14" i="29"/>
  <c r="N14" i="29"/>
  <c r="M14" i="29"/>
  <c r="K14" i="29"/>
  <c r="DM13" i="29"/>
  <c r="ET13" i="29" s="1"/>
  <c r="DK13" i="29"/>
  <c r="ES13" i="29" s="1"/>
  <c r="DJ13" i="29"/>
  <c r="DI13" i="29"/>
  <c r="CI13" i="29"/>
  <c r="CH13" i="29"/>
  <c r="BF13" i="29" s="1"/>
  <c r="CG13" i="29"/>
  <c r="CF13" i="29"/>
  <c r="CE13" i="29"/>
  <c r="BD13" i="29"/>
  <c r="BB13" i="29"/>
  <c r="BA13" i="29"/>
  <c r="AH13" i="29"/>
  <c r="BE13" i="29" s="1"/>
  <c r="T13" i="29"/>
  <c r="Q13" i="29"/>
  <c r="O13" i="29"/>
  <c r="M13" i="29"/>
  <c r="K13" i="29"/>
  <c r="ES14" i="29" l="1"/>
  <c r="EU13" i="29"/>
  <c r="I13" i="29"/>
  <c r="EV13" i="29" s="1"/>
  <c r="ET14" i="29"/>
  <c r="BC13" i="29"/>
  <c r="AJ14" i="29"/>
  <c r="BE14" i="29" s="1"/>
  <c r="EV14" i="29" l="1"/>
  <c r="EU14" i="29"/>
  <c r="BC14" i="29"/>
  <c r="S9" i="21"/>
  <c r="DK10" i="6" l="1"/>
  <c r="H244" i="27"/>
  <c r="H55" i="27"/>
  <c r="H56" i="27"/>
  <c r="DM10" i="6" l="1"/>
  <c r="ES10" i="6"/>
  <c r="G300" i="27"/>
  <c r="DK18" i="6" l="1"/>
  <c r="DK20" i="6"/>
  <c r="DK21" i="6"/>
  <c r="DK32" i="6" s="1"/>
  <c r="DK24" i="6" l="1"/>
  <c r="ES24" i="6" s="1"/>
  <c r="DM11" i="6"/>
  <c r="DK13" i="6"/>
  <c r="ES13" i="6" s="1"/>
  <c r="DI18" i="6"/>
  <c r="DI19" i="6"/>
  <c r="DI20" i="6"/>
  <c r="DI21" i="6"/>
  <c r="DI23" i="6" l="1"/>
  <c r="CZ22" i="6"/>
  <c r="DJ31" i="6" l="1"/>
  <c r="DI17" i="6" l="1"/>
  <c r="DL17" i="6" s="1"/>
  <c r="CX22" i="6"/>
  <c r="CX15" i="6"/>
  <c r="DN22" i="6" l="1"/>
  <c r="DN23" i="6"/>
  <c r="DI12" i="6"/>
  <c r="DI11" i="6"/>
  <c r="DI10" i="6"/>
  <c r="DL10" i="6" s="1"/>
  <c r="ET10" i="6" s="1"/>
  <c r="CV30" i="6"/>
  <c r="CU30" i="6"/>
  <c r="CV23" i="6"/>
  <c r="CU23" i="6"/>
  <c r="CV16" i="6"/>
  <c r="G298" i="27"/>
  <c r="M116" i="27"/>
  <c r="H54" i="27" l="1"/>
  <c r="CU14" i="6" l="1"/>
  <c r="CU16" i="6" l="1"/>
  <c r="H53" i="27" l="1"/>
  <c r="CS14" i="6"/>
  <c r="DJ14" i="6" s="1"/>
  <c r="H31" i="6"/>
  <c r="I31" i="6"/>
  <c r="J31" i="6"/>
  <c r="K31" i="6"/>
  <c r="L31" i="6"/>
  <c r="L32" i="6"/>
  <c r="M31" i="6"/>
  <c r="N31" i="6"/>
  <c r="O31" i="6"/>
  <c r="P31" i="6"/>
  <c r="Q31" i="6"/>
  <c r="R31" i="6"/>
  <c r="S31" i="6"/>
  <c r="T31" i="6"/>
  <c r="T32" i="6"/>
  <c r="U31" i="6"/>
  <c r="V31" i="6"/>
  <c r="Z31" i="6"/>
  <c r="AA31" i="6"/>
  <c r="AB31" i="6"/>
  <c r="AB32" i="6"/>
  <c r="AC31" i="6"/>
  <c r="AD31" i="6"/>
  <c r="AE31" i="6"/>
  <c r="AF31" i="6"/>
  <c r="AG31" i="6"/>
  <c r="AI31" i="6"/>
  <c r="AK31" i="6"/>
  <c r="AM31" i="6"/>
  <c r="AN31" i="6"/>
  <c r="AO31" i="6"/>
  <c r="AP31" i="6"/>
  <c r="AQ31" i="6"/>
  <c r="AR31" i="6"/>
  <c r="AR32" i="6"/>
  <c r="AT31" i="6"/>
  <c r="AU31" i="6"/>
  <c r="AW31" i="6"/>
  <c r="AX31" i="6"/>
  <c r="AY31" i="6"/>
  <c r="AZ31" i="6"/>
  <c r="AZ32" i="6"/>
  <c r="BF31" i="6"/>
  <c r="BH31" i="6"/>
  <c r="BH32" i="6"/>
  <c r="BI31" i="6"/>
  <c r="BJ31" i="6"/>
  <c r="BK31" i="6"/>
  <c r="BL31" i="6"/>
  <c r="BM31" i="6"/>
  <c r="BN31" i="6"/>
  <c r="BO31" i="6"/>
  <c r="BP31" i="6"/>
  <c r="BP32" i="6"/>
  <c r="BQ31" i="6"/>
  <c r="BS31" i="6"/>
  <c r="BT31" i="6"/>
  <c r="BU31" i="6"/>
  <c r="BV31" i="6"/>
  <c r="BW31" i="6"/>
  <c r="BX31" i="6"/>
  <c r="BX32" i="6"/>
  <c r="BZ31" i="6"/>
  <c r="CB31" i="6"/>
  <c r="CC31" i="6"/>
  <c r="CD31" i="6"/>
  <c r="CJ31" i="6"/>
  <c r="CK31" i="6"/>
  <c r="CL31" i="6"/>
  <c r="CM31" i="6"/>
  <c r="CN31" i="6"/>
  <c r="CN32" i="6"/>
  <c r="CO31" i="6"/>
  <c r="CP31" i="6"/>
  <c r="CQ31" i="6"/>
  <c r="CR31" i="6"/>
  <c r="CS31" i="6"/>
  <c r="CT31" i="6"/>
  <c r="CU31" i="6"/>
  <c r="CV31" i="6"/>
  <c r="CV32" i="6"/>
  <c r="CW31" i="6"/>
  <c r="CX31" i="6"/>
  <c r="CY31" i="6"/>
  <c r="CZ31" i="6"/>
  <c r="DA31" i="6"/>
  <c r="DB31" i="6"/>
  <c r="DC31" i="6"/>
  <c r="DD31" i="6"/>
  <c r="DD32" i="6"/>
  <c r="DE31" i="6"/>
  <c r="DF31" i="6"/>
  <c r="DG31" i="6"/>
  <c r="DH31" i="6"/>
  <c r="DN31" i="6"/>
  <c r="H32" i="6"/>
  <c r="I32" i="6"/>
  <c r="J32" i="6"/>
  <c r="K32" i="6"/>
  <c r="M32" i="6"/>
  <c r="N32" i="6"/>
  <c r="O32" i="6"/>
  <c r="P32" i="6"/>
  <c r="Q32" i="6"/>
  <c r="R32" i="6"/>
  <c r="S32" i="6"/>
  <c r="U32" i="6"/>
  <c r="V32" i="6"/>
  <c r="V33" i="6" s="1"/>
  <c r="Z32" i="6"/>
  <c r="AA32" i="6"/>
  <c r="AC32" i="6"/>
  <c r="AD32" i="6"/>
  <c r="AE32" i="6"/>
  <c r="AI32" i="6"/>
  <c r="AK32" i="6"/>
  <c r="AM32" i="6"/>
  <c r="AN32" i="6"/>
  <c r="AO32" i="6"/>
  <c r="AP32" i="6"/>
  <c r="AQ32" i="6"/>
  <c r="AS32" i="6"/>
  <c r="AT32" i="6"/>
  <c r="AU32" i="6"/>
  <c r="AV32" i="6"/>
  <c r="AW32" i="6"/>
  <c r="AX32" i="6"/>
  <c r="AY32" i="6"/>
  <c r="BF32" i="6"/>
  <c r="BG32" i="6"/>
  <c r="BI32" i="6"/>
  <c r="BJ32" i="6"/>
  <c r="BL32" i="6"/>
  <c r="BL33" i="6" s="1"/>
  <c r="BM32" i="6"/>
  <c r="BN32" i="6"/>
  <c r="BQ32" i="6"/>
  <c r="BR32" i="6"/>
  <c r="BS32" i="6"/>
  <c r="BT32" i="6"/>
  <c r="BT33" i="6" s="1"/>
  <c r="BU32" i="6"/>
  <c r="BV32" i="6"/>
  <c r="BW32" i="6"/>
  <c r="BY32" i="6"/>
  <c r="BZ32" i="6"/>
  <c r="CA32" i="6"/>
  <c r="CB32" i="6"/>
  <c r="CC32" i="6"/>
  <c r="CD32" i="6"/>
  <c r="CK32" i="6"/>
  <c r="CL32" i="6"/>
  <c r="CM32" i="6"/>
  <c r="CO32" i="6"/>
  <c r="CP32" i="6"/>
  <c r="CQ32" i="6"/>
  <c r="CR32" i="6"/>
  <c r="CS32" i="6"/>
  <c r="CT32" i="6"/>
  <c r="CU32" i="6"/>
  <c r="CW32" i="6"/>
  <c r="CX32" i="6"/>
  <c r="CY32" i="6"/>
  <c r="CZ32" i="6"/>
  <c r="DA32" i="6"/>
  <c r="DB32" i="6"/>
  <c r="DC32" i="6"/>
  <c r="DE32" i="6"/>
  <c r="DF32" i="6"/>
  <c r="DG32" i="6"/>
  <c r="DH32" i="6"/>
  <c r="DN32"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J23" i="6"/>
  <c r="CK23" i="6"/>
  <c r="CL23" i="6"/>
  <c r="CM23" i="6"/>
  <c r="CN23" i="6"/>
  <c r="CO23" i="6"/>
  <c r="CP23" i="6"/>
  <c r="CQ23" i="6"/>
  <c r="CR23" i="6"/>
  <c r="CS23" i="6"/>
  <c r="CT23" i="6"/>
  <c r="CW23" i="6"/>
  <c r="CX23" i="6"/>
  <c r="CY23" i="6"/>
  <c r="CZ23" i="6"/>
  <c r="DA23" i="6"/>
  <c r="DB23" i="6"/>
  <c r="DC23" i="6"/>
  <c r="DD23" i="6"/>
  <c r="DE23" i="6"/>
  <c r="DF23" i="6"/>
  <c r="DG23" i="6"/>
  <c r="DH23" i="6"/>
  <c r="AA16" i="6"/>
  <c r="AB16" i="6"/>
  <c r="AC16" i="6"/>
  <c r="AD16" i="6"/>
  <c r="AE16" i="6"/>
  <c r="AG16" i="6"/>
  <c r="AI16" i="6"/>
  <c r="AK16" i="6"/>
  <c r="AM16" i="6"/>
  <c r="AN16" i="6"/>
  <c r="AO16" i="6"/>
  <c r="AP16" i="6"/>
  <c r="AQ16" i="6"/>
  <c r="AR16" i="6"/>
  <c r="AS16" i="6"/>
  <c r="AT16" i="6"/>
  <c r="AU16" i="6"/>
  <c r="AW16" i="6"/>
  <c r="AX16" i="6"/>
  <c r="AY16" i="6"/>
  <c r="AZ16" i="6"/>
  <c r="BF16" i="6"/>
  <c r="BH16" i="6"/>
  <c r="BI16" i="6"/>
  <c r="BJ16" i="6"/>
  <c r="BL16" i="6"/>
  <c r="BM16" i="6"/>
  <c r="BN16" i="6"/>
  <c r="BP16" i="6"/>
  <c r="BQ16" i="6"/>
  <c r="BS16" i="6"/>
  <c r="BT16" i="6"/>
  <c r="BU16" i="6"/>
  <c r="BV16" i="6"/>
  <c r="BW16" i="6"/>
  <c r="BX16" i="6"/>
  <c r="BY16" i="6"/>
  <c r="BZ16" i="6"/>
  <c r="CA16" i="6"/>
  <c r="CB16" i="6"/>
  <c r="CC16" i="6"/>
  <c r="CD16" i="6"/>
  <c r="CK16" i="6"/>
  <c r="CL16" i="6"/>
  <c r="CM16" i="6"/>
  <c r="CN16" i="6"/>
  <c r="CO16" i="6"/>
  <c r="CP16" i="6"/>
  <c r="CQ16" i="6"/>
  <c r="CR16" i="6"/>
  <c r="CS16" i="6"/>
  <c r="CT16" i="6"/>
  <c r="CW16" i="6"/>
  <c r="CX16" i="6"/>
  <c r="CY16" i="6"/>
  <c r="CZ16" i="6"/>
  <c r="DA16" i="6"/>
  <c r="DB16" i="6"/>
  <c r="DC16" i="6"/>
  <c r="DD16" i="6"/>
  <c r="DE16" i="6"/>
  <c r="DF16" i="6"/>
  <c r="DG16" i="6"/>
  <c r="DH16" i="6"/>
  <c r="DN16" i="6"/>
  <c r="H16" i="6"/>
  <c r="I16" i="6"/>
  <c r="J16" i="6"/>
  <c r="K16" i="6"/>
  <c r="L16" i="6"/>
  <c r="M16" i="6"/>
  <c r="N16" i="6"/>
  <c r="O16" i="6"/>
  <c r="P16" i="6"/>
  <c r="Q16" i="6"/>
  <c r="R16" i="6"/>
  <c r="S16" i="6"/>
  <c r="T16" i="6"/>
  <c r="U16" i="6"/>
  <c r="V16" i="6"/>
  <c r="Z16" i="6"/>
  <c r="H30" i="6"/>
  <c r="I30" i="6"/>
  <c r="J30" i="6"/>
  <c r="K30" i="6"/>
  <c r="L30" i="6"/>
  <c r="M30" i="6"/>
  <c r="N30" i="6"/>
  <c r="O30" i="6"/>
  <c r="P30" i="6"/>
  <c r="Q30" i="6"/>
  <c r="R30" i="6"/>
  <c r="S30" i="6"/>
  <c r="T30" i="6"/>
  <c r="U30" i="6"/>
  <c r="V30" i="6"/>
  <c r="Z30" i="6"/>
  <c r="AA30" i="6"/>
  <c r="AB30" i="6"/>
  <c r="AC30" i="6"/>
  <c r="AD30" i="6"/>
  <c r="AE30" i="6"/>
  <c r="AI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Z30" i="6"/>
  <c r="CA30" i="6"/>
  <c r="CB30" i="6"/>
  <c r="CC30" i="6"/>
  <c r="CD30" i="6"/>
  <c r="CJ30" i="6"/>
  <c r="CK30" i="6"/>
  <c r="CL30" i="6"/>
  <c r="CM30" i="6"/>
  <c r="CN30" i="6"/>
  <c r="CO30" i="6"/>
  <c r="CP30" i="6"/>
  <c r="CQ30" i="6"/>
  <c r="CR30" i="6"/>
  <c r="CS30" i="6"/>
  <c r="CT30" i="6"/>
  <c r="CW30" i="6"/>
  <c r="CX30" i="6"/>
  <c r="CY30" i="6"/>
  <c r="CZ30" i="6"/>
  <c r="DB30" i="6"/>
  <c r="ER30" i="6" s="1"/>
  <c r="DC30" i="6"/>
  <c r="DD30" i="6"/>
  <c r="DE30" i="6"/>
  <c r="DF30" i="6"/>
  <c r="DG30" i="6"/>
  <c r="DH30" i="6"/>
  <c r="DN30" i="6"/>
  <c r="DN29" i="6"/>
  <c r="DN15" i="6"/>
  <c r="G319" i="27"/>
  <c r="G318" i="27"/>
  <c r="G317" i="27"/>
  <c r="G316" i="27"/>
  <c r="G315" i="27"/>
  <c r="G314" i="27"/>
  <c r="G313" i="27"/>
  <c r="G312" i="27"/>
  <c r="G311" i="27"/>
  <c r="G310" i="27"/>
  <c r="G309" i="27"/>
  <c r="G308" i="27"/>
  <c r="G304" i="27"/>
  <c r="G303" i="27"/>
  <c r="G302" i="27"/>
  <c r="G301" i="27"/>
  <c r="G299" i="27"/>
  <c r="G297" i="27"/>
  <c r="G296" i="27"/>
  <c r="G295" i="27"/>
  <c r="G294" i="27"/>
  <c r="G293" i="27"/>
  <c r="G289" i="27"/>
  <c r="G288" i="27"/>
  <c r="G287" i="27"/>
  <c r="G286" i="27"/>
  <c r="G285" i="27"/>
  <c r="G284" i="27"/>
  <c r="G283" i="27"/>
  <c r="G282" i="27"/>
  <c r="F281" i="27"/>
  <c r="G281" i="27" s="1"/>
  <c r="G280" i="27"/>
  <c r="G279" i="27"/>
  <c r="G278" i="27"/>
  <c r="G272" i="27"/>
  <c r="G271" i="27"/>
  <c r="G270" i="27"/>
  <c r="G269" i="27"/>
  <c r="G268" i="27"/>
  <c r="G267" i="27"/>
  <c r="G266" i="27"/>
  <c r="G265" i="27"/>
  <c r="G264" i="27"/>
  <c r="G263" i="27"/>
  <c r="G262" i="27"/>
  <c r="G261" i="27"/>
  <c r="H247" i="27"/>
  <c r="H246" i="27"/>
  <c r="H239" i="27"/>
  <c r="H238" i="27"/>
  <c r="H237" i="27"/>
  <c r="H236" i="27"/>
  <c r="H207" i="27"/>
  <c r="H206" i="27"/>
  <c r="H205" i="27"/>
  <c r="H204" i="27"/>
  <c r="H203" i="27"/>
  <c r="H202" i="27"/>
  <c r="H201" i="27"/>
  <c r="H200" i="27"/>
  <c r="H199" i="27"/>
  <c r="H198" i="27"/>
  <c r="H197" i="27"/>
  <c r="H196" i="27"/>
  <c r="M137" i="27"/>
  <c r="J137" i="27"/>
  <c r="M136" i="27"/>
  <c r="J136" i="27"/>
  <c r="M135" i="27"/>
  <c r="J135" i="27"/>
  <c r="M134" i="27"/>
  <c r="J134" i="27"/>
  <c r="M133" i="27"/>
  <c r="J133" i="27"/>
  <c r="M132" i="27"/>
  <c r="J132" i="27"/>
  <c r="M131" i="27"/>
  <c r="J131" i="27"/>
  <c r="M130" i="27"/>
  <c r="J130" i="27"/>
  <c r="M129" i="27"/>
  <c r="J129" i="27"/>
  <c r="M128" i="27"/>
  <c r="J128" i="27"/>
  <c r="M127" i="27"/>
  <c r="J127" i="27"/>
  <c r="M126" i="27"/>
  <c r="J126" i="27"/>
  <c r="M122" i="27"/>
  <c r="J122" i="27"/>
  <c r="M121" i="27"/>
  <c r="J121" i="27"/>
  <c r="M120" i="27"/>
  <c r="J120" i="27"/>
  <c r="M119" i="27"/>
  <c r="M115" i="27"/>
  <c r="M113" i="27"/>
  <c r="J113" i="27"/>
  <c r="M112" i="27"/>
  <c r="J112" i="27"/>
  <c r="M111" i="27"/>
  <c r="J111" i="27"/>
  <c r="J106" i="27"/>
  <c r="J105" i="27"/>
  <c r="J104" i="27"/>
  <c r="J103" i="27"/>
  <c r="J102" i="27"/>
  <c r="M101" i="27"/>
  <c r="J101" i="27"/>
  <c r="M100" i="27"/>
  <c r="J100" i="27"/>
  <c r="J99" i="27"/>
  <c r="J98" i="27"/>
  <c r="J97" i="27"/>
  <c r="J96" i="27"/>
  <c r="J95" i="27"/>
  <c r="J90" i="27"/>
  <c r="J89" i="27"/>
  <c r="J88" i="27"/>
  <c r="J87" i="27"/>
  <c r="J86" i="27"/>
  <c r="J85" i="27"/>
  <c r="J84" i="27"/>
  <c r="J83" i="27"/>
  <c r="J82" i="27"/>
  <c r="J81" i="27"/>
  <c r="J80" i="27"/>
  <c r="J79" i="27"/>
  <c r="H75" i="27"/>
  <c r="H74" i="27"/>
  <c r="H73" i="27"/>
  <c r="H72" i="27"/>
  <c r="H71" i="27"/>
  <c r="H70" i="27"/>
  <c r="H69" i="27"/>
  <c r="H68" i="27"/>
  <c r="H67" i="27"/>
  <c r="H66" i="27"/>
  <c r="H65" i="27"/>
  <c r="H64" i="27"/>
  <c r="H60" i="27"/>
  <c r="H59" i="27"/>
  <c r="H58" i="27"/>
  <c r="H52" i="27"/>
  <c r="H51" i="27"/>
  <c r="H50" i="27"/>
  <c r="H49" i="27"/>
  <c r="H45" i="27"/>
  <c r="H44" i="27"/>
  <c r="H43" i="27"/>
  <c r="H42" i="27"/>
  <c r="H41" i="27"/>
  <c r="H40" i="27"/>
  <c r="H39" i="27"/>
  <c r="H38" i="27"/>
  <c r="H37" i="27"/>
  <c r="H36" i="27"/>
  <c r="H35" i="27"/>
  <c r="H34" i="27"/>
  <c r="H29" i="27"/>
  <c r="H28" i="27"/>
  <c r="H27" i="27"/>
  <c r="H26" i="27"/>
  <c r="H25" i="27"/>
  <c r="H24" i="27"/>
  <c r="H23" i="27"/>
  <c r="H22" i="27"/>
  <c r="H21" i="27"/>
  <c r="F21" i="27"/>
  <c r="F22" i="27" s="1"/>
  <c r="H20" i="27"/>
  <c r="H19" i="27"/>
  <c r="H18" i="27"/>
  <c r="H14" i="27"/>
  <c r="H13" i="27"/>
  <c r="H12" i="27"/>
  <c r="H11" i="27"/>
  <c r="H10" i="27"/>
  <c r="H9" i="27"/>
  <c r="CR22" i="6"/>
  <c r="CQ22" i="6"/>
  <c r="CR29" i="6"/>
  <c r="CQ29" i="6"/>
  <c r="CK22" i="6"/>
  <c r="CM22" i="6"/>
  <c r="CO22" i="6"/>
  <c r="CK29" i="6"/>
  <c r="CM29" i="6"/>
  <c r="CO29" i="6"/>
  <c r="DL20" i="6"/>
  <c r="DK27" i="6"/>
  <c r="CL22" i="6"/>
  <c r="CN22" i="6"/>
  <c r="CP22" i="6"/>
  <c r="CT22" i="6"/>
  <c r="CV22" i="6"/>
  <c r="DD22" i="6"/>
  <c r="DF22" i="6"/>
  <c r="DH22" i="6"/>
  <c r="ES21" i="6"/>
  <c r="ES18" i="6"/>
  <c r="CL15" i="6"/>
  <c r="CN15" i="6"/>
  <c r="CP15" i="6"/>
  <c r="CR15" i="6"/>
  <c r="CT15" i="6"/>
  <c r="CV15" i="6"/>
  <c r="CZ15" i="6"/>
  <c r="DB15" i="6"/>
  <c r="ER15" i="6" s="1"/>
  <c r="DD15" i="6"/>
  <c r="DF15" i="6"/>
  <c r="DH15" i="6"/>
  <c r="CQ15" i="6"/>
  <c r="ES14" i="6"/>
  <c r="CK15" i="6"/>
  <c r="CM15" i="6"/>
  <c r="CO15" i="6"/>
  <c r="DI14" i="6"/>
  <c r="DI16" i="6" s="1"/>
  <c r="DG15" i="6"/>
  <c r="DE15" i="6"/>
  <c r="DC15" i="6"/>
  <c r="DA15" i="6"/>
  <c r="CW15" i="6"/>
  <c r="CY15" i="6"/>
  <c r="CU15" i="6"/>
  <c r="CS15" i="6"/>
  <c r="DI13" i="6"/>
  <c r="DL13" i="6" s="1"/>
  <c r="CS22" i="6"/>
  <c r="DG22" i="6"/>
  <c r="DE22" i="6"/>
  <c r="DC22" i="6"/>
  <c r="DA22" i="6"/>
  <c r="ER22" i="6" s="1"/>
  <c r="CW22" i="6"/>
  <c r="CY22" i="6"/>
  <c r="CU22" i="6"/>
  <c r="DL12" i="6"/>
  <c r="DL19" i="6"/>
  <c r="DL21" i="6"/>
  <c r="DI24" i="6"/>
  <c r="DL24" i="6" s="1"/>
  <c r="DI25" i="6"/>
  <c r="DK25" i="6"/>
  <c r="DK30" i="6" s="1"/>
  <c r="DI26" i="6"/>
  <c r="DL26" i="6" s="1"/>
  <c r="DK26" i="6"/>
  <c r="DI27" i="6"/>
  <c r="DL27" i="6" s="1"/>
  <c r="DI28" i="6"/>
  <c r="DL28" i="6" s="1"/>
  <c r="S29" i="21"/>
  <c r="CL29" i="6"/>
  <c r="CP29" i="6"/>
  <c r="CT29" i="6"/>
  <c r="CV29" i="6"/>
  <c r="CX29" i="6"/>
  <c r="CZ29" i="6"/>
  <c r="DD29" i="6"/>
  <c r="DF29" i="6"/>
  <c r="DH29" i="6"/>
  <c r="CJ29" i="6"/>
  <c r="CJ22"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F29" i="6"/>
  <c r="BG29" i="6"/>
  <c r="BH29" i="6"/>
  <c r="BI29" i="6"/>
  <c r="BJ29" i="6"/>
  <c r="BK29" i="6"/>
  <c r="BL29" i="6"/>
  <c r="BM29" i="6"/>
  <c r="BN29" i="6"/>
  <c r="BO29" i="6"/>
  <c r="BP29" i="6"/>
  <c r="BQ29" i="6"/>
  <c r="BR29" i="6"/>
  <c r="BS29" i="6"/>
  <c r="BT29" i="6"/>
  <c r="BU29" i="6"/>
  <c r="BV29" i="6"/>
  <c r="BW29" i="6"/>
  <c r="BX29" i="6"/>
  <c r="BY29" i="6"/>
  <c r="BZ29" i="6"/>
  <c r="CA29" i="6"/>
  <c r="CB29" i="6"/>
  <c r="CC29" i="6"/>
  <c r="CD29" i="6"/>
  <c r="CS29" i="6"/>
  <c r="CU29" i="6"/>
  <c r="CW29" i="6"/>
  <c r="CY29" i="6"/>
  <c r="DC29" i="6"/>
  <c r="DG29" i="6"/>
  <c r="DE29" i="6"/>
  <c r="AA29"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AA22" i="6"/>
  <c r="AP15" i="6"/>
  <c r="AQ15" i="6"/>
  <c r="AR15" i="6"/>
  <c r="AT15" i="6"/>
  <c r="AV15" i="6"/>
  <c r="AX15" i="6"/>
  <c r="AZ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J15" i="6"/>
  <c r="AB15" i="6"/>
  <c r="AC15" i="6"/>
  <c r="AD15" i="6"/>
  <c r="AA15" i="6"/>
  <c r="CI28" i="6"/>
  <c r="CH28" i="6"/>
  <c r="CG28" i="6"/>
  <c r="CF28" i="6"/>
  <c r="CE28" i="6"/>
  <c r="CI27" i="6"/>
  <c r="CI24" i="6"/>
  <c r="CH27" i="6"/>
  <c r="CG27" i="6"/>
  <c r="CF27" i="6"/>
  <c r="CF24" i="6"/>
  <c r="CE27" i="6"/>
  <c r="CI26" i="6"/>
  <c r="CG26" i="6"/>
  <c r="CC26" i="6"/>
  <c r="CE26" i="6" s="1"/>
  <c r="CH26" i="6"/>
  <c r="CI25" i="6"/>
  <c r="CI30" i="6" s="1"/>
  <c r="CG25" i="6"/>
  <c r="BY25" i="6"/>
  <c r="CH25" i="6" s="1"/>
  <c r="CH24" i="6"/>
  <c r="CG24" i="6"/>
  <c r="CE24" i="6"/>
  <c r="CI21" i="6"/>
  <c r="CH21" i="6"/>
  <c r="CG21" i="6"/>
  <c r="CF21" i="6"/>
  <c r="CE21" i="6"/>
  <c r="CI20" i="6"/>
  <c r="CH20" i="6"/>
  <c r="CG20" i="6"/>
  <c r="CG17" i="6"/>
  <c r="CF20" i="6"/>
  <c r="CF17" i="6"/>
  <c r="CE20" i="6"/>
  <c r="CC19" i="6"/>
  <c r="CH19" i="6" s="1"/>
  <c r="BP19" i="6"/>
  <c r="CG19" i="6" s="1"/>
  <c r="CG12" i="6"/>
  <c r="CI18" i="6"/>
  <c r="CG18" i="6"/>
  <c r="CA18" i="6"/>
  <c r="CH18" i="6" s="1"/>
  <c r="CI17" i="6"/>
  <c r="CH17" i="6"/>
  <c r="CE17" i="6"/>
  <c r="BR11" i="6"/>
  <c r="CI11" i="6" s="1"/>
  <c r="CI14" i="6"/>
  <c r="CG14" i="6"/>
  <c r="BO14" i="6"/>
  <c r="BO16" i="6" s="1"/>
  <c r="BK14" i="6"/>
  <c r="BK32" i="6" s="1"/>
  <c r="CI13" i="6"/>
  <c r="CI10" i="6"/>
  <c r="CH13" i="6"/>
  <c r="CG13" i="6"/>
  <c r="CG10" i="6"/>
  <c r="CF13" i="6"/>
  <c r="CE13" i="6"/>
  <c r="CE10" i="6"/>
  <c r="CI12" i="6"/>
  <c r="CC12" i="6"/>
  <c r="CE12" i="6" s="1"/>
  <c r="BG11" i="6"/>
  <c r="CF11" i="6" s="1"/>
  <c r="CH10" i="6"/>
  <c r="CF10" i="6"/>
  <c r="CJ19" i="6"/>
  <c r="CJ26" i="6"/>
  <c r="BE26" i="6"/>
  <c r="S12" i="21"/>
  <c r="S20" i="21"/>
  <c r="S18" i="21"/>
  <c r="S16" i="21"/>
  <c r="U37" i="21"/>
  <c r="T37" i="21"/>
  <c r="S36" i="21"/>
  <c r="S35" i="21"/>
  <c r="S34" i="21"/>
  <c r="S33" i="21"/>
  <c r="S32" i="21"/>
  <c r="S31" i="21"/>
  <c r="S30" i="21"/>
  <c r="S28" i="21"/>
  <c r="S27" i="21"/>
  <c r="S26" i="21"/>
  <c r="S25" i="21"/>
  <c r="S24" i="21"/>
  <c r="S23" i="21"/>
  <c r="S22" i="21"/>
  <c r="S21" i="21"/>
  <c r="S19" i="21"/>
  <c r="S17" i="21"/>
  <c r="S15" i="21"/>
  <c r="S14" i="21"/>
  <c r="S13" i="21"/>
  <c r="S11" i="21"/>
  <c r="S10" i="21"/>
  <c r="BC12" i="6"/>
  <c r="BB12" i="6"/>
  <c r="BA12" i="6"/>
  <c r="BB24" i="6"/>
  <c r="BA24" i="6"/>
  <c r="BA11" i="6"/>
  <c r="BB11" i="6"/>
  <c r="BD11" i="6"/>
  <c r="BD12" i="6"/>
  <c r="BA13" i="6"/>
  <c r="BB13" i="6"/>
  <c r="BC13" i="6"/>
  <c r="BD13" i="6"/>
  <c r="BE13" i="6"/>
  <c r="BA14" i="6"/>
  <c r="BB14" i="6"/>
  <c r="BD14" i="6"/>
  <c r="BA17" i="6"/>
  <c r="BA20" i="6"/>
  <c r="BB17" i="6"/>
  <c r="BC17" i="6"/>
  <c r="BD17" i="6"/>
  <c r="BE17" i="6"/>
  <c r="BA18" i="6"/>
  <c r="BB18" i="6"/>
  <c r="BD18" i="6"/>
  <c r="BA19" i="6"/>
  <c r="BB19" i="6"/>
  <c r="BC19" i="6"/>
  <c r="BD19" i="6"/>
  <c r="BE19" i="6"/>
  <c r="BB20" i="6"/>
  <c r="BC20" i="6"/>
  <c r="BD20" i="6"/>
  <c r="BE20" i="6"/>
  <c r="BA21" i="6"/>
  <c r="BB21" i="6"/>
  <c r="BC21" i="6"/>
  <c r="BD21" i="6"/>
  <c r="BE21" i="6"/>
  <c r="BC24" i="6"/>
  <c r="BD24" i="6"/>
  <c r="BD27" i="6"/>
  <c r="BE24" i="6"/>
  <c r="BA26" i="6"/>
  <c r="BB26" i="6"/>
  <c r="BC26" i="6"/>
  <c r="BD26" i="6"/>
  <c r="BA27" i="6"/>
  <c r="BB27" i="6"/>
  <c r="BC27" i="6"/>
  <c r="BE27" i="6"/>
  <c r="AV11" i="6"/>
  <c r="AV31" i="6" s="1"/>
  <c r="AS25" i="6"/>
  <c r="AS30" i="6" s="1"/>
  <c r="BB25" i="6"/>
  <c r="AE10" i="6"/>
  <c r="AE15" i="6" s="1"/>
  <c r="AF10" i="6"/>
  <c r="AH10" i="6" s="1"/>
  <c r="Z22" i="6"/>
  <c r="Y22" i="6"/>
  <c r="X22" i="6"/>
  <c r="W22" i="6"/>
  <c r="V22" i="6"/>
  <c r="U22" i="6"/>
  <c r="T22" i="6"/>
  <c r="S22" i="6"/>
  <c r="R22" i="6"/>
  <c r="Q22" i="6"/>
  <c r="P22" i="6"/>
  <c r="O22" i="6"/>
  <c r="N22" i="6"/>
  <c r="M22" i="6"/>
  <c r="K22" i="6"/>
  <c r="Y15" i="6"/>
  <c r="X15" i="6"/>
  <c r="W15" i="6"/>
  <c r="AF14" i="6"/>
  <c r="AF16" i="6" s="1"/>
  <c r="Y14" i="6"/>
  <c r="X14" i="6"/>
  <c r="X28" i="6"/>
  <c r="X32" i="6" s="1"/>
  <c r="W14" i="6"/>
  <c r="Y13" i="6"/>
  <c r="X13" i="6"/>
  <c r="W13" i="6"/>
  <c r="AH11" i="6"/>
  <c r="AH25" i="6"/>
  <c r="AJ25" i="6" s="1"/>
  <c r="AJ30" i="6" s="1"/>
  <c r="Y11" i="6"/>
  <c r="X11" i="6"/>
  <c r="X16" i="6" s="1"/>
  <c r="W11" i="6"/>
  <c r="Y10" i="6"/>
  <c r="X10" i="6"/>
  <c r="W10" i="6"/>
  <c r="Y24" i="6"/>
  <c r="X24" i="6"/>
  <c r="W24" i="6"/>
  <c r="Y29" i="6"/>
  <c r="X29" i="6"/>
  <c r="W29" i="6"/>
  <c r="AG28" i="6"/>
  <c r="BA28" i="6" s="1"/>
  <c r="AF28" i="6"/>
  <c r="AF30" i="6" s="1"/>
  <c r="Y28" i="6"/>
  <c r="W28" i="6"/>
  <c r="Y27" i="6"/>
  <c r="X27" i="6"/>
  <c r="W27" i="6"/>
  <c r="Y25" i="6"/>
  <c r="X25" i="6"/>
  <c r="W25"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BE12" i="6"/>
  <c r="BE18" i="6"/>
  <c r="BC18" i="6"/>
  <c r="CF26" i="6"/>
  <c r="CG11" i="6"/>
  <c r="BO32" i="6"/>
  <c r="BO33" i="6" s="1"/>
  <c r="DL11" i="6"/>
  <c r="AS31" i="6"/>
  <c r="AS33" i="6" s="1"/>
  <c r="BR16" i="6"/>
  <c r="BR31" i="6"/>
  <c r="BA25" i="6"/>
  <c r="DM24" i="6"/>
  <c r="CE14" i="6" l="1"/>
  <c r="CF18" i="6"/>
  <c r="BK16" i="6"/>
  <c r="ER16" i="6"/>
  <c r="ER23" i="6"/>
  <c r="DJ15" i="6"/>
  <c r="DJ22" i="6"/>
  <c r="DJ23" i="6"/>
  <c r="DJ29" i="6"/>
  <c r="DJ16" i="6"/>
  <c r="CG15" i="6"/>
  <c r="DB33" i="6"/>
  <c r="BD25" i="6"/>
  <c r="DK22" i="6"/>
  <c r="BK33" i="6"/>
  <c r="CH12" i="6"/>
  <c r="CF12" i="6"/>
  <c r="DM27" i="6"/>
  <c r="ES27" i="6"/>
  <c r="CF14" i="6"/>
  <c r="BG31" i="6"/>
  <c r="BG33" i="6" s="1"/>
  <c r="BG16" i="6"/>
  <c r="CE11" i="6"/>
  <c r="CH14" i="6"/>
  <c r="CH32" i="6" s="1"/>
  <c r="AV16" i="6"/>
  <c r="CE25" i="6"/>
  <c r="CF25" i="6"/>
  <c r="CF30" i="6" s="1"/>
  <c r="BY30" i="6"/>
  <c r="CH11" i="6"/>
  <c r="CH31" i="6" s="1"/>
  <c r="CE18" i="6"/>
  <c r="DI22" i="6"/>
  <c r="DJ30" i="6"/>
  <c r="ES30" i="6" s="1"/>
  <c r="CE19" i="6"/>
  <c r="BY31" i="6"/>
  <c r="BY33" i="6" s="1"/>
  <c r="CA23" i="6"/>
  <c r="BR33" i="6"/>
  <c r="CF19" i="6"/>
  <c r="CA31" i="6"/>
  <c r="CA33" i="6" s="1"/>
  <c r="DL25" i="6"/>
  <c r="DI30" i="6"/>
  <c r="DK15" i="6"/>
  <c r="ES15" i="6" s="1"/>
  <c r="E34" i="14"/>
  <c r="CI23" i="6"/>
  <c r="CT33" i="6"/>
  <c r="U33" i="6"/>
  <c r="Q145" i="14"/>
  <c r="AP33" i="6"/>
  <c r="CH22" i="6"/>
  <c r="AG10" i="6"/>
  <c r="AG15" i="6" s="1"/>
  <c r="CF15" i="6"/>
  <c r="AM33" i="6"/>
  <c r="EU13" i="6"/>
  <c r="CS33" i="6"/>
  <c r="DM18" i="6"/>
  <c r="CH29" i="6"/>
  <c r="W16" i="6"/>
  <c r="BV33" i="6"/>
  <c r="CI29" i="6"/>
  <c r="BU33" i="6"/>
  <c r="BC22" i="6"/>
  <c r="I33" i="6"/>
  <c r="AX33" i="6"/>
  <c r="AV33" i="6"/>
  <c r="CE15" i="6"/>
  <c r="CG30" i="6"/>
  <c r="EU12" i="6"/>
  <c r="DM19" i="6"/>
  <c r="ES19" i="6"/>
  <c r="DM20" i="6"/>
  <c r="ES20" i="6"/>
  <c r="BM33" i="6"/>
  <c r="DM26" i="6"/>
  <c r="EV26" i="6" s="1"/>
  <c r="ES26" i="6"/>
  <c r="DL18" i="6"/>
  <c r="K33" i="6"/>
  <c r="DM12" i="6"/>
  <c r="EV12" i="6" s="1"/>
  <c r="J33" i="6"/>
  <c r="Y32" i="6"/>
  <c r="DM14" i="6"/>
  <c r="DM21" i="6"/>
  <c r="W30" i="6"/>
  <c r="EU20" i="6"/>
  <c r="EU26" i="6"/>
  <c r="CI22" i="6"/>
  <c r="R33" i="6"/>
  <c r="EU17" i="6"/>
  <c r="EU18" i="6"/>
  <c r="EU24" i="6"/>
  <c r="BA32" i="6"/>
  <c r="AQ33" i="6"/>
  <c r="Q33" i="6"/>
  <c r="ET24" i="6"/>
  <c r="Y30" i="6"/>
  <c r="DM17" i="6"/>
  <c r="ES17" i="6"/>
  <c r="P33" i="6"/>
  <c r="ET11" i="6"/>
  <c r="EU21" i="6"/>
  <c r="DM13" i="6"/>
  <c r="DM28" i="6"/>
  <c r="ES28" i="6"/>
  <c r="DF33" i="6"/>
  <c r="O33" i="6"/>
  <c r="ES25" i="6"/>
  <c r="EU27" i="6"/>
  <c r="DL30" i="6"/>
  <c r="DI32" i="6"/>
  <c r="BE29" i="6"/>
  <c r="EU29" i="6" s="1"/>
  <c r="BB29" i="6"/>
  <c r="AN33" i="6"/>
  <c r="L33" i="6"/>
  <c r="BA22" i="6"/>
  <c r="CE31" i="6"/>
  <c r="BD28" i="6"/>
  <c r="CG23" i="6"/>
  <c r="CH23" i="6"/>
  <c r="DK31" i="6"/>
  <c r="BX33" i="6"/>
  <c r="BP33" i="6"/>
  <c r="CJ14" i="6"/>
  <c r="CJ16" i="6" s="1"/>
  <c r="CE16" i="6"/>
  <c r="BA23" i="6"/>
  <c r="G20" i="6"/>
  <c r="DM25" i="6"/>
  <c r="BC23" i="6"/>
  <c r="CX33" i="6"/>
  <c r="CF32" i="6"/>
  <c r="AF15" i="6"/>
  <c r="AC33" i="6"/>
  <c r="T33" i="6"/>
  <c r="AU33" i="6"/>
  <c r="DA33" i="6"/>
  <c r="BD23" i="6"/>
  <c r="BE22" i="6"/>
  <c r="CI15" i="6"/>
  <c r="CE29" i="6"/>
  <c r="DE33" i="6"/>
  <c r="AR33" i="6"/>
  <c r="AG32" i="6"/>
  <c r="AG33" i="6" s="1"/>
  <c r="X30" i="6"/>
  <c r="BB16" i="6"/>
  <c r="CE23" i="6"/>
  <c r="CF22" i="6"/>
  <c r="CF29" i="6"/>
  <c r="CM33" i="6"/>
  <c r="CC33" i="6"/>
  <c r="CL33" i="6"/>
  <c r="H33" i="6"/>
  <c r="N33" i="6"/>
  <c r="BE25" i="6"/>
  <c r="EU25" i="6" s="1"/>
  <c r="Y16" i="6"/>
  <c r="BD29" i="6"/>
  <c r="CB33" i="6"/>
  <c r="CR33" i="6"/>
  <c r="CK33" i="6"/>
  <c r="BW33" i="6"/>
  <c r="BH33" i="6"/>
  <c r="AK33" i="6"/>
  <c r="AB33" i="6"/>
  <c r="S33" i="6"/>
  <c r="CH30" i="6"/>
  <c r="CI19" i="6"/>
  <c r="EU19" i="6" s="1"/>
  <c r="CG32" i="6"/>
  <c r="DG33" i="6"/>
  <c r="BS33" i="6"/>
  <c r="BN33" i="6"/>
  <c r="AA33" i="6"/>
  <c r="DL14" i="6"/>
  <c r="W31" i="6"/>
  <c r="AH31" i="6"/>
  <c r="AH14" i="6"/>
  <c r="AH16" i="6" s="1"/>
  <c r="G21" i="6"/>
  <c r="CI32" i="6"/>
  <c r="BZ33" i="6"/>
  <c r="AE33" i="6"/>
  <c r="CW33" i="6"/>
  <c r="CD33" i="6"/>
  <c r="AZ33" i="6"/>
  <c r="CE32" i="6"/>
  <c r="CF16" i="6"/>
  <c r="BD16" i="6"/>
  <c r="CI16" i="6"/>
  <c r="DI29" i="6"/>
  <c r="DL29" i="6" s="1"/>
  <c r="AW33" i="6"/>
  <c r="DD33" i="6"/>
  <c r="CP33" i="6"/>
  <c r="DL22" i="6"/>
  <c r="DC33" i="6"/>
  <c r="CO33" i="6"/>
  <c r="AJ11" i="6"/>
  <c r="AL11" i="6" s="1"/>
  <c r="BE23" i="6"/>
  <c r="DI31" i="6"/>
  <c r="CF23" i="6"/>
  <c r="G24" i="6"/>
  <c r="EV24" i="6" s="1"/>
  <c r="BA16" i="6"/>
  <c r="CE22" i="6"/>
  <c r="DI15" i="6"/>
  <c r="DL15" i="6" s="1"/>
  <c r="CV33" i="6"/>
  <c r="Z33" i="6"/>
  <c r="BA30" i="6"/>
  <c r="BC25" i="6"/>
  <c r="W32" i="6"/>
  <c r="X31" i="6"/>
  <c r="X33" i="6" s="1"/>
  <c r="BB22" i="6"/>
  <c r="BA29" i="6"/>
  <c r="G13" i="6"/>
  <c r="G15" i="6" s="1"/>
  <c r="CG22" i="6"/>
  <c r="DN33" i="6"/>
  <c r="AT33" i="6"/>
  <c r="AI33" i="6"/>
  <c r="M33" i="6"/>
  <c r="DH33" i="6"/>
  <c r="CU33" i="6"/>
  <c r="CN33" i="6"/>
  <c r="BQ33" i="6"/>
  <c r="BJ33" i="6"/>
  <c r="Y31" i="6"/>
  <c r="CG16" i="6"/>
  <c r="AF32" i="6"/>
  <c r="AF33" i="6" s="1"/>
  <c r="BB28" i="6"/>
  <c r="BB32" i="6" s="1"/>
  <c r="BD22" i="6"/>
  <c r="DK29" i="6"/>
  <c r="DM29" i="6" s="1"/>
  <c r="ET29" i="6" s="1"/>
  <c r="CZ33" i="6"/>
  <c r="BI33" i="6"/>
  <c r="AY33" i="6"/>
  <c r="AG30" i="6"/>
  <c r="BB31" i="6"/>
  <c r="DJ32" i="6"/>
  <c r="DJ33" i="6" s="1"/>
  <c r="BD31" i="6"/>
  <c r="CE30" i="6"/>
  <c r="CG31" i="6"/>
  <c r="AH28" i="6"/>
  <c r="BC28" i="6" s="1"/>
  <c r="BC29" i="6"/>
  <c r="BB23" i="6"/>
  <c r="CH15" i="6"/>
  <c r="CG29" i="6"/>
  <c r="CQ33" i="6"/>
  <c r="BF33" i="6"/>
  <c r="CY33" i="6"/>
  <c r="AO33" i="6"/>
  <c r="AD33" i="6"/>
  <c r="AJ10" i="6"/>
  <c r="AH15" i="6"/>
  <c r="G27" i="6"/>
  <c r="EV27" i="6" s="1"/>
  <c r="G17" i="6"/>
  <c r="BA31" i="6"/>
  <c r="CI31" i="6"/>
  <c r="DK23" i="6"/>
  <c r="EV13" i="6" l="1"/>
  <c r="BD30" i="6"/>
  <c r="ET27" i="6"/>
  <c r="EV19" i="6"/>
  <c r="CF31" i="6"/>
  <c r="CF33" i="6" s="1"/>
  <c r="G29" i="6"/>
  <c r="EV29" i="6" s="1"/>
  <c r="EV17" i="6"/>
  <c r="ET25" i="6"/>
  <c r="ES16" i="6"/>
  <c r="CH16" i="6"/>
  <c r="ET26" i="6"/>
  <c r="ET12" i="6"/>
  <c r="EV20" i="6"/>
  <c r="EV21" i="6"/>
  <c r="ET19" i="6"/>
  <c r="DM16" i="6"/>
  <c r="AI10" i="6"/>
  <c r="AK10" i="6" s="1"/>
  <c r="ET18" i="6"/>
  <c r="DK33" i="6"/>
  <c r="DM23" i="6"/>
  <c r="AH30" i="6"/>
  <c r="ET28" i="6"/>
  <c r="DM32" i="6"/>
  <c r="G18" i="6"/>
  <c r="G23" i="6" s="1"/>
  <c r="AI15" i="6"/>
  <c r="DL31" i="6"/>
  <c r="DL23" i="6"/>
  <c r="EU22" i="6"/>
  <c r="DL32" i="6"/>
  <c r="EU23" i="6"/>
  <c r="BA33" i="6"/>
  <c r="CH33" i="6"/>
  <c r="ET21" i="6"/>
  <c r="DM15" i="6"/>
  <c r="ET14" i="6"/>
  <c r="ET20" i="6"/>
  <c r="Y33" i="6"/>
  <c r="ES23" i="6"/>
  <c r="CE33" i="6"/>
  <c r="DM30" i="6"/>
  <c r="ET13" i="6"/>
  <c r="ET17" i="6"/>
  <c r="ES22" i="6"/>
  <c r="DM22" i="6"/>
  <c r="ES29" i="6"/>
  <c r="DI33" i="6"/>
  <c r="CG33" i="6"/>
  <c r="CI33" i="6"/>
  <c r="AJ14" i="6"/>
  <c r="AJ32" i="6" s="1"/>
  <c r="BB30" i="6"/>
  <c r="BD32" i="6"/>
  <c r="BD33" i="6" s="1"/>
  <c r="DM31" i="6"/>
  <c r="CJ32" i="6"/>
  <c r="CJ33" i="6" s="1"/>
  <c r="W33" i="6"/>
  <c r="G25" i="6"/>
  <c r="EV25" i="6" s="1"/>
  <c r="DL16" i="6"/>
  <c r="G22" i="6"/>
  <c r="BB33" i="6"/>
  <c r="BE28" i="6"/>
  <c r="BC30" i="6"/>
  <c r="AH32" i="6"/>
  <c r="AH33" i="6" s="1"/>
  <c r="AJ31" i="6"/>
  <c r="AL10" i="6"/>
  <c r="AJ15" i="6"/>
  <c r="AL31" i="6"/>
  <c r="BC11" i="6"/>
  <c r="BE11" i="6"/>
  <c r="G11" i="6" s="1"/>
  <c r="AM10" i="6"/>
  <c r="AK15" i="6"/>
  <c r="ET30" i="6" l="1"/>
  <c r="EU11" i="6"/>
  <c r="G31" i="6"/>
  <c r="EU28" i="6"/>
  <c r="EV22" i="6"/>
  <c r="EV18" i="6"/>
  <c r="EV23" i="6"/>
  <c r="AL14" i="6"/>
  <c r="AL16" i="6" s="1"/>
  <c r="AJ16" i="6"/>
  <c r="ET23" i="6"/>
  <c r="ET22" i="6"/>
  <c r="ET16" i="6"/>
  <c r="ET15" i="6"/>
  <c r="DM33" i="6"/>
  <c r="DL33" i="6"/>
  <c r="BE30" i="6"/>
  <c r="G28" i="6"/>
  <c r="EV28" i="6" s="1"/>
  <c r="AJ33" i="6"/>
  <c r="BC31" i="6"/>
  <c r="AM15" i="6"/>
  <c r="AO10" i="6"/>
  <c r="AL15" i="6"/>
  <c r="AN10" i="6"/>
  <c r="BE31" i="6"/>
  <c r="EV11" i="6"/>
  <c r="EU30" i="6" l="1"/>
  <c r="BE14" i="6"/>
  <c r="G14" i="6" s="1"/>
  <c r="G32" i="6" s="1"/>
  <c r="BC14" i="6"/>
  <c r="BC32" i="6" s="1"/>
  <c r="BC33" i="6" s="1"/>
  <c r="AL32" i="6"/>
  <c r="AL33" i="6" s="1"/>
  <c r="G30" i="6"/>
  <c r="EV30" i="6" s="1"/>
  <c r="AN15" i="6"/>
  <c r="BC10" i="6"/>
  <c r="BC15" i="6" s="1"/>
  <c r="BE10" i="6"/>
  <c r="AO15" i="6"/>
  <c r="AS10" i="6"/>
  <c r="EV10" i="6" l="1"/>
  <c r="EV14" i="6"/>
  <c r="BE32" i="6"/>
  <c r="BE33" i="6" s="1"/>
  <c r="BC16" i="6"/>
  <c r="EU14" i="6"/>
  <c r="BE16" i="6"/>
  <c r="G33" i="6"/>
  <c r="G16" i="6"/>
  <c r="BE15" i="6"/>
  <c r="AU10" i="6"/>
  <c r="AS15" i="6"/>
  <c r="EV15" i="6" l="1"/>
  <c r="EU16" i="6"/>
  <c r="EV16" i="6"/>
  <c r="AU15" i="6"/>
  <c r="AW10" i="6"/>
  <c r="AY10" i="6" l="1"/>
  <c r="BB10" i="6" s="1"/>
  <c r="BB15" i="6" s="1"/>
  <c r="AW15" i="6"/>
  <c r="BD10" i="6" l="1"/>
  <c r="EU10" i="6" s="1"/>
  <c r="AY15" i="6"/>
  <c r="BA10" i="6"/>
  <c r="BA15" i="6" s="1"/>
  <c r="BD15" i="6" l="1"/>
  <c r="EU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F11"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11" authorId="0" shapeId="0" xr:uid="{00000000-0006-0000-0100-00000D000000}">
      <text>
        <r>
          <rPr>
            <b/>
            <sz val="9"/>
            <color indexed="81"/>
            <rFont val="Tahoma"/>
            <family val="2"/>
          </rPr>
          <t>YULIED.PENARANDA:</t>
        </r>
        <r>
          <rPr>
            <sz val="9"/>
            <color indexed="81"/>
            <rFont val="Tahoma"/>
            <family val="2"/>
          </rPr>
          <t xml:space="preserve">
Año 4</t>
        </r>
      </text>
    </comment>
    <comment ref="DN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2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2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C000000}">
      <text>
        <r>
          <rPr>
            <b/>
            <sz val="9"/>
            <color indexed="81"/>
            <rFont val="Tahoma"/>
            <family val="2"/>
          </rPr>
          <t>YULIED.PENARANDA:</t>
        </r>
        <r>
          <rPr>
            <sz val="9"/>
            <color indexed="81"/>
            <rFont val="Tahoma"/>
            <family val="2"/>
          </rPr>
          <t xml:space="preserve">
Año 1</t>
        </r>
      </text>
    </comment>
    <comment ref="BF8" authorId="0" shapeId="0" xr:uid="{00000000-0006-0000-0200-00000D000000}">
      <text>
        <r>
          <rPr>
            <b/>
            <sz val="9"/>
            <color indexed="81"/>
            <rFont val="Tahoma"/>
            <family val="2"/>
          </rPr>
          <t>YULIED.PENARANDA:</t>
        </r>
        <r>
          <rPr>
            <sz val="9"/>
            <color indexed="81"/>
            <rFont val="Tahoma"/>
            <family val="2"/>
          </rPr>
          <t xml:space="preserve">
Año 3</t>
        </r>
      </text>
    </comment>
    <comment ref="CJ8" authorId="0" shapeId="0" xr:uid="{00000000-0006-0000-0200-00000E000000}">
      <text>
        <r>
          <rPr>
            <b/>
            <sz val="9"/>
            <color indexed="81"/>
            <rFont val="Tahoma"/>
            <family val="2"/>
          </rPr>
          <t>YULIED.PENARANDA:</t>
        </r>
        <r>
          <rPr>
            <sz val="9"/>
            <color indexed="81"/>
            <rFont val="Tahoma"/>
            <family val="2"/>
          </rPr>
          <t xml:space="preserve">
Año 4
</t>
        </r>
      </text>
    </comment>
    <comment ref="DN8" authorId="0" shapeId="0" xr:uid="{00000000-0006-0000-0200-00000F000000}">
      <text>
        <r>
          <rPr>
            <b/>
            <sz val="9"/>
            <color indexed="81"/>
            <rFont val="Tahoma"/>
            <family val="2"/>
          </rPr>
          <t>YULIED.PENARANDA:</t>
        </r>
        <r>
          <rPr>
            <sz val="9"/>
            <color indexed="81"/>
            <rFont val="Tahoma"/>
            <family val="2"/>
          </rPr>
          <t xml:space="preserve">
Año 5</t>
        </r>
      </text>
    </comment>
    <comment ref="A9" authorId="0" shapeId="0" xr:uid="{00000000-0006-0000-02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2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2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200-000013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00000000-0006-0000-02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2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2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2"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2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adquiridos que al cierre de la vigencia fiscal no  se cumplieron.</t>
        </r>
      </text>
    </comment>
    <comment ref="F14" authorId="0" shapeId="0" xr:uid="{00000000-0006-0000-0200-00001C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16" authorId="0" shapeId="0" xr:uid="{00000000-0006-0000-02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200-000020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9" authorId="0" shapeId="0" xr:uid="{00000000-0006-0000-02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200-000023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23" authorId="0" shapeId="0" xr:uid="{00000000-0006-0000-02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200-00002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27" authorId="0" shapeId="0" xr:uid="{00000000-0006-0000-02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200-000029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200-00002A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200-00002B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C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200-00002D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200-00002E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NanaWayuu</author>
    <author>YULIED.PENARANDA</author>
  </authors>
  <commentList>
    <comment ref="AJ9" authorId="0" shapeId="0" xr:uid="{00000000-0006-0000-0000-000001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0" shapeId="0" xr:uid="{00000000-0006-0000-0000-000002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0" shapeId="0" xr:uid="{00000000-0006-0000-0000-000003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0" shapeId="0" xr:uid="{00000000-0006-0000-0000-000004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0" shapeId="0" xr:uid="{00000000-0006-0000-0000-000005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1" shapeId="0" xr:uid="{00000000-0006-0000-0000-000006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0" shapeId="0" xr:uid="{00000000-0006-0000-0000-000007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1"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Afrocolombianos, palenqueros y negritudes
</t>
        </r>
        <r>
          <rPr>
            <sz val="9"/>
            <color rgb="FF000000"/>
            <rFont val="Tahoma"/>
            <family val="2"/>
          </rPr>
          <t xml:space="preserve">Indígenas
</t>
        </r>
        <r>
          <rPr>
            <sz val="9"/>
            <color rgb="FF000000"/>
            <rFont val="Tahoma"/>
            <family val="2"/>
          </rPr>
          <t xml:space="preserve">No identifica grupo étnicos
</t>
        </r>
        <r>
          <rPr>
            <sz val="9"/>
            <color rgb="FF000000"/>
            <rFont val="Tahoma"/>
            <family val="2"/>
          </rPr>
          <t xml:space="preserve">Otros grupos étnicos
</t>
        </r>
        <r>
          <rPr>
            <sz val="9"/>
            <color rgb="FF000000"/>
            <rFont val="Tahoma"/>
            <family val="2"/>
          </rPr>
          <t xml:space="preserve">ROM
</t>
        </r>
        <r>
          <rPr>
            <sz val="9"/>
            <color rgb="FF000000"/>
            <rFont val="Tahoma"/>
            <family val="2"/>
          </rPr>
          <t xml:space="preserve">Raizales
</t>
        </r>
      </text>
    </comment>
    <comment ref="AX9" authorId="0" shapeId="0" xr:uid="{00000000-0006-0000-0000-000009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1" shapeId="0" xr:uid="{00000000-0006-0000-0000-00000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1" shapeId="0" xr:uid="{00000000-0006-0000-0000-00000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1" shapeId="0" xr:uid="{00000000-0006-0000-0000-00000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1" shapeId="0" xr:uid="{00000000-0006-0000-0000-00000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1" shapeId="0" xr:uid="{00000000-0006-0000-0000-00000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1" shapeId="0" xr:uid="{00000000-0006-0000-0000-00000F000000}">
      <text>
        <r>
          <rPr>
            <b/>
            <sz val="9"/>
            <color indexed="81"/>
            <rFont val="Tahoma"/>
            <family val="2"/>
          </rPr>
          <t>YULIED.PENARANDA:</t>
        </r>
        <r>
          <rPr>
            <sz val="9"/>
            <color indexed="81"/>
            <rFont val="Tahoma"/>
            <family val="2"/>
          </rPr>
          <t xml:space="preserve">
Se suma los recursos presupuestales (vigencia + reservas)</t>
        </r>
      </text>
    </comment>
    <comment ref="D16" authorId="1" shapeId="0" xr:uid="{00000000-0006-0000-0000-00001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1" shapeId="0" xr:uid="{00000000-0006-0000-0000-00001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1" shapeId="0" xr:uid="{00000000-0006-0000-0000-00001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1" shapeId="0" xr:uid="{00000000-0006-0000-0000-00001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1" shapeId="0" xr:uid="{00000000-0006-0000-0000-00001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1" shapeId="0" xr:uid="{00000000-0006-0000-0000-000015000000}">
      <text>
        <r>
          <rPr>
            <b/>
            <sz val="9"/>
            <color indexed="81"/>
            <rFont val="Tahoma"/>
            <family val="2"/>
          </rPr>
          <t>YULIED.PENARANDA:</t>
        </r>
        <r>
          <rPr>
            <sz val="9"/>
            <color indexed="81"/>
            <rFont val="Tahoma"/>
            <family val="2"/>
          </rPr>
          <t xml:space="preserve">
Se suma los recursos presupuestales (vigencia + reservas)</t>
        </r>
      </text>
    </comment>
    <comment ref="D22" authorId="1" shapeId="0" xr:uid="{00000000-0006-0000-0000-00001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1" shapeId="0" xr:uid="{00000000-0006-0000-0000-00001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1" shapeId="0" xr:uid="{00000000-0006-0000-0000-00001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1" shapeId="0" xr:uid="{00000000-0006-0000-0000-00001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1" shapeId="0" xr:uid="{00000000-0006-0000-0000-00001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1" shapeId="0" xr:uid="{00000000-0006-0000-0000-00001B000000}">
      <text>
        <r>
          <rPr>
            <b/>
            <sz val="9"/>
            <color indexed="81"/>
            <rFont val="Tahoma"/>
            <family val="2"/>
          </rPr>
          <t>YULIED.PENARANDA:</t>
        </r>
        <r>
          <rPr>
            <sz val="9"/>
            <color indexed="81"/>
            <rFont val="Tahoma"/>
            <family val="2"/>
          </rPr>
          <t xml:space="preserve">
Se suma los recursos presupuestales (vigencia + reservas)</t>
        </r>
      </text>
    </comment>
    <comment ref="D28" authorId="1" shapeId="0" xr:uid="{00000000-0006-0000-0000-00001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1" shapeId="0" xr:uid="{00000000-0006-0000-0000-00001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1" shapeId="0" xr:uid="{00000000-0006-0000-00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1" shapeId="0" xr:uid="{00000000-0006-0000-00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1" shapeId="0" xr:uid="{00000000-0006-0000-00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1" shapeId="0" xr:uid="{00000000-0006-0000-0000-000021000000}">
      <text>
        <r>
          <rPr>
            <b/>
            <sz val="9"/>
            <color indexed="81"/>
            <rFont val="Tahoma"/>
            <family val="2"/>
          </rPr>
          <t>YULIED.PENARANDA:</t>
        </r>
        <r>
          <rPr>
            <sz val="9"/>
            <color indexed="81"/>
            <rFont val="Tahoma"/>
            <family val="2"/>
          </rPr>
          <t xml:space="preserve">
Se suma los recursos presupuestales (vigencia + reservas)</t>
        </r>
      </text>
    </comment>
    <comment ref="D34" authorId="1" shapeId="0" xr:uid="{00000000-0006-0000-00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1" shapeId="0" xr:uid="{00000000-0006-0000-00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1" shapeId="0" xr:uid="{00000000-0006-0000-00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1" shapeId="0" xr:uid="{00000000-0006-0000-00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1" shapeId="0" xr:uid="{00000000-0006-0000-00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1" shapeId="0" xr:uid="{00000000-0006-0000-0000-000027000000}">
      <text>
        <r>
          <rPr>
            <b/>
            <sz val="9"/>
            <color indexed="81"/>
            <rFont val="Tahoma"/>
            <family val="2"/>
          </rPr>
          <t>YULIED.PENARANDA:</t>
        </r>
        <r>
          <rPr>
            <sz val="9"/>
            <color indexed="81"/>
            <rFont val="Tahoma"/>
            <family val="2"/>
          </rPr>
          <t xml:space="preserve">
Se suma los recursos presupuestales (vigencia + reservas)</t>
        </r>
      </text>
    </comment>
    <comment ref="D40" authorId="1" shapeId="0" xr:uid="{00000000-0006-0000-00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1" shapeId="0" xr:uid="{00000000-0006-0000-00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1" shapeId="0" xr:uid="{00000000-0006-0000-00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1" shapeId="0" xr:uid="{00000000-0006-0000-00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1" shapeId="0" xr:uid="{00000000-0006-0000-00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1" shapeId="0" xr:uid="{00000000-0006-0000-0000-00002D000000}">
      <text>
        <r>
          <rPr>
            <b/>
            <sz val="9"/>
            <color indexed="81"/>
            <rFont val="Tahoma"/>
            <family val="2"/>
          </rPr>
          <t>YULIED.PENARANDA:</t>
        </r>
        <r>
          <rPr>
            <sz val="9"/>
            <color indexed="81"/>
            <rFont val="Tahoma"/>
            <family val="2"/>
          </rPr>
          <t xml:space="preserve">
Se suma los recursos presupuestales (vigencia + reservas)</t>
        </r>
      </text>
    </comment>
    <comment ref="D46" authorId="1" shapeId="0" xr:uid="{00000000-0006-0000-00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1" shapeId="0" xr:uid="{00000000-0006-0000-00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1" shapeId="0" xr:uid="{00000000-0006-0000-00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1" shapeId="0" xr:uid="{00000000-0006-0000-00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1" shapeId="0" xr:uid="{00000000-0006-0000-00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1" shapeId="0" xr:uid="{00000000-0006-0000-0000-000033000000}">
      <text>
        <r>
          <rPr>
            <b/>
            <sz val="9"/>
            <color indexed="81"/>
            <rFont val="Tahoma"/>
            <family val="2"/>
          </rPr>
          <t>YULIED.PENARANDA:</t>
        </r>
        <r>
          <rPr>
            <sz val="9"/>
            <color indexed="81"/>
            <rFont val="Tahoma"/>
            <family val="2"/>
          </rPr>
          <t xml:space="preserve">
Se suma los recursos presupuestales (vigencia + reservas)</t>
        </r>
      </text>
    </comment>
    <comment ref="D52" authorId="1" shapeId="0" xr:uid="{00000000-0006-0000-00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1" shapeId="0" xr:uid="{00000000-0006-0000-0000-00003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1" shapeId="0" xr:uid="{00000000-0006-0000-00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1" shapeId="0" xr:uid="{00000000-0006-0000-00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1" shapeId="0" xr:uid="{00000000-0006-0000-00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1" shapeId="0" xr:uid="{00000000-0006-0000-0000-000039000000}">
      <text>
        <r>
          <rPr>
            <b/>
            <sz val="9"/>
            <color indexed="81"/>
            <rFont val="Tahoma"/>
            <family val="2"/>
          </rPr>
          <t>YULIED.PENARANDA:</t>
        </r>
        <r>
          <rPr>
            <sz val="9"/>
            <color indexed="81"/>
            <rFont val="Tahoma"/>
            <family val="2"/>
          </rPr>
          <t xml:space="preserve">
Se suma los recursos presupuestales (vigencia + reservas)</t>
        </r>
      </text>
    </comment>
    <comment ref="D58" authorId="1" shapeId="0" xr:uid="{00000000-0006-0000-00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1" shapeId="0" xr:uid="{00000000-0006-0000-00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1" shapeId="0" xr:uid="{00000000-0006-0000-00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1" shapeId="0" xr:uid="{00000000-0006-0000-00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1" shapeId="0" xr:uid="{00000000-0006-0000-00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1" shapeId="0" xr:uid="{00000000-0006-0000-0000-00003F000000}">
      <text>
        <r>
          <rPr>
            <b/>
            <sz val="9"/>
            <color indexed="81"/>
            <rFont val="Tahoma"/>
            <family val="2"/>
          </rPr>
          <t>YULIED.PENARANDA:</t>
        </r>
        <r>
          <rPr>
            <sz val="9"/>
            <color indexed="81"/>
            <rFont val="Tahoma"/>
            <family val="2"/>
          </rPr>
          <t xml:space="preserve">
Se suma los recursos presupuestales (vigencia + reservas)</t>
        </r>
      </text>
    </comment>
    <comment ref="D64" authorId="1" shapeId="0" xr:uid="{00000000-0006-0000-00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1" shapeId="0" xr:uid="{00000000-0006-0000-0000-00004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1" shapeId="0" xr:uid="{00000000-0006-0000-00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1" shapeId="0" xr:uid="{00000000-0006-0000-0000-00004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1" shapeId="0" xr:uid="{00000000-0006-0000-00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1" shapeId="0" xr:uid="{00000000-0006-0000-0000-000045000000}">
      <text>
        <r>
          <rPr>
            <b/>
            <sz val="9"/>
            <color indexed="81"/>
            <rFont val="Tahoma"/>
            <family val="2"/>
          </rPr>
          <t>YULIED.PENARANDA:</t>
        </r>
        <r>
          <rPr>
            <sz val="9"/>
            <color indexed="81"/>
            <rFont val="Tahoma"/>
            <family val="2"/>
          </rPr>
          <t xml:space="preserve">
Se suma los recursos presupuestales (vigencia + reservas)</t>
        </r>
      </text>
    </comment>
    <comment ref="D70" authorId="1" shapeId="0" xr:uid="{00000000-0006-0000-0000-00004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1" shapeId="0" xr:uid="{00000000-0006-0000-0000-00004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1" shapeId="0" xr:uid="{00000000-0006-0000-0000-00004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1" shapeId="0" xr:uid="{00000000-0006-0000-0000-00004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1" shapeId="0" xr:uid="{00000000-0006-0000-0000-00004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1" shapeId="0" xr:uid="{00000000-0006-0000-0000-00004B000000}">
      <text>
        <r>
          <rPr>
            <b/>
            <sz val="9"/>
            <color indexed="81"/>
            <rFont val="Tahoma"/>
            <family val="2"/>
          </rPr>
          <t>YULIED.PENARANDA:</t>
        </r>
        <r>
          <rPr>
            <sz val="9"/>
            <color indexed="81"/>
            <rFont val="Tahoma"/>
            <family val="2"/>
          </rPr>
          <t xml:space="preserve">
Se suma los recursos presupuestales (vigencia + reservas)</t>
        </r>
      </text>
    </comment>
    <comment ref="D76" authorId="1" shapeId="0" xr:uid="{00000000-0006-0000-0000-00004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1" shapeId="0" xr:uid="{00000000-0006-0000-0000-00004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1" shapeId="0" xr:uid="{00000000-0006-0000-0000-00004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1" shapeId="0" xr:uid="{00000000-0006-0000-0000-00004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1" shapeId="0" xr:uid="{00000000-0006-0000-0000-00005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1" shapeId="0" xr:uid="{00000000-0006-0000-0000-000051000000}">
      <text>
        <r>
          <rPr>
            <b/>
            <sz val="9"/>
            <color indexed="81"/>
            <rFont val="Tahoma"/>
            <family val="2"/>
          </rPr>
          <t>YULIED.PENARANDA:</t>
        </r>
        <r>
          <rPr>
            <sz val="9"/>
            <color indexed="81"/>
            <rFont val="Tahoma"/>
            <family val="2"/>
          </rPr>
          <t xml:space="preserve">
Se suma los recursos presupuestales (vigencia + reservas)</t>
        </r>
      </text>
    </comment>
    <comment ref="D82" authorId="1" shapeId="0" xr:uid="{00000000-0006-0000-0000-00005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1" shapeId="0" xr:uid="{00000000-0006-0000-0000-00005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1" shapeId="0" xr:uid="{00000000-0006-0000-0000-00005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1" shapeId="0" xr:uid="{00000000-0006-0000-0000-00005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1" shapeId="0" xr:uid="{00000000-0006-0000-0000-00005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1" shapeId="0" xr:uid="{00000000-0006-0000-0000-000057000000}">
      <text>
        <r>
          <rPr>
            <b/>
            <sz val="9"/>
            <color indexed="81"/>
            <rFont val="Tahoma"/>
            <family val="2"/>
          </rPr>
          <t>YULIED.PENARANDA:</t>
        </r>
        <r>
          <rPr>
            <sz val="9"/>
            <color indexed="81"/>
            <rFont val="Tahoma"/>
            <family val="2"/>
          </rPr>
          <t xml:space="preserve">
Se suma los recursos presupuestales (vigencia + reservas)</t>
        </r>
      </text>
    </comment>
    <comment ref="D88" authorId="1" shapeId="0" xr:uid="{00000000-0006-0000-0000-00005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1" shapeId="0" xr:uid="{00000000-0006-0000-0000-00005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1" shapeId="0" xr:uid="{00000000-0006-0000-0000-00005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1" shapeId="0" xr:uid="{00000000-0006-0000-0000-00005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1" shapeId="0" xr:uid="{00000000-0006-0000-0000-00005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1" shapeId="0" xr:uid="{00000000-0006-0000-0000-00005D000000}">
      <text>
        <r>
          <rPr>
            <b/>
            <sz val="9"/>
            <color indexed="81"/>
            <rFont val="Tahoma"/>
            <family val="2"/>
          </rPr>
          <t>YULIED.PENARANDA:</t>
        </r>
        <r>
          <rPr>
            <sz val="9"/>
            <color indexed="81"/>
            <rFont val="Tahoma"/>
            <family val="2"/>
          </rPr>
          <t xml:space="preserve">
Se suma los recursos presupuestales (vigencia + reservas)</t>
        </r>
      </text>
    </comment>
    <comment ref="D94" authorId="1" shapeId="0" xr:uid="{00000000-0006-0000-0000-00005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1" shapeId="0" xr:uid="{00000000-0006-0000-0000-00005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1" shapeId="0" xr:uid="{00000000-0006-0000-0000-00006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1" shapeId="0" xr:uid="{00000000-0006-0000-0000-00006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1" shapeId="0" xr:uid="{00000000-0006-0000-0000-00006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1" shapeId="0" xr:uid="{00000000-0006-0000-0000-000063000000}">
      <text>
        <r>
          <rPr>
            <b/>
            <sz val="9"/>
            <color indexed="81"/>
            <rFont val="Tahoma"/>
            <family val="2"/>
          </rPr>
          <t>YULIED.PENARANDA:</t>
        </r>
        <r>
          <rPr>
            <sz val="9"/>
            <color indexed="81"/>
            <rFont val="Tahoma"/>
            <family val="2"/>
          </rPr>
          <t xml:space="preserve">
Se suma los recursos presupuestales (vigencia + reservas)</t>
        </r>
      </text>
    </comment>
    <comment ref="D100" authorId="1" shapeId="0" xr:uid="{00000000-0006-0000-0000-00006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1" shapeId="0" xr:uid="{00000000-0006-0000-0000-00006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1" shapeId="0" xr:uid="{00000000-0006-0000-0000-00006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1" shapeId="0" xr:uid="{00000000-0006-0000-0000-00006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1" shapeId="0" xr:uid="{00000000-0006-0000-0000-00006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1" shapeId="0" xr:uid="{00000000-0006-0000-0000-000069000000}">
      <text>
        <r>
          <rPr>
            <b/>
            <sz val="9"/>
            <color indexed="81"/>
            <rFont val="Tahoma"/>
            <family val="2"/>
          </rPr>
          <t>YULIED.PENARANDA:</t>
        </r>
        <r>
          <rPr>
            <sz val="9"/>
            <color indexed="81"/>
            <rFont val="Tahoma"/>
            <family val="2"/>
          </rPr>
          <t xml:space="preserve">
Se suma los recursos presupuestales (vigencia + reservas)</t>
        </r>
      </text>
    </comment>
    <comment ref="D106" authorId="1" shapeId="0" xr:uid="{00000000-0006-0000-0000-00006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1" shapeId="0" xr:uid="{00000000-0006-0000-0000-00006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1" shapeId="0" xr:uid="{00000000-0006-0000-0000-00006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1" shapeId="0" xr:uid="{00000000-0006-0000-0000-00006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1" shapeId="0" xr:uid="{00000000-0006-0000-0000-00006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1" shapeId="0" xr:uid="{00000000-0006-0000-0000-00006F000000}">
      <text>
        <r>
          <rPr>
            <b/>
            <sz val="9"/>
            <color indexed="81"/>
            <rFont val="Tahoma"/>
            <family val="2"/>
          </rPr>
          <t>YULIED.PENARANDA:</t>
        </r>
        <r>
          <rPr>
            <sz val="9"/>
            <color indexed="81"/>
            <rFont val="Tahoma"/>
            <family val="2"/>
          </rPr>
          <t xml:space="preserve">
Se suma los recursos presupuestales (vigencia + reservas)</t>
        </r>
      </text>
    </comment>
    <comment ref="D112" authorId="1" shapeId="0" xr:uid="{00000000-0006-0000-0000-00007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1" shapeId="0" xr:uid="{00000000-0006-0000-0000-00007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1" shapeId="0" xr:uid="{00000000-0006-0000-0000-00007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1" shapeId="0" xr:uid="{00000000-0006-0000-0000-00007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1" shapeId="0" xr:uid="{00000000-0006-0000-0000-00007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1" shapeId="0" xr:uid="{00000000-0006-0000-0000-000075000000}">
      <text>
        <r>
          <rPr>
            <b/>
            <sz val="9"/>
            <color indexed="81"/>
            <rFont val="Tahoma"/>
            <family val="2"/>
          </rPr>
          <t>YULIED.PENARANDA:</t>
        </r>
        <r>
          <rPr>
            <sz val="9"/>
            <color indexed="81"/>
            <rFont val="Tahoma"/>
            <family val="2"/>
          </rPr>
          <t xml:space="preserve">
Se suma los recursos presupuestales (vigencia + reservas)</t>
        </r>
      </text>
    </comment>
    <comment ref="D118" authorId="1" shapeId="0" xr:uid="{00000000-0006-0000-0000-00007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1" shapeId="0" xr:uid="{00000000-0006-0000-0000-00007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1" shapeId="0" xr:uid="{00000000-0006-0000-0000-00007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1" shapeId="0" xr:uid="{00000000-0006-0000-0000-00007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1" shapeId="0" xr:uid="{00000000-0006-0000-0000-00007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1" shapeId="0" xr:uid="{00000000-0006-0000-0000-00007B000000}">
      <text>
        <r>
          <rPr>
            <b/>
            <sz val="9"/>
            <color indexed="81"/>
            <rFont val="Tahoma"/>
            <family val="2"/>
          </rPr>
          <t>YULIED.PENARANDA:</t>
        </r>
        <r>
          <rPr>
            <sz val="9"/>
            <color indexed="81"/>
            <rFont val="Tahoma"/>
            <family val="2"/>
          </rPr>
          <t xml:space="preserve">
Se suma los recursos presupuestales (vigencia + reservas)</t>
        </r>
      </text>
    </comment>
    <comment ref="D124" authorId="1" shapeId="0" xr:uid="{00000000-0006-0000-0000-00007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1" shapeId="0" xr:uid="{00000000-0006-0000-0000-00007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1" shapeId="0" xr:uid="{00000000-0006-0000-0000-00007E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27" authorId="1" shapeId="0" xr:uid="{00000000-0006-0000-0000-00007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1" shapeId="0" xr:uid="{00000000-0006-0000-0000-00008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1" shapeId="0" xr:uid="{00000000-0006-0000-0000-000081000000}">
      <text>
        <r>
          <rPr>
            <b/>
            <sz val="9"/>
            <color indexed="81"/>
            <rFont val="Tahoma"/>
            <family val="2"/>
          </rPr>
          <t>YULIED.PENARANDA:</t>
        </r>
        <r>
          <rPr>
            <sz val="9"/>
            <color indexed="81"/>
            <rFont val="Tahoma"/>
            <family val="2"/>
          </rPr>
          <t xml:space="preserve">
Se suma los recursos presupuestales (vigencia + reservas)</t>
        </r>
      </text>
    </comment>
    <comment ref="D130" authorId="1" shapeId="0" xr:uid="{00000000-0006-0000-0000-00008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1" authorId="1" shapeId="0" xr:uid="{00000000-0006-0000-0000-00008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2" authorId="1" shapeId="0" xr:uid="{00000000-0006-0000-0000-00008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3" authorId="1" shapeId="0" xr:uid="{00000000-0006-0000-0000-00008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4" authorId="1" shapeId="0" xr:uid="{00000000-0006-0000-0000-00008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35" authorId="1" shapeId="0" xr:uid="{00000000-0006-0000-0000-00008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36" authorId="1" shapeId="0" xr:uid="{00000000-0006-0000-0000-00008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7" authorId="1" shapeId="0" xr:uid="{00000000-0006-0000-0000-00008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8" authorId="1" shapeId="0" xr:uid="{00000000-0006-0000-0000-00008A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9" authorId="1" shapeId="0" xr:uid="{00000000-0006-0000-0000-00008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0" authorId="1" shapeId="0" xr:uid="{00000000-0006-0000-0000-00008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1" authorId="1" shapeId="0" xr:uid="{00000000-0006-0000-0000-00008D000000}">
      <text>
        <r>
          <rPr>
            <b/>
            <sz val="9"/>
            <color indexed="81"/>
            <rFont val="Tahoma"/>
            <family val="2"/>
          </rPr>
          <t>YULIED.PENARANDA:</t>
        </r>
        <r>
          <rPr>
            <sz val="9"/>
            <color indexed="81"/>
            <rFont val="Tahoma"/>
            <family val="2"/>
          </rPr>
          <t xml:space="preserve">
Se suma los recursos presupuestales (vigencia + reservas)</t>
        </r>
      </text>
    </comment>
    <comment ref="D142" authorId="1" shapeId="0" xr:uid="{00000000-0006-0000-0000-00008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3" authorId="1" shapeId="0" xr:uid="{00000000-0006-0000-0000-00008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4" authorId="1" shapeId="0" xr:uid="{00000000-0006-0000-0000-00009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5" authorId="1" shapeId="0" xr:uid="{00000000-0006-0000-0000-00009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6" authorId="1" shapeId="0" xr:uid="{00000000-0006-0000-0000-00009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7" authorId="1" shapeId="0" xr:uid="{00000000-0006-0000-0000-00009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00000000-0006-0000-0400-000030000000}">
      <text>
        <r>
          <rPr>
            <b/>
            <sz val="9"/>
            <color indexed="81"/>
            <rFont val="Tahoma"/>
            <family val="2"/>
          </rPr>
          <t>YULIED.PENARANDA:</t>
        </r>
        <r>
          <rPr>
            <sz val="9"/>
            <color indexed="81"/>
            <rFont val="Tahoma"/>
            <family val="2"/>
          </rPr>
          <t xml:space="preserve">
Vigencia a reportar</t>
        </r>
      </text>
    </comment>
    <comment ref="B94"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4"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09"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0" authorId="0" shapeId="0" xr:uid="{00000000-0006-0000-0400-000039000000}">
      <text>
        <r>
          <rPr>
            <b/>
            <sz val="9"/>
            <color indexed="81"/>
            <rFont val="Tahoma"/>
            <family val="2"/>
          </rPr>
          <t>YULIED.PENARANDA:</t>
        </r>
        <r>
          <rPr>
            <sz val="9"/>
            <color indexed="81"/>
            <rFont val="Tahoma"/>
            <family val="2"/>
          </rPr>
          <t xml:space="preserve">
Vigencia a reportar</t>
        </r>
      </text>
    </comment>
    <comment ref="B110"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0"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0"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0"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0"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0"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0"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5" authorId="0" shapeId="0" xr:uid="{00000000-0006-0000-0400-000042000000}">
      <text>
        <r>
          <rPr>
            <b/>
            <sz val="9"/>
            <color indexed="81"/>
            <rFont val="Tahoma"/>
            <family val="2"/>
          </rPr>
          <t>YULIED.PENARANDA:</t>
        </r>
        <r>
          <rPr>
            <sz val="9"/>
            <color indexed="81"/>
            <rFont val="Tahoma"/>
            <family val="2"/>
          </rPr>
          <t xml:space="preserve">
Vigencia a reportar</t>
        </r>
      </text>
    </comment>
    <comment ref="B12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39" authorId="0" shapeId="0" xr:uid="{00000000-0006-0000-0400-00004A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0" authorId="0" shapeId="0" xr:uid="{00000000-0006-0000-0400-00004B000000}">
      <text>
        <r>
          <rPr>
            <b/>
            <sz val="9"/>
            <color indexed="81"/>
            <rFont val="Tahoma"/>
            <family val="2"/>
          </rPr>
          <t>YULIED.PENARANDA:</t>
        </r>
        <r>
          <rPr>
            <sz val="9"/>
            <color indexed="81"/>
            <rFont val="Tahoma"/>
            <family val="2"/>
          </rPr>
          <t xml:space="preserve">
Vigencia a reportar</t>
        </r>
      </text>
    </comment>
    <comment ref="B14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0"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5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51000000}">
      <text>
        <r>
          <rPr>
            <b/>
            <sz val="9"/>
            <color indexed="81"/>
            <rFont val="Tahoma"/>
            <family val="2"/>
          </rPr>
          <t>YULIED.PENARANDA:</t>
        </r>
        <r>
          <rPr>
            <sz val="9"/>
            <color indexed="81"/>
            <rFont val="Tahoma"/>
            <family val="2"/>
          </rPr>
          <t xml:space="preserve">
Vigencia a reportar</t>
        </r>
      </text>
    </comment>
    <comment ref="B180" authorId="0" shapeId="0" xr:uid="{00000000-0006-0000-0400-00005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5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5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19"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0" authorId="0" shapeId="0" xr:uid="{00000000-0006-0000-0400-000057000000}">
      <text>
        <r>
          <rPr>
            <b/>
            <sz val="9"/>
            <color indexed="81"/>
            <rFont val="Tahoma"/>
            <family val="2"/>
          </rPr>
          <t>YULIED.PENARANDA:</t>
        </r>
        <r>
          <rPr>
            <sz val="9"/>
            <color indexed="81"/>
            <rFont val="Tahoma"/>
            <family val="2"/>
          </rPr>
          <t xml:space="preserve">
Vigencia a reportar</t>
        </r>
      </text>
    </comment>
    <comment ref="B220"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0"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0"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0"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00000000-0006-0000-0400-00005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0" authorId="0" shapeId="0" xr:uid="{00000000-0006-0000-0400-00005D000000}">
      <text>
        <r>
          <rPr>
            <b/>
            <sz val="9"/>
            <color indexed="81"/>
            <rFont val="Tahoma"/>
            <family val="2"/>
          </rPr>
          <t>YULIED.PENARANDA:</t>
        </r>
        <r>
          <rPr>
            <sz val="9"/>
            <color indexed="81"/>
            <rFont val="Tahoma"/>
            <family val="2"/>
          </rPr>
          <t xml:space="preserve">
Vigencia a reportar</t>
        </r>
      </text>
    </comment>
    <comment ref="B260" authorId="0" shapeId="0" xr:uid="{00000000-0006-0000-0400-00005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0" authorId="0" shapeId="0" xr:uid="{00000000-0006-0000-0400-00005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0" authorId="0" shapeId="0" xr:uid="{00000000-0006-0000-0400-00006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0"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6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7" authorId="0" shapeId="0" xr:uid="{00000000-0006-0000-0400-000063000000}">
      <text>
        <r>
          <rPr>
            <b/>
            <sz val="9"/>
            <color indexed="81"/>
            <rFont val="Tahoma"/>
            <family val="2"/>
          </rPr>
          <t>YULIED.PENARANDA:</t>
        </r>
        <r>
          <rPr>
            <sz val="9"/>
            <color indexed="81"/>
            <rFont val="Tahoma"/>
            <family val="2"/>
          </rPr>
          <t xml:space="preserve">
Vigencia a reportar</t>
        </r>
      </text>
    </comment>
    <comment ref="B277" authorId="0" shapeId="0" xr:uid="{00000000-0006-0000-0400-00006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7" authorId="0" shapeId="0" xr:uid="{00000000-0006-0000-0400-00006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7" authorId="0" shapeId="0" xr:uid="{00000000-0006-0000-0400-00006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7"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00000000-0006-0000-0400-00006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2" authorId="0" shapeId="0" xr:uid="{00000000-0006-0000-0400-000069000000}">
      <text>
        <r>
          <rPr>
            <b/>
            <sz val="9"/>
            <color indexed="81"/>
            <rFont val="Tahoma"/>
            <family val="2"/>
          </rPr>
          <t>YULIED.PENARANDA:</t>
        </r>
        <r>
          <rPr>
            <sz val="9"/>
            <color indexed="81"/>
            <rFont val="Tahoma"/>
            <family val="2"/>
          </rPr>
          <t xml:space="preserve">
Vigencia a reportar</t>
        </r>
      </text>
    </comment>
    <comment ref="B292" authorId="0" shapeId="0" xr:uid="{00000000-0006-0000-0400-00006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2" authorId="0" shapeId="0" xr:uid="{00000000-0006-0000-0400-00006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2" authorId="0" shapeId="0" xr:uid="{00000000-0006-0000-0400-00006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2"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06" authorId="0" shapeId="0" xr:uid="{00000000-0006-0000-0400-00006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7" authorId="0" shapeId="0" xr:uid="{00000000-0006-0000-0400-00006F000000}">
      <text>
        <r>
          <rPr>
            <b/>
            <sz val="9"/>
            <color indexed="81"/>
            <rFont val="Tahoma"/>
            <family val="2"/>
          </rPr>
          <t>YULIED.PENARANDA:</t>
        </r>
        <r>
          <rPr>
            <sz val="9"/>
            <color indexed="81"/>
            <rFont val="Tahoma"/>
            <family val="2"/>
          </rPr>
          <t xml:space="preserve">
Vigencia a reportar</t>
        </r>
      </text>
    </comment>
    <comment ref="B307" authorId="0" shapeId="0" xr:uid="{00000000-0006-0000-0400-00007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7" authorId="0" shapeId="0" xr:uid="{00000000-0006-0000-0400-00007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7" authorId="0" shapeId="0" xr:uid="{00000000-0006-0000-0400-00007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7"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<sst xmlns="http://schemas.openxmlformats.org/spreadsheetml/2006/main" count="3104" uniqueCount="729">
  <si>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</si>
  <si>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</si>
  <si>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</si>
  <si>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</si>
  <si>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</si>
  <si>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</si>
  <si>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</si>
  <si>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</si>
  <si>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</si>
  <si>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</si>
  <si>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</si>
  <si>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</si>
  <si>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</si>
  <si>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</si>
  <si>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</si>
  <si>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</si>
  <si>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</si>
  <si>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</si>
  <si>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</si>
  <si>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</si>
  <si>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</si>
  <si>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</si>
  <si>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</si>
  <si>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</si>
  <si>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</si>
  <si>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</si>
  <si>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</si>
  <si>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</si>
  <si>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</si>
  <si>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</si>
  <si>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</si>
  <si>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</si>
  <si>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</si>
  <si>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</si>
  <si>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</si>
  <si>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</si>
  <si>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</si>
  <si>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</si>
  <si>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</si>
  <si>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</si>
  <si>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</si>
  <si>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</si>
  <si>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</si>
  <si>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</si>
  <si>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</si>
  <si>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</si>
  <si>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</si>
  <si>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</si>
  <si>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</si>
  <si>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</si>
  <si>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</si>
  <si>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</si>
  <si>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</si>
  <si>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</si>
  <si>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</si>
  <si>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</si>
  <si>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</si>
  <si>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</si>
  <si>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</si>
  <si>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</si>
  <si>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</si>
  <si>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</si>
  <si>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</si>
  <si>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</si>
  <si>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</si>
  <si>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</si>
  <si>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</si>
  <si>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</si>
  <si>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</si>
  <si>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</si>
  <si>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</si>
  <si>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</si>
  <si>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</si>
  <si>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</si>
  <si>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</si>
  <si>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</si>
  <si>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</si>
  <si>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</si>
  <si>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</si>
  <si>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</si>
  <si>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</si>
  <si>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</si>
  <si>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</si>
  <si>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</si>
  <si>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</si>
  <si>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</si>
  <si>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</si>
  <si>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</si>
  <si>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</si>
  <si>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</si>
  <si>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</si>
  <si>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</si>
  <si>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</si>
  <si>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</si>
  <si>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</si>
  <si>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</si>
  <si>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</si>
  <si>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</si>
  <si>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</si>
  <si>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</si>
  <si>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</si>
  <si>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</si>
  <si>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</si>
  <si>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</si>
  <si>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</si>
  <si>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</si>
  <si>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</si>
  <si>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</si>
  <si>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</si>
  <si>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</si>
  <si>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</si>
  <si>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</si>
  <si>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</si>
  <si>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</si>
  <si>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</si>
  <si>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</si>
  <si>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</si>
  <si>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</si>
  <si>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</si>
  <si>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</si>
  <si>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</si>
  <si>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</si>
  <si>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</si>
  <si>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</si>
  <si>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</si>
  <si>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</si>
  <si>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</si>
  <si>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</si>
  <si>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</si>
  <si>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</si>
  <si>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</si>
  <si>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</si>
  <si>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</si>
  <si>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</si>
  <si>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</si>
  <si>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</si>
  <si>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</si>
  <si>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</si>
  <si>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</si>
  <si>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</si>
  <si>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</si>
  <si>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</si>
  <si>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</si>
  <si>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</si>
  <si>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</si>
  <si>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</si>
  <si>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</si>
  <si>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</si>
  <si>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</si>
  <si>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</si>
  <si>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</si>
  <si>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</si>
  <si>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</si>
  <si>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</si>
  <si>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</si>
  <si>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</si>
  <si>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</si>
  <si>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</si>
  <si>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</si>
  <si>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</si>
  <si>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</si>
  <si>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</si>
  <si>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</si>
  <si>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</si>
  <si>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</si>
  <si>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</si>
  <si>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</si>
  <si>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</si>
  <si>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</si>
  <si>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</si>
  <si>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</si>
  <si>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</si>
  <si>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</si>
  <si>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</si>
  <si>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</si>
  <si>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</si>
  <si>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</si>
  <si>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</si>
  <si>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</si>
  <si>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</si>
  <si>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</si>
  <si>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</si>
  <si>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</si>
  <si>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</si>
  <si>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</si>
  <si>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</si>
  <si>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</si>
  <si>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</si>
  <si>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</si>
  <si>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</si>
  <si>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</si>
  <si>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</si>
  <si>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</si>
  <si>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</si>
  <si>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</si>
  <si>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</si>
  <si>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</si>
  <si>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</si>
  <si>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</si>
  <si>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</si>
  <si>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</si>
  <si>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</si>
  <si>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</si>
  <si>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</si>
  <si>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</si>
  <si>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</si>
  <si>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</si>
  <si>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</si>
  <si>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</si>
  <si>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</si>
  <si>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</si>
  <si>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</si>
  <si>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</si>
  <si>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</si>
  <si>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</si>
  <si>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</si>
  <si>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</si>
  <si>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</si>
  <si>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</si>
  <si>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</si>
  <si>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</si>
  <si>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</si>
  <si>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</si>
  <si>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</si>
  <si>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</si>
  <si>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</si>
  <si>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</si>
  <si>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</si>
  <si>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</si>
  <si>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</si>
  <si>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</si>
  <si>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</si>
  <si>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</si>
  <si>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</si>
  <si>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</si>
  <si>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</si>
  <si>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</si>
  <si>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</si>
  <si>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</si>
  <si>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</si>
  <si>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</si>
  <si>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</si>
  <si>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</si>
  <si>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</si>
  <si>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</si>
  <si>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</si>
  <si>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</si>
  <si>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</si>
  <si>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</si>
  <si>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</si>
  <si>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</si>
  <si>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</si>
  <si>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</si>
  <si>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</si>
  <si>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</si>
  <si>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</si>
  <si>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</si>
  <si>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</si>
  <si>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</si>
  <si>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</si>
  <si>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</si>
  <si>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</si>
  <si>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</si>
  <si>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</si>
  <si>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</si>
  <si>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</si>
  <si>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</si>
  <si>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</si>
  <si>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</si>
  <si>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</si>
  <si>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</si>
  <si>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</si>
  <si>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</si>
  <si>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</si>
  <si>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</si>
  <si>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</si>
  <si>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</si>
  <si>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</si>
  <si>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</si>
  <si>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</si>
  <si>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</si>
  <si>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</si>
  <si>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</si>
  <si>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</si>
  <si>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</si>
  <si>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</si>
  <si>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</si>
  <si>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</si>
  <si>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</si>
  <si>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</si>
  <si>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</si>
  <si>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</si>
  <si>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</si>
  <si>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</si>
  <si>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</si>
  <si>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</si>
  <si>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</si>
  <si>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</si>
  <si>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</si>
  <si>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</si>
  <si>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</si>
  <si>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</si>
  <si>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</si>
  <si>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</si>
  <si>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</si>
  <si>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</si>
  <si>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</si>
  <si>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</si>
  <si>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</si>
  <si>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</si>
  <si>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</si>
  <si>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</si>
  <si>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</si>
  <si>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</si>
  <si>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</si>
  <si>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</si>
  <si>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</si>
  <si>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</si>
  <si>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</si>
  <si>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</si>
  <si>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</si>
  <si>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</si>
  <si>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</si>
  <si>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</si>
  <si>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</si>
  <si>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</si>
  <si>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</si>
  <si>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</si>
  <si>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</si>
  <si>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</si>
  <si>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</si>
  <si>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</si>
  <si>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</si>
  <si>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</si>
  <si>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</si>
  <si>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</si>
  <si>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</si>
  <si>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</si>
  <si>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</si>
  <si>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</si>
  <si>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</si>
  <si>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</si>
  <si>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</si>
  <si>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</si>
  <si>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</si>
  <si>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</si>
  <si>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</si>
  <si>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</si>
  <si>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</si>
  <si>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</si>
  <si>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</si>
  <si>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</si>
  <si>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</si>
  <si>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</si>
  <si>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</si>
  <si>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</si>
  <si>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</si>
  <si>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</si>
  <si>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</si>
  <si>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</si>
  <si>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</si>
  <si>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</si>
  <si>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</si>
  <si>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</si>
  <si>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</si>
  <si>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</si>
  <si>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</si>
  <si>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</si>
  <si>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</si>
  <si>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</si>
  <si>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</si>
  <si>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</si>
  <si>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</si>
  <si>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</si>
  <si>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</si>
  <si>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</si>
  <si>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</si>
  <si>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</si>
  <si>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</si>
  <si>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</si>
  <si>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</si>
  <si>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</si>
  <si>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</si>
  <si>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</si>
  <si>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</si>
  <si>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</si>
  <si>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</si>
  <si>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</si>
  <si>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3. Desarrollar 47 proyectos de economía circular para cerrar el ciclo de vida de los materiales</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</si>
  <si>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</si>
  <si>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</si>
  <si>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Optimizar esfuerzos y recursos, con el fin de lograr el aprovechamiento de los residuos generados en el distrito, mejorando la calidad ambiental urbana.</t>
  </si>
  <si>
    <t>6. POBLACIÓN</t>
  </si>
  <si>
    <t>6.10 NÚMERO DE PERSONAS POR GRUPOS EtonICOS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</si>
  <si>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</si>
  <si>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</si>
  <si>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</si>
  <si>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</si>
  <si>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</si>
  <si>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</si>
  <si>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</si>
  <si>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</si>
  <si>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</si>
  <si>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</si>
  <si>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</si>
  <si>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</si>
  <si>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</si>
  <si>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</si>
  <si>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</si>
  <si>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</si>
  <si>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</si>
  <si>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</si>
  <si>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</si>
  <si>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</si>
  <si>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</si>
  <si>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</si>
  <si>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</si>
  <si>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</si>
  <si>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</si>
  <si>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</si>
  <si>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</si>
  <si>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</si>
  <si>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</si>
  <si>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</si>
  <si>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</si>
  <si>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</si>
  <si>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</si>
  <si>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</si>
  <si>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</si>
  <si>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</si>
  <si>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</si>
  <si>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</si>
  <si>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</si>
  <si>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</si>
  <si>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3. Ejecutar actuaciones Técnico administrativas de control  a la disposición de residuos peligrosos generados en actividades industriales  a cargo de la Subdirección del Recurso Hídrico y del Suelo.</t>
  </si>
  <si>
    <t>Se considera que el área de influencia de la meta está integrada por la totalidad del área  urbana de la Localidad.</t>
  </si>
  <si>
    <t>ENGATIVA</t>
  </si>
  <si>
    <t>TUNJUELITO</t>
  </si>
  <si>
    <t>ANTONIO NARIÑO</t>
  </si>
  <si>
    <t>BARRIOS UNIDOS</t>
  </si>
  <si>
    <t>BOSA</t>
  </si>
  <si>
    <t>CANDELARIA</t>
  </si>
  <si>
    <t>CHAPINERO</t>
  </si>
  <si>
    <t>CIUDAD BOLIVAR</t>
  </si>
  <si>
    <t>FONTIBON</t>
  </si>
  <si>
    <t>KENNEDY</t>
  </si>
  <si>
    <t>LOS MARTIRES</t>
  </si>
  <si>
    <t>PUENTE ARANDA</t>
  </si>
  <si>
    <t>RAFAEL URIBE URIBE</t>
  </si>
  <si>
    <t>SAN CRISTOBAL</t>
  </si>
  <si>
    <t>SANTA FE</t>
  </si>
  <si>
    <t>SUBA</t>
  </si>
  <si>
    <t>TEUSAQUILLO</t>
  </si>
  <si>
    <t>USAQUEN</t>
  </si>
  <si>
    <t>USME</t>
  </si>
  <si>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</si>
  <si>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</si>
  <si>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</si>
  <si>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</si>
  <si>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</si>
  <si>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</si>
  <si>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</si>
  <si>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</si>
  <si>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</si>
  <si>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</si>
  <si>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</si>
  <si>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</si>
  <si>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</si>
  <si>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t>A julio de 2022 el avance es  0,58 así: 
-Priorización y definición de actividades y usuarios a controlar: 0,1
-Controlar la disposición adecuada de residuos especiales, peligrosos, ordinarios y de manejo diferenciado: 0,076
-Controlar el aprovechamiento de residuos especiales, peligrosos, ordinarios y de manejo diferenciado: 0,067
-Reporte y consolidación  de Informe eficiencia de actuaciones técnicas y administrativas de evaluación control y seguimiento al mes de julio de 2022: 0,037</t>
  </si>
  <si>
    <t xml:space="preserve">Para el cumplimiento de las regulaciones y control a la gestión de residuos, la Secretaría Distrital de Ambiente durante el periodo comprendido del 01 de enero al 31 de Julio del 2022, acogieron 172 actuaciones técnicas de las cuales se generaron 172 actuaciones administrativas en el marco del cumplimiento del proceso sancionatorio ambiental.
</t>
  </si>
  <si>
    <t xml:space="preserve">A JULIO de 2022 se ha dado inicio a las actividades de gestion establecidas en cada uno de los proyectos se presenta el porcentaje de avance de 7  proyectos de economía circular para cerrar el ciclo de vida de los materiales </t>
  </si>
  <si>
    <t>A junio de 2022 el avance es  0,50 así: 
-Priorización y definición de actividades y usuarios a controlar: 0,1
-Ejecución de actuaciones técnicas y administrativas de evaluación control y seguimiento: 0,251
-Controlar la disposición adecuada de residuos especiales, peligrosos, ordinarios y de manejo diferenciado: 0,050
-Controlar el aprovechamiento de residuos especiales, peligrosos, ordinarios y de manejo diferenciado: 0,064
-Reporte y consolidación  de Informe eficiencia de actuaciones técnicas y administrativas de evaluación control y seguimiento al mes de junio de 2022: 0,031</t>
  </si>
  <si>
    <t>Para el cumplimiento de las regulaciones y control a la gestión de residuos, la Secretaría Distrital de Ambiente a junio de 2022, acogió 136 actuaciones técnicas que  generaron 136 actuaciones administrativas en el marco del cumplimiento del proceso sancionatorio ambiental.</t>
  </si>
  <si>
    <t xml:space="preserve">A Junio de 2022 se ha dado inicio a las actividades de gestion establecidas en cada uno de los proyectos se presenta el porcentaje de avance de 7  proyectos de economía circular para cerrar el ciclo de vida de los materiales </t>
  </si>
  <si>
    <t>A mayo de 2022 se obtuvo un avance del  0,39 relacionado con: 
-Priorización y definición de actividades y usuarios a controlar: 0,1
-Ejecución de actuaciones técnicas y administrativas de evaluación control y seguimiento: 0,175
-Controlar la disposición adecuada de residuos especiales, peligrosos, ordinarios y de manejo diferenciado: 0,050
-Controlar el aprovechamiento de residuos especiales, peligrosos, ordinarios y de manejo diferenciado: 0,042
-Reporte y consolidación  de Informe eficiencia de actuaciones técnicas y administrativas de evaluación control y seguimiento al mes de mayo de 2022: 0,024</t>
  </si>
  <si>
    <t>A abril de 2022 se obtuvo un avance del  0,31 relacionado con: 
-Priorización y definición de actividades y usuarios a controlar: 0,1
-Ejecución de actuaciones técnicas y administrativas de evaluación control y seguimiento: 0,128
-Controlar la disposición adecuada de residuos especiales, peligrosos, ordinarios y de manejo diferenciado: 0,036
-Controlar el aprovechamiento de residuos especiales, peligrosos, ordinarios y de manejo diferenciado: 0,029
-Reporte y consolidación  de Informe eficiencia de actuaciones técnicas y administrativas de evaluación control y seguimiento al mes de abril de 2022: 0,018</t>
  </si>
  <si>
    <t>Para el cumplimiento de las regulaciones y control a la gestión de residuos, la Secretaría Distrital de Ambiente durante el periodo comprendido del 01 de enero al 31 de mayo del 2022, acogieron 117 actuaciones técnicas de las cuales se generaron 117 actuaciones administrativas en el marco del cumplimiento del proceso sancionatorio ambiental.</t>
  </si>
  <si>
    <t>A mayo de 2022 se ha dado inicio a las actividades de gestion establecidas en cada uno de los proyectos se presenta el porcentaje de avance de 7  proyectos de economía circular para cerrar el ciclo de vida de los materiales así:</t>
  </si>
  <si>
    <t>A abril de 2022 se ha dado inicio a las actividades de gestion establecidas en cada uno de los proyectos se presenta el porcentaje de avance de 7  proyectos de economía circular para cerrar el ciclo de vida de los materiales así:
Proyectos de articulación de actores para la economía circular</t>
  </si>
  <si>
    <t>Para el cumplimiento de las regulaciones y control a la gestión de residuos, la Secretaría Distrital de Ambiente durante el periodo comprendido del 01 de enero al 30 de abril del 2022, acogió 76 actuaciones técnicas a partir  de las cuales se generaron 76 actuaciones administrativas en el marco del cumplimiento del proceso sancionatorio ambiental.</t>
  </si>
  <si>
    <t>A Agosto de 2022 el avance es  0,66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0,35
-Controlar la disposición adecuada de residuos especiales, peligrosos, ordinarios y de manejo diferenciado: 0,089
-Controlar el aprovechamiento de residuos especiales, peligrosos, ordinarios y de manejo diferenciado: 0,078
Las actuaciones técnicas permitieron controlar 10.995.310,42 ton. De las cuales 9.181.875,32  ton aportan a la disposición adecuada y 1.813.435,10 ton a aprovechamiento.
-Reporte y consolidación  de Informe eficiencia de actuaciones técnicas y administrativas de evaluación control y seguimiento al mes de Agosto de 2022: 0,044</t>
  </si>
  <si>
    <t>Para el cumplimiento de las regulaciones y control a la gestión de residuos, la Secretaría Distrital de Ambiente durante el periodo comprendido del 01 de enero al 31 de agosto del 2022, se recibieron 198 conceptos técnicos  de los cuales se acogieron y generaron 175 actuaciones administrativas en el marco del cumplimiento del proceso sancionatorio ambiental.</t>
  </si>
  <si>
    <t>A AGOSTOde 2022 se ha dado inicio a las actividades de gestion establecidas en cada uno de los proyectos se presenta el porcentaje de avance de 7  proyectos de economía circular para cerrar el ciclo de vida de los materiales así:
1.	Reciclaton Empresarial: Busca disminuir la disposición inadecuada de residuos peligrosos generados por las empresas públicas y privadas. AVANCE  80%
2.	Ciudadanía con Estilo Verde: Fortalece el capital humano para la transición hacia el crecimiento verde, uno de los temas relevantes es el manejo responsable de los materiales y residuos en los actores de la cadena de valor. AVANCE  69%
3.	Modelos de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AVANCE 60%
4.	EC para la gestión de RESPEL: Su objetivo es realizar la verificación y seguimiento de actividades establecidas en el PGIRESPEL y su actualización. AVANCE 40%
5.	Instrumentos de gobernanza para la EC: La gobernanza público-privada para generar desarrollo económico sostenible. Para esto se requiere contar con instrumentos de gestión y política ambiental de distinta naturaleza. AVANCE 58%
6.	Registro y reporte de tramites: Verificación y seguimiento a tramites de registro de aceite vegetal usado, registro de acopiadores de llantas y registro de empresas transformadoras de envases y empaques. AVANCE  62,5%
7. 	Programa ECOLECTA: Busca culturizar y promover a la ciudadanía sobre la disposición adecuada de residuos peligrosos. AVANCE  60%</t>
  </si>
  <si>
    <t>A Julio de 2022, la Secretaría Distrital de Ambiente controló la gestión adecuada de  9.365.682,8  ton de residuos peligrosos, ordinarios, especialesde los cuales  7.793.594,11 ton corresponden a disposición adecuada  y 1.572.088,69 ton a  aprovechamiento de residuos  en el D.C.</t>
  </si>
  <si>
    <t>A Junio de 2022, la Secretaría Distrital de Ambiente controló la gestión adecuada de  7.681.227,2  ton de residuos peligrosos, ordinarios, especialesde los cuales  6.405.762,13 ton corresponden a disposición adecuada  y 1.275.465,07 ton a  aprovechamiento de residuos  en el D.C.</t>
  </si>
  <si>
    <t>A Agosto de 2022, la Secretaría Distrital de Ambiente controló la gestión adecuada de  10.995.310,42 ton de residuos peligrosos, ordinarios, especialesde los cuales  9.181.875   ton corresponden a disposición adecuada  y 1.813.435,10 ton a  aprovechamiento de residuos  en el D.C.</t>
  </si>
  <si>
    <t xml:space="preserve">Especial: Realizar un adecuado aprovechamiento y control de residuos en Bogotá mediante acciones de evaluación, control y seguimiento desarrolladas en dos o más localidades del Distrito Capital.
</t>
  </si>
  <si>
    <t>ESPECIAL</t>
  </si>
  <si>
    <t>A septiembre de 2022 el avance es  0,76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0,42
A septiembre de 2022 se realizaron 20,519 actuaciones técnicas, Por grupos de residuos las acciones se distribuyen así:
Residuos de Construcción y Demolición RCD – obras: 2.833
Residuos hospitalarios y similares: 4.812 acciones
Residuos infecciosos y químicos Micro: 1.509 acciones
RCD - proyectos especiales de infraestructura: 1101 acciones 
Evaluación control y seguimiento Metro: 1.256 acciones 
Residuos especiales entidades públicas: 337 acciones 
Residuos llantas usadas: 5.716 acciones 
Control y vigilancia a RESPEL: 2.955 acciones 
-Controlar la disposición adecuada de residuos especiales, peligrosos, ordinarios y de manejo diferenciado: 0,10
-Controlar el aprovechamiento de residuos especiales, peligrosos, ordinarios y de manejo diferenciado:0,90
Las actuaciones técnicas permitieron controlar 12.670.714  ton. De las cuales 10.568.121,60 ton aportan a la disposición adecuada y 2.101.917,27 ton a aprovechamiento.
-Reporte y consolidación  de Informe eficiencia de actuaciones técnicas y administrativas de evaluación control y seguimiento al mes de septiembre de 2022: 0,050</t>
  </si>
  <si>
    <t>Para el cumplimiento de las regulaciones y control a la gestión de residuos, la Secretaría Distrital de Ambiente durante el periodo comprendido del 01 de enero al 30 de septiembre del 2022, recibió 232 conceptos técnicos de las cuales se acogieron y generaron 199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t>
  </si>
  <si>
    <t>A septiembre de 2022 se presenta el porcentaje de avance de 7 proyectos de economía circular para cerrar el ciclo de vida de los materiales así:
PROYECTOS DE ARTICULACIÓN DE ACTORES PARA LA ECONOMÍA CIRCULAR (EC)
1. Reciclaton Empresarial: Busca disminuir la disposición inadecuada de residuos peligrosos generados por las empresas públicas y privadas. AVANCE  82%
2. Ciudadanía con Estilo Verde: Fortalece el capital humano para la transición hacia el crecimiento verde, uno de los temas relevantes es el manejo responsable de los materiales y residuos en los actores de la cadena de valor. AVANCE  74%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70%
PROYECTOS DE PROCESAMIENTO, PRODUCCIÓN Y DIFUSIÓN DE INFORMACIÓN PARA LA ECONOMÍA CIRCULAR
4. EC para la gestión de RESPEL: Su objetivo es realizar la verificación y seguimiento de actividades establecidas en el PGIRESPEL y su actualización. AVANCE 50%
5. Instrumentos de gobernanza para la EC: La gobernanza público-privada para generar desarrollo económico sostenible. Para esto se requiere contar con instrumentos de gestión y política ambiental de distinta naturaleza. AVANCE 65%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72%
7.  Programa ECOLECTA: Busca culturizar y promover a la ciudadanía sobre la disposición adecuada de residuos peligrosos. AVANCE  70%</t>
  </si>
  <si>
    <t>A Septiembre de 2022, la Secretaría Distrital de Ambiente controló la gestión adecuada de  12.670.715,43 ton de. residuos peligrosos, ordinarios, especialesde los cuales  10.568.122   ton corresponden a disposición adecuada  y 2.102.593,83 ton a  aprovechamiento de residuos  en el D.C.</t>
  </si>
  <si>
    <t xml:space="preserve">Para el cumplimiento de las regulaciones y control a la gestión de residuos, la Secretaría Distrital de Ambiente durante el periodo comprendido del 01 de enero al 31 de octubre del 2022, se recibieron 248 conceptos técnicos de las cuales se acogieron y generaron 237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</si>
  <si>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Octubre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</si>
  <si>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A octubre de 2022 el avance es  0,84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0,47
A octubre de 2022 se realizaron 22.835 actuaciones técnicas, Por grupos de residuos las acciones se distribuyen así:
Residuos de Construcción y Demolición RCD – obras: 3.161
Residuos hospitalarios y similares: 5.151 acciones
Residuos infecciosos y químicos Micro: 1.888 acciones
RCD - proyectos especiales de infraestructura: 1.172 acciones 
Evaluación control y seguimiento Metro: 1.443 acciones 
Residuos especiales entidades públicas: 353 acciones 
Residuos llantas usadas: 6.497 acciones 
Control y vigilancia a RESPEL: 3.170 acciones 
-Controlar la disposición adecuada de residuos especiales, peligrosos, ordinarios y de manejo diferenciado: 0,11
-Controlar el aprovechamiento de residuos especiales, peligrosos, ordinarios y de manejo diferenciado:0,099
Las actuaciones técnicas permitieron controlar 14.490.732,69  ton. De las cuales 12.166.626,72 ton aportan a la disposición adecuada y 2.324.105,97 ton a aprovechamiento.
-Reporte y consolidación  de Informe eficiencia de actuaciones técnicas y administrativas de evaluación control y seguimiento al mes de octubre de 2022: 0,056</t>
  </si>
  <si>
    <t>A Octubre de 2022, la Secretaría Distrital de Ambiente controló la gestión adecuada de  14.491.999,90 ton de residuos peligrosos, ordinarios, especialesde los cuales  12.166.626,72   ton corresponden a disposición adecuada  y 2.325.373,18 ton a  aprovechamiento de residuos  en el D.C.</t>
  </si>
  <si>
    <t>6.9  GRUPOS ETNICOS</t>
  </si>
  <si>
    <t xml:space="preserve">
01-USAQUEN</t>
  </si>
  <si>
    <t xml:space="preserve">
02-CHAPINERO</t>
  </si>
  <si>
    <t xml:space="preserve">
03-SANTA FE</t>
  </si>
  <si>
    <t xml:space="preserve">
04-SAN CRISTOBAL</t>
  </si>
  <si>
    <t xml:space="preserve">
05-USME</t>
  </si>
  <si>
    <t xml:space="preserve">
06-TUNJUELITO</t>
  </si>
  <si>
    <t xml:space="preserve">
07-BOSA  </t>
  </si>
  <si>
    <t xml:space="preserve">
08-KENNEDY</t>
  </si>
  <si>
    <t xml:space="preserve">
09-FONTIBON</t>
  </si>
  <si>
    <t xml:space="preserve">
10-ENGATIVA</t>
  </si>
  <si>
    <t xml:space="preserve">
11-SUBA</t>
  </si>
  <si>
    <t xml:space="preserve">
12-BARRIOS UNIDOS  </t>
  </si>
  <si>
    <t xml:space="preserve">
13-TEUSAQUILLO</t>
  </si>
  <si>
    <t xml:space="preserve">
14-LOS MARTIRES</t>
  </si>
  <si>
    <t xml:space="preserve">
15-ANTONIO NARIÑO  </t>
  </si>
  <si>
    <t xml:space="preserve">
16-PUENTE ARANDA</t>
  </si>
  <si>
    <t xml:space="preserve">
17-CANDELARIA</t>
  </si>
  <si>
    <t xml:space="preserve">
18-RAFAEL URIBE URIBE</t>
  </si>
  <si>
    <t>19-CIUDAD BOLIVAR</t>
  </si>
  <si>
    <t>Localidades
01-USAQUEN
02-CHAPINERO
03-SANTA FE
04-SAN CRISTOBAL
05-USME
06-TUNJUELITO
07-BOSA
08-KENNEDY
09-FONTIBON
10-ENGATIVA
11-SUBA
12-BARRIOS UNIDOS
13-TEUSAQUILLO
14-LOS MARTIRES
15-ANTONIO NARIÑO
16-PUENTE ARANDA
17-CANDELARIA
18-RAFAEL URIBE URIBE
19-CIUDAD BOLIVAR</t>
  </si>
  <si>
    <t>TODAS LAS UPZ´S DEL PERÍMETRO URBANO</t>
  </si>
  <si>
    <t>A Noviembre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</si>
  <si>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 xml:space="preserve">Para el cumplimiento de las regulaciones y control a la gestión de residuos, la Secretaría Distrital de Ambiente durante el periodo comprendido del 01 de enero al 30 de noviembre del 2022, se recibieron 279 conceptos técnicos de las cuales se acogieron y generaron 275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</si>
  <si>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noviembre de 2022 el avance es  0,92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0,52
A Noviembre de 2022 se realizaron 25.235 actuaciones técnicas, Por grupos de residuos las acciones se distribuyen así:
Residuos de Construcción y Demolición RCD – obras: 3.500
Residuos hospitalarios y similares: 5.667 acciones
Residuos infecciosos y químicos Micro: 2.213 acciones
RCD - proyectos especiales de infraestructura: 1.247 acciones 
Evaluación control y seguimiento Metro: 1.593 acciones 
Residuos especiales entidades públicas: 370 acciones 
Residuos llantas usadas: 7.161 acciones 
Control y vigilancia a RESPEL: 3.484 acciones 
-Controlar la disposición adecuada de residuos especiales, peligrosos, ordinarios y de manejo diferenciado: 0,13
-Controlar el aprovechamiento de residuos especiales, peligrosos, ordinarios y de manejo diferenciado:0,11
Las actuaciones técnicas permitieron controlar 15.823.798,05  ton. De las cuales 15.823.798,05 ton aportan a la disposición adecuada y 2.481.363,72 ton a aprovechamiento.
-Reporte y consolidación  de Informe eficiencia de actuaciones técnicas y administrativas de evaluación control y seguimiento al mes de noviembre de 2022: 0,06</t>
  </si>
  <si>
    <t>A Noviembre de 2022, la Secretaría Distrital de Ambiente controló la gestión adecuada de  15.825.105,08  ton de residuos peligrosos, ordinarios, especialesde los cuales  13342434,33 ton corresponden a disposición adecuada  y 2.482.671 ton a  aprovechamiento de residuos  en el D.C.</t>
  </si>
  <si>
    <t>EJECUTADO ACUMULADO  SEGPLAN
 AÑO 2023</t>
  </si>
  <si>
    <r>
      <t xml:space="preserve">REPROGRAMACIÓN </t>
    </r>
    <r>
      <rPr>
        <b/>
        <sz val="12"/>
        <rFont val="Arial"/>
        <family val="2"/>
      </rPr>
      <t>VIGENCIA 2023
(VALOR INICIAL)</t>
    </r>
  </si>
  <si>
    <t>5, PONDERACIÓN HORIZONTAL AÑO: 2023</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</si>
  <si>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</si>
  <si>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</si>
  <si>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</si>
  <si>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</si>
  <si>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</si>
  <si>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</si>
  <si>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</si>
  <si>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</si>
  <si>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</si>
  <si>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</si>
  <si>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</si>
  <si>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</si>
  <si>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</si>
  <si>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</si>
  <si>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</si>
  <si>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</si>
  <si>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</si>
  <si>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</si>
  <si>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</si>
  <si>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</si>
  <si>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</si>
  <si>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</si>
  <si>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</si>
  <si>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</si>
  <si>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REPROGRAMACIÓN VIGENCIA 
(VALOR INICIAL)</t>
  </si>
  <si>
    <t xml:space="preserve">Durante el periodo comprendido entre el 01 de enero al 31 de enero de 2023 no se realizaron actuaciones administrativas sancionatorias de impulso o de fondo.
Los avances en la magnitud de la meta están sujetos a la demanda de conceptos técnicos que remita el área técnica para ser acogidos jurídicamente, la cual para este mes no demando.
Para el 2022 no se atendieron jurídicamente 6 conceptos tecnicos,los cuales se constituyeron como productos de la reserva, sin embargo en el 2023 en el mes de enero se intervinieron 2 de estos conceptos </t>
  </si>
  <si>
    <t>NA</t>
  </si>
  <si>
    <t xml:space="preserve">Durante este periódo no se avanzó en el desarrollo de esta actividad </t>
  </si>
  <si>
    <t>1, 5. PROGRAMACIÓN INICIAL AÑO 2023</t>
  </si>
  <si>
    <t>Durante  el mes de enero del año 2023, la Subdirección de Recurso Hídrico y del suelo realizó control a 16.409,77 Toneladas de residuos peligrosos competencia de esta Subdirección, clasificadas de la siguiente manera:
Grandes Generadores: 14705,28 Tn
Medianos Generadores: 1549,82 Tn
Pequeños Generadores: 154,67 Tn</t>
  </si>
  <si>
    <t>A enero de 2023 se logró avanzar en el 0,028%  de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enero reportan   avance en tres actividades  así: 
-Priorización y definición de actividades y usuarios a controlar: 0,025%
Enero 2023: se avanzó en la formulación de 1 programa. El avance se relaciona con la elaboración del primer capítulo componente de la Subdirección de Recurso Hídrico y del Suelo, mediante el informe técnico No. 00306 del 23/01/2023 (2023IE13811 del 23/01/2023), en el cual se priorizaron las actividades de control a la generación de residuos peligrosos competencia de la SRHS, para el año 2023. 
-Ejecución de actuaciones técnicas y administrativas de evaluación control y seguimiento: 0,0014
A enero de 2023  se realizaron 194 actuaciones técnicas,  de control y vigilancia a RESPEL
-Controlar la disposición adecuada de residuos especiales, peligrosos, ordinarios y de manejo diferenciado: 0,0013
Las actuaciones técnicas permitieron controlar   la disposición adecuada 16409,77 ton de residuos peligrosos clasificadas de la siguiente manera:
Grandes Generadores: 14705,28 Tn
Medianos Generadores: 1549,82 Tn
Pequeños Generadores: 154,67 Tn</t>
  </si>
  <si>
    <t>88
90
97
99</t>
  </si>
  <si>
    <t>-</t>
  </si>
  <si>
    <t xml:space="preserve">35
38
</t>
  </si>
  <si>
    <t>Localidades
01-USAQUEN
02-CHAPINERO
03-SANTA FE
07-BOSA
08-KENNEDY
09-FONTIBON
10-ENGATIVA
11-SUBA
12-BARRIOS UNIDOS
13-TEUSAQUILLO
14-LOS MARTIRES
15-ANTONIO NARIÑO
16-PUENTE ARANDA
18-RAFAEL URIBE URIBE
19-CIUDAD BOLIVAR</t>
  </si>
  <si>
    <t>TODAS</t>
  </si>
  <si>
    <t xml:space="preserve">TOTAL PRESUPUESTO DE LA META
</t>
  </si>
  <si>
    <t>/SHP/TERRSEGAEMETA 3</t>
  </si>
  <si>
    <t>1
5</t>
  </si>
  <si>
    <t>1
8</t>
  </si>
  <si>
    <t>42
62</t>
  </si>
  <si>
    <t>100
101
104
106
107
109</t>
  </si>
  <si>
    <t>102
37</t>
  </si>
  <si>
    <t xml:space="preserve">36
39
53
54
55
</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</si>
  <si>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9%
PEC #2 Promoción y difusión de la adecuada gestión de residuos peligrosos y especiales en el sector residencial en el marco del proyecto “Bogotá RIE Fase I - La palabra enseña y el ejemplo moviliza” AVANCE 18%
PEC # 3 Promoción a la gestión integral de asbesto - Acuerdo 825 de 2021. AVANCE 25%
PEC # 4 Economía circular de residuos de construcción y demolición. AVANCE 12%
PEC # 5 Economía circular sector textil. AVANCE 10%
PEC # 6 Economía circular sector gastronómico y biomasa residual. AVANCE 10%
PEC # 7 Promoción a la gestión adecuada de residuos de Movilidad eléctrica - Acuerdo 811 de 2021. AVANCE 8%
PROYECTOS DE PROCESAMIENTO, PRODUCCIÓN Y DIFUSIÓN DE INFORMACIÓN DE ECONOMÍA CIRCULAR.
PEC # 9 Identificación y articulación de acciones para la promoción de estilos de vida sostenible. AVANCE 10%
PEC # 10 Promoción a la gestión integral de RESPEL. AVANCE 5%
PEC#11  Coordinación interna de actividades establecidas en el PGIRS. AVANCE 8%
PROYECTOS DE PROMOCIÓN DE APROVECHAMIENTO DE RESIDUOS PELIGROSOS, ESPECIALES Y DE MANEJO DIFERENCIADO
PEC #12 Registro y reporte de trámites de residuos - 2023 AVANCE 26%</t>
  </si>
  <si>
    <t>En el marco de las acciones de evaluación, control y seguimiento a los factores de deterioro ambiental como los son los residuos y escombros, la Secretaría Distrital de Ambiente durante el periodo comprendido entre el 01 enero al 30 de abril del año 2023, atendió el 99% de los conceptos técnicos que recomiendan una actuación administrativa sancionatoria, distribuida así:
N° de Conceptos Técnicos que recomiendan actuaciones administrativas sancionatorias: 87
N° de Conceptos Técnicos acogidos jurídicamente mediante acto administrativo: 86</t>
  </si>
  <si>
    <t>1
9
10
11
12
13
14
15
16</t>
  </si>
  <si>
    <t>49
84
85
86
87</t>
  </si>
  <si>
    <t>110
112
114
115
117
75
76
77</t>
  </si>
  <si>
    <t>105
116
26
29
30
31
72
73
74</t>
  </si>
  <si>
    <t>17
18
19
2
20
23
24
25
27
28
3
71</t>
  </si>
  <si>
    <t>103
21
22
98</t>
  </si>
  <si>
    <t>A Abril   de 2023, la Secretaría Distrital de Ambiente controló la gestión adecuada de 3.564.735,89 ton de residuos peligrosos, ordinarios, especialesde los cuales  2.761.065,74 ton corresponden a disposición adecuada  y  803.670,15  ton a  aprovechamiento de residuos  en el D.C.</t>
  </si>
  <si>
    <t>A Marzo de 2023, la Secretaría Distrital de Ambiente controló la gestión adecuada de 1.998.520,13 ton de residuos peligrosos, ordinarios, especialesde los cuales  1.551.718,69 ton corresponden a disposición adecuada  y 446.801,44 ton a  aprovechamiento de residuos  en el D.C.</t>
  </si>
  <si>
    <t>A Febrero  de 2023, la Secretaría Distrital de Ambiente controló la gestión adecuada de 532.209,06 ton de residuos peligrosos, ordinarios, especialesde los cuales  410.892 ton corresponden a disposición adecuada  y 121.137 ton a  aprovechamiento de residuos  en el D.C.</t>
  </si>
  <si>
    <t>A abril de 2023 se avanzó en el 0,32%  correspondiente a la elaboración  y comienzo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0,128%
A abril de 2023  se realizaron 5.956 actuaciones de evaluación control y seguimiento a la disposición y aprovechamiento de residuos en Bogotá así:
-Controlar la disposición adecuada de residuos especiales, peligrosos, ordinarios y de manejo diferenciado: 0,053.
Las actuaciones técnicas permitieron controlar   la disposición adecuada de  2.761.065,74 Ton de residuos peligrosos 
-Controlar el aprovechamiento de residuos especiales, peligrosos, ordinarios y de manejo diferenciado: 0,028 
 las actuaciones permitieron controla el aprovechamiento de 803.358,59 ton de residuos especiales y peligrosos generadas en el D.C. 
-Reporte y consolidación  de Informe eficiencia de actuaciones técnicas y administrativas de evaluación control y seguimiento al mes de abril  de 2023: 0,018%</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</si>
  <si>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 Recolección de residuos peligrosos especiales y de manejo diferenciado en el sector empresarial en el marco de la campaña “Reciclatón Empresarial de posconsumo, especiales, envases y empaques. AVANCE 6%
PEC #2 - Promoción y difusión de la adecuada gestión de residuos peligrosos y especiales en el sector residencial en el marco del proyecto “Bogotá RIE Fase I - La palabra enseña y el ejemplo moviliza” AVANCE 8%
PEC # 3 - Promoción a la gestión integral de asbesto - Acuerdo 825 de 2021. AVANCE 15%
PEC #4 - Economía circular de residuos de construcción y demolición. AVANCE 7%
PEC # 5 - Economía circular sector textil. AVANCE 5%
PEC # 6 - Economía circular sector gastronómico y biomasa residual. AVANCE 5%
PEC # 7- Promoción a la gestión adecuada de residuos de Movilidad eléctrica - Acuerdo 811 de 2021. AVANCE 5%
PROYECTOS DE PROCESAMIENTO, PRODUCCIÓN Y DIFUSIÓN DE INFORMACIÓN DE ECONOMÍA CIRCULAR.
PEC # 8 - Desarrollo e implementación de una app para la gestión de llantas usadas en la ciudad. AVANCE 10%
PEC # 9 - Identificación y articulación de acciones para la promoción de estilos de vida sostenible. AVANCE 5%
PEC#11 - Coordinación interna de actividades establecidas en el PGIRS. AVANCE 5%
PROYECTOS DE PROMOCIÓN DE APROVECHAMIENTO DE RESIDUOS PELIGROSOS, ESPECIALES Y DE MANEJO DIFERENCIADO
PEC #12 - Registro y reporte de trámites de residuos - 2023 AVANCE 16%</t>
  </si>
  <si>
    <t xml:space="preserve">En el marco de las acciones de evaluación, control y seguimiento a los factores de deterioro ambiental como los son los residuos y escombros, la Secretaría Distrital de Ambiente durante el periodo comprendido entre el 01 enero al 31 de marzo del año 2023, atendió el 53,5% de los conceptos técnicos que recomiendan una actuación administrativa sancionatoria, distribuida así:
N° de Conceptos Técnicos que recomiendan actuaciones administrativas sancionatorias: 43
N° de Conceptos Técnicos acogidos jurídicamente mediante acto administrativo: 23
</t>
  </si>
  <si>
    <t>A marzo de 2023 se logró avanzar en el 0,25%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0,10%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0,079%
A marzo de 2023  se realizaron 3,317 actuaciones de evaluación control y seguimiento a la disposición y aprovechamiento de residuos en Bogotá así:
RESIDUOS DE CONSTRUCCIÓN Y DEMOLICIÓN (RCD) OBRAS:605
RCD INFRAESTRUCTURA PERMISOS DE OCUPACIÓN DE CAUCE (POC) Y ESTRUCTURA ECOLÓGICA PRINCIPAL (EPP):102
METRO POC EPP:308
RESIDUOS HOSPITALARIOS :1.214
RESIDUOS INFECCIOSOS MICROGENERADORES:459
ENTIDADES PÚBLICAS:52
LLANTAS USADAS: 277
RESPEL:300
-Controlar la disposición adecuada de residuos especiales, peligrosos, ordinarios y de manejo diferenciado: 0,043.
Las actuaciones técnicas permitieron controlar   la disposición adecuada  1.551.718,69 ton de residuos peligrosos clasificadas de la siguiente manera:
-Reporte y consolidación  de Informe eficiencia de actuaciones técnicas y administrativas de evaluación control y seguimiento al mes de marzo de 2023: 0,012%</t>
  </si>
  <si>
    <t>Para el año 2023 se establecieron y priorizaron 12 proyectos de economía circular enfocados principalmente en tres temáticas especificas. Durante el mes de febrero se realizaron acciones  en CINCO proyectos de economía circular (PEC). 
1. Proyectos de articulación de actores de la de red economía circular 
Reporte de cantidades gestionadas de Residuos de Aparatos Eléctricos y Electrónicos, generados por el sector residencial, recolectados por medio de los puntos de recolección establecidos por medio del programa ECOLECTA de la SDA en la ciudad. En el cual se reporto un total de 2,62 Toneladas
2. Proyectos de procesamiento, producción y difusión de información de economía circular
Se realizaron 2 reuniones con gestores llantas usadas a nivel distrital y regional, con el fin de establecer aaciones de articulación para la valorización de llantas usadas, teniendo en cuenta la problemática de generacion de llantas en la ciudad.
 Se avanza en la implemntacion de metodología para el manejo de información relacionada con la gestión de residuos de construcción y demolición (RCD)  
Se avanza en la solicitud de información para la elaboración del reporte de las actividades que son responsabilidad de la Secretaría Distrital de Ambiente en el Plan de Gestión Integral de Residuos Sólidos adoptado mediante Decreto 345 del 30 de diciembre de 2020. Por medio del radicado 2023IE40010. 
3. Proyectos de promoción de aprovechamiento de residuos peligrosos, especiales y de manejo diferenciado.
Se atendieron 12 solicitudes de aceite vegetal usado, se avanzo en la verificación de 964 reportes, de acuerdo a esa revisión se reporta un total de 146,16 toneladas de aceite vegetal usado gestionado. En cuanto al registro de acopiadores de llantas se atendieron 6 solitudes.</t>
  </si>
  <si>
    <t>Durante el periodo comprendido entre el 01 de enero al 28 de febrero de 2023 no se realizaron actuaciones administrativas sancionatorias de impulso o de fondo. .
Los avances en la magnitud de la meta están sujetos a la demanda de conceptos técnicos que remita el área técnica para ser acogidos jurídicamente, la cual para este mes no demando.</t>
  </si>
  <si>
    <t>A febrero de 2023 se logró avanzar en el 0,17%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0,025%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0,029%
A febrero de 2023  se realizaron 1.252 actuaciones de evaluación control y seguimiento a la disposición y aprovechamiento de residuos en Bogotá así:
RESIDUOS DE CONSTRUCCIÓN Y DEMOLICIÓN (RCD) OBRAS:323
RCD INFRAESTRUCTURA PERMISOS DE OCUPACIÓN DE CAUCE (POC) Y ESTRUCTURA ECOLÓGICA PRINCIPAL (EPP):16
RESIDUOS HOSPITALARIOS :719
RESPEL:194
-Controlar la disposición adecuada de residuos especiales, peligrosos, ordinarios y de manejo diferenciado: 0,035.
Las actuaciones técnicas permitieron controlar   la disposición adecuada   410.892 ton de residuos peligrosos clasificadas de la siguiente manera:
Asi mismo las actuaciones permitieron controla el aprovechamiento de 121.167,88 toneladas de residuos especiales y peligrosos generadas en el Distrito Capital, acorde con los siguientes tipos de residuos:
-Reporte y consolidación  de Informe eficiencia de actuaciones técnicas y administrativas de evaluación control y seguimiento al mes de febrero de 2023: 0,006%</t>
  </si>
  <si>
    <t>Durante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t>
  </si>
  <si>
    <t xml:space="preserve">A enero de 2023 se avanzó en la estructuración del "Programa de actividades de evaluación, control y seguimiento ambiental encaminadas a la adecuada disposición y aprovechamiento de residuos en Bogotá" </t>
  </si>
  <si>
    <t>OBLIGACIÓN  / GIRO</t>
  </si>
  <si>
    <t>Se avanzó en la elaboración del  Primer instrumento técnico: Programa de actividades de evaluación, control y seguimiento ambiental encaminadas a la adecuada disposición y aprovechamiento de residuos en Bogotá.</t>
  </si>
  <si>
    <t>Se avanzó en la elaboración del segundo instrumento técnico Informe técnico eficiencia e Implementación del programa de actividades de evaluación, control y seguimiento ambiental encaminadas a la adecuada disposición y aprovechamiento de residuos en Bogotá.</t>
  </si>
  <si>
    <t>Se terminó segundo instrumento técnico Informe técnico eficiencia e Implementación del programa de actividades de evaluación, control y seguimiento ambiental encaminadas a la adecuada disposición y aprovechamiento de residuos en Bogotá.</t>
  </si>
  <si>
    <t>A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
A marzo de 2023, se avanza en 25%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</si>
  <si>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Marzo de 2023 se estructuró y formuló el  "Programa de actividades de evaluación, control y seguimiento ambiental encaminadas a la adecuada disposición y aprovechamiento de residuos en Bogotá" Informe Tecnico No. 01158, 02 de marzo del 2023
A abril de 2023, se avanza en 32%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</si>
  <si>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En enero de 2021  con recursos de reserva 2020 la Subdirección de Control Ambiental al Sector Público (SCASP) y la Subdirección del Recurso Hídrico y del Suelo (SRHS) con el objeto de proyectar el cumplimiento de la meta Plan de Desarrollo establecida para la vigencia 2021, realizaron la formulación preliminar del PROGRAMA  DE ACTIVIDADES DE EVALUACIÓN, CONTROL Y SEGUIMIENTO AMBIENTAL A LA ADECUADA DISPOSICIÓN Y APROVECHAMIENTO DE RESIDUOS EN BOGOTÁ en el cual se describe la priorización, planificación y ejecución de las actuaciones técnico administrativas programadas para la vigencia 2021.
En febrero  de 2021  se aprobó la formulación del programa en mención según Informe técnico Número No 00185 del 3 de febrero de 2021  y se inició  su implementación por lo cual se realizaron actividades de evaluación, control y seguimiento que permitieron controlar la disposición adecuada de 1.447.134,15 t de residuos peligrosos, ordinarios, especiales y/o de manejo diferenciado así: 
La SCASP  controló la disposición  de 1.445.738,12 t y  el aprovechamiento de 276.259,65 t de residuos  con la realización de  2.523  Actuaciones técnicas así:
RESIDUOS DE CONSTRUCCIÓN Y DEMOLICIÓN RCD – OBRAS:   897 acciones, (163 aportan al control de  toneladas dispuestas y  a las toneladas aprovechadas)
RESIDUOS HOSPITALARIOS Y SIMILARES: 493 acciones ( 215 aportan al control de toneladas dispuestas y aprovechadas)
RCD – INFRAESTRUCTURA Y PROYECTOS ESPECIALES DE INFRAESTRUCTURA Y ESTRUCTURA ECOLÓGICA PRINCIPAL. 185 acciones  (23  aportan al control de toneladas dispuestas y  a toneladas aprovechadas)
CONTROL AMBIENTAL A ENTIDADES PÚBLICAS: 28 acciones (3 aportan al control de toneladas dispuestas y a toneladas aprovechadas.)
CONTROL AMBIENTAL MANEJO RESIDUOS LLANTAS USADAS: 920 acciones ( 870 aportan toneladas aprovechadas) 
La SRHS, controló la disposición de 1396.03 t de residuos peligrosos así:
Grandes Generadores: 1200.85 t
Medianos Generadores: 188.97 t
Pequeños Generadores: 6.21 t</t>
  </si>
  <si>
    <t xml:space="preserve">Para el cumplimiento de las regulaciones y control a la gestión de residuos, la Secretaría Distrital de Ambiente durante los meses de enero y febrero del año 2021 atendió el 100% de los conceptos técnicos que recomiendan una actuación administrativa sancionatoria y el 0,72 % de magnitud física pendiente por atender de la vigencia 2020, distribuida así:
Vigencia: 
Febrero 2021: 
N° de Conceptos Técnicos que recomiendan actuaciones administrativas sancionatorias: 14
N° de Conceptos Técnicos atendidos jurídicamente: 14
Reserva: 
N° de Conceptos Técnicos que recomiendan actuaciones administrativas sancionatorias pendientes vigencia 2020: 12
N° de Conceptos Técnicos atendidos jurídicamente pendientes vigencia 2021: 12
Total, avance magnitud vigencia 2021: 4.08 % 
Total, avance magnitud reserva 2020: 0,74 % 
Por último, es importante tener presente que los avances en la magnitud de la meta están sujetos a la demanda de conceptos técnicos que remitan las áreas para ser acogidos jurídicamente; por lo tanto, el porcentaje de la magnitud programada se subdivide en proporciones de 2.08% (enero-diciembre) y sobre este porcentaje se medirán los avances mensuales.   </t>
  </si>
  <si>
    <t xml:space="preserve">Las actividades desarrolladas durante enero de 2021 se financiaron con los recursos de la reserva y el avance se establecerá una vez se inicie la ejecución de los trece proyectos programados con recursos de la vigencia. Se relacionan las actividades adelantadas durante los meses de enero y febrero como parte de los 6 proyectos:
Proyecto 1. Programa ECOLECTA: Actualización de 85 puntos en el visor GEO; se cuenta a la fecha con un total de 1.125 puntos activos.
Proyecto 2, Articulación con la ciudadanía para la gestión de residuos en propiedad horizontal: Se realizaron 2 capacitación con un total de 27 asistentes se hizo entrega de 6 contenedores en loc. Barrios Unidos.
Proyecto 3. Dinamización de la red de economía circular: Se realiza reunión con los programas posconsumo con el fin de conocer actividades de gestión 2021. Lumina Recopila, Grupo retorna, Programa posconsumo Ecocomputo. Se realiza reunión con UAESP con el fin de articular actividades programa ECOLECTA. Se realiza reunión con el Ministerio de Ambiente con el fin de dar a conocer la implementación del registro de empresas transformadoras de envases y empaques establecida en la Resolución 1342 de 2020.
Proyecto 4. Información y capacitación en consumo responsable para el manejo de residuos. Se realizó una capacitación dirigida al gremio de los taxistas como se deben disponer los residuos de manejo diferenciado. 16 personas. Se realizo capacitación en compañía OPEL (SDA) Programas posconsumo 24 personas capacitas. 
Proyecto 5. Operación y seguimiento del registro de Aceite Vegetal Usado. Total, de aceite vegetal usado reportado durante el mes de febrero año 2021, es de 205,84 T. 
Proyecto 6. Operación y seguimiento al registro de acopiadores de llantas usadas. Se recibieron 9 solicitudes de registros de acopiadores de llantas, Y del registro de aceite vegetal usado se recibieron 43 solicitudes. </t>
  </si>
  <si>
    <t>En enero de 2021, con recursos de reserva se realizó la formulación del programa para la vigencia 2021.
En febrero de 2021 se aprobó la formulación del programa según Informe técnico  No 00185 del 3/02/2021 y se inició su implementación, gracias a lo cual se ha logrado la disposición a marzo de 2021 de 1.848.562,81 ton de residuos peligrosos, ordinarios, especiales y/o de manejo diferenciado y el aprovechamiento de 360.152,01 ton de residuos, asociadas con 3169 acciones que se distribuyeron así: 
Residuos de Construcción y Demolición RCD – Obras:   1082 acciones, (223 aportan al control de toneladas dispuestas y a las toneladas aprovechadas)
Residuos hospitalarios y similares: 768 acciones (262 aportan al control de toneladas dispuestas y aprovechadas)
RCD – Infraestructura y proyectos especiales de infraestructura y estructura ecológica principal: 185 acciones (24 aportan al control de toneladas dispuestas y a toneladas aprovechadas)
Control ambiental a entidades públicas: 65 acciones (8 aportan al control de toneladas dispuestas y 15 a toneladas aprovechadas.)
Control ambiental manejo residuos llantas usadas: 1069 acciones (384 aportan toneladas aprovechadas) 
Durante el primer trimestre de 2021 realizó el control a 3.201.79 ton de residuos peligrosos (RESPEL), asociadas con la realización de 208 actividades en cumplimiento al Programa de Control así:
Inscripción como acopiador primario de aceite usado: 29
Registros generadores de RESPEL: 51
 Registro en el Inventario Nacional de PCB: 3
Seguimiento a movilizadores de aceite usado: 1
Evaluación Solicitudes de Movilizador de aceite usado: 1
Atención a quejas y derechos de petición: 100
Validación de Planes de Contingencia: 23
Se aclara que el porcentaje de avance, del 21% en esta meta, se da en relación a controlar la disposición y aprovechamiento adecuado de 10.500.000  ton de residuos peligrosos.</t>
  </si>
  <si>
    <t>Para el cumplimiento de las regulaciones y control a la gestión de residuos, la Secretaría Distrital de Ambiente durante el primer trimestre del año 2021 atendió el 100% de los conceptos técnicos que recomiendan una actuación administrativa sancionatoria y el 0,72 % de magnitud física pendiente por atender de la vigencia 2020, distribuida así:
Vigencia: 
Primer Trimestre 2021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Total, avance magnitud vigencia 2021: 6.24 % 
Total, avance magnitud reserva 2020: 0,72 % 
Por último, es importante tener presente que el porcentaje de la magnitud programada se subdivide en proporciones de 2.08% (enero-diciembre) y sobre este porcentaje se medirán los avances mensuales.</t>
  </si>
  <si>
    <t xml:space="preserve">Durante el primer trimestre de 2021 se realizaron  actividades como parte del desarrollo de 6 proyectos de economia circular así:
Proyecto 1. Programa ECOLECTA: Actualización de 88 puntos en el visor GEO;  se cuenta a la fecha con un total de 1.125 puntos activos y 4,67 ton de Residuos de Aparatos Eléctricos y Electrónicos (RAEE) gestionados.
Proyecto 2. Articulación con la ciudadanía para la gestión de residuos en propiedad horizontal:   3 capacitaciones - 27 asistentes y entrega de 1 contenedor en la EMPRESA DE ACUEDUCTO DE BOGOTA. 
Proyecto 3. Dinamización de la red de economía circular: 
7 Reuniones de articulación con Fenalco, ACODRES, IPES, UAESP y Secretaría Distrital de Ambiente  con el objeto de obtener información  de insumos para estructurar  modelos de gestión basados en económia circular de las corrientes priorizadas de biomasa residual (residuos orgánicos), residuos de construcción y demolición (RCD), residuos sector textil. 
1 reunión con los programas posconsumo de Lumina Recopila, Grupo retorna, Ecocomputo (conocer actividades de gestión 2021). 
1 reunión con UAESP (articular actividades programa ECOLECTA)
1 reunión con el Ministerio de Ambiente  (conocer la implementación del registro de empresas transformadoras de envases y empaques según la Resolución 1342 de 2020).
Proyecto 4. Información y capacitación en consumo responsable para el manejo de residuos así:  
 Alcaldia Local de Suba (generalidad y normatividad de los residuos peligrosos y especiales -107 personas ) 
Gremio de taxistas (estilos de vida sostenible 90 personas )  
Programas posconsumo - disposición de residuos de manejo diferenciado - 40 personas 
Proyecto 5. Operación y seguimiento del registro de Aceite Vegetal Usado:  Revisión de 1127 reportes de 867 certificados de disposición final  con un  total acumulado de 299,26 ton.
Proyecto 6. Operación y seguimiento al registro de acopiadores de llantas usadas:  Se recibieron 25 solicitudes de registros de acopiadores de llantas. </t>
  </si>
  <si>
    <t xml:space="preserve">A abril de 2021 se reporta un avance  del 0,32  establecido con la ponderación de cada actividad definida en el programa así: 
-Priorización y definición de actividades y usuarios a controlar. 0,1
En enero de 2021, con recursos de reserva se realizó la formulación del programa para el año 2021.
En febrero de 2021 se aprobó la formulación del programa con Informe técnico No 00185 del 3/02/2021 y se inició su implementación.
-Ejecución de Actuaciones Técnicas y administrativas de evaluación control y seguimiento.  0,13
A abril de 2021  se han realizado 5.247 actuaciones técnicas de evaluación, control y seguimiento encaminadas a la adecuada disposición y aprovechamiento de residuos en Bogotá así:
Residuos de Construcción y Demolición RCD – Obras:   1.327 acciones, (244 aportan al control de ton dispuestas y 166 a las ton aprovechadas)
Residuos hospitalarios y similares: 801 acciones (309 aportan a ton dispuestas y aprovechadas)
RCD – Infraestructura y proyectos especiales de infraestructura y estructura ecológica principal: 306 acciones (26 aportan a  ton dispuestas y  aprovechadas)
Residuos especiales entidades públicas: 86 acciones (15 aportan a ton dispuestas y 22 a ton aprovechadas)
Residuos llantas usadas: 1.748 acciones (422 aportan ton aprovechadas) 
Control y vigilancia A respel: 979 actuaciones (112 aportan al control de ton dispuestas)
-Controlar la disposición adecuada de residuos especiales, peligrosos, ordinarios y de manejo diferenciado.  0,036
-Controlar el aprovechamiento de residuos especiales, peligrosos, ordinarios y de manejo diferenciado. 0,031
Las actuaciones técnicas realizadas permitieron controlar 2.991.493,83  ton. de las cuales   2.440.420,97 ton corresponden a la disposición adecuada  y  551.072,86 ton al aprovechamiento de residuos peligrosos, ordinarios, especiales y/o de manejo diferenciado.
-Reporte y consolidación de Informe eficiencia de Actuaciones Técnicas y administrativas de evaluación control y seguimiento 0,018
</t>
  </si>
  <si>
    <t>Para el cumplimiento de las regulaciones y control a la gestión de residuos, la Secretaría Distrital de Ambiente durante los meses comprendidos entre enero a abril del año 2021, ha atendido el 65,78%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Total, avance magnitud vigencia 2021: 7,6% 
Total, avance magnitud reserva 2020: 0,72 % 
Por último, es importante tener presente que el porcentaje de la magnitud programada se subdivide en proporciones de 2.08% (enero-diciembre) y sobre este porcentaje se medirán los avances mensuales.</t>
  </si>
  <si>
    <t xml:space="preserve">A abril de 2021 se ha inciado e implementado 8 proyectos de economía circular a continuación se presentan los avances: 
Proyecto 1. Programa ECOLECTA: Actualización de 88 puntos en el visor GEO;  1.125 puntos activos y se han recolectado y gestionado 7,14 ton de Residuos de Aparatos Eléctricos y Electrónicos RAEE.
Proyecto 2. Articulación con la ciudadanía para la gestión de residuos en propiedad horizontal:   40 personas sensibilizadas, 5 capacitaciones, 7 conjuntos residenciales sensibilizados y 4 contenedores instalados. 
Proyecto 3. Dinamización de la red de economía circular: 
 19 Reuniones con:  Fenalco, ACODRES, IPES, UAESP: estructurar  modelos de gestión basados en económica circular de las corrientes de biomasa residual (residuos orgánicos), residuos de construcción y demolición (RCD), residuos sector textil.
Elaboración de 2 Modelos de gestión de los materiales priorizados bajo el esquema de economía circular.
1 Reunión con Ministerio de Ambiente establecer la implementación del registro de empresas transformadoras de envases y empaques
31 interacciones empresariales en BOLSA DE RESIDUOS Y SUBPRODUCTOS INDUSTRIALIZABLES BORSI
Proyecto 4. Capacitación en consumo responsable para el manejo de residuos:  
 Crecimiento Verde:  515 personas en acciones de economía circular. 
 Unidad Administrativa Especial de Servicios Públicos:  implementación de puntos de recolección de residuos posconsumo,  seguimiento a 12 puntos 
Proyecto 5. Operación y seguimiento del registro de Aceite Vegetal Usado AVU: 146 registros atendidos, revisión de 2155 y reporte de 315,25 ton de AVU gestionados.
Proyecto 6 y 7 Operación y seguimiento al registro de acopiadores de llantas usadas:  55 solicitudes 
Proyecto 8 . Se concertó el plan de acción de la mesa distrital  proyectos del PGIRP vigente y el plan de actualización
Número de registro de envases y empaques recibidos 17, número de registros aprobados 9 y 10 solicitudes de apoyo. </t>
  </si>
  <si>
    <t>A agosto de 2021 se reporta un avance del 0,67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0,37
A julio de 2021 se realizaron 13.338 actuaciones técnicas, de las cuales 1.093 aportan a disposición adecuada, 1.407 a ton aprovechadas y 8.845 hacen parte de acciones de seguimiento al cumplimiento de la normatividad ambiental relacionada con residuos así: 
Residuos de Construcción y Demolición RCD – obras: 2.197 acciones (479 aportan al control de ton dispuestas y 316 a ton aprovechadas)
Residuos hospitalarios y similares: 3.143 acciones (479 aportan a ton dispuestas y 410 a ton aprovechadas)
RCD - proyectos especiales de infraestructura: 694 acciones (69 aportan a ton dispuestas y 53 a aprovechadas)
Residuos especiales entidades públicas: 212 acciones (29 aportan a ton dispuestas y 65 a ton aprovechadas)
Residuos llantas usadas: 3.708 acciones (824 aportan a ton aprovechadas) 
Control y vigilancia a RESPEL: 3.384 acciones (243 aportan a ton dispuestas)
-Controlar la disposición adecuada de residuos especiales, peligrosos, ordinarios y de manejo diferenciado: 0,077
-Controlar el aprovechamiento de residuos especiales, peligrosos, ordinarios y de manejo diferenciado: 0,078
Las actuaciones técnicas permitieron controlar 6.824.779,15 ton. De las cuales 5.456.609,62 ton aportan a la disposición adecuada y 1.368.169,53  ton al aprovechamiento de residuos peligrosos, ordinarios, especiales y/o de manejo diferenciado.
-Reporte y consolidación a agosto de 2021 de Informe eficiencia de actuaciones técnicas y administrativas de evaluación control y seguimiento: 0,046.</t>
  </si>
  <si>
    <t xml:space="preserve">Para el cumplimiento de las regulaciones y control a la gestión de residuos, la Secretaría Distrital de Ambiente durante los meses comprendidos entre enero a agosto del año 2021, ha atendido el 91,78%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Agosto: 
N° de Conceptos Técnicos que recomiendan actuaciones administrativas sancionatorias:1
N° de Conceptos Técnicos atendidos jurídicamente: 1
N° de Conceptos Técnicos atendidos jurídicamente pendiente julio:1
Total, avance magnitud vigencia 2021: 15,27% 
Total, avance magnitud reserva 2020: 0,72 % 
 </t>
  </si>
  <si>
    <t>A agosto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75% 
Articulación de la ciudadanía para la gestión de residuos en propiedad horizontal busca evitar la gestión inadecuada de aceites usados en el sector residencial evitando taponamiento de tuberías y fuentes hídricas. Avance: 66,6 %
Red de economía circular: Busca disminuir la deficiencia en el flujo de información sobre los productos, servicios, procesos productivos y normatividad, relacionados con la producción y el consumo Sostenible. Avance: 66,6%
Caja de herramientas:  Su fin es culturizar y promover la disposición adecuada de residuos peligrosos. Avance: 62%
Capacitación para el crecimiento verde:  Fortalece el capital humano para la transición hacia el crecimiento verde, uno de los temas relevantes es el manejo responsable de los materiales y residuos en los actores de la cadena de valor. Avance: 68%
Actualización y desarrollo del plan de gestión integral de residuos peligroso PGIRP de Bogotá: Su objetivo es la actualización de un plan actualizado. Avance: 64%
Operación al registro de Aceite Vegetal Usado Inadecuada evita la inadecuada disposición de este residuo. Avance: 66%
Operación al registro acopiadores de llantas usadas: Busca atender los inconvenientes por la inadecuada disposición de este residuo. Avance: 66%
Difusión e información sobre economía circular. Avance: 35%
Promover el consumo responsable: busca promover estilos de consumo sostenibles. Avance: 63%
Activación 12.21 30 %</t>
  </si>
  <si>
    <t>A octubre de 2021 se reporta un avance del 0,83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0,48
A octubre de 2021 se realizaron 16.683 actuaciones técnicas, de las cuales 1.908 aportan a disposición adecuada, 2.329 a ton aprovechadas y 12.446 hacen parte de acciones de seguimiento al cumplimiento de la normatividad ambiental relacionada con residuos así: 
Residuos de Construcción y Demolición RCD – obras: 2.866 acciones (668 aportan al control de ton dispuestas y 422 a ton aprovechadas)
Residuos hospitalarios y similares: 3.785 acciones (810 aportan a ton dispuestas y 675 a ton aprovechadas)
RCD - proyectos especiales de infraestructura: 856 acciones (82 aportan a ton dispuestas y 60 a aprovechadas)
Residuos especiales entidades públicas: 247 acciones (31 aportan a ton dispuestas y 69 a ton aprovechadas)
Residuos llantas usadas: 4.941 acciones (1103 aportan a ton aprovechadas) 
Control y vigilancia a RESPEL: 3.988 acciones (317 aportan a ton dispuestas)
-Controlar la disposición adecuada de residuos especiales, peligrosos, ordinarios y de manejo diferenciado: 0,098
-Controlar el aprovechamiento de residuos especiales, peligrosos, ordinarios y de manejo diferenciado: 0,097
Las actuaciones técnicas permitieron controlar 8.840.579,11 ton. De las cuales 7.138.781,73 ton aportan a la disposición adecuada y 1.701.797,38 ton al aprovechamiento de residuos peligrosos, ordinarios, especiales y/o de manejo diferenciado.
-Reporte y consolidación a eficiencia de 2021 de Informe eficiencia de actuaciones técnicas y administrativas de evaluación control y seguimiento: 0,059.</t>
  </si>
  <si>
    <t xml:space="preserve">Para el cumplimiento de las regulaciones y control a la gestión de residuos, la Secretaría Distrital de Ambiente durante los meses comprendidos entre enero a octubre del año 2021, ha atendido el 94% de los conceptos técnicos representados en la atención de 92 actos administrativos y el 0,72 % de magnitud física pendiente por atender de la vigencia 2020, distribuida así:
Vigencia: 
N° de Conceptos Técnicos que recomiendan actuaciones administrativas sancionatorias: 98
N° de Conceptos Técnicos atendidos jurídicamente: 92
Reserva: 
N° de Conceptos Técnicos que recomiendan actuaciones administrativas sancionatorias pendientes vigencia 2020: 12
N° de Conceptos Técnicos atendidos jurídicamente pendientes de la vigencia 2020: 12
Total, avance magnitud vigencia 2021: 19,05% 
Total, avance magnitud reserva 2020: 0,72 % 
Por último, es importante tener presente que el porcentaje de la magnitud programada se subdivide en proporciones de 2.08% (enero-diciembre) y sobre este porcentaje se medirán los avances mensuales.
 </t>
  </si>
  <si>
    <t>A octubre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62%.
Ecolecta (Permanente) busca culturizar y promover a la ciudadanía sobre la disposición adecuada de residuos peligrosos. Avance: 80% 
Articulación de la ciudadanía para la gestión de residuos en propiedad horizontal busca evitar la gestión inadecuada de aceites usados en el sector residencial evitando taponamiento de tuberías y fuentes hídricas. Avance: 79%
Red de economía circular: Busca disminuir la deficiencia en el flujo de información sobre los productos, servicios, procesos productivos y normatividad, relacionados con la producción y el consumo Sostenible. Avance: 77%
Caja de herramientas:  Su fin es culturizar y promover la disposición adecuada de residuos peligrosos. Avance: 80%
Capacitación para el crecimiento verde:  Fortalece el capital humano para la transición hacia el crecimiento verde, uno de los temas relevantes es el manejo responsable de los materiales y residuos en los actores de la cadena de valor. Avance: 78%
Actualización y desarrollo del plan de gestión integral de residuos peligroso PGIRP de Bogotá: Su objetivo es la actualización de un plan actualizado. Avance: 75%
Operación al registro de Aceite Vegetal Usado Inadecuada evita la inadecuada disposición de este residuo. Avance: 77%
Operación al registro acopiadores de llantas usadas: Busca atender los inconvenientes por la inadecuada disposición de este residuo. Avance: 76%
Difusión e información sobre economía circular. Avance: 65%
Promover el consumo responsable: busca promover estilos de consumo sostenibles. Avance: 66 %
Activación 12.21:   62 %</t>
  </si>
  <si>
    <t>A diciembre de 2021 se logra el cumplimiento del 100%  de la meta, así: 
-Priorización y definición de actividades y usuarios a controlar: 0,1
Enero 2021: con recursos de reserva se realizó la formulación de 1 (un)  programa (informe técnico No 00185 del 3/02/2021) y se realizó su implementación con las siguientes actividades:
-Ejecución de actuaciones técnicas y administrativas de evaluación control y seguimiento: 0,58
A diciembre de 2021 se realizaron 20.142 actuaciones técnicas, de las cuales 2.348 aportan a disposición adecuada, 3.031 a ton aprovechadas y 14.763 hacen parte de acciones de seguimiento al cumplimiento de la normatividad ambiental relacionada con residuos. Por grupos de residuos las acciones se distribuyen así: 
Residuos de Construcción y Demolición RCD – obras: 3.483 acciones (776 aportan al control de ton dispuestas y 479 a ton aprovechadas)
Residuos hospitalarios y similares: 4.572 acciones (1.096 aportan a ton dispuestas y 937 a ton aprovechadas)
RCD - proyectos especiales de infraestructura: 987 acciones (96 aportan a ton dispuestas y 68 a aprovechadas)
Residuos especiales entidades públicas: 289 acciones (32 aportan a ton dispuestas y 70 a ton aprovechada
Residuos llantas usadas: 6.254 acciones (1.477 aportan a ton aprovechadas) 
Control y vigilancia a RESPEL: 4.557 acciones (348 aportan a ton dispuestas)
-Controlar la disposición adecuada de residuos especiales, peligrosos, ordinarios y de manejo diferenciado: 0,13
-Controlar el aprovechamiento de residuos especiales, peligrosos, ordinarios y de manejo diferenciado: 0,12
Las actuaciones técnicas permitieron controlar  10.602.822,16  ton. De las cuales 8.466.949,41 ton aportan a la disposición adecuada y 2.135.872,75  ton al aprovechamiento de residuos peligrosos, ordinarios, especiales y/o de manejo diferenciado.
-Reporte y consolidación a eficiencia de 2021 de Informe eficiencia de actuaciones técnicas y administrativas de evaluación control y seguimiento: 0,07</t>
  </si>
  <si>
    <t xml:space="preserve">Para el cumplimiento de las regulaciones y control a la gestión de residuos, la Secretaría Distrital de Ambiente durante lo corrido de la vigencia 2021, se logró atender  el 99,1% de los conceptos técnicos, equivalente a un cumplimiento del 24,82% sobre la magnitud programada para la vigencia y representados en 122 actos administrativos de caracter sancionatorio y el 0,72 % de magnitud física pendiente por atender de la vigencia 2020, distribuida así:
Vigencia: 
N° de Conceptos Técnicos que recomiendan actuaciones administrativas sancionatorias: 123
N° de Conceptos Técnicos atendidos jurídicamente: 122
Reserva: 
N° de Conceptos Técnicos que recomiendan actuaciones administrativas sancionatorias pendientes vigencia 2020: 12
N° de Conceptos Técnicos atendidos jurídicamente pendientes de la vigencia 2020: 12
Total, avance magnitud vigencia 2021: 24,82% </t>
  </si>
  <si>
    <t>A diciembre de 2021 se cumplió con el 100 % de actividades programadas para cada uno de los proyectos de economia circular y se presentan los avances en los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100% 
Articulación de la ciudadanía para la gestión de residuos en propiedad horizontal busca evitar la gestión inadecuada de aceites usados en el sector residencial evitando taponamiento de tuberías y fuentes hídricas. Avance: 100%
Red de economía circular: Busca disminuir la deficiencia en el flujo de información sobre los productos, servicios, procesos productivos y normatividad, relacionados con la producción y el consumo Sostenible. Avance: 100%
Caja de herramientas:  Su fin es culturizar y promover la disposición adecuada de residuos peligrosos. Avance: 100%
Capacitación para el crecimiento verde:  Fortalece el capital humano para la transición hacia el crecimiento verde, uno de los temas relevantes es el manejo responsable de los materiales y residuos en los actores de la cadena de valor. Avance: 100%
Actualización y desarrollo del plan de gestión integral de residuos peligroso PGIRP de Bogotá: Su objetivo es la actualización de un plan actualizado. Avance: 100%
Operación al registro de Aceite Vegetal Usado Inadecuada evita la inadecuada disposición de este residuo. Avance: 100%
Operación al registro acopiadores de llantas usadas: Busca atender los inconvenientes por la inadecuada disposición de este residuo. Avance: 100%
Difusión e información sobre economía circular. Avance: 100%
Promover el consumo responsable: busca promover estilos de consumo sostenibles. Avance: 100%
Activación 12.21 100%
Incentivar los estilos de vida Sostenible  Participación en la mesa nacional de EVS y actividades de articulación interinstitucional sobre EVS 100%</t>
  </si>
  <si>
    <t>A diciembre de 2022 se logró alcanzar la implementación de  1 programa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0,58
A diciembre de 2022 se realizaron 27.085 actuaciones técnicas, Por tipos de residuos las acciones se distribuyen así:
Residuos de Construcción y Demolición RCD – obras: 3.659
Residuos hospitalarios y similares: 6.028 acciones
Residuos infecciosos y químicos Micro: 2.748 acciones
RCD - proyectos especiales de infraestructura: 1.313 acciones 
Evaluación control y seguimiento Metro: 1.691 acciones 
Residuos especiales entidades públicas: 385 acciones 
Residuos llantas usadas: 7.411 acciones 
Control y vigilancia a RESPEL: 3.850 acciones 
-Controlar la disposición adecuada de residuos especiales, peligrosos, ordinarios y de manejo diferenciado: 0,13
-Controlar el aprovechamiento de residuos especiales, peligrosos, ordinarios y de manejo diferenciado:0,12
Las actuaciones técnicas permitieron controlar  16.759.063,97  ton. De las cuales 13.651.068,64 ton aportan a la disposición adecuada y 3.107.995,33 ton a aprovechamiento.
-Reporte y consolidación  de Informe eficiencia de actuaciones técnicas y administrativas de evaluación control y seguimiento al mes de diciembre de 2022: 0,07</t>
  </si>
  <si>
    <t xml:space="preserve">Para el cumplimiento de las regulaciones y control a la gestión de residuos, la Secretaría Distrital de Ambiente durante el periodo comprendido del 01 de enero al 31 de diciembre del 2022, se recibieron 323 conceptos técnicos de las cuales se acogieron y generaron 317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</si>
  <si>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 xml:space="preserve">A diciembre de 2022 se realizaron actividades de gestión que permitieron la implementación al 100% de 10 proyectos de economía circular así:
1.	Reciclaton Empresarial: Busca disminuir la disposición inadecuada de residuos peligrosos generados por las empresas públicas y privadas. 
2.	Ciudadanía con Estilo Verde: Fortalece el capital humano para la transición hacia el crecimiento verde, impulsando el  manejo responsable de los materiales y residuos en los actores de la cadena de valor.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4. 	Gestión de residuos posconsumo en instituciones educativas rurales: Busca dar cumplimiento a las estrategias de conservación promovidas por la SDA conforme con su competencia en conjunto y participación con diferentes actores públicos, privados, institucionales y comunitarios 
5. 	Proyecto de participación ciencia, tecnología e innovación: hoja de ruta para avanzar en la gestión del asbesto instalado en el mediano y largo plazo. 
6.	EC para la gestión de RESPEL: Su objetivo es realizar la verificación y seguimiento de actividades establecidas en el PGIRESPEL y su actualización. 
7.	Instrumentos de gobernanza para la EC: La gobernanza público-privada para generar desarrollo económico sostenible. 
8.	Registro y reporte de trámite de registro: Verificación y seguimiento a tramites de registro de aceite vegetal usado, registro de acopiadores de llantas y registro de empresas transformadoras de envases y empaques. 
9. 	Programa ECOLECTA: Busca culturizar y promover a la ciudadanía sobre la disposición adecuada de residuos peligrosos. 
10. 	Promoción del registro y reporte de Aceites Vegetales Usados en plazas de mercado distritales a través articulación con el IPES </t>
  </si>
  <si>
    <t>A Diciembre  de 2022, la Secretaría Distrital de Ambiente controló la gestión adecuada de  16.760.475,97 ton de residuos peligrosos, ordinarios, especialesde los cuales  13.651.068,64 ton corresponden a disposición adecuada  y 3109407,33  ton a  aprovechamiento de residuos  en el D.C.</t>
  </si>
  <si>
    <t>Se incluyen   columnas con nuevos patrones de medición en los omponentes de Gestión e Inversión</t>
  </si>
  <si>
    <t>Radicado No. 2021IE106063 del 31 de mayo del 2021.</t>
  </si>
  <si>
    <t xml:space="preserve">TOTAL </t>
  </si>
  <si>
    <r>
      <t>Versión:</t>
    </r>
    <r>
      <rPr>
        <b/>
        <sz val="14"/>
        <color rgb="FFFF0000"/>
        <rFont val="Arial"/>
        <family val="2"/>
      </rPr>
      <t xml:space="preserve"> </t>
    </r>
    <r>
      <rPr>
        <b/>
        <sz val="14"/>
        <rFont val="Arial"/>
        <family val="2"/>
      </rPr>
      <t>14</t>
    </r>
  </si>
  <si>
    <t>Formato: Programación, Actualización y Seguimiento del Plan de Acción - Componente de  Territorialización</t>
  </si>
  <si>
    <t>Para el año 2023 se establecieron y priorizaron 12 proyectos de economía circular enfocados en tres temáticas especificas. Durante el mes de mayo se reporta el avance de acciones en 12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10%
PEC #2 Promoción y difusión de la adecuada gestión de residuos peligrosos y especiales en el sector residencial en el marco del proyecto “Bogotá RIE Fase I - La palabra enseña y el ejemplo moviliza” AVANCE 28%
PEC # 3 Promoción a la gestión integral de asbesto - Acuerdo 825 de 2021. AVANCE 26%
PEC # 4 Economía circular de residuos de construcción y demolición. AVANCE 19%
PEC # 5 Economía circular sector textil. AVANCE 15%
PEC # 6 Economía circular sector gastronómico y biomasa residual. AVANCE 20%
PEC # 7 Promoción a la gestión adecuada de residuos de Movilidad eléctrica - Acuerdo 811 de 2021. AVANCE 15%
PEC # 8 Proyecto educativo Ecolecta 2023 AVANCE 8%
PROYECTOS DE PROCESAMIENTO, PRODUCCIÓN Y DIFUSIÓN DE INFORMACIÓN DE ECONOMÍA CIRCULAR.
PEC # 9 Identificación y articulación de acciones para la promoción de estilos de vida sostenible. AVANCE 15%
PEC # 10 Promoción a la gestión integral de RESPEL. AVANCE 10%
PEC#11  Coordinación interna de actividades establecidas en el PGIRS. AVANCE 12%
PROYECTOS DE PROMOCIÓN DE APROVECHAMIENTO DE RESIDUOS PELIGROSOS, ESPECIALES Y DE MANEJO DIFERENCIADO
PEC #12 Registro y reporte de trámites de residuos - 2023 AVANCE 38%</t>
  </si>
  <si>
    <t xml:space="preserve">En el marco de las acciones de evaluación, control y seguimiento a los factores de deterioro ambiental como los son los residuos y escombros, la Secretaría Distrital de Ambiente durante el periodo comprendido entre el 01 enero al 31 de mayo del año 2023, atendió el 100% de los conceptos técnicos que recomiendan una actuación administrativa sancionatoria, distribuida así:
N° de Conceptos Técnicos que recomiendan actuaciones administrativas sancionatorias: 141
N° de Conceptos Técnicos acogidos jurídicamente mediante acto administrativo: 141
Para el 2022 no se atendieron jurídicamente 6 conceptos tecnicos, los cuales se constituyeron como productos de la reserva, sobre los cuales ya se han emitido las actuaciones jurídicas requeridas. </t>
  </si>
  <si>
    <t>CENTRO ADMINISTRATIVO
LA CATEDRAL
LA CONCORDIA
LAS AGUAS</t>
  </si>
  <si>
    <t>1
2
3
4
5
6
7
8</t>
  </si>
  <si>
    <t>A mayo de 2023, se avanza en 41%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</si>
  <si>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mayo de 2023  se realizaron 8.724 actuaciones de evaluación control y seguimiento a la disposición y aprovechamiento de residuos en Bogotá 
-Controlar la disposición adecuada de residuos especiales, peligrosos, ordinarios y de manejo diferenciado: 0,064
Las actuaciones técnicas permitieron controlar   la disposición adecuada de  3.961.418 Ton de residuos peligrosos 
-Controlar el aprovechamiento de residuos especiales, peligrosos, ordinarios y de manejo diferenciado: 0,036 
 las actuaciones permitieron controla el aprovechamiento de 1.059.809,8 ton de residuos especiales y peligrosos generadas en el D.C. así:
Aprovechamiento RCD PROYECTO
-Reporte y consolidación  de Informe eficiencia de actuaciones técnicas y administrativas de evaluación control y seguimiento al mes de mayo  de 2023: 0,025%</t>
  </si>
  <si>
    <t>A Mayo   de 2023, la Secretaría Distrital de Ambiente controló la gestión adecuada de 5.021.751 ton de residuos peligrosos, ordinarios, especialesde los cuales  3.961.418,06  ton corresponden a disposición adecuada  y  1.060.333  ton a  aprovechamiento de residuos  en el D.C.</t>
  </si>
  <si>
    <t>Para el año 2023 se establecieron y priorizaron 12 proyectos de economía circular enfocados en tres temáticas especificas. Durante el mes de junio se reporta el avance de acciones en 12 proyectos de economía circular (PEC). 
PROYECTOS DE ARTICULACIÓN DE ACTORES DE LA DE RED ECONOMÍA CIRCULAR 
PROYECTOS DE ARTICULACIÓN DE ACTORES DE LA DE RED ECONOMÍA CIRCULAR 
PEC #1 Recolección de residuos peligrosos especiales y de manejo diferenciado en el sector empresarial en el marco de la campaña “Reciclatón Empresarial de posconsumo, especiales, envases y empaques. AVANCE 65%
PEC #2 Promoción y difusión de la adecuada gestión de residuos peligrosos y especiales en el sector residencial en el marco del proyecto “Bogotá RIE Fase I - La palabra enseña y el ejemplo moviliza” AVANCE 38%
PEC # 3 Promoción a la gestión integral de asbesto - Acuerdo 825 de 2021. AVANCE 30%
PEC # 4 Economía circular de residuos de construcción y demolición. AVANCE 25%
PEC # 5 Economía circular sector textil. AVANCE 30%
PEC # 6 Economía circular sector gastronómico y biomasa residual. AVANCE 25%
PEC # 7 Promoción a la gestión adecuada de residuos de Movilidad eléctrica - Acuerdo 811 de 2021. AVANCE 20%
PEC # 8 Proyecto educativo Ecolecta 2023 AVANCE 10%
PROYECTOS DE PROCESAMIENTO, PRODUCCIÓN Y DIFUSIÓN DE INFORMACIÓN DE ECONOMÍA CIRCULAR.
PEC # 9 Identificación y articulación de acciones para la promoción de estilos de vida sostenible. AVANCE 20%
PEC # 10 Promoción a la gestión integral de RESPEL. AVANCE 15%
PEC#11 Coordinación interna de actividades establecidas en el PGIRS. AVANCE 12%
PROYECTOS DE PROMOCIÓN DE APROVECHAMIENTO DE RESIDUOS PELIGROSOS, ESPECIALES Y DE MANEJO DIFERENCIADO
PEC #12 Registro y reporte de trámites de residuos - 2023 AVANCE 50%</t>
  </si>
  <si>
    <t xml:space="preserve">Sistema de información ambiental FOREST 
Archivos de la Dirección de Control Ambiental </t>
  </si>
  <si>
    <t>91
92
93
95
96</t>
  </si>
  <si>
    <t>32
33
34
50
51</t>
  </si>
  <si>
    <t>ABRAHAM LINCOLN
EL CARMEN
ESCUELA GENERAL SANTANDER
FATIMA
ISLA DEL SOL
MUZU
PARQUE EL TUNAL
SAMORE
SAN BENITO
SAN CARLOS
SAN VICENTE FERRER
SANTA LUCIA
TUNAL ORIENTAL
TUNJUELITO
VENECIA
VENECIA OCCIDENTAL</t>
  </si>
  <si>
    <t>113
44
45
46
47
48
78
79
80
81
82
83</t>
  </si>
  <si>
    <t>AEROPUERTO EL DORADO
BELEN FONTIBON
BRISAS ALDEA FONTIBON
CAPELLANIA
CENTRO FONTIBON
CIUDAD HAYUELOS
EL CARMEN FONTIBON
EL CHANCO I
EL REFUGIO
EL TINTAL CENTRAL
EL VERGEL
FERROCAJA FONTIBON
FRANCO
GRANJAS DE TECHO
INTERINDUSTRIAL
LA CABANA FONTIBON
LA ESPERANZA NORTE
LA GIRALDA
LA LAGUNA FONTIBON
MODELIA
MODELIA OCCIDENTAL
MONTEVIDEO
MORAVIA
PUENTE GRANDE
PUERTA DE TEJA
SABANA GRANDE
SALITRE OCCIDENTAL
SAN JOSE DE FONTIBON
SAN PABLO JERICO
SANTA CECILIA
TERMINAL DE TRANSPORTES
VEREDA EL TINTAL
VERSALLES FONTIBON
VILLA CARMENZA
VILLEMAR</t>
  </si>
  <si>
    <t>40
41
43
108
111</t>
  </si>
  <si>
    <t>64
65
66
67
68
69
70</t>
  </si>
  <si>
    <t>A junio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50%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</si>
  <si>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Junio de 2023 se avanzó en el 0,50%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0,253%
A junio de 2023  se realizaron 11.905 actuaciones de evaluación control y seguimiento a la disposición y aprovechamiento de residuos en Bogotá 
-Controlar la disposición adecuada de residuos especiales, peligrosos, ordinarios y de manejo diferenciado: 0,073
Las actuaciones técnicas permitieron controlar   la disposición adecuada de  5.125.794,23 Ton de residuos peligrosos  y Controlar el aprovechamiento de residuos especiales, peligrosos, ordinarios y de manejo diferenciado: 0,048 
 las actuaciones permitieron controla el aprovechamiento de 1.404.166,14 ton de residuos especiales y peligrosos generadas en el D.C. 
-Reporte y consolidación  de Informe eficiencia de actuaciones técnicas y administrativas de evaluación control y seguimiento al mes de junio  de 2023: 0,032%</t>
  </si>
  <si>
    <t xml:space="preserve">En el marco de las acciones de evaluación, control y seguimiento a los factores de deterioro ambiental como los son los residuos y escombros, la Secretaría Distrital de Ambiente durante el periodo comprendido entre el 01 enero al 30 de junio del año 2023, atendió el 100% de los conceptos técnicos que recomiendan una actuación administrativa sancionatoria, distribuida así:
N° de Conceptos Técnicos que recomiendan actuaciones administrativas sancionatorias: 173
N° de Conceptos Técnicos acogidos jurídicamente mediante acto administrativo: 173
Para el 2022 no se atendieron jurídicamente 6 conceptos tecnicos, los cuales se constituyeron como productos de la reserva, sobre los cuales ya se han emitido las actuaciones jurídicas requeridas. </t>
  </si>
  <si>
    <t>A Junio   de 2023, la Secretaría Distrital de Ambiente controló la gestión adecuada de 6.529.960,37  ton de residuos peligrosos, ordinarios, especialesde los cuales  5.125.794,23  ton corresponden a disposición adecuada  y  1.404.166,14  ton a  aprovechamiento de residuos  en el D.C.</t>
  </si>
  <si>
    <t>A Julio de 2023, la Secretaría Distrital de Ambiente controló la gestión adecuada de 8.177.649,76 ton de residuos peligrosos, ordinarios, especiales de los cuales  6.409.352  ton corresponden a disposición adecuada  y  1.768.297,76  ton a aprovechamiento de residuos  en el D.C.</t>
  </si>
  <si>
    <t>En el marco de las acciones de evaluación, control y seguimiento a los factores de deterioro ambiental como los son los residuos y escombros, la Secretaría Distrital de Ambiente durante el periodo comprendido entre el 01 enero al 31 de julio del año 2023, atendió el 99,6% de los conceptos técnicos que recomiendan una actuación administrativa sancionatoria, distribuida así:
N° de Conceptos Técnicos que recomiendan actuaciones administrativas sancionatorias: 245
N° de Conceptos Técnicos acogidos jurídicamente mediante acto administrativo: 244</t>
  </si>
  <si>
    <t>Para el año 2023 se establecieron y priorizaron 12 proyectos de economía circular enfocados en tres temáticas especificas. Durante el mes de julio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70%
PEC #2 Promoción y difusión de la adecuada gestión de residuos peligrosos y especiales en el sector residencial en el marco del proyecto “Bogotá RIE Fase I - La palabra enseña y el ejemplo moviliza” AVANCE 45%
PEC # 3 Promoción a la gestión integral de asbesto - Acuerdo 825 de 2021. AVANCE 35%
PEC # 4 Economía circular de residuos de construcción y demolición. AVANCE 37%
PEC # 5 Economía circular sector textil. AVANCE 35%
PEC # 6 Economía circular sector gastronómico y biomasa residual. AVANCE 35%
PEC # 7 Promoción a la gestión adecuada de residuos de Movilidad eléctrica - Acuerdo 811 de 2021. AVANCE 40%
PEC # 8 Proyecto educativo Ecolecta 2023 AVANCE 20%
PROYECTOS DE PROCESAMIENTO, PRODUCCIÓN Y DIFUSIÓN DE INFORMACIÓN DE ECONOMÍA CIRCULAR.
PEC # 9 Identificación y articulación de acciones para la promoción de estilos de vida sostenible. AVANCE 65%
PEC # 10 Promoción a la gestión integral de RESPEL. AVANCE 38%
PEC#11 Coordinación interna de actividades establecidas en el PGIRS. AVANCE 60%
PROYECTOS DE PROMOCIÓN DE APROVECHAMIENTO DE RESIDUOS PELIGROSOS, ESPECIALES Y DE MANEJO DIFERENCIADO
PEC #12 Registro y reporte de trámites de residuos - 2023 AVANCE 70%</t>
  </si>
  <si>
    <t>ANTIGUO COUNTRY
CATALUNA
CHAPINERO CENTRAL
CHAPINERO NORTE
CHICO NORTE
CHICO NORTE II SECTOR
CHICO NORTE III SECTOR
EL CHICO
EL NOGAL
EL RETIRO
EMAUS
ESPARTILLAL
INGEMAR
LA CABRERA
LA SALLE
LAGO GAITAN
LAS ACACIAS
MARIA CRISTINA
MARLY
PARDO RUBIO
PORCIUNCULA
QUINTA CAMACHO
SEMINARIO
SUCRE</t>
  </si>
  <si>
    <t>52
56
57
58
59
60
61</t>
  </si>
  <si>
    <t>EDUARDO SANTOS
EL LISTON
EL PROGRESO
EL VERGEL
FLORIDA
LA ESTANZUELA
LA FAVORITA
LA PEPITA
PALOQUEMAO
RICAURTE
SAMPER MENDOZA
SAN VICTORINO
SANTA FE
SANTA ISABEL
USATAMA
VERAGUAS
VOTO NACIONAL</t>
  </si>
  <si>
    <t>CIUDAD JARDIN SUR
EDUARDO FREY
LA HORTUA
RESTREPO
RESTREPO OCCIDENTAL
SAN ANTONIO
SANTANDER
SANTANDER SUR
SENA
SEVILLA
VILLA MAYOR ORIENTAL</t>
  </si>
  <si>
    <t>BRAVO PAEZ
CARMEN DEL SOL
CLARET
DIANA TURBAY
GRANJAS SAN PABLO
GUIPARMA
GUSTAVO RESTREPO
HOSPITAL SAN CARLOS
INGLES
LA PICOTA ORIENTAL
LIBERTADOR
MARCO FIDEL SUAREZ I
MARRUECOS
MOLINOS DEL SUR
MURILLO TORO
OLAYA
PUERTO RICO
QUIROGA
QUIROGA SUR
SAN AGUSTIN
SAN JORGE SUR
SAN JOSE SUR
SANTA LUCIA
SANTIAGO PEREZ
VILLA MAYOR</t>
  </si>
  <si>
    <t>A julio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59%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</si>
  <si>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Julio de 2023 se avanzó en el 0,59%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0,302%
A julio de 2023  se realizaron 14.963 actuaciones de evaluación control y seguimiento a la disposición y aprovechamiento de residuos en Bogotá así:
RESIDUOS DE CONSTRUCCIÓN Y DEMOLICIÓN (RCD) OBRAS:1.819
RCD INFRAESTRUCTURA PERMISOS DE OCUPACIÓN DE CAUCE (POC) Y ESTRUCTURA ECOLÓGICA PRINCIPAL (EPP):491
METRO POC EPP:963
RESIDUOS HOSPITALARIOS : 5.057
RESIDUOS INFECCIOSOS MICROGENERADORES:2.874
ENTIDADES PÚBLICAS:449
LLANTAS USADAS: 1.403
JURIDICO: 827
RESPEL:1.080
-Controlar la disposición adecuada de residuos especiales, peligrosos, ordinarios y de manejo diferenciado: 0,085
Las actuaciones técnicas permitieron controlar   la disposición adecuada de  6.409.352  Ton de residuos peligrosos a
-Controlar el aprovechamiento de residuos especiales, peligrosos, ordinarios y de manejo diferenciado: 0,061 
 las actuaciones permitieron controla el aprovechamiento de 1.768.297,76 ton de residuos especiales y peligrosos generadas en el D.C. 
-Reporte y consolidación  de Informe eficiencia de actuaciones técnicas y administrativas de evaluación control y</t>
  </si>
  <si>
    <t>Archivo de gestión Subdirección de Control Ambiental al Sector Público - Subdirección del Recurso Hídrico y del Suelo.
https://drive.google.com/drive/folders/1OJIfev-UBnqrpjhKhdKUOdyRM_GNW5k9?usp=drive_link</t>
  </si>
  <si>
    <t>Sistema de información ambiental FOREST 
Archivos de la Subdirección de Control Ambiental
https://drive.google.com/drive/folders/1OJIfev-UBnqrpjhKhdKUOdyRM_GNW5k9?usp=drive_link</t>
  </si>
  <si>
    <t>https://drive.google.com/drive/folders/1KWGHJozevCeNbGCl6AJ5XGI6ZJiGBbaW?usp=share_link</t>
  </si>
  <si>
    <t>ACACIAS USAQUEN
BARRANCAS
BARRANCAS NORTE
BELLA SUIZA
BOSQUE DE PINOS
BOSQUE DE PINOS III
CANAIMA
CAOBOS SALAZAR
CEDRITOS
CEDRO SALAZAR
COUNTRY CLUB
EL CEREZO
EL CONTADOR
EL ROCIO NORTE
EL TOBERIN
EL VERVENAL
ESCUELA DE INFANTERIA
LA CALLEJA
LA CAROLINA
LA GRANJA NORTE
LA LIBERIA
LA PRADERA NORTE
LA URIBE
LAS MARGARITAS
LAS ORQUIDEAS
LISBOA
LOS CEDROS
LOS CEDROS ORIENTAL
MOLINOS NORTE
RINCON DEL CHICO
SAN ANTONIO NOROCCIDENTAL
SAN CRISTOBAL NORTE
SAN GABRIEL NORTE
SAN JOSE DE USAQUEN
SAN PATRICIO
SANTA ANA
SANTA ANA OCCIDENTAL
SANTA BARBARA CENTRAL
SANTA BARBARA OCCIDENTAL
SANTA BARBARA ORIENTAL
SANTA BIBIANA
SANTA TERESA
TIBABITA
TIBABITA RURAL
TORCA I
TORCA II
USAQUEN
VERBENAL SAN ANTONIO</t>
  </si>
  <si>
    <t xml:space="preserve">POL_7702_1_8_2023_DETALLADA
</t>
  </si>
  <si>
    <t>EL GUAVIO
EL ROCIO
LA CAPUCHINA
LA MACARENA
LAS CRUCES
LAS NIEVES
LOS LACHES
LOURDES
SAGRADO CORAZON
SAMPER
SAN BERNARDO
SAN DIEGO
SAN MARTIN
SANTA INES
VERACRUZ</t>
  </si>
  <si>
    <t>BELLO HORIZONTE
BUENOS AIRES
CANADA O GUIRA
GRANADA SUR
LA MARIA
LA VICTORIA
LAS BRISAS
LAS GUACAMAYAS I
LOS ALPES
MODELO SUR
NARINO SUR
SAN BLAS
SAN BLAS II
SAN CRISTOBAL SUR
SAN JOSE SUR ORIENTAL
SAN RAFAEL USME
SAN VICENTE
SANTA RITA SUR ORIENTAL
SOCIEGO
SURAMERICA
VEINTE DE JULIO
VILLA DE LOS ALPES I</t>
  </si>
  <si>
    <t>BARRANQUILLITA
BOLONIA I
CENTRO USME URBANO
CHUNIZA
DANUBIO
DANUBIO II
DESARROLLO BRAZUELOS I
DONA LILIANA
EL BOSQUE
EL CURUBO
EL MOCHUELO ORIENTAL
JUAN REY SUR
LA ANDREA
LA AURORA
LA COMUNA
LA FISCALA NORTE
LA MARICHUELA
PORVENIR
PUERTA AL LLANO DE USME
SAN JUAN BAUTISTA
SANTA LIBRADA
USMINIA</t>
  </si>
  <si>
    <t>ANDALUCIA II
ANTONIA SANTOS
ARGELIA II
BOSA
BOSA NOVA
BRASIL
CAMPO VERDE
CEMENTERIO JARDINES APOGEO
CHARLES DE GAULLE
CHICALA
CHICO SUR
CIUDADELA EL RECREO II
EL CORZO
EL CORZO I
EL DANUBIO AZUL
EL JARDIN
EL PORTAL DEL BRASIL
EL REMANSO
EL REMANSO I
EL RETAZO
ESCOCIA
GRAN COLOMBIANO
GUALOCHE
ISLANDIA
JIMENEZ DE QUESADA
JIMENEZ DE QUESADA II SECTOR
JORGE URIBE BOTERO
JOSE ANTONIO GALAN
JOSE MARIA CARBONEL
LA LIBERTAD
LA PAZ BOSA
LAS MARGARITAS
NUEVA GRANADA BOSA
OLARTE
OSORIO X URBANO
PARCELA EL PORVENIR
PASO ANCHO
SAN BERNARDINO I
SAN BERNARDINO XIX
SAN DIEGO-BOSA
SAN MARTIN
SAN PABLO BOSA
VILLA DEL RIO</t>
  </si>
  <si>
    <t>ALQUERIA LA FRAGUA II
ALQUERIA LA FRAGUA NORTE
BAVARIA
CALANDAIMA
CASA BLANCA SUR
CASABLANCA
CASTILLA
CATALINA
CIUDAD KENNEDY
CIUDAD KENNEDY CENTRAL
CIUDAD KENNEDY NORTE
CIUDAD KENNEDY ORIENTAL
CIUDAD KENNEDY SUR
CIUDAD TECHO II
COOPERATIVA DE SUB-OFICIALES
CORABASTOS
DINDALITO
EL TINTAL IV
EL VERGEL
EL VERGEL ORIENTAL
GRAN BRITALIA
GRAN BRITALIA I
HIPOTECHO
HIPOTECHO OCCIDENTAL
HIPOTECHO SUR
LAS DELICIAS
LAS DOS AVENIDAS
LAS MARGARITAS
LUSITANIA
MANDALAY
MARSELLA
NUEVO TECHO
OSORIO III
PASTRANA
PATIO BONITO
PATIO BONITO II
PATIO BONITO III
PIO XII
PROVIVIENDA
PROVIVIENDA OCCIDENTAL
PROVIVIENDA ORIENTAL
ROMA
SANTA CATALINA
TIMIZA
TIMIZA B
TIMIZA C
TINTALA
TOCAREMA
VEREDA EL TINTAL URBANO
VERGEL OCCIDENTAL
VILLA ALSACIA
VILLA NELLY III SECTOR</t>
  </si>
  <si>
    <t>BELLAVISTA OCCIDENTAL
BOCHICA
BOCHICA II
BOLIVIA
BOLIVIA ORIENTAL
BOSQUE POPULAR
BOYACA
CENTRO ENGATIVA II
CIUDAD BACHUE
CIUDAD BACHUE I ETAPA
CIUDADELA COLSUBSIDIO
EL CEDRO
EL DORADO INDUSTRIAL
EL ENCANTO
EL GACO
EL MADRIGAL
EL MINUTO DE DIOS
FLORENCIA
GRAN GRANADA
JARDIN BOTANICO
LA ESTRADA
LA FAENA
LA GRANJA
LA SERENA
LAS FERIAS
LAS FERIAS OCCIDENTAL
LOS ALAMOS
LOS CEREZOS
NORMANDIA
NORMANDIA OCCIDENTAL
PARIS
PARIS GAITAN
PRIMAVERA
QUIRIGUA II
QUIRIGUA ORIENTAL
SABANA DEL DORADO
SAN IGNACIO
SAN JOAQUIN
SANTA HELENITA
SANTA MARIA
SANTA MONICA
SANTA ROSA
TABORA
VILLA AMALIA
VILLA DEL MAR
VILLA GLADYS
VILLA LUZ
VILLAS DE ALCALA
VILLAS DE GRANADA
VILLAS DE GRANADA I</t>
  </si>
  <si>
    <t>ANDES NORTE
ATENAS
BATAN
BILBAO
BRITALIA
CANODROMO
CANTAGALLO
CASABLANCA SUBA OTO├æO
CASABLANCA SUBA URBANO
CASABLANCA SUBA URBANO I
CIUDAD HUNZA
CIUDAD JARDIN NORTE
CLUB DE LOS LAGARTOS
COSTA AZUL
EL PINO
EL PLAN
EL POA
EL RINCON
EL RINCON NORTE
ESCUELA DE CARABINEROS
ESTORIL
GILMAR
IBERIA
JULIO FLOREZ
LA GAITANA
LAGO DE SUBA
LAS FLORES
LAS VILLAS
LISBOA
LOMBARDIA
MAZUREN
MIRANDELA
MONACO
NIZA NORTE
NUEVA ZELANDIA
PASADENA
PINOS DE LOMBARDIA
PORTALES DEL NORTE
POTOSI
PRADO PINZON
PRADO VERANIEGO
PRADO VERANIEGO NORTE
PRADO VERANIEGO SUR
PUENTE LARGO
RINCON DE SANTA INES
SABANA DE TIBABUYES
SALITRE SUBA
SAN CARLOS DE SUBA
SAN JOSE DE BAVARIA
SAN JOSE DEL PRADO
SAN JOSE V SECTOR
SANTA ROSA
SUBA CERROS
SUBA URBANO
TIBABUYES
TIBABUYES II
TIBABUYES OCCIDENTAL
TIBABUYES UNIVERSAL
TUNA ALTA
TUNA BAJA
VEREDA SUBA CERROS II
VEREDA SUBA NARANJOS
VICTORIA NORTE
VILLA ALCAZAR
VILLA DEL PRADO
VILLA ELISA</t>
  </si>
  <si>
    <t>ALCAZARES
ALCAZARES NORTE
BAQUERO
BENJAMIN HERRERA
COLOMBIA
CONCEPCION NORTE
EL ROSARIO
JORGE ELIECER GAITAN
JOSE JOAQUIN VARGAS
LA AURORA
LA CASTELLANA
LA ESPERANZA
LA MERCED NORTE
LA PATRIA
LA PAZ
LOS ANDES
METROPOLIS
ONCE DE NOVIEMBRE
POLO CLUB
POPULAR MODELO
QUINTA MUTIS
RAFAEL URIBE
RIONEGRO
SAN FELIPE
SAN FERNANDO
SAN FERNANDO OCCIDENTAL
SAN MIGUEL
SANTA SOFIA
SIMON BOLIVAR</t>
  </si>
  <si>
    <t>ACEVEDO TEJADA
ALFONSO LOPEZ
ARMENIA
BELALCAZAR
CAMPIN OCCIDENTAL
CENTRO ADMINISTRATIVO OCC.
CHAPINERO OCCIDENTAL
CIUDAD SALITRE NOR-ORIENTAL
CIUDAD SALITRE SUR-ORIENTAL
CIUDAD UNIVERSITARIA
EL RECUERDO
EL SALITRE
ESTRELLA
FLORIDA
GALERIAS
GRAN AMERICA
LA ESMERALDA
LA MAGDALENA
LA SOLEDAD
LAS AMERICAS
NICOLAS DE FEDERMAN
ORTEZAL
PABLO VI NORTE
PALERMO
QUESADA
QUINTA PAREDES
SAN LUIS
SANTA TERESITA
TEUSAQUILLO</t>
  </si>
  <si>
    <t>ALCALA
AUTOPISTA SUR
BARCELONA
BATALLON CALDAS
CENTRO INDUSTRIAL
CUNDINAMARCA
EL EJIDO
ESTACION CENTRAL
GALAN
GORGONZOLA
INDUSTRIAL CENTENARIO
JORGE GAITAN CORTES
LA ASUNCION
LA FLORIDA OCCIDENTAL
LA PRADERA
LA TRINIDAD
LOS EJIDOS
ORTEZAL
OSPINA PEREZ SUR
PENSILVANIA
PRIMAVERA OCCIDENTAL
PUENTE ARANDA
REMANSO
SALAZAR GOMEZ
SAN FRANCISCO
SAN RAFAEL
SAN RAFAEL INDUSTRIAL
SANTA MATILDE
TEJAR
TIBANA</t>
  </si>
  <si>
    <t xml:space="preserve">ARBORIZADORA ALTA
ARBORIZADORA BAJA
ATLANTA
BARLOVENTO
BRAZUELOS OCCIDENTAL
CENTRAL DE MEZCLAS
EL ENSUENO
ESTRELLA DEL SUR
GIBRALTAR SUR
GUADALUPE
JERUSALEN
LA ALAMEDA
LA CORUNA
LA ESTANCIA
LAS ACACIAS
LOS LAURELES II
MADELENA
MEISSEN
NUEVA ESPERANZA
PERDOMO ALTO
RAFAEL ESCAMILLA
RINCON DE LA VALVANERA
RONDA
SUMAPAZ
VERONA
</t>
  </si>
  <si>
    <t>POL_7702_1_8_2023</t>
  </si>
  <si>
    <t xml:space="preserve">POL_7702_1_8_2023
POL_7702_1_8_2023_DETALLADA
</t>
  </si>
  <si>
    <t>La implementación del programa de actividades de evaluación, control y seguimiento ambiental a la adecuada disposición y aprovechamiento de residuos en Bogotá esta orientado al control de toneladas; el valor del presupuesto ejecutado a AGOSTO  de 2023 para esta meta  es directamente proporcional al número total de toneladas controladas en cada localidad para este caso SAN CRISTOBAL  229742,18929  ton de las cuales son GEOREFERENCIABLES 60100,91529  y no GEOREFERENCIABLES 169641,274</t>
  </si>
  <si>
    <t>Para el año 2023 se establecieron y priorizaron 12 proyectos de economía circular enfocados en tres temáticas especificas. Durante el mes de julio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70%
PEC #2 Promoción y difusión de la adecuada gestión de residuos peligrosos y especiales en el sector residencial en el marco del proyecto “Bogotá RIE Fase I - La palabra enseña y el ejemplo moviliza” AVANCE 60%
PEC # 3 Promoción a la gestión integral de asbesto - Acuerdo 825 de 2021. AVANCE 35%
PEC # 4 Economía circular de residuos de construcción y demolición. AVANCE 40%
PEC # 5 Economía circular sector textil. AVANCE 45%
PEC # 6 Economía circular sector gastronómico y biomasa residual. AVANCE 40%
PEC # 7 Promoción a la gestión adecuada de residuos de Movilidad eléctrica - Acuerdo 811 de 2021. AVANCE 45%
PEC # 8 Proyecto educativo Ecolecta 2023 AVANCE 30%
PROYECTOS DE PROCESAMIENTO, PRODUCCIÓN Y DIFUSIÓN DE INFORMACIÓN DE ECONOMÍA CIRCULAR.
PEC # 9 Identificación y articulación de acciones para la promoción de estilos de vida sostenible. AVANCE 70%
PEC # 10 Promoción a la gestión integral de RESPEL. AVANCE 40%
PEC#11 Coordinación interna de actividades establecidas en el PGIRS. AVANCE 65%
PROYECTOS DE PROMOCIÓN DE APROVECHAMIENTO DE RESIDUOS PELIGROSOS, ESPECIALES Y DE MANEJO DIFERENCIADO
PEC #12 Registro y reporte de trámites de residuos - 2023 AVANCE 75%</t>
  </si>
  <si>
    <t xml:space="preserve">En el marco de las acciones de evaluación, control y seguimiento a los factores de deterioro ambiental como los son los residuos y escombros, la Secretaría Distrital de Ambiente durante el periodo comprendido entre el 01 enero al 31 de Agosto del año 2023, atendió el 100% de los conceptos técnicos que recomiendan una actuación administrativa sancionatoria, distribuida así:
N° de Conceptos Técnicos que recomiendan actuaciones administrativas sancionatorias: 282
N° de Conceptos Técnicos acogidos jurídicamente mediante acto administrativo: 282
Para el 2022 no se atendieron jurídicamente 6 conceptos tecnicos, los cuales se constituyeron como productos de la reserva, sobre los cuales ya se han emitido las actuaciones jurídicas requeridas. </t>
  </si>
  <si>
    <t>A Agosto de 2023, la Secretaría Distrital de Ambiente controló la gestión adecuada de 9978452,06 ton de residuos peligrosos, ordinarios, especiales de los cuales  7.558.342,51 ton corresponden a disposición adecuada  y  2.420.109,55  ton a aprovechamiento de residuos  en el D.C.</t>
  </si>
  <si>
    <t>A agosto de 2023 se avanzó en el 0,67%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0,352%
A agosto de 2023  se realizaron 17.261 actuaciones de evaluación control y seguimiento a la disposición y aprovechamiento de residuos en Bogotá así:
RESIDUOS DE CONSTRUCCIÓN Y DEMOLICIÓN (RCD) OBRAS:2.131
RCD INFRAESTRUCTURA PERMISOS DE OCUPACIÓN DE CAUCE (POC) Y ESTRUCTURA ECOLÓGICA PRINCIPAL (EPP):630
METRO POC EPP:963
RESIDUOS HOSPITALARIOS : 6.154
RESIDUOS INFECCIOSOS MICROGENERADORES:3.593
ENTIDADES PÚBLICAS:501
LLANTAS USADAS: 1.772
JURIDICO: 873
RESPEL:1.320
-Controlar la disposición adecuada de residuos especiales, peligrosos, ordinarios y de manejo diferenciado: 0,094
Las actuaciones técnicas permitieron controlar   la disposición adecuada de 7.558.342,52 Ton de residuos peligrosos 
-Controlar el aprovechamiento de residuos especiales, peligrosos, ordinarios y de manejo diferenciado: 0,083
 las actuaciones permitieron controla el aprovechamiento de 2.419.148,39 ton de residuos especiales y peligrosos generadas en el D.C. 
-Reporte y consolidación  de Informe eficiencia de actuaciones técnicas y administrativas de evaluación control y seguimiento al mes de agosto de 2023: 0,044%</t>
  </si>
  <si>
    <t>A agosto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67%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</si>
  <si>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9. Realizar el proceso de  organización y administración de los documentos de archivos y expedientes sancionatorios</t>
  </si>
  <si>
    <t>10. Notificar los actos administrativos en cumplimiento de la normatividad establecida.</t>
  </si>
  <si>
    <t>12. Implementar proyectos de articulación de actores para la economía circular</t>
  </si>
  <si>
    <t>13. Desarrollar proyectos de procesamiento, producción y difusión de información para la economía circular</t>
  </si>
  <si>
    <t>14.  Desarrollar proyectos de promoción del aprovechamiento de 800 toneladas de residuos peligrosos, especiales y de manejo diferenciado</t>
  </si>
  <si>
    <t>Para el cumplimiento de la meta plan de desarrollo, durante lo corrido del cuatrienio a septiembre de 2023 la SDA ha realizado el control y disposición adecuada de 35.192.161,59  ton de las cuales 4.365.906,53 ton se controlaron en el segundo semestre de 2020; en la vigencia 2021 se controlaron  8.466.949,41  ton,  13.651.068,64  en la vigencia 2022, y  a septiembre del año 2023, se  realizó control a 8.708.237 Toneladas de residuos peligrosos, clasificadas de la siguiente manera:
Disposición RCD PROYECTOS CONSTRUCTIVOS  4.019.250,91
Disposición RCD INFRAESTRUCTURA  2.407.013,87
Disposición RCD MEGAOBRAS  2.241.938,59
Disposición Residuos Hospitalarios y similares  20.444,90
Disposición Microgeneradores  152,5882
Disposición Entidades Públicas  66,83
Disposición Grandes Generadores: 16920,02 Tn
Disposición Medianos Generadores: 2264,25 Tn
Disposición Pequeños Generadores: 185,054 Tn</t>
  </si>
  <si>
    <t>Para el cumplimiento de esta meta plan de desarrollo, se han realizado diversas actuaciones técnicas de gestión y control que permitieron obtener en lo corrido del cuatrienio a septiembre de 2023 el aprovechamiento de 9.148.216,67 toneladas de residuos peligrosos, ordinarios, especiales y/o de manejo diferenciado, de los cuales 1.019.665,43 ton fueron controladas durante el segundo semestre de 2020, en la vigencia 2021 se controlaron   2.135.872,75 ton,a diciembre de 2022 fueron controladas   3.109.407,33 ton y a septiembre de 2023 un total de  2.883.271,22 Tn clasificadas de la siguiente manera:
Aprovechamiento RCD PROYECTOS CONSTRUCTIVOS  	1.159.283,77
Aprovechamiento RCD INFRAESTRUCTURA  899.512,67
Aprovechamiento RCD MEGAOBRAS  815.058,34
Aprovechamiento Residuos Hospitalarios y similares  2.491,38
Aprovechamiento Microgeneradores  503,85
Aprovechamiento Llantas  4.449,53
Aprovechamiento Entidades Públicas  1.010,50
Aprovechamiento  RAEE   10,11 Ton
Aprovechamiento  aceite vegetal usado   951,05 ton</t>
  </si>
  <si>
    <t>Durante lo transcurrido de la vigencia 2023, la Subdirección de Recurso Hídrico y del suelo realizó control a 20408,711 Toneladas de residuos peligrosos competencia de esta Subdirección, clasificadas de la siguiente manera:
Grandes Generadores: 17904,59 Tn
Medianos Generadores: 2315,124 Tn
Pequeños Generadores: 188,997 Tn
El avance del 98,40% se reporta sobre las 20.740 toneladas programadas para la vigencia.
Se presenta sobreejecución debido a que una de las grandes empresas generó cuatro veces el aporte promedio de las empresas controladas.</t>
  </si>
  <si>
    <t xml:space="preserve">Durante el periodo comprendido entre el 01 de enero al 30 de septiembre de la vigencia, se realizaron 5.103 acciones archivísticas, derivadas de la atención de los conceptos técnicos que recomiendan actuaciones administrativas en el marco del tramite sancionatorio asi:
Desglose: 2				
Apertura: 179				
Inserción: 716				
Encarpetado de expedientes: 437				
Consulta de expedientes: 6				
Préstamo de expedientes: 849				
Organización de expedientes: 272				
Fuid: 31				
Hoja de control: 684				
Clasificación documental: 94				
Asociación de radicados- forest: 662				
Alistamiento trasferencias documentales DCA: 2				
Revisión, depuración, levantamiento base de datos expedientes permisivos DCA: 247	
Ubicación física expedientes en estantería: 5				
Verificación procesos sancionatorios: 150				
Foliación: 456				
Transferencias: 1				
Asociación de radicados - Forest: 3				
Inserciones expedientes sancionatorios: 134				
Entrega de Inserciones Protech: 102				
Atención ventanilla: 71	</t>
  </si>
  <si>
    <t>Durante el periodo comprendido entre el 01 de enero al 30 de septiembre del 2023, se notificaron 336 actuaciones administrativas derivadas de las acciones del tramite sancionatorio.</t>
  </si>
  <si>
    <t xml:space="preserve">En el marco de las acciones de evaluación, control y seguimiento a los factores de deterioro ambiental como los son los residuos y escombros, la Secretaría Distrital de Ambiente durante el periodo comprendido entre el 01 enero al 30 de septiembre del año 2023, atendió el 100% de los conceptos técnicos que recomiendan una actuación administrativa sancionatoria, distribuida así:
N° de Conceptos Técnicos que recomiendan actuaciones administrativas sancionatorias: 313
N° de Conceptos Técnicos acogidos jurídicamente mediante acto administrativo: 313
Para el 2022 no se atendieron jurídicamente 6 conceptos tecnicos, los cuales se constituyeron como productos de la reserva, sobre los cuales ya se han emitido las actuaciones jurídicas requeridas. </t>
  </si>
  <si>
    <t>A septiembre de 2023 se avanzó en el 0,78%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0,42%
A sep de 2023  se realizaron 17.944 actuaciones de evaluación control y seguimiento a la disposición y aprovechamiento de residuos en Bogotá así:
RESIDUOS DE CONSTRUCCIÓN Y DEMOLICIÓN (RCD) OBRAS:2.500
RCD INFRAESTRUCTURA PERMISOS DE OCUPACIÓN DE CAUCE (POC) Y ESTRUCTURA ECOLÓGICA PRINCIPAL (EPP):738
METRO POC EPP:1.320
RESIDUOS HOSPITALARIOS : 6.774
RESIDUOS INFECCIOSOS MICROGENERADORES:3.593
ENTIDADES PÚBLICAS:531
LLANTAS USADAS: 2.130
JURIDICO: 1.067
RESPEL:1.497
-Controlar la disposición adecuada de residuos especiales, peligrosos, ordinarios y de manejo diferenciado: 0,0105
Las actuaciones técnicas permitieron controlar   la disposición adecuada de 8.708.237 Ton de residuos peligrosos y especiales
-Controlar el aprovechamiento de residuos especiales, peligrosos, ordinarios y de manejo diferenciado: 0,099
 las actuaciones permitieron controla el aprovechamiento de  2.882.324 ton de residuos especiales y peligrosos generadas en el D.C. 
-Reporte y consolidación  de Informe eficiencia de actuaciones técnicas y administrativas de evaluación control y seguimiento al mes de septiembre de 2023: 0,050%</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</si>
  <si>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USAQUEN  1210212,6121584  ton de las cuales son GEOREFERENCIABLES 1111194,0021584  y no GEOREFERENCIABLES 99018,61</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</si>
  <si>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CHAPINERO  617547,623018  ton de las cuales son GEOREFERENCIABLES 547545,003018  y no GEOREFERENCIABLES 70002,62</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</si>
  <si>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SANTA FE  263562,87869  ton de las cuales son GEOREFERENCIABLES 242783,36709  y no GEOREFERENCIABLES 20779,5116</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</si>
  <si>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USME  264847,55376  ton de las cuales son GEOREFERENCIABLES 137917,63376  y no GEOREFERENCIABLES 126929,92</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</si>
  <si>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TUNJUELITO  70201,75121  ton de las cuales son GEOREFERENCIABLES 56494,35121  y no GEOREFERENCIABLES 13707,4</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</si>
  <si>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BOSA  402620,54031  ton de las cuales son GEOREFERENCIABLES 146896,29631  y no GEOREFERENCIABLES 255724,244</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</si>
  <si>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KENNEDY  692105,733322  ton de las cuales son GEOREFERENCIABLES 303176,749322  y no GEOREFERENCIABLES 388928,984</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</si>
  <si>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FONTIBON  861671,526730001  ton de las cuales son GEOREFERENCIABLES 793468,934730001  y no GEOREFERENCIABLES 68202,592</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</si>
  <si>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ENGATIVA  1898329,574586  ton de las cuales son GEOREFERENCIABLES 1285107,224586  y no GEOREFERENCIABLES 613222,35</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</si>
  <si>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SUBA  1298387,987952  ton de las cuales son GEOREFERENCIABLES 713991,713952  y no GEOREFERENCIABLES 584396,274</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</si>
  <si>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BARRIOS UNIDOS  198214,858492  ton de las cuales son GEOREFERENCIABLES 150389,988492  y no GEOREFERENCIABLES 47824,87</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</si>
  <si>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TEUSAQUILLO  163893,702376  ton de las cuales son GEOREFERENCIABLES 149115,470376  y no GEOREFERENCIABLES 14778,232</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</si>
  <si>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LOS MARTIRES  82065,87759  ton de las cuales son GEOREFERENCIABLES 77845,32959  y no GEOREFERENCIABLES 4220,548</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</si>
  <si>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ANTONIO NARIÑO  32848,4598199999  ton de las cuales son GEOREFERENCIABLES 26866,32982  y no GEOREFERENCIABLES 5982,13</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</si>
  <si>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PUENTE ARANDA  220716,79086  ton de las cuales son GEOREFERENCIABLES 207437,81486  y no GEOREFERENCIABLES 13278,976</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</si>
  <si>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CANDELARIA  26625,55976  ton de las cuales son GEOREFERENCIABLES 21697,4597599999  y no GEOREFERENCIABLES 4928,1</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</si>
  <si>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RAFAEL URIBE URIBE  116952,33223  ton de las cuales son GEOREFERENCIABLES 68904,59823  y no GEOREFERENCIABLES 48047,734</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</si>
  <si>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CIUDAD BOLIVAR  278146,226912  ton de las cuales son GEOREFERENCIABLES 124007,108912  y no GEOREFERENCIABLES 154139,118</t>
  </si>
  <si>
    <t>La implementación del programa de actividades de evaluación, control y seguimiento ambiental a la adecuada disposición y aprovechamiento de residuos en Bogotá esta orientado al control de toneladas; el valor del presupuesto ejecutado a septiembre  de 2023 para esta meta  es directamente proporcional al número total de toneladas controladas en cada localidad para este caso ESPECIAL  2634588,4592  ton de las cuales son GEOREFERENCIABLES   y no GEOREFERENCIABLES 2634588,4592</t>
  </si>
  <si>
    <t>Para el año 2023 se establecieron y priorizaron 12 proyectos de economía circular enfocados en tres temáticas especificas. Durante el mes de septiembre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73%
PEC #2 Promoción y difusión de la adecuada gestión de residuos peligrosos y especiales en el sector residencial en el marco del proyecto “Bogotá RIE Fase I - La palabra enseña y el ejemplo moviliza” AVANCE 70%
PEC # 3 Promoción a la gestión integral de asbesto - Acuerdo 825 de 2021. AVANCE 50%
PEC # 4 Economía circular de residuos de construcción y demolición. AVANCE 55%
PEC # 5 Economía circular sector textil. AVANCE 55%
PEC # 6 Economía circular sector gastronómico y biomasa residual. AVANCE 60%
PEC # 7 Promoción a la gestión adecuada de residuos de Movilidad eléctrica - Acuerdo 811 de 2021. AVANCE 60%
PEC # 8 Proyecto educativo Ecolecta 2023 AVANCE 50%
PROYECTOS DE PROCESAMIENTO, PRODUCCIÓN Y DIFUSIÓN DE INFORMACIÓN DE ECONOMÍA CIRCULAR.
PEC # 9 Identificación y articulación de acciones para la promoción de estilos de vida sostenible. AVANCE 75%
PEC # 10 Promoción a la gestión integral de RESPEL. AVANCE 50%
PEC#11 Coordinación interna de actividades establecidas en el PGIRS. AVANCE 70%
PROYECTOS DE PROMOCIÓN DE APROVECHAMIENTO DE RESIDUOS PELIGROSOS, ESPECIALES Y DE MANEJO DIFERENCIADO
PEC #12 Registro y reporte de trámites de residuos - 2023 AVANCE 80%</t>
  </si>
  <si>
    <t>Para el año 2023 se establecieron y priorizaron 12 proyectos de economía circular enfocados en tres temáticas especificas. Durante el mes de septiembre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73%
PEC #2 Promoción y difusión de la adecuada gestión de residuos peligrosos y especiales en el sector residencial en el marco del proyecto “Bogotá RIE Fase I - La palabra enseña y el ejemplo moviliza” AVANCE 70%
PEC # 3 Promoción a la gestión integral de asbesto - Acuerdo 825 de 2021. AVANCE 50%
PEC # 4 Economía circular de residuos de construcción y demolición. AVANCE 55%
PEC # 5 Economía circular sector textil. AVANCE 55%
PEC # 6 Economía circular sector gastronómico y biomasa residual. AVANCE 60%
PEC # 7 Promoción a la gestión adecuada de residuos de Movilidad eléctrica - Acuerdo 811 de 2021. AVANCE 60%
PEC # 8 Proyecto educativo Ecolecta 2023 AVANCE 50%
PROYECTOS DE PROCESAMIENTO, PRODUCCIÓN Y DIFUSIÓN DE INFORMACIÓN DE ECONOMÍA CIRCULAR.
PEC # 9 Identificación y articulación de acciones para la promoción de estilos de vida sostenible. AVANCE 75%
PEC # 10 Promoción a la gestión integral de RESPEL. AVANCE 50%
PEC#11 Coordinación interna de actividades establecidas en el PGIRS. AVANCE 70%
PROYECTOS DE PROMOCIÓN DE APROVECHAMIENTO DE RESIDUOS PELIGROSOS, ESPECIALES Y DE MANEJO DIFERENCIADO
PEC #12 Registro y reporte de trámites de residuos - 2023 AVANCE 80%
PEC #12 Registro y reporte de trámites de residuos - 2023 AVANCE 75%</t>
  </si>
  <si>
    <t>A agosto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78%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</si>
  <si>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septiembre de 2023, la Secretaría Distrital de Ambiente controló la gestión adecuada de 11.591.508 ton de residuos peligrosos, ordinarios, especiales de los cuales  8.708.237 ton corresponden a disposición adecuada  y  2.883.271 ton a aprovechamiento de residuos  en el D.C.</t>
  </si>
  <si>
    <r>
      <t>7, LOGROS CORTE A</t>
    </r>
    <r>
      <rPr>
        <b/>
        <u/>
        <sz val="14"/>
        <rFont val="Arial"/>
        <family val="2"/>
      </rPr>
      <t>_</t>
    </r>
    <r>
      <rPr>
        <b/>
        <sz val="14"/>
        <rFont val="Arial"/>
        <family val="2"/>
      </rPr>
      <t xml:space="preserve"> SEPTIEMBRE AÑO __2023</t>
    </r>
  </si>
  <si>
    <t>A septiembre de 2023 se estructuró y formuló el  "Programa de actividades de evaluación, control y (Sgmto)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(Sgmto) ambiental que realiza la Secretaría Distrital de Ambiente, en el marco del cumplimiento normativo para la adecuada disposición y aprovechamiento de residuos peligrosos, especiales,ordinarios y de manejo diferenciado en Bogotá.</t>
  </si>
  <si>
    <t>Al  mes de septiembre  de 2023 la Subdirección de Control Ambiental al Sector Público (SCASP) realizó acciones de evaluación, control y (Sgmto) que permitieron controlar la disposición adecuada de 8.688.867Ton de residuos especiales y peligrosos generadas en el Distrito Capital acorde con los siguientes tipos de residuos:  
Disposición RCD PROYECTOS CONSTRUCTIVOS 4.019.250,91
Disposición RCD INFRAESTRUCTURA 2.407.013,87
Disposición RCD MEGAOBRAS 2.241.938,59
Disposición Residuos Hospitalarios y similares 20.444,90
Disposición Microgeneradores 152,5882
Disposición Entidades Públicas 66,83
El avance reportado a la fecha es del 72,53% y se establece sobre el total de las 11.979.260 toneladas definidas como objeto de control para la vigencia 2023.</t>
  </si>
  <si>
    <t>A septiembre de 2023, la Subdirección de Control Ambiental al Sector Público (SCASP) realizó acciones de evaluación, control y (Sgmto) que permitieron controlar el aprovechamiento de 2.882.324,37   toneladas de residuos especiales y peligrosos generadas en el Distrito Capital, acorde con los siguientes tipos de residuos:
Aprovechamiento RCD PROYECTOS CONSTRUCTIVOS  	1.159.283,77
Aprovechamiento RCD INFRAESTRUCTURA  899.512,67
Aprovechamiento RCD MEGAOBRAS  815.058,34
Aprovechamiento Residuos Hospitalarios y similares  2.491,38
Aprovechamiento Microgeneradores  503,85
Aprovechamiento Llantas  4.449,53
Aprovechamiento Entidades Públicas  1.010,50
El avance reportado a la fecha es del 82,35%  y se establece sobre el total de las  3.500.000  toneladas definidas como objeto de control de aprovechamiento para la vigencia 2023.</t>
  </si>
  <si>
    <t xml:space="preserve">7. Realizar el reporte y consolidación de eficiencia de actuaciones técnicas y administrativas de evaluación control y  (Sgmto) </t>
  </si>
  <si>
    <t>En el marco de las acciones de evaluación, control y (Sgmto) a los factores de deterioro ambiental como los son los residuos y escombros, la Secretaría Distrital de Ambiente durante el periodo comprendido entre el 01 enero al 30 de septiembre del año 2023, atendió el 100% de los conceptos técnicos que recomiendan una actuación administrativa sancionatoria, distribuida así:
N° de Conceptos Técnicos que recomiendan actuaciones administrativas sancionatorias: 313
N° de Conceptos Técnicos acogidos jurídicamente mediante acto administrativo: 313</t>
  </si>
  <si>
    <t>11. Realizar acciones en el marco del trámite sancionatorio y/o del proceso de evaluación, control  y (Sgmto) ambiental.</t>
  </si>
  <si>
    <t>Durante el periodo comprendido entre el 01 de enero al 30 de septiembre de 2023, se realizaron actividades asociadas al proceso de  (Sgmto) y control a los factores de deterioro ambiental como residuos y escombros de los cuales se elaboraron 7 informes tecnicos de criterios con los siguientes procesos: 4960222, 4961901, 5478279, 4450813, 4672932, 4822807 y 5939371 en el marco del trámite sancionatorio y/o del proceso de evaluación, control  y (Sgmto) ambiental.</t>
  </si>
  <si>
    <t>PROYECTOS DE PROCESAMIENTO, PRODUCCIÓN Y DIFUSIÓN DE INFORMACIÓN DE ECONOMÍA CIRCULAR
PEC 9. Identificación y articulación de acciones para la promoción de estilos de vida sostenible.
Durante el mes de septiembre se realizaron 2 talleres de capacitación en Economía Circular, ciclo de vida, compras circulares, y Consumismo y plásticos.
Se participó en la evaluación y calificación como jurado en el concurso de Aves Cuidadoras. 
Participación en Conversatorio de Compras Públicas Sostenibles: Intercambio de experiencias (MADS).
PEC 10. Promoción a la gestión integral de RESPEL
(Sgmto) al Desarrollo actividades del PGIRP vigente - Participación en sesiones de la CIPSSA -1 informe presentado a la CIPSSA –  40% Avance  en Propuesta de norma de actualización del PGIRP. 2 sesiones ordinarias y 7 reuniones extraordinarias.En el mes de septiembre se remitieron oficios a entidades pertenecientes a la  mesa Distrital de residuos peligroso de la CIPPSA, la tercera sesión de la esa se realizó el día 29 de septiembre. 
PEC 11. Coordinación interna de actividades establecidas en el PGIRS.
Se remitió informe de ejecución de Plan de Gestión Integral de Residuos Solidos PGIRS con radicado 2023EE195619. 
Se compilo toda la información sobre programas de cultura, especiales, orgánicos y Residuos de Construcción y Demolición RCD.</t>
  </si>
  <si>
    <t>Durante lo transcurrido de la vigencia 2023, se realizaron 1497 actuaciones técnicas de las cuales 211 aportan al control de toneladas. El detalle de las actuaciones se presenta a continuación:
Se emitieron 179 conceptos técnicos, 16 informes técnicos y 16 oficios/ (Rqto)s de control y vigilancia en el tema de residuos peligrosos y aceites usados, que aportaron a la meta de control de 20.740 toneladas de residuos peligrosos competencia de la SRHS.
Se realizó el (Sgmto) a 14 movilizadores de aceite usado.
Se realizó la evaluación de 8 solicitudes de movilización de aceite usado.                                                                                                                                                                                                                        
Se emitieron 62 informes y/o conceptos técnicos de control y vigilancia en materia de residuos peligrosos y aceites usados.
Se emitieron 482 oficios y/o  (Rqto)s en materia de residuos peligrosos y aceites usados, los cuales son derivados de conceptos técnicos y/o visitas de control y vigilancia.
Se atendieron 287 quejas, derechos de petición y/o entes de control.
Se validaron 65 planes de contingencia para el almacenamiento y/o transporte de sustancias nocivas.                                                                                                                                                                 
Se realizaron otras actividades de control de acuerdo con lo establecido en el Programa, en las cuales se incluyen la atención a registros como acopiador primario de aceite usado, atención a registros como generadores de residuos peligrosos, atención a registros en el inventario nacional de PCB,  por lo que han sido atendidos 368 radicados relacionados con estos instrumentos ambientales.</t>
  </si>
  <si>
    <t>"PROYECTOS DE PROMOCIÓN DE APROVECHAMIENTO DE RESIDUOS PELIGROSOS, ESPECIALES Y DE MANEJO DIFERENCIADO
PEC 12 Registro y reporte de trámites de residuos - 2023
AVU - Registros otorgados 96 – Personas Capacitadas 246 – AVU Gestionado 951,052 ton – Reportes revisados 5452
LLANTAS – Registros atendidos 68 – 484 personas capacitadas – 44  (Rqto)s – Memorando SCASP 3
ENVASES&amp;EMPAQUES – Registros aprobados 181 – Informes ANLA 1
10,108 Ton de RAEE Recolectados ecolecta."</t>
  </si>
  <si>
    <t>A septiembre de 2023, se realizó el reporte de eficiencia de las actuaciones técnicas y administrativas de evaluación control y (Sgmto) para cada uno de los tipos de usuarios controlados según se soporta en los  informes técnicos, así:
(Inf Tec) Programa Residuos RCD 6037549
(Inf Tec) Programa Residuos INFRAESTRUCTURA 6034016
(Inf Tec) Programa Residuos MEGAOBRAS 6033889
(Inf Tec) Programa Residuos HOSPITALARIOS 6034903
(Inf Tec) Programa Residuos MICROGENERADORES 6002683
(Inf Tec) Programa Residuos LLANTAS  6032901
(Inf Tec) Programa Residuos CAEP 6034903</t>
  </si>
  <si>
    <t>Formato: Programación, Actualización y Sgmto) del Plan de Acción - Componente de Actividades</t>
  </si>
  <si>
    <t>7702 - Control, evaluación, Sgmto) y promoción a la cadena de gestión de residuos.</t>
  </si>
  <si>
    <t>Formular e implementar un programa de actividades de evaluación, control y Sgmto) ambiental encaminadas a la adecuada disposición y aprovechamiento de residuos en Bogotá.</t>
  </si>
  <si>
    <t xml:space="preserve">A septiembre de 2023 la Subdirección de Control Ambiental al Sector Público realizó 17944 actuaciones de evaluación control y seguimienot  a la disposición y aprovechamiento de residuos en Bogotá así: 
RESIDUOS HOSPITALARIOS :6774
Visita 191 Oficio Visita control 351
CT 144  Requerimiento (Rqto) 265 Caracterización1110
Atención emergencia 24 Registro RESPEL 921 Transmision RESPEL 1381 Revision reporte RESPEL 1835 Acopiador Primario 23 Transmision PCB 5
Análisis informe gestión 228 plataforma SIRHO 286 Gestor Autorizado 10
RESIDUOS INFECCIOSOS MICROGENERADORES: 3593
Visitas 199 Oficio Visita control 295 Oficios caracterizaciones99
Análisis informe gestión 499
Atención emergencia 13
Registro RESPEL 1649Transmisiones 838
CT 1
RESIDUOS DE CONSTRUCCIÓN Y DEMOLICIÓN (RCD) OBRAS:2500
Revisión: obras aplicativo 506 Plan Gestión 413 Pin aplicativo 765 Registro gestor 15
Visita: Control 526 Inf Tec 105 Sitios Disposición Final 45
Cierre Pin 83
CT 33
Registro RESPEL 9
RCD INFRAESTRUCTURA PERMISOS DE OCUPACIÓN DE CAUCE (POC) Y ESTRUCTURA ECOLÓGICA PRINCIPAL (EPP):738		
POC Evaluación: CT 25 Sgmto o cierre8 Sancionatorio 2	
Check list11  Rqto 21 Visita solicitud 15 10Visita Sgmto 23		
EEP:CT 6 Inf Tec 14 Visita control 315 operativo 7		
PEI:Informe 12 Punto crítico 17 visita 14	
Revisión aplicativo 175 plan gestión 48		
Cierre PIN 25	
METRO POC EPP:1320
POC Evaluación: Concepto 23 Sgmto o cierre18 sancionatorio 1 chek list12  Rqto75 Visita 10 Sgmto o cierre 10
EEP Inf Tec 69 Visita control 210 CT 4
Cierre PIN113
Puntos críticos 23
Revisión plan gestión122 pin  607
PEI Visita 11 Inf Tec  7
operativos 5		
ENTIDADES PÚBLICAS 531
Registro RESPEL 305  Policlorobifenilos 6 Transmisiones  APAU3
PIGA Oficios 40  (Sgmto) 15 Evaluación y control16 Control Entidades Públicas 25 (Sgmto)23
 (Rqto)63
Certificados de Gestión 31
CT 3
Control PGIRS 1
LLANTAS USADAS:2130
 (Rqto) 110 CT 6 Sgmto 4
Verificación aplicativo 1737
Visitas control 258
Oficio cumplimiento 13
cierre PIN 2
JURIDICO 1067
</t>
  </si>
  <si>
    <t>PROYECTOS DE ARTICULACIÓN DE ACTORES DE LA DE RED ECONOMÍA CIRCULAR 
PEC 1.  Recolección de residuos peligrosos especiales y de manejo diferenciado.
1ra jornada reciclaton 28,72Ton recolectadas - 250 empresas participantes – Llantatones 17 jornadas 5.394 llantas recolectas.
PEC 2.Promoción y difusión de la adecuada gestión de residuos peligrosos y especiales en el sector residencial en el marco del proyecto “Bogotá RIE Fase I - La palabra enseña y el ejemplo moviliza”
Capacitación en residuos peligroso 759 personas capacitadas – Actualización de Visor GEO 1519 puntos – 10,10 Ton de RAEE Recolectados ecolecta.
PEC 3. Promoción a la gestión integral de asbesto - Acuerdo 825 de 2021. 
11 Mesas de trabajo – Elaboración de Folletos y bullets asbesto sectoress – Acuerdo de cooperación internacional con Grupo Lapole España – Se avanza en los lineamientos asociados con el inventario general y específico de asbesto instalado en la ciudad de Bogotá. 
PEC 4. Economía circular de residuos de construcción y demolición. 
Implementación prueba piloto de punto limpio con enfoque circular hacia pequeños generadores de RCD y pequeños transportadores. 
PEC 5. Economía circular sector textil. 
Instalación de 6 punto de recolección de prendas usadas 20,199 toneladas recolectadas de prendas de vestir usadas. 
PEC 6. Economía circular sector gastronómico y biomasa residual.  
Se realiza propuesta de imagen del proyecto ReGenera a ser utilizada en las piezas gráficas, cartillas y demás espacios de comunicación asociado con el lanzamiento y operación del proyecto. 
PEC 7.Promoción a la gestión adecuada de residuos de Movilidad eléctrica  
Avance en el ajuste del documento de acuerdo a las observaciones realizadas por el Subdirector de SEGAE.</t>
  </si>
  <si>
    <t>CORTE A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</si>
</sst>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
    <numFmt numFmtId="180" formatCode="&quot;$&quot;\ #,##0"/>
    <numFmt numFmtId="181" formatCode="&quot;$&quot;\ #,##0.00"/>
    <numFmt numFmtId="182" formatCode="#,##0.0000"/>
    <numFmt numFmtId="183" formatCode="#,##0.0"/>
    <numFmt numFmtId="184" formatCode="#,##0_ ;\-#,##0\ "/>
    <numFmt numFmtId="185" formatCode="&quot;$&quot;#,##0.00"/>
    <numFmt numFmtId="186" formatCode="_([$$-240A]\ * #,##0_);_([$$-240A]\ * \(#,##0\);_([$$-240A]\ * &quot;-&quot;??_);_(@_)"/>
    <numFmt numFmtId="187" formatCode="_-&quot;$&quot;\ * #,##0_-;\-&quot;$&quot;\ * #,##0_-;_-&quot;$&quot;\ * &quot;-&quot;??_-;_-@_-"/>
    <numFmt numFmtId="188" formatCode="0.000%"/>
    <numFmt numFmtId="189" formatCode="0.00000000"/>
    <numFmt numFmtId="190" formatCode="_-&quot;$&quot;\ * #,##0.00_-;\-&quot;$&quot;\ * #,##0.00_-;_-&quot;$&quot;\ * &quot;-&quot;_-;_-@_-"/>
    <numFmt numFmtId="191" formatCode="_-&quot;$&quot;\ * #,##0.000_-;\-&quot;$&quot;\ * #,##0.000_-;_-&quot;$&quot;\ * &quot;-&quot;_-;_-@_-"/>
    <numFmt numFmtId="192" formatCode="_-* #,##0.000\ _€_-;\-* #,##0.000\ _€_-;_-* &quot;-&quot;??\ _€_-;_-@_-"/>
    <numFmt numFmtId="193" formatCode="0.000"/>
    <numFmt numFmtId="194" formatCode="#,##0.00000"/>
    <numFmt numFmtId="195" formatCode="#,##0.000000000"/>
    <numFmt numFmtId="196" formatCode="_-[$$-240A]\ * #,##0.00_-;\-[$$-240A]\ * #,##0.00_-;_-[$$-240A]\ * &quot;-&quot;??_-;_-@_-"/>
  </numFmts>
  <fonts count="9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b/>
      <sz val="14"/>
      <color theme="1"/>
      <name val="Calibri"/>
      <family val="2"/>
      <scheme val="minor"/>
    </font>
    <font>
      <b/>
      <sz val="16"/>
      <name val="Arial"/>
      <family val="2"/>
    </font>
    <font>
      <sz val="14"/>
      <color theme="1"/>
      <name val="Arial"/>
      <family val="2"/>
    </font>
    <font>
      <b/>
      <sz val="14"/>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12"/>
      <color theme="1"/>
      <name val="Arial"/>
      <family val="2"/>
    </font>
    <font>
      <sz val="9"/>
      <name val="Calibri"/>
      <family val="2"/>
      <scheme val="minor"/>
    </font>
    <font>
      <b/>
      <sz val="16"/>
      <color theme="1"/>
      <name val="Calibri"/>
      <family val="2"/>
      <scheme val="minor"/>
    </font>
    <font>
      <sz val="8"/>
      <color rgb="FF000000"/>
      <name val="Calibri"/>
      <family val="2"/>
      <scheme val="minor"/>
    </font>
    <font>
      <b/>
      <sz val="11"/>
      <name val="Arial"/>
      <family val="2"/>
    </font>
    <font>
      <b/>
      <sz val="10"/>
      <color theme="0"/>
      <name val="Arial"/>
      <family val="2"/>
    </font>
    <font>
      <sz val="9"/>
      <name val="Calibri"/>
      <family val="2"/>
    </font>
    <font>
      <sz val="7"/>
      <color theme="1"/>
      <name val="Arial"/>
      <family val="2"/>
    </font>
    <font>
      <u/>
      <sz val="11"/>
      <color theme="10"/>
      <name val="Calibri"/>
      <family val="2"/>
      <scheme val="minor"/>
    </font>
    <font>
      <u/>
      <sz val="11"/>
      <color theme="11"/>
      <name val="Calibri"/>
      <family val="2"/>
      <scheme val="minor"/>
    </font>
    <font>
      <b/>
      <sz val="14"/>
      <color rgb="FFFF0000"/>
      <name val="Arial"/>
      <family val="2"/>
    </font>
    <font>
      <b/>
      <u/>
      <sz val="14"/>
      <name val="Arial"/>
      <family val="2"/>
    </font>
    <font>
      <b/>
      <sz val="10"/>
      <color indexed="81"/>
      <name val="Tahoma"/>
      <family val="2"/>
    </font>
    <font>
      <sz val="10"/>
      <color indexed="81"/>
      <name val="Tahoma"/>
      <family val="2"/>
    </font>
    <font>
      <b/>
      <sz val="10"/>
      <color rgb="FF000000"/>
      <name val="Tahoma"/>
      <family val="2"/>
    </font>
    <font>
      <sz val="10"/>
      <color rgb="FF000000"/>
      <name val="Tahoma"/>
      <family val="2"/>
    </font>
    <font>
      <sz val="11"/>
      <color rgb="FFFF0000"/>
      <name val="Calibri"/>
      <family val="2"/>
      <scheme val="minor"/>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C000"/>
        <bgColor indexed="64"/>
      </patternFill>
    </fill>
    <fill>
      <patternFill patternType="solid">
        <fgColor theme="0"/>
        <bgColor rgb="FF3AEE3A"/>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4036">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0" fontId="56" fillId="0" borderId="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cellStyleXfs>
  <cellXfs count="1243">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0" fillId="0" borderId="0" xfId="0" applyAlignment="1">
      <alignment horizontal="center"/>
    </xf>
    <xf numFmtId="0" fontId="21" fillId="0" borderId="0" xfId="0" applyFont="1" applyAlignment="1">
      <alignment horizontal="center" vertical="center"/>
    </xf>
    <xf numFmtId="0" fontId="27" fillId="0" borderId="0" xfId="0" applyFont="1"/>
    <xf numFmtId="0" fontId="29" fillId="0" borderId="0" xfId="0" applyFont="1"/>
    <xf numFmtId="0" fontId="22" fillId="0" borderId="0" xfId="0" applyFont="1"/>
    <xf numFmtId="0" fontId="0" fillId="0" borderId="1" xfId="0" applyBorder="1" applyAlignment="1">
      <alignment horizontal="center" vertical="center"/>
    </xf>
    <xf numFmtId="0" fontId="22" fillId="3" borderId="0" xfId="0" applyFont="1" applyFill="1"/>
    <xf numFmtId="0" fontId="4" fillId="3" borderId="0" xfId="0" applyFont="1" applyFill="1"/>
    <xf numFmtId="0" fontId="5" fillId="3" borderId="0" xfId="0" applyFon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3" fillId="15" borderId="0" xfId="0" applyNumberFormat="1" applyFont="1" applyFill="1" applyAlignment="1">
      <alignment horizontal="center" vertical="center"/>
    </xf>
    <xf numFmtId="0" fontId="43" fillId="15" borderId="0" xfId="0" applyFont="1" applyFill="1" applyAlignment="1">
      <alignment horizontal="center" vertical="center"/>
    </xf>
    <xf numFmtId="180"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43"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40"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0" fontId="0" fillId="0" borderId="1" xfId="0" applyNumberFormat="1" applyBorder="1"/>
    <xf numFmtId="180" fontId="0" fillId="0" borderId="3" xfId="0" applyNumberFormat="1" applyBorder="1"/>
    <xf numFmtId="180" fontId="0" fillId="0" borderId="4" xfId="0" applyNumberFormat="1" applyBorder="1"/>
    <xf numFmtId="41" fontId="0" fillId="0" borderId="16" xfId="0" applyNumberFormat="1" applyBorder="1"/>
    <xf numFmtId="41" fontId="0" fillId="0" borderId="65" xfId="2865" applyFont="1" applyFill="1" applyBorder="1"/>
    <xf numFmtId="41" fontId="0" fillId="0" borderId="8" xfId="0" applyNumberFormat="1" applyBorder="1"/>
    <xf numFmtId="41" fontId="0" fillId="0" borderId="67" xfId="2865" applyFont="1" applyFill="1" applyBorder="1"/>
    <xf numFmtId="41" fontId="0" fillId="0" borderId="68" xfId="0" applyNumberFormat="1" applyBorder="1"/>
    <xf numFmtId="41" fontId="0" fillId="0" borderId="69" xfId="2865"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Alignment="1">
      <alignment horizontal="center"/>
    </xf>
    <xf numFmtId="0" fontId="56"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2" xfId="2867" applyFont="1" applyFill="1" applyBorder="1" applyAlignment="1">
      <alignment horizontal="center" vertical="center" wrapText="1"/>
    </xf>
    <xf numFmtId="0" fontId="55" fillId="19" borderId="61"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40"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181" fontId="5" fillId="0" borderId="0" xfId="0" applyNumberFormat="1" applyFont="1" applyAlignment="1">
      <alignment horizontal="center"/>
    </xf>
    <xf numFmtId="43" fontId="5" fillId="0" borderId="0" xfId="0" applyNumberFormat="1" applyFont="1" applyAlignment="1">
      <alignment horizontal="center"/>
    </xf>
    <xf numFmtId="170" fontId="5" fillId="0" borderId="0" xfId="3" applyFont="1" applyFill="1" applyBorder="1" applyAlignment="1">
      <alignment horizontal="center"/>
    </xf>
    <xf numFmtId="0" fontId="10" fillId="21" borderId="23" xfId="0" applyFont="1" applyFill="1" applyBorder="1" applyAlignment="1">
      <alignment horizontal="center" vertical="center" wrapText="1"/>
    </xf>
    <xf numFmtId="0" fontId="10" fillId="17" borderId="61"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0" borderId="0" xfId="0" applyFont="1" applyAlignment="1">
      <alignment horizontal="center"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4" fillId="3" borderId="0" xfId="16" applyFill="1" applyAlignment="1">
      <alignment vertical="center"/>
    </xf>
    <xf numFmtId="42" fontId="20" fillId="0" borderId="0" xfId="2866" applyFont="1" applyFill="1" applyAlignment="1">
      <alignment horizontal="center" vertical="center"/>
    </xf>
    <xf numFmtId="0" fontId="20" fillId="0" borderId="0" xfId="0" applyFont="1" applyAlignment="1">
      <alignment horizontal="center" vertical="center"/>
    </xf>
    <xf numFmtId="180" fontId="20" fillId="0" borderId="0" xfId="0" applyNumberFormat="1" applyFont="1" applyAlignment="1">
      <alignment horizontal="center" vertical="center"/>
    </xf>
    <xf numFmtId="1" fontId="20" fillId="25" borderId="0" xfId="0" applyNumberFormat="1" applyFont="1" applyFill="1" applyAlignment="1">
      <alignment horizontal="center" vertical="center"/>
    </xf>
    <xf numFmtId="181" fontId="71" fillId="0" borderId="0" xfId="0" applyNumberFormat="1" applyFont="1" applyAlignment="1">
      <alignment horizontal="center" vertical="center"/>
    </xf>
    <xf numFmtId="181" fontId="20" fillId="0" borderId="0" xfId="0" applyNumberFormat="1" applyFont="1" applyAlignment="1">
      <alignment vertical="center"/>
    </xf>
    <xf numFmtId="1" fontId="20" fillId="0" borderId="0" xfId="0" applyNumberFormat="1" applyFont="1" applyAlignment="1">
      <alignment vertical="center"/>
    </xf>
    <xf numFmtId="42" fontId="20" fillId="0" borderId="0" xfId="2866" applyFont="1" applyFill="1" applyAlignment="1">
      <alignment vertical="center"/>
    </xf>
    <xf numFmtId="2" fontId="20" fillId="0" borderId="0" xfId="0" applyNumberFormat="1" applyFont="1" applyAlignment="1">
      <alignment vertical="center"/>
    </xf>
    <xf numFmtId="0" fontId="20" fillId="0" borderId="0" xfId="0" applyFont="1" applyAlignment="1">
      <alignment vertical="center"/>
    </xf>
    <xf numFmtId="0" fontId="10" fillId="22" borderId="51" xfId="0" applyFont="1" applyFill="1" applyBorder="1" applyAlignment="1">
      <alignment horizontal="center" vertical="center" wrapText="1"/>
    </xf>
    <xf numFmtId="42" fontId="73" fillId="3" borderId="0" xfId="2866" applyFont="1" applyFill="1" applyAlignment="1">
      <alignment horizontal="center" vertical="center"/>
    </xf>
    <xf numFmtId="1" fontId="72" fillId="0" borderId="0" xfId="0" applyNumberFormat="1" applyFont="1" applyAlignment="1">
      <alignment horizontal="center" vertical="center"/>
    </xf>
    <xf numFmtId="42" fontId="72" fillId="0" borderId="0" xfId="2866" applyFont="1" applyFill="1" applyAlignment="1">
      <alignment horizontal="center" vertical="center"/>
    </xf>
    <xf numFmtId="4" fontId="71" fillId="25" borderId="0" xfId="0" applyNumberFormat="1" applyFont="1" applyFill="1" applyAlignment="1">
      <alignment vertical="center"/>
    </xf>
    <xf numFmtId="1" fontId="73" fillId="25" borderId="0" xfId="0" applyNumberFormat="1" applyFont="1" applyFill="1" applyAlignment="1">
      <alignment horizontal="center" vertical="center"/>
    </xf>
    <xf numFmtId="0" fontId="71" fillId="0" borderId="0" xfId="0" applyFont="1" applyAlignment="1">
      <alignment horizontal="center" vertical="center"/>
    </xf>
    <xf numFmtId="0" fontId="5" fillId="18" borderId="25" xfId="0" applyFont="1" applyFill="1" applyBorder="1" applyAlignment="1">
      <alignment horizontal="center" vertical="center" wrapText="1"/>
    </xf>
    <xf numFmtId="0" fontId="60" fillId="23" borderId="35" xfId="0" applyFont="1" applyFill="1" applyBorder="1" applyAlignment="1">
      <alignment horizontal="center" vertical="center" wrapText="1"/>
    </xf>
    <xf numFmtId="0" fontId="60" fillId="17" borderId="35" xfId="0" applyFont="1" applyFill="1" applyBorder="1" applyAlignment="1">
      <alignment horizontal="center" vertical="center" wrapText="1"/>
    </xf>
    <xf numFmtId="0" fontId="60" fillId="17" borderId="66" xfId="0" applyFont="1" applyFill="1" applyBorder="1" applyAlignment="1">
      <alignment horizontal="center" vertical="center" wrapText="1"/>
    </xf>
    <xf numFmtId="0" fontId="10" fillId="22" borderId="61" xfId="0" applyFont="1" applyFill="1" applyBorder="1" applyAlignment="1">
      <alignment horizontal="center" vertical="center" wrapText="1"/>
    </xf>
    <xf numFmtId="185" fontId="5" fillId="0" borderId="0" xfId="0" applyNumberFormat="1" applyFont="1" applyAlignment="1">
      <alignment horizontal="center"/>
    </xf>
    <xf numFmtId="10" fontId="4" fillId="17" borderId="2" xfId="16" applyNumberFormat="1" applyFill="1" applyBorder="1" applyAlignment="1">
      <alignment horizontal="center" vertical="center" wrapText="1"/>
    </xf>
    <xf numFmtId="181" fontId="7" fillId="0" borderId="1" xfId="2866" applyNumberFormat="1" applyFont="1" applyFill="1" applyBorder="1" applyAlignment="1">
      <alignment vertical="center"/>
    </xf>
    <xf numFmtId="181" fontId="7" fillId="0" borderId="1" xfId="10" applyNumberFormat="1" applyFont="1" applyFill="1" applyBorder="1" applyAlignment="1">
      <alignment vertical="center"/>
    </xf>
    <xf numFmtId="1" fontId="7" fillId="0" borderId="1" xfId="2866" applyNumberFormat="1" applyFont="1" applyFill="1" applyBorder="1" applyAlignment="1">
      <alignment vertical="center"/>
    </xf>
    <xf numFmtId="1" fontId="7" fillId="0" borderId="1" xfId="10" applyNumberFormat="1" applyFont="1" applyFill="1" applyBorder="1" applyAlignment="1">
      <alignment vertical="center"/>
    </xf>
    <xf numFmtId="180" fontId="7" fillId="0" borderId="1" xfId="10" applyNumberFormat="1" applyFont="1" applyFill="1" applyBorder="1" applyAlignment="1">
      <alignment horizontal="center" vertical="center"/>
    </xf>
    <xf numFmtId="180" fontId="75" fillId="0" borderId="1" xfId="10" applyNumberFormat="1" applyFont="1" applyFill="1" applyBorder="1" applyAlignment="1">
      <alignment horizontal="center" vertical="center" wrapText="1"/>
    </xf>
    <xf numFmtId="2" fontId="75"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1" fontId="5" fillId="0" borderId="1" xfId="10" applyNumberFormat="1" applyFont="1" applyFill="1" applyBorder="1" applyAlignment="1">
      <alignment horizontal="center" vertical="center"/>
    </xf>
    <xf numFmtId="42" fontId="5" fillId="0" borderId="1" xfId="2866" applyFont="1" applyFill="1" applyBorder="1" applyAlignment="1">
      <alignment horizontal="center" vertical="center"/>
    </xf>
    <xf numFmtId="42" fontId="5" fillId="0" borderId="1" xfId="2866"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2" xfId="2866" applyFont="1" applyFill="1" applyBorder="1" applyAlignment="1" applyProtection="1">
      <alignment horizontal="left" vertical="center" wrapText="1"/>
      <protection locked="0"/>
    </xf>
    <xf numFmtId="42" fontId="4" fillId="22" borderId="8" xfId="2866" applyFont="1" applyFill="1" applyBorder="1" applyAlignment="1" applyProtection="1">
      <alignment horizontal="left" vertical="center" wrapText="1"/>
      <protection locked="0"/>
    </xf>
    <xf numFmtId="0" fontId="4" fillId="17" borderId="72" xfId="0" applyFont="1" applyFill="1" applyBorder="1" applyAlignment="1" applyProtection="1">
      <alignment horizontal="left" vertical="center" wrapText="1"/>
      <protection locked="0"/>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1" fillId="0" borderId="0" xfId="0" applyNumberFormat="1" applyFont="1" applyAlignment="1">
      <alignment vertical="center"/>
    </xf>
    <xf numFmtId="1" fontId="20" fillId="0" borderId="0" xfId="0" applyNumberFormat="1" applyFont="1" applyAlignment="1">
      <alignment horizontal="center" vertical="center"/>
    </xf>
    <xf numFmtId="1" fontId="73" fillId="0" borderId="0" xfId="0" applyNumberFormat="1" applyFont="1" applyAlignment="1">
      <alignment horizontal="center" vertical="center"/>
    </xf>
    <xf numFmtId="42" fontId="73" fillId="0" borderId="0" xfId="2866" applyFont="1" applyFill="1" applyAlignment="1">
      <alignment horizontal="center"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11" xfId="0" applyBorder="1" applyAlignment="1">
      <alignment wrapText="1"/>
    </xf>
    <xf numFmtId="0" fontId="56"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43" fontId="0" fillId="0" borderId="0" xfId="0" applyNumberFormat="1" applyAlignment="1">
      <alignment horizontal="center"/>
    </xf>
    <xf numFmtId="4" fontId="0" fillId="0" borderId="0" xfId="0" applyNumberFormat="1"/>
    <xf numFmtId="42" fontId="5" fillId="3" borderId="0" xfId="2866" applyFont="1" applyFill="1" applyAlignment="1">
      <alignment horizontal="center"/>
    </xf>
    <xf numFmtId="0" fontId="56" fillId="3" borderId="5" xfId="2866" applyNumberFormat="1" applyFont="1" applyFill="1" applyBorder="1" applyAlignment="1">
      <alignment vertical="center" wrapText="1"/>
    </xf>
    <xf numFmtId="173" fontId="76" fillId="17" borderId="1" xfId="0" applyNumberFormat="1" applyFont="1" applyFill="1" applyBorder="1" applyAlignment="1">
      <alignment vertical="center"/>
    </xf>
    <xf numFmtId="173" fontId="76" fillId="18" borderId="1" xfId="0" applyNumberFormat="1" applyFont="1" applyFill="1" applyBorder="1" applyAlignment="1">
      <alignment vertical="center"/>
    </xf>
    <xf numFmtId="4" fontId="5" fillId="0" borderId="0" xfId="0" applyNumberFormat="1" applyFont="1" applyAlignment="1">
      <alignment horizontal="center"/>
    </xf>
    <xf numFmtId="4" fontId="0" fillId="0" borderId="0" xfId="0" applyNumberFormat="1" applyAlignment="1">
      <alignment horizontal="center"/>
    </xf>
    <xf numFmtId="190" fontId="7" fillId="0" borderId="0" xfId="2866" applyNumberFormat="1" applyFont="1" applyFill="1"/>
    <xf numFmtId="42" fontId="5" fillId="0" borderId="0" xfId="0" applyNumberFormat="1" applyFont="1" applyAlignment="1">
      <alignment horizontal="center"/>
    </xf>
    <xf numFmtId="4" fontId="4" fillId="3" borderId="0" xfId="0" applyNumberFormat="1" applyFont="1" applyFill="1"/>
    <xf numFmtId="0" fontId="0" fillId="3" borderId="1" xfId="0" applyFill="1" applyBorder="1" applyAlignment="1">
      <alignment horizontal="center" vertical="center" wrapText="1"/>
    </xf>
    <xf numFmtId="0" fontId="4" fillId="18" borderId="72" xfId="0" applyFont="1" applyFill="1" applyBorder="1" applyAlignment="1" applyProtection="1">
      <alignment vertical="center" wrapText="1"/>
      <protection locked="0"/>
    </xf>
    <xf numFmtId="42" fontId="4" fillId="22" borderId="8" xfId="2866" applyFont="1" applyFill="1" applyBorder="1" applyAlignment="1" applyProtection="1">
      <alignment vertical="center" wrapText="1"/>
      <protection locked="0"/>
    </xf>
    <xf numFmtId="1" fontId="4" fillId="17" borderId="72" xfId="0" applyNumberFormat="1" applyFont="1" applyFill="1" applyBorder="1" applyAlignment="1" applyProtection="1">
      <alignment vertical="center" wrapText="1"/>
      <protection locked="0"/>
    </xf>
    <xf numFmtId="42" fontId="4" fillId="18" borderId="72" xfId="2866" applyFont="1" applyFill="1" applyBorder="1" applyAlignment="1" applyProtection="1">
      <alignment vertical="center" wrapText="1"/>
      <protection locked="0"/>
    </xf>
    <xf numFmtId="2" fontId="4" fillId="17" borderId="72" xfId="0" applyNumberFormat="1"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42" fontId="4" fillId="18" borderId="45" xfId="2866" applyFont="1" applyFill="1" applyBorder="1" applyAlignment="1" applyProtection="1">
      <alignment horizontal="left" vertical="center" wrapText="1"/>
      <protection locked="0"/>
    </xf>
    <xf numFmtId="191" fontId="7" fillId="0" borderId="0" xfId="2866" applyNumberFormat="1" applyFont="1" applyFill="1" applyBorder="1"/>
    <xf numFmtId="10" fontId="4" fillId="28" borderId="0" xfId="16" applyNumberFormat="1" applyFill="1" applyAlignment="1">
      <alignment vertical="center"/>
    </xf>
    <xf numFmtId="0" fontId="16" fillId="2" borderId="0" xfId="16" applyFont="1" applyFill="1" applyAlignment="1">
      <alignment vertical="center"/>
    </xf>
    <xf numFmtId="0" fontId="16" fillId="0" borderId="0" xfId="16" applyFont="1" applyAlignment="1">
      <alignment vertical="center"/>
    </xf>
    <xf numFmtId="173" fontId="76" fillId="17" borderId="8" xfId="0" applyNumberFormat="1" applyFont="1" applyFill="1" applyBorder="1" applyAlignment="1">
      <alignment vertical="center"/>
    </xf>
    <xf numFmtId="173" fontId="76" fillId="18" borderId="8" xfId="0" applyNumberFormat="1" applyFont="1" applyFill="1" applyBorder="1" applyAlignment="1">
      <alignment vertical="center"/>
    </xf>
    <xf numFmtId="0" fontId="74" fillId="3" borderId="0" xfId="0" applyFont="1" applyFill="1"/>
    <xf numFmtId="10" fontId="3" fillId="2" borderId="0" xfId="16" applyNumberFormat="1" applyFont="1" applyFill="1" applyAlignment="1">
      <alignment vertical="center"/>
    </xf>
    <xf numFmtId="10" fontId="3" fillId="0" borderId="0" xfId="16" applyNumberFormat="1" applyFont="1" applyAlignment="1">
      <alignment vertical="center"/>
    </xf>
    <xf numFmtId="43" fontId="0" fillId="3" borderId="0" xfId="0" applyNumberFormat="1" applyFill="1" applyAlignment="1">
      <alignment horizontal="center" vertical="center"/>
    </xf>
    <xf numFmtId="43" fontId="0" fillId="3" borderId="0" xfId="0" applyNumberFormat="1" applyFill="1" applyAlignment="1">
      <alignment horizontal="center"/>
    </xf>
    <xf numFmtId="4" fontId="0" fillId="3" borderId="0" xfId="0" applyNumberFormat="1" applyFill="1"/>
    <xf numFmtId="183" fontId="0" fillId="3" borderId="0" xfId="0" applyNumberFormat="1" applyFill="1" applyAlignment="1">
      <alignment horizontal="center"/>
    </xf>
    <xf numFmtId="2" fontId="0" fillId="3" borderId="0" xfId="0" applyNumberFormat="1" applyFill="1" applyAlignment="1">
      <alignment horizontal="center"/>
    </xf>
    <xf numFmtId="0" fontId="5" fillId="29" borderId="0" xfId="0" applyFont="1" applyFill="1" applyAlignment="1">
      <alignment horizontal="center"/>
    </xf>
    <xf numFmtId="181" fontId="17" fillId="29" borderId="0" xfId="0" applyNumberFormat="1" applyFont="1" applyFill="1" applyAlignment="1">
      <alignment horizontal="center" vertical="center"/>
    </xf>
    <xf numFmtId="8" fontId="5" fillId="29" borderId="0" xfId="0" applyNumberFormat="1" applyFont="1" applyFill="1" applyAlignment="1">
      <alignment horizontal="center"/>
    </xf>
    <xf numFmtId="181" fontId="5" fillId="29" borderId="0" xfId="0" applyNumberFormat="1" applyFont="1" applyFill="1" applyAlignment="1">
      <alignment horizontal="center"/>
    </xf>
    <xf numFmtId="0" fontId="56" fillId="3" borderId="5" xfId="0" applyFont="1" applyFill="1" applyBorder="1" applyAlignment="1">
      <alignment wrapText="1"/>
    </xf>
    <xf numFmtId="42" fontId="56" fillId="3" borderId="5" xfId="2866" applyFont="1" applyFill="1" applyBorder="1" applyAlignment="1">
      <alignment vertical="center"/>
    </xf>
    <xf numFmtId="0" fontId="56" fillId="3" borderId="18" xfId="0" applyFont="1" applyFill="1" applyBorder="1" applyAlignment="1">
      <alignment vertical="center"/>
    </xf>
    <xf numFmtId="4" fontId="0" fillId="3" borderId="0" xfId="0" applyNumberFormat="1" applyFill="1" applyAlignment="1">
      <alignment horizontal="center"/>
    </xf>
    <xf numFmtId="0" fontId="0" fillId="0" borderId="0" xfId="0" applyAlignment="1">
      <alignment vertical="center" wrapText="1"/>
    </xf>
    <xf numFmtId="0" fontId="80" fillId="19" borderId="11" xfId="2867" applyFont="1" applyFill="1" applyBorder="1" applyAlignment="1">
      <alignment horizontal="center" vertical="center" wrapText="1"/>
    </xf>
    <xf numFmtId="0" fontId="35" fillId="0" borderId="0" xfId="0" applyFont="1"/>
    <xf numFmtId="0" fontId="35" fillId="0" borderId="11" xfId="0" applyFont="1" applyBorder="1"/>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xf numFmtId="0" fontId="35" fillId="0" borderId="4" xfId="0" applyFont="1" applyBorder="1"/>
    <xf numFmtId="42" fontId="35" fillId="0" borderId="0" xfId="0" applyNumberFormat="1" applyFont="1"/>
    <xf numFmtId="0" fontId="35" fillId="3" borderId="0" xfId="0" applyFont="1" applyFill="1"/>
    <xf numFmtId="0" fontId="35" fillId="3" borderId="0" xfId="0" applyFont="1" applyFill="1" applyAlignment="1">
      <alignment horizontal="center" vertical="center"/>
    </xf>
    <xf numFmtId="42" fontId="35" fillId="3" borderId="0" xfId="0" applyNumberFormat="1" applyFont="1" applyFill="1"/>
    <xf numFmtId="0" fontId="35" fillId="0" borderId="12" xfId="0" applyFont="1" applyBorder="1"/>
    <xf numFmtId="3" fontId="0" fillId="0" borderId="0" xfId="0" applyNumberFormat="1" applyAlignment="1">
      <alignment horizontal="center"/>
    </xf>
    <xf numFmtId="4" fontId="33" fillId="0" borderId="0" xfId="0" applyNumberFormat="1" applyFont="1"/>
    <xf numFmtId="3" fontId="0" fillId="3" borderId="0" xfId="0" applyNumberFormat="1" applyFill="1" applyAlignment="1">
      <alignment horizontal="center"/>
    </xf>
    <xf numFmtId="0" fontId="71" fillId="0" borderId="0" xfId="0" applyFont="1"/>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center" vertical="center" wrapText="1"/>
    </xf>
    <xf numFmtId="183" fontId="9" fillId="0" borderId="0" xfId="0" applyNumberFormat="1" applyFont="1" applyAlignment="1">
      <alignment horizontal="left" vertical="center" wrapText="1"/>
    </xf>
    <xf numFmtId="4" fontId="7" fillId="0" borderId="0" xfId="0" applyNumberFormat="1" applyFont="1"/>
    <xf numFmtId="2" fontId="33" fillId="27" borderId="0" xfId="0" applyNumberFormat="1" applyFont="1" applyFill="1"/>
    <xf numFmtId="4" fontId="33" fillId="15" borderId="0" xfId="0" applyNumberFormat="1" applyFont="1" applyFill="1" applyAlignment="1">
      <alignment horizontal="center" wrapText="1"/>
    </xf>
    <xf numFmtId="3" fontId="7" fillId="0" borderId="0" xfId="0" applyNumberFormat="1" applyFont="1"/>
    <xf numFmtId="3" fontId="33" fillId="27" borderId="0" xfId="0" applyNumberFormat="1" applyFont="1" applyFill="1"/>
    <xf numFmtId="4" fontId="33" fillId="0" borderId="0" xfId="0" applyNumberFormat="1" applyFont="1" applyAlignment="1">
      <alignment horizontal="center" wrapText="1"/>
    </xf>
    <xf numFmtId="169" fontId="7" fillId="0" borderId="0" xfId="10" applyFont="1" applyFill="1" applyBorder="1" applyAlignment="1">
      <alignment wrapText="1"/>
    </xf>
    <xf numFmtId="0" fontId="33" fillId="27"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63"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2868" applyNumberFormat="1" applyFont="1" applyFill="1" applyBorder="1" applyAlignment="1">
      <alignment horizontal="center" vertical="center"/>
    </xf>
    <xf numFmtId="2" fontId="7" fillId="0" borderId="0" xfId="0" applyNumberFormat="1" applyFont="1" applyAlignment="1">
      <alignment horizontal="center" vertical="center"/>
    </xf>
    <xf numFmtId="43" fontId="7" fillId="0" borderId="0" xfId="0" applyNumberFormat="1" applyFont="1" applyAlignment="1">
      <alignment horizontal="center" vertical="center"/>
    </xf>
    <xf numFmtId="183" fontId="60" fillId="0" borderId="0" xfId="0" applyNumberFormat="1" applyFont="1" applyAlignment="1">
      <alignment horizontal="center" vertical="center" wrapText="1"/>
    </xf>
    <xf numFmtId="4" fontId="60" fillId="0" borderId="0" xfId="0" applyNumberFormat="1" applyFont="1" applyAlignment="1">
      <alignment horizontal="center" vertical="center" wrapText="1"/>
    </xf>
    <xf numFmtId="2" fontId="59" fillId="3" borderId="0" xfId="0" applyNumberFormat="1" applyFont="1" applyFill="1" applyAlignment="1">
      <alignment horizontal="center" vertical="center"/>
    </xf>
    <xf numFmtId="4" fontId="59" fillId="3" borderId="0" xfId="0" applyNumberFormat="1" applyFont="1" applyFill="1" applyAlignment="1">
      <alignment horizontal="center" vertical="center"/>
    </xf>
    <xf numFmtId="0" fontId="7" fillId="3" borderId="0" xfId="0" applyFont="1" applyFill="1" applyAlignment="1">
      <alignment horizontal="center" vertical="center"/>
    </xf>
    <xf numFmtId="43" fontId="61" fillId="3" borderId="0" xfId="24" applyNumberFormat="1" applyFont="1" applyFill="1" applyBorder="1" applyAlignment="1">
      <alignment horizontal="center" vertical="center"/>
    </xf>
    <xf numFmtId="9" fontId="64" fillId="3" borderId="0" xfId="24" applyFont="1" applyFill="1" applyBorder="1" applyAlignment="1">
      <alignment horizontal="center" vertical="center"/>
    </xf>
    <xf numFmtId="9" fontId="61" fillId="3" borderId="0" xfId="24" applyFont="1" applyFill="1" applyBorder="1" applyAlignment="1">
      <alignment horizontal="center" vertical="center"/>
    </xf>
    <xf numFmtId="0" fontId="26"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0" fontId="33" fillId="15" borderId="0" xfId="0" applyFont="1" applyFill="1" applyAlignment="1">
      <alignment horizontal="center" wrapText="1"/>
    </xf>
    <xf numFmtId="41" fontId="0" fillId="0" borderId="0" xfId="0" applyNumberFormat="1" applyAlignment="1">
      <alignment horizontal="center"/>
    </xf>
    <xf numFmtId="43" fontId="58" fillId="0" borderId="0" xfId="0" applyNumberFormat="1" applyFont="1"/>
    <xf numFmtId="2" fontId="0" fillId="0" borderId="0" xfId="0" applyNumberFormat="1"/>
    <xf numFmtId="0" fontId="22" fillId="0" borderId="0" xfId="0" applyFont="1" applyAlignment="1">
      <alignment horizontal="center"/>
    </xf>
    <xf numFmtId="3" fontId="22" fillId="0" borderId="0" xfId="0" applyNumberFormat="1" applyFont="1" applyAlignment="1">
      <alignment horizontal="center"/>
    </xf>
    <xf numFmtId="0" fontId="4" fillId="18" borderId="74" xfId="0" applyFont="1" applyFill="1" applyBorder="1" applyAlignment="1" applyProtection="1">
      <alignment vertical="center" wrapText="1"/>
      <protection locked="0"/>
    </xf>
    <xf numFmtId="0" fontId="5" fillId="18" borderId="9" xfId="0" applyFont="1" applyFill="1" applyBorder="1" applyAlignment="1">
      <alignment horizontal="center" vertical="center" wrapText="1"/>
    </xf>
    <xf numFmtId="0" fontId="5" fillId="23" borderId="22" xfId="0" applyFont="1" applyFill="1" applyBorder="1" applyAlignment="1">
      <alignment horizontal="center" vertical="center" wrapText="1"/>
    </xf>
    <xf numFmtId="0" fontId="5" fillId="17" borderId="22"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10" fillId="23" borderId="59" xfId="0" applyFont="1" applyFill="1" applyBorder="1" applyAlignment="1">
      <alignment horizontal="center" vertical="center" wrapText="1"/>
    </xf>
    <xf numFmtId="0" fontId="10" fillId="17" borderId="59" xfId="0" applyFont="1" applyFill="1" applyBorder="1" applyAlignment="1">
      <alignment horizontal="center" vertical="center" wrapText="1"/>
    </xf>
    <xf numFmtId="169" fontId="59" fillId="3" borderId="0" xfId="10" applyFont="1" applyFill="1" applyAlignment="1">
      <alignment horizontal="center" vertical="center"/>
    </xf>
    <xf numFmtId="4" fontId="57" fillId="0" borderId="0" xfId="0" applyNumberFormat="1" applyFont="1" applyAlignment="1">
      <alignment vertical="top" wrapText="1"/>
    </xf>
    <xf numFmtId="193" fontId="0" fillId="0" borderId="0" xfId="0" applyNumberFormat="1" applyAlignment="1">
      <alignment horizontal="center"/>
    </xf>
    <xf numFmtId="4" fontId="7" fillId="0" borderId="0" xfId="0" applyNumberFormat="1" applyFont="1" applyAlignment="1">
      <alignment wrapText="1"/>
    </xf>
    <xf numFmtId="0" fontId="56" fillId="3" borderId="5" xfId="0" applyFont="1" applyFill="1" applyBorder="1" applyAlignment="1">
      <alignment vertical="top" wrapText="1"/>
    </xf>
    <xf numFmtId="0" fontId="56" fillId="3" borderId="5" xfId="0" applyFont="1" applyFill="1" applyBorder="1" applyAlignment="1">
      <alignment vertical="center" wrapText="1"/>
    </xf>
    <xf numFmtId="169" fontId="5" fillId="0" borderId="0" xfId="9" applyFont="1" applyAlignment="1">
      <alignment horizontal="center"/>
    </xf>
    <xf numFmtId="173" fontId="3" fillId="17" borderId="1" xfId="0" applyNumberFormat="1" applyFont="1" applyFill="1" applyBorder="1" applyAlignment="1">
      <alignment vertical="center"/>
    </xf>
    <xf numFmtId="0" fontId="5" fillId="2" borderId="0" xfId="16" applyFont="1" applyFill="1" applyAlignment="1">
      <alignment vertical="center"/>
    </xf>
    <xf numFmtId="4" fontId="5" fillId="2" borderId="0" xfId="16" applyNumberFormat="1" applyFont="1" applyFill="1" applyAlignment="1">
      <alignment vertical="center"/>
    </xf>
    <xf numFmtId="10" fontId="5" fillId="2" borderId="0" xfId="16" applyNumberFormat="1" applyFont="1" applyFill="1" applyAlignment="1">
      <alignment vertical="center"/>
    </xf>
    <xf numFmtId="0" fontId="65" fillId="0" borderId="0" xfId="16" applyFont="1" applyAlignment="1">
      <alignment vertical="center"/>
    </xf>
    <xf numFmtId="2" fontId="65" fillId="0" borderId="0" xfId="16" applyNumberFormat="1" applyFont="1" applyAlignment="1">
      <alignment vertical="center"/>
    </xf>
    <xf numFmtId="0" fontId="3" fillId="3" borderId="1"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3" fillId="0" borderId="0" xfId="0" applyFont="1" applyAlignment="1">
      <alignment horizontal="left" vertical="center"/>
    </xf>
    <xf numFmtId="0" fontId="77" fillId="0" borderId="0" xfId="0" applyFont="1" applyAlignment="1">
      <alignment horizontal="center"/>
    </xf>
    <xf numFmtId="0" fontId="33" fillId="3" borderId="40" xfId="0" applyFont="1" applyFill="1" applyBorder="1" applyAlignment="1">
      <alignment horizontal="center" vertical="center"/>
    </xf>
    <xf numFmtId="0" fontId="33" fillId="30" borderId="5" xfId="2867" applyFont="1" applyFill="1" applyBorder="1" applyAlignment="1">
      <alignment horizontal="center" vertical="center" wrapText="1"/>
    </xf>
    <xf numFmtId="42" fontId="26" fillId="3" borderId="1" xfId="2866" applyFont="1" applyFill="1" applyBorder="1" applyAlignment="1">
      <alignment horizontal="right" vertical="center"/>
    </xf>
    <xf numFmtId="42" fontId="33" fillId="30" borderId="5" xfId="2866" applyFont="1" applyFill="1" applyBorder="1" applyAlignment="1">
      <alignment horizontal="center" vertical="center" wrapText="1"/>
    </xf>
    <xf numFmtId="196" fontId="33" fillId="30" borderId="5" xfId="10" applyNumberFormat="1" applyFont="1" applyFill="1" applyBorder="1" applyAlignment="1">
      <alignment horizontal="center" vertical="center" wrapText="1"/>
    </xf>
    <xf numFmtId="9" fontId="4" fillId="30" borderId="21" xfId="2860" applyFont="1" applyFill="1" applyBorder="1" applyAlignment="1">
      <alignment horizontal="center" vertical="center" wrapText="1"/>
    </xf>
    <xf numFmtId="0" fontId="55" fillId="3" borderId="40" xfId="0" applyFont="1" applyFill="1" applyBorder="1" applyAlignment="1">
      <alignment horizontal="center" vertical="center"/>
    </xf>
    <xf numFmtId="0" fontId="55" fillId="30" borderId="5" xfId="2867" applyFont="1" applyFill="1" applyBorder="1" applyAlignment="1">
      <alignment horizontal="center" vertical="center" wrapText="1"/>
    </xf>
    <xf numFmtId="0" fontId="80" fillId="30" borderId="21" xfId="2867" applyFont="1" applyFill="1" applyBorder="1" applyAlignment="1">
      <alignment horizontal="center" vertical="center" wrapText="1"/>
    </xf>
    <xf numFmtId="0" fontId="3" fillId="3" borderId="18" xfId="0" applyFont="1" applyFill="1" applyBorder="1" applyAlignment="1">
      <alignment horizontal="left" vertical="center"/>
    </xf>
    <xf numFmtId="0" fontId="26" fillId="3" borderId="1" xfId="0" applyFont="1" applyFill="1" applyBorder="1" applyAlignment="1">
      <alignment horizontal="center" vertical="center" wrapText="1"/>
    </xf>
    <xf numFmtId="3" fontId="26" fillId="3" borderId="1" xfId="0" applyNumberFormat="1" applyFont="1" applyFill="1" applyBorder="1" applyAlignment="1">
      <alignment horizontal="center" vertical="center"/>
    </xf>
    <xf numFmtId="196" fontId="26" fillId="3" borderId="1" xfId="10" applyNumberFormat="1" applyFont="1" applyFill="1" applyBorder="1" applyAlignment="1">
      <alignment horizontal="center" vertical="center"/>
    </xf>
    <xf numFmtId="189" fontId="26" fillId="3" borderId="11" xfId="0" applyNumberFormat="1" applyFont="1" applyFill="1" applyBorder="1" applyAlignment="1">
      <alignment horizontal="center" vertical="center"/>
    </xf>
    <xf numFmtId="6" fontId="26" fillId="3" borderId="1" xfId="2866" applyNumberFormat="1" applyFont="1" applyFill="1" applyBorder="1" applyAlignment="1">
      <alignment horizontal="right" vertical="center"/>
    </xf>
    <xf numFmtId="0" fontId="26" fillId="3" borderId="11" xfId="0" applyFont="1" applyFill="1" applyBorder="1" applyAlignment="1">
      <alignment horizontal="center" vertical="center"/>
    </xf>
    <xf numFmtId="10" fontId="26" fillId="3" borderId="11" xfId="23" applyNumberFormat="1" applyFont="1" applyFill="1" applyBorder="1" applyAlignment="1">
      <alignment horizontal="center" vertical="center"/>
    </xf>
    <xf numFmtId="9" fontId="26" fillId="3" borderId="11" xfId="2860" applyFont="1" applyFill="1" applyBorder="1" applyAlignment="1">
      <alignment horizontal="center" vertical="center"/>
    </xf>
    <xf numFmtId="0" fontId="3" fillId="3" borderId="63" xfId="0" applyFont="1" applyFill="1" applyBorder="1" applyAlignment="1">
      <alignment horizontal="left" vertical="center"/>
    </xf>
    <xf numFmtId="0" fontId="0" fillId="3" borderId="18" xfId="0" applyFill="1" applyBorder="1" applyAlignment="1">
      <alignment horizontal="center" vertical="center"/>
    </xf>
    <xf numFmtId="3" fontId="0" fillId="3" borderId="1" xfId="0" applyNumberFormat="1" applyFill="1" applyBorder="1" applyAlignment="1">
      <alignment horizontal="center" vertical="center"/>
    </xf>
    <xf numFmtId="42" fontId="19" fillId="3" borderId="1" xfId="2866" applyFont="1" applyFill="1" applyBorder="1" applyAlignment="1">
      <alignment horizontal="center" vertical="center"/>
    </xf>
    <xf numFmtId="6" fontId="19" fillId="3" borderId="1" xfId="2866" applyNumberFormat="1" applyFont="1" applyFill="1" applyBorder="1" applyAlignment="1">
      <alignment horizontal="center" vertical="center"/>
    </xf>
    <xf numFmtId="196" fontId="19" fillId="3" borderId="1" xfId="10" applyNumberFormat="1" applyFont="1" applyFill="1" applyBorder="1" applyAlignment="1">
      <alignment horizontal="center" vertical="center"/>
    </xf>
    <xf numFmtId="173" fontId="26" fillId="3" borderId="11" xfId="23" applyNumberFormat="1" applyFont="1" applyFill="1" applyBorder="1" applyAlignment="1">
      <alignment horizontal="center" vertical="center"/>
    </xf>
    <xf numFmtId="0" fontId="0" fillId="3" borderId="18" xfId="0" applyFill="1" applyBorder="1" applyAlignment="1">
      <alignment vertical="center"/>
    </xf>
    <xf numFmtId="0" fontId="0" fillId="3" borderId="1" xfId="0" applyFill="1" applyBorder="1" applyAlignment="1">
      <alignment vertical="center"/>
    </xf>
    <xf numFmtId="0" fontId="0" fillId="3" borderId="63" xfId="0" applyFill="1" applyBorder="1" applyAlignment="1">
      <alignment vertical="center"/>
    </xf>
    <xf numFmtId="0" fontId="0" fillId="3" borderId="4" xfId="0" applyFill="1" applyBorder="1" applyAlignment="1">
      <alignment vertical="center"/>
    </xf>
    <xf numFmtId="0" fontId="0" fillId="3" borderId="18" xfId="0" applyFill="1" applyBorder="1"/>
    <xf numFmtId="0" fontId="0" fillId="3" borderId="1" xfId="0" applyFill="1" applyBorder="1"/>
    <xf numFmtId="0" fontId="35" fillId="3" borderId="11" xfId="0" applyFont="1" applyFill="1" applyBorder="1"/>
    <xf numFmtId="0" fontId="0" fillId="3" borderId="63" xfId="0" applyFill="1" applyBorder="1"/>
    <xf numFmtId="0" fontId="0" fillId="3" borderId="4" xfId="0" applyFill="1" applyBorder="1"/>
    <xf numFmtId="9" fontId="0" fillId="0" borderId="1" xfId="24" applyFont="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horizontal="center" vertical="center"/>
    </xf>
    <xf numFmtId="0" fontId="0" fillId="3" borderId="11" xfId="0" applyFill="1" applyBorder="1" applyAlignment="1">
      <alignment vertical="center" wrapText="1"/>
    </xf>
    <xf numFmtId="0" fontId="35" fillId="3" borderId="1" xfId="0" applyFont="1" applyFill="1" applyBorder="1" applyAlignment="1">
      <alignment horizontal="center" vertical="center" wrapText="1"/>
    </xf>
    <xf numFmtId="0" fontId="0" fillId="3" borderId="11" xfId="0" applyFill="1" applyBorder="1" applyAlignment="1">
      <alignment wrapText="1"/>
    </xf>
    <xf numFmtId="0" fontId="26" fillId="3" borderId="1" xfId="0" applyFont="1" applyFill="1" applyBorder="1" applyAlignment="1">
      <alignment horizontal="center" vertical="center"/>
    </xf>
    <xf numFmtId="9" fontId="26" fillId="3" borderId="1" xfId="24" applyFont="1" applyFill="1" applyBorder="1" applyAlignment="1">
      <alignment horizontal="center" vertical="center"/>
    </xf>
    <xf numFmtId="0" fontId="26"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9" fontId="26" fillId="3" borderId="1" xfId="24"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xf numFmtId="0" fontId="0" fillId="3" borderId="18" xfId="0" applyFill="1" applyBorder="1" applyAlignment="1">
      <alignment horizontal="center" vertical="center" wrapText="1"/>
    </xf>
    <xf numFmtId="9" fontId="0" fillId="3" borderId="1" xfId="24" applyFont="1" applyFill="1" applyBorder="1" applyAlignment="1">
      <alignment horizontal="center" vertical="center" wrapText="1"/>
    </xf>
    <xf numFmtId="0" fontId="0" fillId="3" borderId="63" xfId="0" applyFill="1" applyBorder="1" applyAlignment="1">
      <alignment horizontal="center" vertical="center"/>
    </xf>
    <xf numFmtId="0" fontId="56" fillId="3" borderId="26" xfId="0" applyFont="1" applyFill="1" applyBorder="1" applyAlignment="1">
      <alignment horizontal="center" vertical="center"/>
    </xf>
    <xf numFmtId="0" fontId="56" fillId="3" borderId="0" xfId="0" applyFont="1" applyFill="1" applyAlignment="1">
      <alignment horizontal="center" vertical="center" wrapText="1"/>
    </xf>
    <xf numFmtId="0" fontId="56" fillId="3" borderId="0" xfId="0" applyFont="1" applyFill="1" applyAlignment="1">
      <alignment horizontal="center" vertical="top" wrapText="1"/>
    </xf>
    <xf numFmtId="0" fontId="56" fillId="3" borderId="43" xfId="0" applyFont="1" applyFill="1" applyBorder="1" applyAlignment="1">
      <alignment wrapText="1"/>
    </xf>
    <xf numFmtId="42" fontId="56" fillId="3" borderId="43" xfId="2866" applyFont="1" applyFill="1" applyBorder="1" applyAlignment="1">
      <alignment vertical="center"/>
    </xf>
    <xf numFmtId="0" fontId="56" fillId="3" borderId="43" xfId="2866" applyNumberFormat="1" applyFont="1" applyFill="1" applyBorder="1" applyAlignment="1">
      <alignment vertical="center" wrapText="1"/>
    </xf>
    <xf numFmtId="0" fontId="3" fillId="3" borderId="18" xfId="0" applyFont="1" applyFill="1" applyBorder="1" applyAlignment="1">
      <alignment vertical="center"/>
    </xf>
    <xf numFmtId="0" fontId="3" fillId="3" borderId="1" xfId="0" applyFont="1" applyFill="1" applyBorder="1" applyAlignment="1">
      <alignment vertical="center" wrapText="1"/>
    </xf>
    <xf numFmtId="3" fontId="3" fillId="3" borderId="1" xfId="0" applyNumberFormat="1" applyFont="1" applyFill="1" applyBorder="1" applyAlignment="1">
      <alignment horizontal="center" vertical="center"/>
    </xf>
    <xf numFmtId="9" fontId="0" fillId="3" borderId="1" xfId="24" applyFont="1" applyFill="1" applyBorder="1" applyAlignment="1">
      <alignment horizontal="center" vertical="center"/>
    </xf>
    <xf numFmtId="0" fontId="3" fillId="3" borderId="11" xfId="0" applyFont="1" applyFill="1" applyBorder="1" applyAlignment="1">
      <alignment wrapText="1"/>
    </xf>
    <xf numFmtId="0" fontId="26" fillId="3" borderId="11" xfId="0" applyFont="1" applyFill="1" applyBorder="1" applyAlignment="1">
      <alignment vertical="center" wrapText="1"/>
    </xf>
    <xf numFmtId="0" fontId="3" fillId="3" borderId="63" xfId="0" applyFont="1" applyFill="1" applyBorder="1" applyAlignment="1">
      <alignment vertical="center"/>
    </xf>
    <xf numFmtId="0" fontId="3" fillId="3" borderId="4" xfId="0" applyFont="1" applyFill="1" applyBorder="1" applyAlignment="1">
      <alignment vertical="center" wrapText="1"/>
    </xf>
    <xf numFmtId="0" fontId="0" fillId="3" borderId="4" xfId="0" applyFill="1" applyBorder="1" applyAlignment="1">
      <alignment horizontal="center" vertical="center"/>
    </xf>
    <xf numFmtId="0" fontId="3" fillId="3" borderId="4" xfId="0" applyFont="1" applyFill="1" applyBorder="1" applyAlignment="1">
      <alignment horizontal="center" vertical="center"/>
    </xf>
    <xf numFmtId="3" fontId="3" fillId="3" borderId="4" xfId="0" applyNumberFormat="1" applyFont="1" applyFill="1" applyBorder="1" applyAlignment="1">
      <alignment horizontal="center" vertical="center"/>
    </xf>
    <xf numFmtId="9" fontId="0" fillId="3" borderId="4" xfId="24" applyFont="1" applyFill="1" applyBorder="1" applyAlignment="1">
      <alignment horizontal="center" vertical="center"/>
    </xf>
    <xf numFmtId="0" fontId="3" fillId="3" borderId="12" xfId="0" applyFont="1" applyFill="1" applyBorder="1" applyAlignment="1">
      <alignment wrapText="1"/>
    </xf>
    <xf numFmtId="4" fontId="0" fillId="3" borderId="1" xfId="0" applyNumberFormat="1" applyFill="1" applyBorder="1" applyAlignment="1">
      <alignment horizontal="center" vertical="center"/>
    </xf>
    <xf numFmtId="0" fontId="35" fillId="3" borderId="11" xfId="0" applyFont="1" applyFill="1" applyBorder="1" applyAlignment="1">
      <alignment horizontal="center" vertical="center"/>
    </xf>
    <xf numFmtId="0" fontId="35" fillId="3" borderId="11" xfId="0" applyFont="1" applyFill="1" applyBorder="1" applyAlignment="1">
      <alignment horizontal="center" vertical="center" wrapText="1"/>
    </xf>
    <xf numFmtId="9" fontId="19" fillId="3" borderId="1" xfId="24" applyFont="1" applyFill="1" applyBorder="1" applyAlignment="1">
      <alignment horizontal="center" vertical="center"/>
    </xf>
    <xf numFmtId="9" fontId="26" fillId="3" borderId="1" xfId="23" applyFont="1" applyFill="1" applyBorder="1" applyAlignment="1">
      <alignment horizontal="center" vertical="center" wrapText="1"/>
    </xf>
    <xf numFmtId="9" fontId="19" fillId="3" borderId="4" xfId="24" applyFont="1" applyFill="1" applyBorder="1" applyAlignment="1">
      <alignment horizontal="center"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0" fillId="17" borderId="66" xfId="0" applyFont="1" applyFill="1" applyBorder="1" applyAlignment="1">
      <alignment horizontal="center" vertical="center" wrapText="1"/>
    </xf>
    <xf numFmtId="0" fontId="2" fillId="19" borderId="11" xfId="2867" applyFont="1" applyFill="1" applyBorder="1" applyAlignment="1">
      <alignment horizontal="center" vertical="center" wrapText="1"/>
    </xf>
    <xf numFmtId="0" fontId="26" fillId="0" borderId="18" xfId="0" applyFont="1" applyBorder="1" applyAlignment="1">
      <alignment horizontal="center" vertical="center"/>
    </xf>
    <xf numFmtId="0" fontId="26" fillId="0" borderId="1" xfId="0" applyFont="1" applyBorder="1" applyAlignment="1">
      <alignment horizontal="center" vertical="center"/>
    </xf>
    <xf numFmtId="42" fontId="26" fillId="0" borderId="1" xfId="2866" applyFont="1" applyFill="1" applyBorder="1" applyAlignment="1">
      <alignment horizontal="center" vertical="center"/>
    </xf>
    <xf numFmtId="196" fontId="26" fillId="0" borderId="1" xfId="0" applyNumberFormat="1" applyFont="1" applyBorder="1" applyAlignment="1">
      <alignment horizontal="center" vertical="center"/>
    </xf>
    <xf numFmtId="0" fontId="26" fillId="0" borderId="11" xfId="0" applyFont="1" applyBorder="1" applyAlignment="1">
      <alignment horizontal="center" vertical="center"/>
    </xf>
    <xf numFmtId="196" fontId="26" fillId="0" borderId="1" xfId="2866" applyNumberFormat="1" applyFont="1" applyFill="1" applyBorder="1" applyAlignment="1">
      <alignment horizontal="center" vertical="center"/>
    </xf>
    <xf numFmtId="10" fontId="26" fillId="0" borderId="11" xfId="23" applyNumberFormat="1" applyFont="1" applyFill="1" applyBorder="1" applyAlignment="1">
      <alignment horizontal="center" vertical="center"/>
    </xf>
    <xf numFmtId="0" fontId="2" fillId="19" borderId="1" xfId="2867" applyFont="1" applyFill="1" applyBorder="1" applyAlignment="1">
      <alignment horizontal="center" vertical="center" wrapText="1"/>
    </xf>
    <xf numFmtId="0" fontId="0" fillId="0" borderId="18" xfId="0" applyBorder="1" applyAlignment="1">
      <alignment horizontal="center" vertical="center"/>
    </xf>
    <xf numFmtId="0" fontId="26" fillId="0" borderId="1" xfId="0" applyFont="1" applyBorder="1" applyAlignment="1">
      <alignment horizontal="center" vertical="center" wrapText="1"/>
    </xf>
    <xf numFmtId="0" fontId="0" fillId="0" borderId="11" xfId="0" applyBorder="1" applyAlignment="1">
      <alignment horizontal="left" vertical="center" wrapText="1"/>
    </xf>
    <xf numFmtId="0" fontId="56" fillId="0" borderId="5" xfId="0" applyFont="1" applyBorder="1" applyAlignment="1">
      <alignment vertical="center" wrapText="1"/>
    </xf>
    <xf numFmtId="42" fontId="56" fillId="0" borderId="5" xfId="2866" applyFont="1" applyFill="1" applyBorder="1" applyAlignment="1">
      <alignment vertical="center"/>
    </xf>
    <xf numFmtId="0" fontId="56" fillId="0" borderId="5" xfId="2866" applyNumberFormat="1" applyFont="1" applyFill="1" applyBorder="1" applyAlignment="1">
      <alignment vertical="center" wrapText="1"/>
    </xf>
    <xf numFmtId="0" fontId="56" fillId="0" borderId="5" xfId="0" applyFont="1" applyBorder="1" applyAlignment="1">
      <alignment horizontal="center" vertical="center" wrapText="1"/>
    </xf>
    <xf numFmtId="0" fontId="56" fillId="0" borderId="5" xfId="0" applyFont="1" applyBorder="1" applyAlignment="1">
      <alignment wrapText="1"/>
    </xf>
    <xf numFmtId="0" fontId="56" fillId="0" borderId="5" xfId="0" applyFont="1" applyBorder="1" applyAlignment="1">
      <alignment vertical="top" wrapText="1"/>
    </xf>
    <xf numFmtId="0" fontId="22" fillId="0" borderId="1" xfId="0" applyFont="1" applyBorder="1" applyAlignment="1">
      <alignment horizontal="center" vertical="center"/>
    </xf>
    <xf numFmtId="0" fontId="22" fillId="0" borderId="1" xfId="0" applyFont="1" applyBorder="1"/>
    <xf numFmtId="4" fontId="22" fillId="0" borderId="1" xfId="0" applyNumberFormat="1" applyFont="1" applyBorder="1" applyAlignment="1">
      <alignment horizontal="center" vertical="center"/>
    </xf>
    <xf numFmtId="0" fontId="26" fillId="0" borderId="11" xfId="0" applyFont="1" applyBorder="1" applyAlignment="1">
      <alignment vertical="center" wrapText="1"/>
    </xf>
    <xf numFmtId="0" fontId="9" fillId="3" borderId="12" xfId="0" applyFont="1" applyFill="1" applyBorder="1" applyAlignment="1">
      <alignment vertical="center" wrapText="1"/>
    </xf>
    <xf numFmtId="2" fontId="7" fillId="0" borderId="2" xfId="10" applyNumberFormat="1" applyFont="1" applyFill="1" applyBorder="1" applyAlignment="1">
      <alignment horizontal="center" vertical="center"/>
    </xf>
    <xf numFmtId="1" fontId="5" fillId="0" borderId="2" xfId="1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4" fontId="7" fillId="0" borderId="5" xfId="9" applyNumberFormat="1" applyFont="1" applyFill="1" applyBorder="1" applyAlignment="1">
      <alignment horizontal="center" vertical="center"/>
    </xf>
    <xf numFmtId="0" fontId="4" fillId="17" borderId="56" xfId="0" applyFont="1" applyFill="1" applyBorder="1" applyAlignment="1" applyProtection="1">
      <alignment horizontal="left" vertical="center" wrapText="1"/>
      <protection locked="0"/>
    </xf>
    <xf numFmtId="1" fontId="4" fillId="17" borderId="72" xfId="0" applyNumberFormat="1" applyFont="1" applyFill="1" applyBorder="1" applyAlignment="1" applyProtection="1">
      <alignment horizontal="left" vertical="center" wrapText="1"/>
      <protection locked="0"/>
    </xf>
    <xf numFmtId="178" fontId="7" fillId="0" borderId="1" xfId="2866"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80" fontId="5" fillId="0" borderId="1" xfId="2866" applyNumberFormat="1" applyFont="1" applyFill="1" applyBorder="1" applyAlignment="1">
      <alignment horizontal="center" vertical="center" wrapText="1"/>
    </xf>
    <xf numFmtId="178" fontId="7" fillId="0" borderId="2" xfId="2866"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178" fontId="7" fillId="0" borderId="5" xfId="2866" applyNumberFormat="1" applyFont="1" applyFill="1" applyBorder="1" applyAlignment="1">
      <alignment horizontal="center" vertical="center"/>
    </xf>
    <xf numFmtId="1" fontId="5" fillId="0" borderId="5" xfId="10"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1" fontId="5" fillId="0" borderId="5" xfId="2866" applyNumberFormat="1" applyFont="1" applyFill="1" applyBorder="1" applyAlignment="1">
      <alignment horizontal="center" vertical="center" wrapText="1"/>
    </xf>
    <xf numFmtId="2" fontId="7" fillId="0" borderId="5" xfId="10" applyNumberFormat="1" applyFont="1" applyFill="1" applyBorder="1" applyAlignment="1">
      <alignment horizontal="center" vertical="center"/>
    </xf>
    <xf numFmtId="1" fontId="5" fillId="0" borderId="2" xfId="10" applyNumberFormat="1" applyFont="1" applyFill="1" applyBorder="1" applyAlignment="1">
      <alignment horizontal="center" vertical="center"/>
    </xf>
    <xf numFmtId="1" fontId="5" fillId="0" borderId="2" xfId="2866"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81" fontId="7" fillId="4" borderId="71" xfId="10" applyNumberFormat="1" applyFont="1" applyFill="1" applyBorder="1" applyAlignment="1">
      <alignment vertical="center"/>
    </xf>
    <xf numFmtId="181" fontId="7" fillId="4" borderId="52" xfId="10" applyNumberFormat="1" applyFont="1" applyFill="1" applyBorder="1" applyAlignment="1">
      <alignment vertical="center"/>
    </xf>
    <xf numFmtId="181" fontId="7" fillId="26" borderId="71" xfId="10" applyNumberFormat="1" applyFont="1" applyFill="1" applyBorder="1" applyAlignment="1">
      <alignment vertical="center"/>
    </xf>
    <xf numFmtId="173" fontId="3" fillId="18" borderId="1" xfId="0" applyNumberFormat="1" applyFont="1" applyFill="1" applyBorder="1" applyAlignment="1">
      <alignment vertical="center"/>
    </xf>
    <xf numFmtId="0" fontId="14" fillId="17" borderId="2" xfId="16" applyFont="1" applyFill="1" applyBorder="1" applyAlignment="1">
      <alignment horizontal="center" vertical="center" textRotation="90" wrapText="1"/>
    </xf>
    <xf numFmtId="0" fontId="18" fillId="17" borderId="2" xfId="16" applyFont="1" applyFill="1" applyBorder="1" applyAlignment="1">
      <alignment horizontal="center" vertical="center" textRotation="90" wrapText="1"/>
    </xf>
    <xf numFmtId="0" fontId="79" fillId="17" borderId="2" xfId="16" applyFont="1" applyFill="1" applyBorder="1" applyAlignment="1">
      <alignment horizontal="center" vertical="center" wrapText="1"/>
    </xf>
    <xf numFmtId="0" fontId="2" fillId="17" borderId="2" xfId="16" applyFont="1" applyFill="1" applyBorder="1" applyAlignment="1">
      <alignment horizontal="center" vertical="center" wrapText="1"/>
    </xf>
    <xf numFmtId="173" fontId="76" fillId="17" borderId="3" xfId="0" applyNumberFormat="1" applyFont="1" applyFill="1" applyBorder="1" applyAlignment="1">
      <alignment vertical="center"/>
    </xf>
    <xf numFmtId="173" fontId="3" fillId="17" borderId="3" xfId="0" applyNumberFormat="1" applyFont="1" applyFill="1" applyBorder="1" applyAlignment="1">
      <alignment vertical="center"/>
    </xf>
    <xf numFmtId="179" fontId="74" fillId="0" borderId="1" xfId="5" applyNumberFormat="1" applyFont="1" applyFill="1" applyBorder="1" applyAlignment="1">
      <alignment horizontal="center" vertical="center"/>
    </xf>
    <xf numFmtId="0" fontId="4" fillId="17" borderId="39" xfId="0" applyFont="1" applyFill="1" applyBorder="1" applyAlignment="1">
      <alignment vertical="center" wrapText="1"/>
    </xf>
    <xf numFmtId="0" fontId="4" fillId="17" borderId="29" xfId="0" applyFont="1" applyFill="1" applyBorder="1" applyAlignment="1">
      <alignment vertical="center" wrapText="1"/>
    </xf>
    <xf numFmtId="0" fontId="4" fillId="17" borderId="28" xfId="0" applyFont="1" applyFill="1" applyBorder="1" applyAlignment="1">
      <alignment vertical="center" wrapText="1"/>
    </xf>
    <xf numFmtId="42" fontId="16" fillId="17" borderId="1" xfId="0" applyNumberFormat="1" applyFont="1" applyFill="1" applyBorder="1" applyAlignment="1">
      <alignment horizontal="center" vertical="center" wrapText="1"/>
    </xf>
    <xf numFmtId="42" fontId="16" fillId="17" borderId="18" xfId="0" applyNumberFormat="1" applyFont="1" applyFill="1" applyBorder="1" applyAlignment="1">
      <alignment horizontal="center" vertical="center" wrapText="1"/>
    </xf>
    <xf numFmtId="0" fontId="4" fillId="17" borderId="27" xfId="0" applyFont="1" applyFill="1" applyBorder="1" applyAlignment="1">
      <alignment vertical="center" wrapText="1"/>
    </xf>
    <xf numFmtId="0" fontId="4" fillId="17" borderId="0" xfId="0" applyFont="1" applyFill="1" applyAlignment="1">
      <alignment vertical="center" wrapText="1"/>
    </xf>
    <xf numFmtId="0" fontId="4" fillId="17" borderId="26" xfId="0" applyFont="1" applyFill="1" applyBorder="1" applyAlignment="1">
      <alignment vertical="center" wrapText="1"/>
    </xf>
    <xf numFmtId="42" fontId="16" fillId="17" borderId="5" xfId="0" applyNumberFormat="1" applyFont="1" applyFill="1" applyBorder="1" applyAlignment="1">
      <alignment horizontal="center" vertical="center" wrapText="1"/>
    </xf>
    <xf numFmtId="42" fontId="16" fillId="17" borderId="40" xfId="0" applyNumberFormat="1" applyFont="1" applyFill="1" applyBorder="1" applyAlignment="1">
      <alignment horizontal="center" vertical="center" wrapText="1"/>
    </xf>
    <xf numFmtId="4" fontId="4" fillId="0" borderId="1" xfId="10" applyNumberFormat="1" applyFont="1" applyFill="1" applyBorder="1" applyAlignment="1">
      <alignment horizontal="center" vertical="center" wrapText="1"/>
    </xf>
    <xf numFmtId="42" fontId="4" fillId="0" borderId="1" xfId="3301" applyFont="1" applyFill="1" applyBorder="1" applyAlignment="1">
      <alignment horizontal="center" vertical="center" wrapText="1"/>
    </xf>
    <xf numFmtId="192" fontId="4" fillId="0" borderId="1" xfId="10" applyNumberFormat="1" applyFont="1" applyFill="1" applyBorder="1" applyAlignment="1">
      <alignment horizontal="center" vertical="center" wrapText="1"/>
    </xf>
    <xf numFmtId="169" fontId="19" fillId="0" borderId="0" xfId="3251" applyFont="1" applyFill="1" applyAlignment="1">
      <alignment vertical="center"/>
    </xf>
    <xf numFmtId="179" fontId="16" fillId="0" borderId="1" xfId="10" applyNumberFormat="1" applyFont="1" applyFill="1" applyBorder="1" applyAlignment="1">
      <alignment horizontal="center" vertical="center" wrapText="1"/>
    </xf>
    <xf numFmtId="4" fontId="16" fillId="0" borderId="1" xfId="10" applyNumberFormat="1" applyFont="1" applyFill="1" applyBorder="1" applyAlignment="1">
      <alignment horizontal="center" vertical="center" wrapText="1"/>
    </xf>
    <xf numFmtId="179" fontId="4" fillId="0" borderId="1" xfId="10" applyNumberFormat="1" applyFont="1" applyFill="1" applyBorder="1" applyAlignment="1">
      <alignment horizontal="center" vertical="center" wrapText="1"/>
    </xf>
    <xf numFmtId="0" fontId="15" fillId="17" borderId="1" xfId="0" applyFont="1" applyFill="1" applyBorder="1" applyAlignment="1" applyProtection="1">
      <alignment horizontal="left" vertical="center" wrapText="1"/>
      <protection locked="0"/>
    </xf>
    <xf numFmtId="181" fontId="15" fillId="18" borderId="1" xfId="0" applyNumberFormat="1" applyFont="1" applyFill="1" applyBorder="1" applyAlignment="1" applyProtection="1">
      <alignment horizontal="left" vertical="center" wrapText="1"/>
      <protection locked="0"/>
    </xf>
    <xf numFmtId="0" fontId="15" fillId="17" borderId="5" xfId="0" applyFont="1" applyFill="1" applyBorder="1" applyAlignment="1" applyProtection="1">
      <alignment horizontal="left" vertical="center" wrapText="1"/>
      <protection locked="0"/>
    </xf>
    <xf numFmtId="169" fontId="74" fillId="0" borderId="1" xfId="3251" applyFont="1" applyFill="1" applyBorder="1" applyAlignment="1">
      <alignment horizontal="center" vertical="center"/>
    </xf>
    <xf numFmtId="170" fontId="74" fillId="0" borderId="1" xfId="2868" applyFont="1" applyFill="1" applyBorder="1" applyAlignment="1">
      <alignment horizontal="center" vertical="center"/>
    </xf>
    <xf numFmtId="4" fontId="74" fillId="0" borderId="1" xfId="5" applyNumberFormat="1" applyFont="1" applyFill="1" applyBorder="1" applyAlignment="1">
      <alignment horizontal="center" vertical="center"/>
    </xf>
    <xf numFmtId="187" fontId="16" fillId="0" borderId="1" xfId="3296" applyNumberFormat="1" applyFont="1" applyFill="1" applyBorder="1" applyAlignment="1">
      <alignment horizontal="center" vertical="center"/>
    </xf>
    <xf numFmtId="184" fontId="4" fillId="0" borderId="1" xfId="3296" applyNumberFormat="1" applyFont="1" applyFill="1" applyBorder="1" applyAlignment="1">
      <alignment horizontal="center" vertical="center"/>
    </xf>
    <xf numFmtId="4" fontId="16" fillId="0" borderId="1" xfId="3301" applyNumberFormat="1" applyFont="1" applyFill="1" applyBorder="1" applyAlignment="1">
      <alignment horizontal="center" vertical="center" wrapText="1"/>
    </xf>
    <xf numFmtId="42" fontId="16" fillId="0" borderId="1" xfId="3301" applyFont="1" applyFill="1" applyBorder="1" applyAlignment="1">
      <alignment horizontal="center" vertical="center" wrapText="1"/>
    </xf>
    <xf numFmtId="4" fontId="16" fillId="0" borderId="1" xfId="3296"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4" fontId="17" fillId="0" borderId="1" xfId="10" applyNumberFormat="1" applyFont="1" applyFill="1" applyBorder="1" applyAlignment="1">
      <alignment horizontal="center" vertical="center"/>
    </xf>
    <xf numFmtId="4" fontId="4" fillId="0" borderId="1" xfId="3296" applyNumberFormat="1" applyFont="1" applyFill="1" applyBorder="1" applyAlignment="1">
      <alignment horizontal="center" vertical="center"/>
    </xf>
    <xf numFmtId="169" fontId="4" fillId="0" borderId="1" xfId="10" applyFont="1" applyFill="1" applyBorder="1" applyAlignment="1">
      <alignment horizontal="center" vertical="center"/>
    </xf>
    <xf numFmtId="42" fontId="16" fillId="0" borderId="1" xfId="3301" applyFont="1" applyFill="1" applyBorder="1" applyAlignment="1">
      <alignment horizontal="center" vertical="center"/>
    </xf>
    <xf numFmtId="192" fontId="20" fillId="0" borderId="1" xfId="5" applyNumberFormat="1" applyFont="1" applyFill="1" applyBorder="1" applyAlignment="1">
      <alignment horizontal="center" vertical="center"/>
    </xf>
    <xf numFmtId="170" fontId="74" fillId="0" borderId="1" xfId="5" applyFont="1" applyFill="1" applyBorder="1" applyAlignment="1">
      <alignment horizontal="center" vertical="center"/>
    </xf>
    <xf numFmtId="176" fontId="74" fillId="0" borderId="1" xfId="5" applyNumberFormat="1" applyFont="1" applyFill="1" applyBorder="1" applyAlignment="1">
      <alignment horizontal="center" vertical="center"/>
    </xf>
    <xf numFmtId="187" fontId="4" fillId="0" borderId="1" xfId="3296" applyNumberFormat="1" applyFont="1" applyFill="1" applyBorder="1" applyAlignment="1">
      <alignment horizontal="center" vertical="center"/>
    </xf>
    <xf numFmtId="186" fontId="25" fillId="0" borderId="1" xfId="10" applyNumberFormat="1" applyFont="1" applyFill="1" applyBorder="1" applyAlignment="1">
      <alignment horizontal="center" vertical="center" wrapText="1"/>
    </xf>
    <xf numFmtId="4" fontId="25" fillId="0" borderId="1" xfId="10" applyNumberFormat="1" applyFont="1" applyFill="1" applyBorder="1" applyAlignment="1">
      <alignment horizontal="center" vertical="center" wrapText="1"/>
    </xf>
    <xf numFmtId="0" fontId="43" fillId="0" borderId="0" xfId="0" applyFont="1"/>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79"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8" fillId="17" borderId="42" xfId="0" applyFont="1" applyFill="1" applyBorder="1" applyAlignment="1">
      <alignment horizontal="left" vertical="center" wrapText="1"/>
    </xf>
    <xf numFmtId="0" fontId="4" fillId="17" borderId="0" xfId="0" applyFont="1" applyFill="1" applyAlignment="1">
      <alignment horizontal="center" vertical="center" wrapText="1"/>
    </xf>
    <xf numFmtId="0" fontId="18" fillId="17" borderId="8" xfId="0" applyFont="1" applyFill="1" applyBorder="1" applyAlignment="1">
      <alignment horizontal="left" vertical="center" wrapText="1"/>
    </xf>
    <xf numFmtId="0" fontId="18" fillId="17" borderId="68" xfId="0" applyFont="1" applyFill="1" applyBorder="1" applyAlignment="1">
      <alignment horizontal="left" vertical="center" wrapText="1"/>
    </xf>
    <xf numFmtId="0" fontId="4" fillId="17" borderId="29" xfId="0" applyFont="1" applyFill="1" applyBorder="1" applyAlignment="1">
      <alignment horizontal="center" vertical="center" wrapText="1"/>
    </xf>
    <xf numFmtId="188" fontId="4" fillId="17" borderId="2" xfId="16" applyNumberFormat="1" applyFill="1" applyBorder="1" applyAlignment="1">
      <alignment horizontal="center" vertical="center" wrapText="1"/>
    </xf>
    <xf numFmtId="10" fontId="3" fillId="18" borderId="1" xfId="0" applyNumberFormat="1" applyFont="1" applyFill="1" applyBorder="1" applyAlignment="1">
      <alignment vertical="center"/>
    </xf>
    <xf numFmtId="42" fontId="16" fillId="0" borderId="1" xfId="3301" applyFont="1" applyFill="1" applyBorder="1" applyAlignment="1" applyProtection="1">
      <alignment horizontal="center" vertical="center"/>
    </xf>
    <xf numFmtId="9" fontId="22" fillId="0" borderId="1" xfId="21" applyFont="1" applyFill="1" applyBorder="1" applyAlignment="1">
      <alignment horizontal="center" vertical="center"/>
    </xf>
    <xf numFmtId="2" fontId="7" fillId="0" borderId="2" xfId="10" applyNumberFormat="1" applyFont="1" applyFill="1" applyBorder="1" applyAlignment="1" applyProtection="1">
      <alignment horizontal="center" vertical="center"/>
    </xf>
    <xf numFmtId="1" fontId="5" fillId="0" borderId="2" xfId="10" applyNumberFormat="1" applyFont="1" applyFill="1" applyBorder="1" applyAlignment="1" applyProtection="1">
      <alignment horizontal="center" vertical="center" wrapText="1"/>
    </xf>
    <xf numFmtId="181" fontId="7" fillId="0" borderId="1" xfId="10" applyNumberFormat="1" applyFont="1" applyFill="1" applyBorder="1" applyAlignment="1" applyProtection="1">
      <alignment vertical="center"/>
    </xf>
    <xf numFmtId="42" fontId="5" fillId="0" borderId="1" xfId="2866" applyFont="1" applyFill="1" applyBorder="1" applyAlignment="1" applyProtection="1">
      <alignment horizontal="center" vertical="center" wrapText="1"/>
    </xf>
    <xf numFmtId="0" fontId="9" fillId="17" borderId="47" xfId="16" applyFont="1" applyFill="1" applyBorder="1" applyAlignment="1">
      <alignment vertical="center" wrapText="1"/>
    </xf>
    <xf numFmtId="0" fontId="60" fillId="2" borderId="0" xfId="16" applyFont="1" applyFill="1" applyAlignment="1">
      <alignment vertical="center"/>
    </xf>
    <xf numFmtId="196" fontId="0" fillId="0" borderId="0" xfId="0" applyNumberFormat="1"/>
    <xf numFmtId="0" fontId="0" fillId="0" borderId="63" xfId="0" applyBorder="1" applyAlignment="1">
      <alignment horizontal="center" vertical="center"/>
    </xf>
    <xf numFmtId="1" fontId="75" fillId="0" borderId="1" xfId="10" applyNumberFormat="1" applyFont="1" applyFill="1" applyBorder="1" applyAlignment="1">
      <alignment horizontal="center" vertical="center" wrapText="1"/>
    </xf>
    <xf numFmtId="181" fontId="7" fillId="4" borderId="71" xfId="10" applyNumberFormat="1" applyFont="1" applyFill="1" applyBorder="1" applyAlignment="1" applyProtection="1">
      <alignment vertical="center"/>
    </xf>
    <xf numFmtId="181" fontId="7" fillId="4" borderId="71" xfId="10" applyNumberFormat="1" applyFont="1" applyFill="1" applyBorder="1" applyAlignment="1" applyProtection="1">
      <alignment vertical="center"/>
      <protection locked="0"/>
    </xf>
    <xf numFmtId="181" fontId="7" fillId="4" borderId="75" xfId="10" applyNumberFormat="1" applyFont="1" applyFill="1" applyBorder="1" applyAlignment="1">
      <alignment vertical="center"/>
    </xf>
    <xf numFmtId="42" fontId="91" fillId="3" borderId="0" xfId="0" applyNumberFormat="1" applyFont="1" applyFill="1" applyAlignment="1">
      <alignment horizontal="center" vertical="center"/>
    </xf>
    <xf numFmtId="42" fontId="91" fillId="3" borderId="0" xfId="0" applyNumberFormat="1" applyFont="1" applyFill="1"/>
    <xf numFmtId="42" fontId="0" fillId="3" borderId="0" xfId="0" applyNumberFormat="1" applyFill="1"/>
    <xf numFmtId="196" fontId="0" fillId="0" borderId="1" xfId="9" applyNumberFormat="1" applyFont="1" applyFill="1" applyBorder="1" applyProtection="1">
      <protection locked="0"/>
    </xf>
    <xf numFmtId="0" fontId="0" fillId="0" borderId="1" xfId="0" applyBorder="1" applyProtection="1">
      <protection locked="0"/>
    </xf>
    <xf numFmtId="0" fontId="0" fillId="0" borderId="11" xfId="0" applyBorder="1" applyAlignment="1">
      <alignment horizontal="center" vertical="center" wrapText="1"/>
    </xf>
    <xf numFmtId="42" fontId="56" fillId="0" borderId="5" xfId="2866" applyFont="1" applyFill="1" applyBorder="1" applyAlignment="1" applyProtection="1">
      <alignment vertical="center"/>
      <protection locked="0"/>
    </xf>
    <xf numFmtId="0" fontId="56" fillId="0" borderId="5" xfId="2866" applyNumberFormat="1" applyFont="1" applyFill="1" applyBorder="1" applyAlignment="1" applyProtection="1">
      <alignment vertical="center" wrapText="1"/>
      <protection locked="0"/>
    </xf>
    <xf numFmtId="9" fontId="0" fillId="0" borderId="1" xfId="21" applyFont="1" applyFill="1" applyBorder="1" applyAlignment="1" applyProtection="1">
      <alignment horizontal="center" vertical="center"/>
      <protection locked="0"/>
    </xf>
    <xf numFmtId="10" fontId="22" fillId="0" borderId="1" xfId="21" applyNumberFormat="1" applyFont="1" applyFill="1" applyBorder="1" applyAlignment="1">
      <alignment horizontal="center" vertical="center"/>
    </xf>
    <xf numFmtId="181" fontId="7" fillId="0" borderId="1" xfId="10" applyNumberFormat="1" applyFont="1" applyFill="1" applyBorder="1" applyAlignment="1" applyProtection="1">
      <alignment vertical="center"/>
      <protection locked="0"/>
    </xf>
    <xf numFmtId="181" fontId="7" fillId="0" borderId="1" xfId="10" applyNumberFormat="1" applyFont="1" applyFill="1" applyBorder="1" applyAlignment="1">
      <alignment horizontal="center" vertical="center"/>
    </xf>
    <xf numFmtId="42" fontId="5" fillId="0" borderId="1" xfId="2866" applyFont="1" applyFill="1" applyBorder="1" applyAlignment="1" applyProtection="1">
      <alignment horizontal="center" vertical="center" wrapText="1"/>
      <protection locked="0"/>
    </xf>
    <xf numFmtId="2" fontId="7" fillId="0" borderId="2" xfId="10" applyNumberFormat="1" applyFont="1" applyFill="1" applyBorder="1" applyAlignment="1" applyProtection="1">
      <alignment horizontal="center" vertical="center"/>
      <protection locked="0"/>
    </xf>
    <xf numFmtId="1" fontId="5" fillId="0" borderId="2" xfId="10" applyNumberFormat="1" applyFont="1" applyFill="1" applyBorder="1" applyAlignment="1" applyProtection="1">
      <alignment horizontal="center" vertical="center" wrapText="1"/>
      <protection locked="0"/>
    </xf>
    <xf numFmtId="181" fontId="7" fillId="4" borderId="52" xfId="10" applyNumberFormat="1" applyFont="1" applyFill="1" applyBorder="1" applyAlignment="1" applyProtection="1">
      <alignment vertical="center"/>
    </xf>
    <xf numFmtId="181" fontId="7" fillId="4" borderId="52" xfId="10" applyNumberFormat="1" applyFont="1" applyFill="1" applyBorder="1" applyAlignment="1" applyProtection="1">
      <alignment vertical="center"/>
      <protection locked="0"/>
    </xf>
    <xf numFmtId="181" fontId="7" fillId="4" borderId="76" xfId="10" applyNumberFormat="1" applyFont="1" applyFill="1" applyBorder="1" applyAlignment="1">
      <alignment vertical="center"/>
    </xf>
    <xf numFmtId="181" fontId="7" fillId="4" borderId="50" xfId="10" applyNumberFormat="1" applyFont="1" applyFill="1" applyBorder="1" applyAlignment="1">
      <alignment vertical="center"/>
    </xf>
    <xf numFmtId="4" fontId="5" fillId="4" borderId="58" xfId="0" applyNumberFormat="1" applyFont="1" applyFill="1" applyBorder="1" applyAlignment="1">
      <alignment horizontal="center" vertical="center" wrapText="1"/>
    </xf>
    <xf numFmtId="4" fontId="5" fillId="4" borderId="52" xfId="0" applyNumberFormat="1" applyFont="1" applyFill="1" applyBorder="1" applyAlignment="1">
      <alignment horizontal="center" vertical="center" wrapText="1"/>
    </xf>
    <xf numFmtId="4" fontId="5" fillId="4" borderId="75" xfId="0" applyNumberFormat="1" applyFont="1" applyFill="1" applyBorder="1" applyAlignment="1">
      <alignment horizontal="center" vertical="center" wrapText="1"/>
    </xf>
    <xf numFmtId="181" fontId="7" fillId="26" borderId="76" xfId="10" applyNumberFormat="1" applyFont="1" applyFill="1" applyBorder="1" applyAlignment="1">
      <alignment vertical="center"/>
    </xf>
    <xf numFmtId="0" fontId="9" fillId="0" borderId="29" xfId="0" applyFont="1" applyBorder="1" applyAlignment="1">
      <alignment horizontal="left"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0" fillId="0" borderId="0" xfId="0" applyAlignment="1">
      <alignment horizontal="center"/>
    </xf>
    <xf numFmtId="3" fontId="5" fillId="2" borderId="0" xfId="16" applyNumberFormat="1" applyFont="1" applyFill="1" applyAlignment="1">
      <alignment vertical="center"/>
    </xf>
    <xf numFmtId="4" fontId="4" fillId="2" borderId="0" xfId="16" applyNumberFormat="1" applyFill="1" applyAlignment="1">
      <alignment vertical="center"/>
    </xf>
    <xf numFmtId="169" fontId="0" fillId="0" borderId="1" xfId="9" applyFont="1" applyFill="1" applyBorder="1" applyProtection="1">
      <protection locked="0"/>
    </xf>
    <xf numFmtId="0" fontId="2" fillId="17" borderId="19" xfId="0" applyFont="1" applyFill="1" applyBorder="1" applyAlignment="1">
      <alignment horizontal="center" vertical="center" wrapText="1"/>
    </xf>
    <xf numFmtId="0" fontId="0" fillId="0" borderId="18" xfId="0" applyFill="1" applyBorder="1"/>
    <xf numFmtId="0" fontId="0" fillId="0" borderId="1" xfId="0" applyFill="1" applyBorder="1"/>
    <xf numFmtId="169" fontId="0" fillId="0" borderId="1" xfId="9" applyFont="1" applyFill="1" applyBorder="1"/>
    <xf numFmtId="0" fontId="0" fillId="0" borderId="18" xfId="0" applyFill="1" applyBorder="1" applyAlignment="1">
      <alignment horizontal="center" vertical="center"/>
    </xf>
    <xf numFmtId="0" fontId="0" fillId="0" borderId="1" xfId="0" applyFill="1" applyBorder="1" applyAlignment="1">
      <alignment horizontal="center" vertical="center" wrapText="1"/>
    </xf>
    <xf numFmtId="0" fontId="35"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56" fillId="0" borderId="5" xfId="0" applyFont="1" applyFill="1" applyBorder="1" applyAlignment="1">
      <alignment wrapText="1"/>
    </xf>
    <xf numFmtId="0" fontId="22" fillId="0" borderId="1" xfId="0" applyFont="1" applyFill="1" applyBorder="1" applyAlignment="1">
      <alignment horizontal="center" vertical="center"/>
    </xf>
    <xf numFmtId="4" fontId="22" fillId="0" borderId="1" xfId="0" applyNumberFormat="1" applyFont="1" applyFill="1" applyBorder="1" applyAlignment="1">
      <alignment horizontal="center" vertical="center"/>
    </xf>
    <xf numFmtId="0" fontId="26" fillId="0" borderId="11" xfId="0" applyFont="1" applyFill="1" applyBorder="1" applyAlignment="1">
      <alignment vertical="center" wrapText="1"/>
    </xf>
    <xf numFmtId="10" fontId="75" fillId="0" borderId="3" xfId="16" applyNumberFormat="1" applyFont="1" applyFill="1" applyBorder="1" applyAlignment="1">
      <alignment horizontal="center" vertical="center" wrapText="1"/>
    </xf>
    <xf numFmtId="10" fontId="75" fillId="0" borderId="35" xfId="16" applyNumberFormat="1" applyFont="1" applyFill="1" applyBorder="1" applyAlignment="1">
      <alignment horizontal="center" vertical="center" wrapText="1"/>
    </xf>
    <xf numFmtId="10" fontId="5" fillId="0" borderId="3" xfId="16" applyNumberFormat="1" applyFont="1" applyFill="1" applyBorder="1" applyAlignment="1">
      <alignment horizontal="center" vertical="center" wrapText="1"/>
    </xf>
    <xf numFmtId="10" fontId="75" fillId="0" borderId="1" xfId="16" applyNumberFormat="1" applyFont="1" applyFill="1" applyBorder="1" applyAlignment="1">
      <alignment horizontal="center" vertical="center" wrapText="1"/>
    </xf>
    <xf numFmtId="10" fontId="75" fillId="0" borderId="1" xfId="16" applyNumberFormat="1" applyFont="1" applyFill="1" applyBorder="1" applyAlignment="1" applyProtection="1">
      <alignment horizontal="center" vertical="center" wrapText="1"/>
      <protection locked="0"/>
    </xf>
    <xf numFmtId="10" fontId="5" fillId="0" borderId="1" xfId="16" applyNumberFormat="1" applyFont="1" applyFill="1" applyBorder="1" applyAlignment="1">
      <alignment horizontal="center" vertical="center" wrapText="1"/>
    </xf>
    <xf numFmtId="10" fontId="82" fillId="0" borderId="1" xfId="16" applyNumberFormat="1" applyFont="1" applyFill="1" applyBorder="1" applyAlignment="1">
      <alignment horizontal="center" vertical="center" wrapText="1"/>
    </xf>
    <xf numFmtId="173" fontId="5" fillId="0" borderId="1" xfId="16"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7" fillId="0" borderId="1" xfId="9" applyNumberFormat="1" applyFont="1" applyFill="1" applyBorder="1" applyAlignment="1">
      <alignment horizontal="center" vertical="center"/>
    </xf>
    <xf numFmtId="4" fontId="5" fillId="0" borderId="1" xfId="0" applyNumberFormat="1" applyFont="1" applyFill="1" applyBorder="1" applyAlignment="1" applyProtection="1">
      <alignment horizontal="center" vertical="center" wrapText="1"/>
      <protection locked="0"/>
    </xf>
    <xf numFmtId="179" fontId="5" fillId="0" borderId="1" xfId="0" applyNumberFormat="1" applyFont="1" applyFill="1" applyBorder="1" applyAlignment="1" applyProtection="1">
      <alignment horizontal="center" vertical="center" wrapText="1"/>
      <protection locked="0"/>
    </xf>
    <xf numFmtId="10" fontId="39" fillId="0" borderId="1" xfId="21" applyNumberFormat="1" applyFont="1" applyFill="1" applyBorder="1" applyAlignment="1" applyProtection="1">
      <alignment horizontal="center" vertical="center"/>
      <protection locked="0"/>
    </xf>
    <xf numFmtId="9" fontId="39" fillId="0" borderId="1" xfId="21" applyFont="1" applyFill="1" applyBorder="1" applyAlignment="1">
      <alignment horizontal="center" vertical="center"/>
    </xf>
    <xf numFmtId="9" fontId="39" fillId="0" borderId="1" xfId="21" applyFont="1" applyFill="1" applyBorder="1" applyAlignment="1">
      <alignment horizontal="center" vertical="center" wrapText="1"/>
    </xf>
    <xf numFmtId="173" fontId="39" fillId="0" borderId="1" xfId="24" applyNumberFormat="1" applyFont="1" applyFill="1" applyBorder="1" applyAlignment="1">
      <alignment horizontal="center" vertical="center" wrapText="1"/>
    </xf>
    <xf numFmtId="9" fontId="39" fillId="0" borderId="1" xfId="24" applyFont="1" applyFill="1" applyBorder="1" applyAlignment="1">
      <alignment horizontal="center" vertical="center" wrapText="1"/>
    </xf>
    <xf numFmtId="3" fontId="5"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1" fontId="5" fillId="0" borderId="1" xfId="0" applyNumberFormat="1" applyFont="1" applyFill="1" applyBorder="1" applyAlignment="1">
      <alignment vertical="center" wrapText="1"/>
    </xf>
    <xf numFmtId="2" fontId="7" fillId="0" borderId="2" xfId="0" applyNumberFormat="1" applyFont="1" applyFill="1" applyBorder="1" applyAlignment="1">
      <alignment horizontal="center" vertical="center"/>
    </xf>
    <xf numFmtId="2" fontId="5" fillId="0" borderId="2" xfId="0" applyNumberFormat="1" applyFont="1" applyFill="1" applyBorder="1" applyAlignment="1">
      <alignment horizontal="center" vertical="center" wrapText="1"/>
    </xf>
    <xf numFmtId="193" fontId="7" fillId="0" borderId="2" xfId="0" applyNumberFormat="1" applyFont="1" applyFill="1" applyBorder="1" applyAlignment="1">
      <alignment horizontal="center" vertical="center"/>
    </xf>
    <xf numFmtId="2" fontId="7" fillId="0" borderId="2" xfId="0" applyNumberFormat="1" applyFont="1" applyFill="1" applyBorder="1" applyAlignment="1" applyProtection="1">
      <alignment horizontal="center" vertical="center"/>
      <protection locked="0"/>
    </xf>
    <xf numFmtId="4" fontId="5" fillId="0" borderId="2" xfId="0" applyNumberFormat="1" applyFont="1" applyFill="1" applyBorder="1" applyAlignment="1">
      <alignment horizontal="center" vertical="center" wrapText="1"/>
    </xf>
    <xf numFmtId="9" fontId="39" fillId="0" borderId="2" xfId="21" applyFont="1" applyFill="1" applyBorder="1" applyAlignment="1">
      <alignment horizontal="center" vertical="center"/>
    </xf>
    <xf numFmtId="9" fontId="39" fillId="0" borderId="2" xfId="21" applyFont="1" applyFill="1" applyBorder="1" applyAlignment="1">
      <alignment horizontal="center" vertical="center" wrapText="1"/>
    </xf>
    <xf numFmtId="173" fontId="39" fillId="0" borderId="2" xfId="24" applyNumberFormat="1" applyFont="1" applyFill="1" applyBorder="1" applyAlignment="1">
      <alignment horizontal="center" vertical="center" wrapText="1"/>
    </xf>
    <xf numFmtId="9" fontId="39" fillId="0" borderId="2" xfId="24"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94" fontId="5" fillId="0" borderId="5" xfId="0" applyNumberFormat="1" applyFont="1" applyFill="1" applyBorder="1" applyAlignment="1">
      <alignment horizontal="center" vertical="center" wrapText="1"/>
    </xf>
    <xf numFmtId="183" fontId="5" fillId="0" borderId="5" xfId="0" applyNumberFormat="1" applyFont="1" applyFill="1" applyBorder="1" applyAlignment="1" applyProtection="1">
      <alignment horizontal="center" vertical="center" wrapText="1"/>
      <protection locked="0"/>
    </xf>
    <xf numFmtId="182" fontId="5" fillId="0" borderId="5" xfId="0" applyNumberFormat="1" applyFont="1" applyFill="1" applyBorder="1" applyAlignment="1">
      <alignment horizontal="center" vertical="center" wrapText="1"/>
    </xf>
    <xf numFmtId="9" fontId="39" fillId="0" borderId="5" xfId="21" applyFont="1" applyFill="1" applyBorder="1" applyAlignment="1">
      <alignment horizontal="center" vertical="center"/>
    </xf>
    <xf numFmtId="9" fontId="39" fillId="0" borderId="5" xfId="21" applyFont="1" applyFill="1" applyBorder="1" applyAlignment="1">
      <alignment horizontal="center" vertical="center" wrapText="1"/>
    </xf>
    <xf numFmtId="173" fontId="39" fillId="0" borderId="5" xfId="24" applyNumberFormat="1" applyFont="1" applyFill="1" applyBorder="1" applyAlignment="1">
      <alignment horizontal="center" vertical="center" wrapText="1"/>
    </xf>
    <xf numFmtId="9" fontId="39" fillId="0" borderId="5" xfId="24" applyFont="1" applyFill="1" applyBorder="1" applyAlignment="1">
      <alignment horizontal="center" vertical="center" wrapText="1"/>
    </xf>
    <xf numFmtId="0" fontId="7" fillId="0" borderId="1" xfId="0" applyFont="1" applyFill="1" applyBorder="1" applyAlignment="1">
      <alignment horizontal="right" vertical="center"/>
    </xf>
    <xf numFmtId="183"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3" fontId="5" fillId="0" borderId="2" xfId="0" applyNumberFormat="1" applyFont="1" applyFill="1" applyBorder="1" applyAlignment="1">
      <alignment horizontal="center" vertical="center" wrapText="1"/>
    </xf>
    <xf numFmtId="182" fontId="5" fillId="0" borderId="22"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1"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4" fontId="75" fillId="0" borderId="5" xfId="0" applyNumberFormat="1" applyFont="1" applyFill="1" applyBorder="1" applyAlignment="1">
      <alignment horizontal="center" vertical="center" wrapText="1"/>
    </xf>
    <xf numFmtId="4" fontId="69" fillId="0" borderId="5" xfId="0" applyNumberFormat="1" applyFont="1" applyFill="1" applyBorder="1" applyAlignment="1">
      <alignment horizontal="center" vertical="center" wrapText="1"/>
    </xf>
    <xf numFmtId="4" fontId="5" fillId="0" borderId="5" xfId="0" applyNumberFormat="1" applyFont="1" applyFill="1" applyBorder="1" applyAlignment="1" applyProtection="1">
      <alignment horizontal="center" vertical="center" wrapText="1"/>
      <protection locked="0"/>
    </xf>
    <xf numFmtId="9" fontId="39" fillId="0" borderId="42" xfId="24" applyFont="1" applyFill="1" applyBorder="1" applyAlignment="1">
      <alignment horizontal="center" vertical="center" wrapText="1"/>
    </xf>
    <xf numFmtId="9" fontId="39" fillId="0" borderId="8" xfId="24" applyFont="1" applyFill="1" applyBorder="1" applyAlignment="1">
      <alignment horizontal="center" vertical="center" wrapText="1"/>
    </xf>
    <xf numFmtId="0" fontId="5" fillId="0" borderId="1" xfId="0" applyFont="1" applyFill="1" applyBorder="1" applyAlignment="1">
      <alignment horizontal="right" vertical="center"/>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2" xfId="0" applyNumberFormat="1" applyFont="1" applyFill="1" applyBorder="1" applyAlignment="1">
      <alignment horizontal="center" vertical="center" wrapText="1"/>
    </xf>
    <xf numFmtId="9" fontId="39" fillId="0" borderId="54" xfId="24" applyFont="1" applyFill="1" applyBorder="1" applyAlignment="1">
      <alignment horizontal="center" vertical="center" wrapText="1"/>
    </xf>
    <xf numFmtId="4" fontId="5" fillId="0" borderId="44"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179" fontId="5" fillId="4" borderId="52" xfId="0" applyNumberFormat="1" applyFont="1" applyFill="1" applyBorder="1" applyAlignment="1" applyProtection="1">
      <alignment horizontal="center" vertical="center" wrapText="1"/>
      <protection locked="0"/>
    </xf>
    <xf numFmtId="9" fontId="39" fillId="4" borderId="52" xfId="21" applyFont="1" applyFill="1" applyBorder="1" applyAlignment="1">
      <alignment horizontal="center" vertical="center"/>
    </xf>
    <xf numFmtId="9" fontId="39" fillId="4" borderId="52" xfId="21" applyFont="1" applyFill="1" applyBorder="1" applyAlignment="1">
      <alignment horizontal="center" vertical="center" wrapText="1"/>
    </xf>
    <xf numFmtId="173" fontId="39" fillId="4" borderId="52" xfId="24" applyNumberFormat="1" applyFont="1" applyFill="1" applyBorder="1" applyAlignment="1">
      <alignment horizontal="center" vertical="center" wrapText="1"/>
    </xf>
    <xf numFmtId="4" fontId="5" fillId="0" borderId="2" xfId="0" applyNumberFormat="1" applyFont="1" applyFill="1" applyBorder="1" applyAlignment="1" applyProtection="1">
      <alignment horizontal="center" vertical="center" wrapText="1"/>
      <protection locked="0"/>
    </xf>
    <xf numFmtId="10" fontId="39" fillId="0" borderId="2" xfId="21" applyNumberFormat="1" applyFont="1" applyFill="1" applyBorder="1" applyAlignment="1" applyProtection="1">
      <alignment horizontal="center" vertical="center"/>
      <protection locked="0"/>
    </xf>
    <xf numFmtId="10" fontId="39" fillId="4" borderId="52" xfId="21" applyNumberFormat="1" applyFont="1" applyFill="1" applyBorder="1" applyAlignment="1" applyProtection="1">
      <alignment horizontal="center" vertical="center"/>
      <protection locked="0"/>
    </xf>
    <xf numFmtId="9" fontId="39" fillId="4" borderId="53" xfId="24" applyFont="1" applyFill="1" applyBorder="1" applyAlignment="1">
      <alignment horizontal="center" vertical="center" wrapText="1"/>
    </xf>
    <xf numFmtId="10" fontId="39" fillId="0" borderId="5" xfId="21" applyNumberFormat="1" applyFont="1" applyFill="1" applyBorder="1" applyAlignment="1" applyProtection="1">
      <alignment horizontal="center" vertical="center"/>
      <protection locked="0"/>
    </xf>
    <xf numFmtId="4" fontId="5" fillId="4" borderId="52"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lignment horizontal="center" vertical="center"/>
    </xf>
    <xf numFmtId="3" fontId="5" fillId="0" borderId="1" xfId="5" applyNumberFormat="1" applyFont="1" applyFill="1" applyBorder="1" applyAlignment="1">
      <alignment vertical="center"/>
    </xf>
    <xf numFmtId="3" fontId="5" fillId="0" borderId="1" xfId="5" applyNumberFormat="1" applyFont="1" applyFill="1" applyBorder="1" applyAlignment="1">
      <alignment horizontal="center" vertical="center"/>
    </xf>
    <xf numFmtId="3" fontId="5" fillId="0" borderId="1" xfId="5" applyNumberFormat="1" applyFont="1" applyFill="1" applyBorder="1" applyAlignment="1">
      <alignment horizontal="left" vertical="center"/>
    </xf>
    <xf numFmtId="4" fontId="5" fillId="0" borderId="1" xfId="5" applyNumberFormat="1" applyFont="1" applyFill="1" applyBorder="1" applyAlignment="1">
      <alignment vertical="center"/>
    </xf>
    <xf numFmtId="3" fontId="57" fillId="0" borderId="1" xfId="2866" applyNumberFormat="1" applyFont="1" applyFill="1" applyBorder="1" applyAlignment="1">
      <alignment horizontal="center" vertical="center"/>
    </xf>
    <xf numFmtId="3" fontId="5" fillId="0" borderId="1" xfId="2868" applyNumberFormat="1" applyFont="1" applyFill="1" applyBorder="1" applyAlignment="1">
      <alignment vertical="center"/>
    </xf>
    <xf numFmtId="3" fontId="5" fillId="0" borderId="1" xfId="2868" applyNumberFormat="1" applyFont="1" applyFill="1" applyBorder="1" applyAlignment="1">
      <alignment horizontal="center" vertical="center"/>
    </xf>
    <xf numFmtId="4" fontId="5" fillId="0" borderId="1" xfId="2868" applyNumberFormat="1" applyFont="1" applyFill="1" applyBorder="1" applyAlignment="1">
      <alignment horizontal="center" vertical="center"/>
    </xf>
    <xf numFmtId="10" fontId="57" fillId="0" borderId="1" xfId="24" applyNumberFormat="1" applyFont="1" applyFill="1" applyBorder="1" applyAlignment="1" applyProtection="1">
      <alignment horizontal="center" vertical="center"/>
      <protection locked="0"/>
    </xf>
    <xf numFmtId="10" fontId="57" fillId="0" borderId="1" xfId="24" applyNumberFormat="1" applyFont="1" applyFill="1" applyBorder="1" applyAlignment="1">
      <alignment horizontal="center" vertical="center"/>
    </xf>
    <xf numFmtId="10" fontId="57" fillId="0" borderId="1" xfId="24" applyNumberFormat="1" applyFont="1" applyFill="1" applyBorder="1" applyAlignment="1">
      <alignment horizontal="center" vertical="center" wrapText="1"/>
    </xf>
    <xf numFmtId="3" fontId="57" fillId="0" borderId="1" xfId="0" applyNumberFormat="1" applyFont="1" applyFill="1" applyBorder="1" applyAlignment="1" applyProtection="1">
      <alignment horizontal="left" vertical="center" wrapText="1"/>
      <protection locked="0"/>
    </xf>
    <xf numFmtId="3" fontId="5" fillId="0" borderId="1"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justify" vertical="center" wrapText="1"/>
      <protection locked="0"/>
    </xf>
    <xf numFmtId="0" fontId="5" fillId="0" borderId="1" xfId="0" applyFont="1" applyFill="1" applyBorder="1" applyAlignment="1">
      <alignment horizontal="center" vertical="center" wrapText="1"/>
    </xf>
    <xf numFmtId="176" fontId="5" fillId="0" borderId="1" xfId="5" applyNumberFormat="1" applyFont="1" applyFill="1" applyBorder="1" applyAlignment="1">
      <alignment horizontal="center" vertical="center"/>
    </xf>
    <xf numFmtId="176" fontId="5" fillId="0" borderId="1" xfId="5" applyNumberFormat="1" applyFont="1" applyFill="1" applyBorder="1" applyAlignment="1">
      <alignment horizontal="left" vertical="center"/>
    </xf>
    <xf numFmtId="176" fontId="5" fillId="0" borderId="1" xfId="5" applyNumberFormat="1" applyFont="1" applyFill="1" applyBorder="1" applyAlignment="1">
      <alignment vertical="center"/>
    </xf>
    <xf numFmtId="170" fontId="5" fillId="0" borderId="1" xfId="5" applyFont="1" applyFill="1" applyBorder="1" applyAlignment="1">
      <alignment horizontal="left" vertical="center"/>
    </xf>
    <xf numFmtId="170" fontId="5" fillId="0" borderId="1" xfId="5" applyFont="1" applyFill="1" applyBorder="1" applyAlignment="1">
      <alignment vertical="center"/>
    </xf>
    <xf numFmtId="4" fontId="57" fillId="0" borderId="1" xfId="2866" applyNumberFormat="1" applyFont="1" applyFill="1" applyBorder="1" applyAlignment="1">
      <alignment horizontal="center" vertical="center"/>
    </xf>
    <xf numFmtId="170" fontId="5" fillId="0" borderId="1" xfId="2868"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169" fontId="0" fillId="0" borderId="0" xfId="10" applyFont="1"/>
    <xf numFmtId="0" fontId="14" fillId="17" borderId="40"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9" fillId="17" borderId="4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17" borderId="50"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9" xfId="19" applyFont="1" applyFill="1" applyBorder="1" applyAlignment="1">
      <alignment horizontal="left" vertical="center" wrapText="1"/>
    </xf>
    <xf numFmtId="0" fontId="10" fillId="0" borderId="58"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9" xfId="19" applyFont="1" applyBorder="1" applyAlignment="1">
      <alignment horizontal="center" vertical="center" wrapText="1"/>
    </xf>
    <xf numFmtId="0" fontId="31"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22" borderId="32" xfId="0" applyFont="1" applyFill="1" applyBorder="1" applyAlignment="1">
      <alignment horizontal="center" vertical="center" wrapText="1"/>
    </xf>
    <xf numFmtId="0" fontId="2" fillId="22" borderId="33" xfId="0" applyFont="1" applyFill="1" applyBorder="1" applyAlignment="1">
      <alignment horizontal="center" vertical="center" wrapText="1"/>
    </xf>
    <xf numFmtId="0" fontId="2" fillId="22"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2" fillId="17" borderId="1" xfId="0" applyFont="1" applyFill="1" applyBorder="1" applyAlignment="1">
      <alignment horizontal="center" vertical="center"/>
    </xf>
    <xf numFmtId="0" fontId="10" fillId="17" borderId="2" xfId="0" applyFont="1" applyFill="1" applyBorder="1" applyAlignment="1">
      <alignment horizontal="center" vertical="center" wrapText="1"/>
    </xf>
    <xf numFmtId="0" fontId="10" fillId="15" borderId="23" xfId="0" applyFont="1" applyFill="1" applyBorder="1" applyAlignment="1">
      <alignment horizontal="left" vertical="center" wrapText="1"/>
    </xf>
    <xf numFmtId="0" fontId="10" fillId="15" borderId="24" xfId="0" applyFont="1" applyFill="1" applyBorder="1" applyAlignment="1">
      <alignment horizontal="left" vertical="center" wrapText="1"/>
    </xf>
    <xf numFmtId="0" fontId="10" fillId="15" borderId="38" xfId="0" applyFont="1" applyFill="1" applyBorder="1" applyAlignment="1">
      <alignment horizontal="left" vertical="center" wrapText="1"/>
    </xf>
    <xf numFmtId="0" fontId="10" fillId="15" borderId="23" xfId="0" applyFont="1" applyFill="1" applyBorder="1" applyAlignment="1">
      <alignment horizontal="left" vertical="center"/>
    </xf>
    <xf numFmtId="0" fontId="10" fillId="15" borderId="24" xfId="0" applyFont="1" applyFill="1" applyBorder="1" applyAlignment="1">
      <alignment horizontal="left" vertical="center"/>
    </xf>
    <xf numFmtId="0" fontId="10" fillId="15" borderId="38" xfId="0" applyFont="1" applyFill="1" applyBorder="1" applyAlignment="1">
      <alignment horizontal="left" vertical="center"/>
    </xf>
    <xf numFmtId="0" fontId="9" fillId="17" borderId="48" xfId="0" applyFont="1" applyFill="1" applyBorder="1" applyAlignment="1">
      <alignment horizontal="left" vertical="center"/>
    </xf>
    <xf numFmtId="0" fontId="9" fillId="17" borderId="49" xfId="0" applyFont="1" applyFill="1" applyBorder="1" applyAlignment="1">
      <alignment horizontal="left" vertical="center"/>
    </xf>
    <xf numFmtId="0" fontId="9" fillId="17" borderId="50" xfId="0" applyFont="1" applyFill="1" applyBorder="1" applyAlignment="1">
      <alignment horizontal="left" vertical="center"/>
    </xf>
    <xf numFmtId="0" fontId="9" fillId="3" borderId="58" xfId="0" applyFont="1" applyFill="1" applyBorder="1" applyAlignment="1">
      <alignment horizontal="left" vertical="center"/>
    </xf>
    <xf numFmtId="0" fontId="9" fillId="3" borderId="52" xfId="0" applyFont="1" applyFill="1" applyBorder="1" applyAlignment="1">
      <alignment horizontal="left" vertical="center"/>
    </xf>
    <xf numFmtId="0" fontId="9" fillId="3" borderId="53" xfId="0" applyFont="1" applyFill="1" applyBorder="1" applyAlignment="1">
      <alignment horizontal="left" vertical="center"/>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29" fillId="0" borderId="23" xfId="0" applyFont="1" applyBorder="1" applyAlignment="1">
      <alignment horizontal="center"/>
    </xf>
    <xf numFmtId="0" fontId="29" fillId="0" borderId="24"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0" xfId="0" applyFont="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29" fillId="0" borderId="39" xfId="0" applyFont="1" applyBorder="1" applyAlignment="1">
      <alignment horizontal="center"/>
    </xf>
    <xf numFmtId="0" fontId="66" fillId="17" borderId="32" xfId="0" applyFont="1" applyFill="1" applyBorder="1" applyAlignment="1">
      <alignment horizontal="center" vertical="center" wrapText="1"/>
    </xf>
    <xf numFmtId="0" fontId="66" fillId="17" borderId="33" xfId="0" applyFont="1" applyFill="1" applyBorder="1" applyAlignment="1">
      <alignment horizontal="center" vertical="center" wrapText="1"/>
    </xf>
    <xf numFmtId="0" fontId="68" fillId="17" borderId="30" xfId="0" applyFont="1" applyFill="1" applyBorder="1" applyAlignment="1">
      <alignment horizontal="center"/>
    </xf>
    <xf numFmtId="0" fontId="28" fillId="3" borderId="49" xfId="0" applyFont="1" applyFill="1" applyBorder="1" applyAlignment="1">
      <alignment vertical="center" wrapText="1"/>
    </xf>
    <xf numFmtId="0" fontId="28" fillId="3" borderId="48" xfId="0" applyFont="1" applyFill="1" applyBorder="1" applyAlignment="1">
      <alignment horizontal="left" vertical="center" wrapText="1"/>
    </xf>
    <xf numFmtId="0" fontId="28" fillId="3" borderId="49" xfId="0" applyFont="1" applyFill="1" applyBorder="1" applyAlignment="1">
      <alignment horizontal="left" vertical="center" wrapText="1"/>
    </xf>
    <xf numFmtId="0" fontId="28" fillId="3" borderId="50" xfId="0" applyFont="1" applyFill="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9" xfId="0" applyFont="1" applyBorder="1" applyAlignment="1">
      <alignment horizontal="left"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62" fillId="17" borderId="48" xfId="0" applyFont="1" applyFill="1" applyBorder="1" applyAlignment="1">
      <alignment horizontal="center" vertical="center" wrapText="1"/>
    </xf>
    <xf numFmtId="0" fontId="62" fillId="17" borderId="49"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62" fillId="17" borderId="24" xfId="0" applyFont="1" applyFill="1" applyBorder="1" applyAlignment="1">
      <alignment horizontal="center" vertical="center" wrapText="1"/>
    </xf>
    <xf numFmtId="0" fontId="9" fillId="18" borderId="51" xfId="0" applyFont="1" applyFill="1" applyBorder="1" applyAlignment="1">
      <alignment horizontal="center" vertical="center" wrapText="1"/>
    </xf>
    <xf numFmtId="0" fontId="9" fillId="18" borderId="59"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9" fillId="24" borderId="51" xfId="0" applyFont="1" applyFill="1" applyBorder="1" applyAlignment="1">
      <alignment horizontal="center" vertical="center" wrapText="1"/>
    </xf>
    <xf numFmtId="0" fontId="9" fillId="24" borderId="59" xfId="0" applyFont="1" applyFill="1" applyBorder="1" applyAlignment="1">
      <alignment horizontal="center" vertical="center" wrapText="1"/>
    </xf>
    <xf numFmtId="0" fontId="62" fillId="22" borderId="48" xfId="0" applyFont="1" applyFill="1" applyBorder="1" applyAlignment="1">
      <alignment horizontal="center" vertical="center"/>
    </xf>
    <xf numFmtId="0" fontId="62" fillId="22" borderId="49" xfId="0" applyFont="1" applyFill="1" applyBorder="1" applyAlignment="1">
      <alignment horizontal="center" vertical="center"/>
    </xf>
    <xf numFmtId="0" fontId="62" fillId="22" borderId="50" xfId="0" applyFont="1" applyFill="1" applyBorder="1" applyAlignment="1">
      <alignment horizontal="center" vertical="center"/>
    </xf>
    <xf numFmtId="0" fontId="10" fillId="17" borderId="37"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7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6" fontId="78" fillId="0" borderId="49" xfId="0" applyNumberFormat="1" applyFont="1" applyBorder="1" applyAlignment="1">
      <alignment horizontal="center" vertical="center" wrapText="1"/>
    </xf>
    <xf numFmtId="6" fontId="78" fillId="0" borderId="50" xfId="0" applyNumberFormat="1" applyFont="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5" fillId="0" borderId="7" xfId="0" applyFont="1" applyFill="1" applyBorder="1" applyAlignment="1" applyProtection="1">
      <alignment horizontal="justify" vertical="center" wrapText="1"/>
      <protection locked="0"/>
    </xf>
    <xf numFmtId="0" fontId="5" fillId="0" borderId="1" xfId="0" applyFont="1" applyFill="1" applyBorder="1" applyAlignment="1">
      <alignment horizontal="justify" vertical="top" wrapText="1"/>
    </xf>
    <xf numFmtId="0" fontId="5" fillId="0" borderId="7" xfId="0" applyFont="1" applyFill="1" applyBorder="1" applyAlignment="1">
      <alignment horizontal="justify" vertical="top" wrapText="1"/>
    </xf>
    <xf numFmtId="0" fontId="5" fillId="0" borderId="1" xfId="0" applyFont="1" applyFill="1" applyBorder="1" applyAlignment="1" applyProtection="1">
      <alignment horizontal="center" vertical="center" wrapText="1"/>
      <protection locked="0"/>
    </xf>
    <xf numFmtId="10" fontId="39" fillId="17" borderId="60" xfId="21" applyNumberFormat="1" applyFont="1" applyFill="1" applyBorder="1" applyAlignment="1">
      <alignment horizontal="center" vertical="center"/>
    </xf>
    <xf numFmtId="10" fontId="39" fillId="17" borderId="0" xfId="21" applyNumberFormat="1" applyFont="1" applyFill="1" applyBorder="1" applyAlignment="1">
      <alignment horizontal="center" vertical="center"/>
    </xf>
    <xf numFmtId="10" fontId="39" fillId="17" borderId="9" xfId="21" applyNumberFormat="1" applyFont="1" applyFill="1" applyBorder="1" applyAlignment="1">
      <alignment horizontal="center" vertical="center"/>
    </xf>
    <xf numFmtId="10" fontId="39" fillId="17" borderId="42" xfId="21" applyNumberFormat="1" applyFont="1" applyFill="1" applyBorder="1" applyAlignment="1">
      <alignment horizontal="center" vertical="center"/>
    </xf>
    <xf numFmtId="10" fontId="39" fillId="17" borderId="43" xfId="21" applyNumberFormat="1" applyFont="1" applyFill="1" applyBorder="1" applyAlignment="1">
      <alignment horizontal="center" vertical="center"/>
    </xf>
    <xf numFmtId="10" fontId="39" fillId="17" borderId="44" xfId="21"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0" fontId="62" fillId="22" borderId="40" xfId="0" applyFont="1" applyFill="1" applyBorder="1" applyAlignment="1">
      <alignment horizontal="center" vertical="center"/>
    </xf>
    <xf numFmtId="0" fontId="62" fillId="22" borderId="44" xfId="0" applyFont="1" applyFill="1" applyBorder="1" applyAlignment="1">
      <alignment horizontal="center" vertical="center"/>
    </xf>
    <xf numFmtId="0" fontId="62" fillId="22" borderId="5" xfId="0" applyFont="1" applyFill="1" applyBorder="1" applyAlignment="1">
      <alignment horizontal="center" vertical="center"/>
    </xf>
    <xf numFmtId="0" fontId="65" fillId="22" borderId="56" xfId="0" applyFont="1" applyFill="1" applyBorder="1" applyAlignment="1">
      <alignment horizontal="center" vertical="center"/>
    </xf>
    <xf numFmtId="0" fontId="65" fillId="22" borderId="43" xfId="0" applyFont="1" applyFill="1" applyBorder="1" applyAlignment="1">
      <alignment horizontal="center" vertical="center"/>
    </xf>
    <xf numFmtId="0" fontId="62" fillId="22" borderId="23" xfId="0" applyFont="1" applyFill="1" applyBorder="1" applyAlignment="1">
      <alignment horizontal="center" vertical="center" wrapText="1"/>
    </xf>
    <xf numFmtId="0" fontId="62" fillId="22" borderId="2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59" xfId="0" applyFont="1" applyFill="1" applyBorder="1" applyAlignment="1">
      <alignment horizontal="center" vertical="center" wrapText="1"/>
    </xf>
    <xf numFmtId="0" fontId="83" fillId="0" borderId="1" xfId="3248" applyFill="1" applyBorder="1" applyAlignment="1">
      <alignment horizontal="center" vertic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62" fillId="17" borderId="23" xfId="0" applyFont="1" applyFill="1" applyBorder="1" applyAlignment="1">
      <alignment horizontal="center" vertical="center" wrapText="1"/>
    </xf>
    <xf numFmtId="0" fontId="62" fillId="17" borderId="38" xfId="0" applyFont="1" applyFill="1" applyBorder="1" applyAlignment="1">
      <alignment horizontal="center" vertical="center" wrapText="1"/>
    </xf>
    <xf numFmtId="0" fontId="62" fillId="17" borderId="28" xfId="0" applyFont="1" applyFill="1" applyBorder="1" applyAlignment="1">
      <alignment horizontal="center" vertical="center" wrapText="1"/>
    </xf>
    <xf numFmtId="0" fontId="62" fillId="17" borderId="29" xfId="0" applyFont="1" applyFill="1" applyBorder="1" applyAlignment="1">
      <alignment horizontal="center" vertical="center" wrapText="1"/>
    </xf>
    <xf numFmtId="0" fontId="62" fillId="17" borderId="39" xfId="0" applyFont="1" applyFill="1" applyBorder="1" applyAlignment="1">
      <alignment horizontal="center" vertical="center" wrapText="1"/>
    </xf>
    <xf numFmtId="0" fontId="67" fillId="17" borderId="6" xfId="0" applyFont="1" applyFill="1" applyBorder="1" applyAlignment="1">
      <alignment horizontal="center" vertical="center" wrapText="1"/>
    </xf>
    <xf numFmtId="0" fontId="67" fillId="17" borderId="55" xfId="0" applyFont="1" applyFill="1" applyBorder="1" applyAlignment="1">
      <alignment horizontal="center" vertical="center" wrapText="1"/>
    </xf>
    <xf numFmtId="0" fontId="67" fillId="17" borderId="57" xfId="0" applyFont="1" applyFill="1" applyBorder="1" applyAlignment="1">
      <alignment horizontal="center" vertical="center" wrapText="1"/>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62" fillId="17" borderId="24" xfId="0" applyFont="1" applyFill="1" applyBorder="1" applyAlignment="1">
      <alignment horizontal="center" vertical="center"/>
    </xf>
    <xf numFmtId="0" fontId="62" fillId="17" borderId="49" xfId="0" applyFont="1" applyFill="1" applyBorder="1" applyAlignment="1">
      <alignment horizontal="center" vertical="center"/>
    </xf>
    <xf numFmtId="0" fontId="28" fillId="0" borderId="50" xfId="0" applyFont="1" applyBorder="1" applyAlignment="1">
      <alignment horizontal="left" vertical="center"/>
    </xf>
    <xf numFmtId="0" fontId="5" fillId="0" borderId="59" xfId="0" applyFont="1" applyBorder="1" applyAlignment="1">
      <alignment vertical="center" wrapText="1"/>
    </xf>
    <xf numFmtId="0" fontId="5" fillId="0" borderId="4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10" fillId="0" borderId="4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3" xfId="0" applyFont="1" applyBorder="1" applyAlignment="1">
      <alignment horizontal="center" vertical="center" wrapText="1"/>
    </xf>
    <xf numFmtId="0" fontId="5" fillId="0" borderId="0" xfId="16" applyFont="1" applyAlignment="1">
      <alignment horizontal="center" vertical="center" wrapText="1"/>
    </xf>
    <xf numFmtId="0" fontId="30" fillId="17" borderId="17"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69" fillId="17" borderId="18" xfId="0" applyFont="1" applyFill="1" applyBorder="1" applyAlignment="1">
      <alignment horizontal="center" vertical="center" wrapText="1"/>
    </xf>
    <xf numFmtId="0" fontId="69" fillId="17" borderId="1" xfId="0" applyFont="1" applyFill="1" applyBorder="1" applyAlignment="1">
      <alignment horizontal="center" vertical="center" wrapText="1"/>
    </xf>
    <xf numFmtId="0" fontId="69" fillId="17" borderId="11" xfId="0" applyFont="1" applyFill="1" applyBorder="1" applyAlignment="1">
      <alignment horizontal="center" vertical="center" wrapText="1"/>
    </xf>
    <xf numFmtId="0" fontId="28" fillId="3" borderId="45"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6"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17" borderId="45"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9" fillId="17" borderId="10" xfId="16" applyFont="1" applyFill="1" applyBorder="1" applyAlignment="1" applyProtection="1">
      <alignment horizontal="center" vertical="center" wrapText="1"/>
      <protection locked="0"/>
    </xf>
    <xf numFmtId="0" fontId="9" fillId="17" borderId="19" xfId="16" applyFont="1" applyFill="1" applyBorder="1" applyAlignment="1" applyProtection="1">
      <alignment horizontal="center" vertical="center" wrapText="1"/>
      <protection locked="0"/>
    </xf>
    <xf numFmtId="10" fontId="3" fillId="0" borderId="3"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5" fillId="0" borderId="61" xfId="16" applyFont="1" applyFill="1" applyBorder="1" applyAlignment="1" applyProtection="1">
      <alignment horizontal="left" vertical="top" wrapText="1"/>
      <protection locked="0"/>
    </xf>
    <xf numFmtId="0" fontId="5" fillId="0" borderId="21" xfId="16" applyFont="1" applyFill="1" applyBorder="1" applyAlignment="1" applyProtection="1">
      <alignment horizontal="left" vertical="top" wrapText="1"/>
      <protection locked="0"/>
    </xf>
    <xf numFmtId="0" fontId="5" fillId="0" borderId="1" xfId="16" applyFont="1" applyFill="1" applyBorder="1" applyAlignment="1">
      <alignment horizontal="justify" vertical="top" wrapText="1"/>
    </xf>
    <xf numFmtId="0" fontId="14" fillId="0" borderId="1" xfId="0" applyFont="1" applyFill="1" applyBorder="1" applyAlignment="1" applyProtection="1">
      <alignment horizontal="center" vertical="center" wrapText="1"/>
      <protection locked="0"/>
    </xf>
    <xf numFmtId="0" fontId="4" fillId="0" borderId="17" xfId="16" applyFill="1" applyBorder="1" applyAlignment="1">
      <alignment horizontal="center" vertical="center" wrapText="1"/>
    </xf>
    <xf numFmtId="0" fontId="4" fillId="0" borderId="18" xfId="16" applyFill="1" applyBorder="1" applyAlignment="1">
      <alignment horizontal="center" vertical="center" wrapText="1"/>
    </xf>
    <xf numFmtId="0" fontId="4" fillId="0" borderId="3" xfId="16" applyFill="1" applyBorder="1" applyAlignment="1">
      <alignment horizontal="center" vertical="center" wrapText="1"/>
    </xf>
    <xf numFmtId="0" fontId="4" fillId="0" borderId="1" xfId="16" applyFill="1" applyBorder="1" applyAlignment="1">
      <alignment horizontal="center" vertical="center" wrapText="1"/>
    </xf>
    <xf numFmtId="0" fontId="5" fillId="0" borderId="3" xfId="16" applyFont="1" applyFill="1" applyBorder="1" applyAlignment="1">
      <alignment horizontal="justify" vertical="top" wrapText="1"/>
    </xf>
    <xf numFmtId="0" fontId="14" fillId="0" borderId="3" xfId="0" applyFont="1" applyFill="1" applyBorder="1" applyAlignment="1" applyProtection="1">
      <alignment horizontal="center" vertical="center" wrapText="1"/>
      <protection locked="0"/>
    </xf>
    <xf numFmtId="0" fontId="11" fillId="0" borderId="3" xfId="16" applyFont="1" applyFill="1" applyBorder="1" applyAlignment="1" applyProtection="1">
      <alignment horizontal="center" vertical="center" wrapText="1"/>
      <protection locked="0"/>
    </xf>
    <xf numFmtId="0" fontId="11" fillId="0" borderId="1" xfId="16" applyFont="1" applyFill="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5" fillId="0" borderId="19" xfId="16" applyFont="1" applyFill="1" applyBorder="1" applyAlignment="1" applyProtection="1">
      <alignment horizontal="left" vertical="top" wrapText="1"/>
      <protection locked="0"/>
    </xf>
    <xf numFmtId="0" fontId="5" fillId="0" borderId="1" xfId="16" applyFont="1" applyFill="1" applyBorder="1" applyAlignment="1">
      <alignment horizontal="center" vertical="center" wrapText="1"/>
    </xf>
    <xf numFmtId="0" fontId="5" fillId="0" borderId="1" xfId="16" applyFont="1" applyFill="1" applyBorder="1" applyAlignment="1">
      <alignment horizontal="center" vertical="top" wrapText="1"/>
    </xf>
    <xf numFmtId="0" fontId="14" fillId="0" borderId="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5" fillId="0" borderId="1" xfId="16" applyFont="1" applyFill="1" applyBorder="1" applyAlignment="1">
      <alignment horizontal="left" vertical="top" wrapText="1"/>
    </xf>
    <xf numFmtId="0" fontId="5" fillId="0" borderId="1" xfId="16" applyFont="1" applyFill="1" applyBorder="1" applyAlignment="1">
      <alignment horizontal="left" vertical="top"/>
    </xf>
    <xf numFmtId="0" fontId="11" fillId="0" borderId="2" xfId="16" applyFont="1" applyFill="1" applyBorder="1" applyAlignment="1" applyProtection="1">
      <alignment horizontal="center" vertical="center" wrapText="1"/>
      <protection locked="0"/>
    </xf>
    <xf numFmtId="0" fontId="11" fillId="0" borderId="22" xfId="16" applyFont="1" applyFill="1" applyBorder="1" applyAlignment="1" applyProtection="1">
      <alignment horizontal="center" vertical="center" wrapText="1"/>
      <protection locked="0"/>
    </xf>
    <xf numFmtId="0" fontId="11" fillId="0" borderId="5" xfId="16" applyFont="1" applyFill="1" applyBorder="1" applyAlignment="1" applyProtection="1">
      <alignment horizontal="center" vertical="center" wrapText="1"/>
      <protection locked="0"/>
    </xf>
    <xf numFmtId="0" fontId="5" fillId="0" borderId="19" xfId="16" applyFont="1" applyFill="1" applyBorder="1" applyAlignment="1">
      <alignment vertical="top" wrapText="1"/>
    </xf>
    <xf numFmtId="0" fontId="5" fillId="0" borderId="21" xfId="16" applyFont="1" applyFill="1" applyBorder="1" applyAlignment="1">
      <alignment vertical="top" wrapText="1"/>
    </xf>
    <xf numFmtId="0" fontId="60" fillId="0" borderId="2" xfId="16" applyFont="1" applyFill="1" applyBorder="1" applyAlignment="1">
      <alignment horizontal="left" vertical="top" wrapText="1"/>
    </xf>
    <xf numFmtId="0" fontId="60" fillId="0" borderId="5" xfId="16" applyFont="1" applyFill="1" applyBorder="1" applyAlignment="1">
      <alignment horizontal="left" vertical="top"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5" fillId="0" borderId="2" xfId="16" applyFont="1" applyFill="1" applyBorder="1" applyAlignment="1">
      <alignment horizontal="left" vertical="top" wrapText="1"/>
    </xf>
    <xf numFmtId="0" fontId="5" fillId="0" borderId="36" xfId="16" applyFont="1" applyFill="1" applyBorder="1" applyAlignment="1">
      <alignment horizontal="left" vertical="top" wrapText="1"/>
    </xf>
    <xf numFmtId="0" fontId="5" fillId="0" borderId="35" xfId="16" applyFont="1" applyFill="1" applyBorder="1" applyAlignment="1">
      <alignment horizontal="left" vertical="top" wrapText="1"/>
    </xf>
    <xf numFmtId="0" fontId="5" fillId="0" borderId="5" xfId="16" applyFont="1" applyFill="1" applyBorder="1" applyAlignment="1">
      <alignment horizontal="left" vertical="top" wrapText="1"/>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5" xfId="0" applyFont="1" applyBorder="1" applyAlignment="1">
      <alignment horizontal="center"/>
    </xf>
    <xf numFmtId="0" fontId="52" fillId="0" borderId="30"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53" fillId="17" borderId="23" xfId="0" applyFont="1" applyFill="1" applyBorder="1" applyAlignment="1">
      <alignment horizontal="left" vertical="center"/>
    </xf>
    <xf numFmtId="0" fontId="53" fillId="17" borderId="38" xfId="0" applyFont="1" applyFill="1" applyBorder="1" applyAlignment="1">
      <alignment horizontal="left" vertical="center"/>
    </xf>
    <xf numFmtId="0" fontId="77" fillId="0" borderId="49" xfId="0" applyFont="1" applyBorder="1" applyAlignment="1">
      <alignment horizontal="left"/>
    </xf>
    <xf numFmtId="0" fontId="77" fillId="0" borderId="50" xfId="0" applyFont="1" applyBorder="1" applyAlignment="1">
      <alignment horizontal="left"/>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4" fillId="18" borderId="41" xfId="0" applyFont="1" applyFill="1" applyBorder="1" applyAlignment="1">
      <alignment horizontal="center" vertical="center"/>
    </xf>
    <xf numFmtId="0" fontId="54" fillId="18" borderId="32" xfId="0" applyFont="1" applyFill="1" applyBorder="1" applyAlignment="1">
      <alignment horizontal="center" vertical="center"/>
    </xf>
    <xf numFmtId="0" fontId="54" fillId="18" borderId="33" xfId="0" applyFont="1" applyFill="1" applyBorder="1" applyAlignment="1">
      <alignment horizontal="center" vertical="center"/>
    </xf>
    <xf numFmtId="0" fontId="53" fillId="17" borderId="48" xfId="0" applyFont="1" applyFill="1" applyBorder="1" applyAlignment="1">
      <alignment horizontal="left" vertical="center"/>
    </xf>
    <xf numFmtId="0" fontId="53" fillId="17" borderId="50" xfId="0" applyFont="1" applyFill="1" applyBorder="1" applyAlignment="1">
      <alignment horizontal="left" vertical="center"/>
    </xf>
    <xf numFmtId="0" fontId="77" fillId="0" borderId="29" xfId="0" applyFont="1" applyBorder="1" applyAlignment="1">
      <alignment horizontal="left"/>
    </xf>
    <xf numFmtId="0" fontId="77" fillId="0" borderId="39" xfId="0" applyFont="1" applyBorder="1" applyAlignment="1">
      <alignment horizontal="left"/>
    </xf>
    <xf numFmtId="0" fontId="56" fillId="3" borderId="20" xfId="0" applyFont="1" applyFill="1" applyBorder="1" applyAlignment="1">
      <alignment horizontal="center" vertical="center"/>
    </xf>
    <xf numFmtId="0" fontId="56" fillId="3" borderId="14" xfId="0" applyFont="1" applyFill="1" applyBorder="1" applyAlignment="1">
      <alignment horizontal="center" vertical="center"/>
    </xf>
    <xf numFmtId="0" fontId="56" fillId="3" borderId="40" xfId="0" applyFont="1" applyFill="1" applyBorder="1" applyAlignment="1">
      <alignment horizontal="center" vertical="center"/>
    </xf>
    <xf numFmtId="0" fontId="56" fillId="3" borderId="35"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54" fillId="18" borderId="41" xfId="0" applyFont="1" applyFill="1" applyBorder="1" applyAlignment="1">
      <alignment horizontal="center"/>
    </xf>
    <xf numFmtId="0" fontId="54" fillId="18" borderId="32" xfId="0" applyFont="1" applyFill="1" applyBorder="1" applyAlignment="1">
      <alignment horizontal="center"/>
    </xf>
    <xf numFmtId="0" fontId="54" fillId="18" borderId="33" xfId="0" applyFont="1" applyFill="1" applyBorder="1" applyAlignment="1">
      <alignment horizontal="center"/>
    </xf>
    <xf numFmtId="0" fontId="56" fillId="3" borderId="15" xfId="0" applyFont="1" applyFill="1" applyBorder="1" applyAlignment="1">
      <alignment horizontal="center" vertical="center"/>
    </xf>
    <xf numFmtId="0" fontId="56" fillId="3" borderId="36" xfId="0" applyFont="1" applyFill="1" applyBorder="1" applyAlignment="1">
      <alignment horizontal="center" vertical="center" wrapText="1"/>
    </xf>
    <xf numFmtId="0" fontId="56" fillId="3" borderId="2" xfId="0" applyFont="1" applyFill="1" applyBorder="1" applyAlignment="1">
      <alignment horizontal="center" vertical="top" wrapText="1"/>
    </xf>
    <xf numFmtId="0" fontId="56" fillId="3" borderId="22" xfId="0" applyFont="1" applyFill="1" applyBorder="1" applyAlignment="1">
      <alignment horizontal="center" vertical="top" wrapText="1"/>
    </xf>
    <xf numFmtId="0" fontId="56" fillId="3" borderId="36" xfId="0" applyFont="1" applyFill="1" applyBorder="1" applyAlignment="1">
      <alignment horizontal="center" vertical="top" wrapText="1"/>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40" xfId="0" applyFont="1" applyBorder="1" applyAlignment="1">
      <alignment horizontal="center" vertical="center"/>
    </xf>
    <xf numFmtId="0" fontId="56" fillId="0" borderId="35"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35" xfId="0" applyFont="1" applyBorder="1" applyAlignment="1">
      <alignment vertical="center" wrapText="1"/>
    </xf>
    <xf numFmtId="0" fontId="56" fillId="0" borderId="22" xfId="0" applyFont="1" applyBorder="1" applyAlignment="1">
      <alignment vertical="center" wrapText="1"/>
    </xf>
    <xf numFmtId="0" fontId="56" fillId="0" borderId="5" xfId="0" applyFont="1" applyBorder="1" applyAlignment="1">
      <alignment vertical="center" wrapText="1"/>
    </xf>
    <xf numFmtId="0" fontId="56" fillId="0" borderId="20"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40" xfId="0" applyFont="1" applyFill="1" applyBorder="1" applyAlignment="1">
      <alignment horizontal="center" vertical="center"/>
    </xf>
    <xf numFmtId="0" fontId="56" fillId="0" borderId="2"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2" xfId="0" applyFont="1" applyBorder="1" applyAlignment="1">
      <alignment horizontal="center" vertical="center" wrapText="1"/>
    </xf>
    <xf numFmtId="0" fontId="56" fillId="0" borderId="15" xfId="0" applyFont="1" applyBorder="1" applyAlignment="1">
      <alignment horizontal="center" vertical="center"/>
    </xf>
    <xf numFmtId="0" fontId="56" fillId="0" borderId="36" xfId="0" applyFont="1" applyBorder="1" applyAlignment="1">
      <alignment horizontal="center" vertical="center" wrapText="1"/>
    </xf>
    <xf numFmtId="0" fontId="56" fillId="0" borderId="2" xfId="0" applyFont="1" applyBorder="1" applyAlignment="1">
      <alignment horizontal="center" vertical="top" wrapText="1"/>
    </xf>
    <xf numFmtId="0" fontId="56" fillId="0" borderId="22" xfId="0" applyFont="1" applyBorder="1" applyAlignment="1">
      <alignment horizontal="center" vertical="top" wrapText="1"/>
    </xf>
    <xf numFmtId="0" fontId="56" fillId="0" borderId="36" xfId="0" applyFont="1" applyBorder="1" applyAlignment="1">
      <alignment horizontal="center" vertical="top" wrapText="1"/>
    </xf>
    <xf numFmtId="181" fontId="0" fillId="0" borderId="3" xfId="9" applyNumberFormat="1" applyFont="1" applyBorder="1" applyAlignment="1">
      <alignment horizontal="center" vertical="center"/>
    </xf>
    <xf numFmtId="181" fontId="0" fillId="0" borderId="1" xfId="9" applyNumberFormat="1" applyFont="1" applyBorder="1" applyAlignment="1">
      <alignment horizontal="center" vertical="center"/>
    </xf>
    <xf numFmtId="181"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6" fillId="0" borderId="35" xfId="0" applyFont="1" applyBorder="1" applyAlignment="1">
      <alignment horizontal="center" wrapText="1"/>
    </xf>
    <xf numFmtId="0" fontId="56" fillId="0" borderId="22" xfId="0" applyFont="1" applyBorder="1" applyAlignment="1">
      <alignment horizontal="center" wrapText="1"/>
    </xf>
    <xf numFmtId="0" fontId="56" fillId="0" borderId="36" xfId="0" applyFont="1" applyBorder="1" applyAlignment="1">
      <alignment horizontal="center" wrapText="1"/>
    </xf>
    <xf numFmtId="0" fontId="56" fillId="0" borderId="35" xfId="0" applyFont="1" applyBorder="1" applyAlignment="1">
      <alignment horizontal="center" vertical="center"/>
    </xf>
    <xf numFmtId="0" fontId="56" fillId="0" borderId="22" xfId="0" applyFont="1" applyBorder="1" applyAlignment="1">
      <alignment horizontal="center" vertical="center"/>
    </xf>
    <xf numFmtId="0" fontId="56" fillId="0" borderId="36" xfId="0" applyFont="1" applyBorder="1" applyAlignment="1">
      <alignment horizontal="center" vertical="center"/>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8" xfId="0" applyFont="1" applyFill="1" applyBorder="1" applyAlignment="1">
      <alignment horizontal="center"/>
    </xf>
    <xf numFmtId="0" fontId="0" fillId="0" borderId="2" xfId="0" applyBorder="1" applyAlignment="1">
      <alignment horizontal="center" vertical="center" wrapText="1"/>
    </xf>
    <xf numFmtId="0" fontId="56"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24" xfId="0" applyFont="1" applyFill="1" applyBorder="1" applyAlignment="1">
      <alignment horizontal="center" vertical="center"/>
    </xf>
    <xf numFmtId="0" fontId="54"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56" fillId="0" borderId="13"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22" fillId="0" borderId="29" xfId="0" applyFont="1" applyBorder="1" applyAlignment="1">
      <alignment horizontal="left" vertical="center"/>
    </xf>
    <xf numFmtId="0" fontId="22"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1" fillId="0" borderId="48" xfId="0" applyFont="1" applyBorder="1" applyAlignment="1">
      <alignment horizontal="center"/>
    </xf>
    <xf numFmtId="0" fontId="51" fillId="0" borderId="49" xfId="0" applyFont="1" applyBorder="1" applyAlignment="1">
      <alignment horizontal="center"/>
    </xf>
    <xf numFmtId="0" fontId="51" fillId="0" borderId="50" xfId="0" applyFont="1" applyBorder="1" applyAlignment="1">
      <alignment horizont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0" fillId="4" borderId="2" xfId="0" applyFill="1" applyBorder="1" applyAlignment="1">
      <alignment horizontal="center" vertical="center" wrapText="1"/>
    </xf>
    <xf numFmtId="0" fontId="56" fillId="0" borderId="2"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181" fontId="7" fillId="26" borderId="70" xfId="10" applyNumberFormat="1" applyFont="1" applyFill="1" applyBorder="1" applyAlignment="1">
      <alignment vertical="center"/>
    </xf>
    <xf numFmtId="4" fontId="16" fillId="0" borderId="1" xfId="0" applyNumberFormat="1" applyFont="1" applyFill="1" applyBorder="1" applyAlignment="1">
      <alignment horizontal="center" vertical="center"/>
    </xf>
    <xf numFmtId="182" fontId="16" fillId="0" borderId="1" xfId="0" applyNumberFormat="1" applyFont="1" applyFill="1" applyBorder="1" applyAlignment="1">
      <alignment horizontal="center" vertical="center"/>
    </xf>
    <xf numFmtId="4" fontId="16" fillId="0" borderId="1" xfId="0" applyNumberFormat="1" applyFont="1" applyFill="1" applyBorder="1" applyAlignment="1" applyProtection="1">
      <alignment horizontal="center" vertical="center"/>
      <protection locked="0"/>
    </xf>
    <xf numFmtId="179" fontId="16"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9" fontId="4" fillId="0" borderId="1" xfId="0" applyNumberFormat="1" applyFont="1" applyFill="1" applyBorder="1" applyAlignment="1" applyProtection="1">
      <alignment horizontal="center" vertical="center" wrapText="1"/>
      <protection locked="0"/>
    </xf>
    <xf numFmtId="182" fontId="4" fillId="0" borderId="1" xfId="0" applyNumberFormat="1" applyFont="1" applyFill="1" applyBorder="1" applyAlignment="1">
      <alignment horizontal="center" vertical="center" wrapText="1"/>
    </xf>
    <xf numFmtId="0" fontId="44" fillId="0" borderId="1" xfId="10" applyNumberFormat="1" applyFont="1" applyFill="1" applyBorder="1" applyAlignment="1" applyProtection="1">
      <alignment horizontal="center" vertical="center" wrapText="1"/>
      <protection locked="0"/>
    </xf>
    <xf numFmtId="0" fontId="2" fillId="0" borderId="1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0" fillId="0" borderId="9" xfId="0" applyFill="1" applyBorder="1" applyAlignment="1">
      <alignment horizontal="center"/>
    </xf>
    <xf numFmtId="4" fontId="25" fillId="0" borderId="1" xfId="10" applyNumberFormat="1"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pplyProtection="1">
      <alignment horizontal="center" vertical="center"/>
      <protection locked="0"/>
    </xf>
    <xf numFmtId="179"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179" fontId="25" fillId="0" borderId="1" xfId="10" applyNumberFormat="1" applyFont="1" applyFill="1" applyBorder="1" applyAlignment="1" applyProtection="1">
      <alignment horizontal="center" vertical="center" wrapText="1"/>
      <protection locked="0"/>
    </xf>
    <xf numFmtId="169" fontId="0" fillId="0" borderId="0" xfId="10" applyFont="1" applyFill="1" applyAlignment="1">
      <alignment vertical="top"/>
    </xf>
    <xf numFmtId="179" fontId="4" fillId="0" borderId="1" xfId="0" applyNumberFormat="1" applyFont="1" applyFill="1" applyBorder="1" applyAlignment="1" applyProtection="1">
      <alignment horizontal="center" vertical="center"/>
      <protection locked="0"/>
    </xf>
    <xf numFmtId="49"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0" fillId="0" borderId="73" xfId="0" applyFill="1" applyBorder="1" applyAlignment="1">
      <alignment horizontal="center"/>
    </xf>
    <xf numFmtId="0" fontId="16" fillId="0" borderId="1" xfId="0" applyFont="1" applyFill="1" applyBorder="1" applyAlignment="1">
      <alignment vertical="center" wrapText="1"/>
    </xf>
    <xf numFmtId="0" fontId="44" fillId="0" borderId="1" xfId="2869" applyFont="1" applyFill="1" applyBorder="1" applyAlignment="1">
      <alignment horizontal="center" vertical="center" wrapText="1"/>
    </xf>
    <xf numFmtId="0" fontId="16" fillId="0" borderId="1" xfId="2869" applyFont="1" applyFill="1" applyBorder="1"/>
    <xf numFmtId="4" fontId="17" fillId="0" borderId="1" xfId="0" applyNumberFormat="1" applyFont="1" applyFill="1" applyBorder="1" applyAlignment="1">
      <alignment horizontal="center" vertical="center"/>
    </xf>
    <xf numFmtId="4" fontId="17" fillId="0" borderId="1" xfId="0" applyNumberFormat="1" applyFont="1" applyFill="1" applyBorder="1" applyAlignment="1" applyProtection="1">
      <alignment horizontal="center" vertical="center"/>
      <protection locked="0"/>
    </xf>
    <xf numFmtId="3" fontId="4" fillId="0" borderId="1" xfId="0" applyNumberFormat="1" applyFont="1" applyFill="1" applyBorder="1" applyAlignment="1">
      <alignment horizontal="center" vertical="center"/>
    </xf>
    <xf numFmtId="195" fontId="16" fillId="0" borderId="1" xfId="0" applyNumberFormat="1" applyFont="1" applyFill="1" applyBorder="1" applyAlignment="1">
      <alignment horizontal="center" vertical="center"/>
    </xf>
    <xf numFmtId="179" fontId="16" fillId="0" borderId="1" xfId="0" applyNumberFormat="1" applyFont="1" applyFill="1" applyBorder="1" applyAlignment="1" applyProtection="1">
      <alignment horizontal="center" vertical="center"/>
      <protection locked="0"/>
    </xf>
    <xf numFmtId="3" fontId="16"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xf>
    <xf numFmtId="194" fontId="5" fillId="0" borderId="3" xfId="0" applyNumberFormat="1" applyFont="1" applyFill="1" applyBorder="1" applyAlignment="1">
      <alignment horizontal="center" vertical="center" wrapText="1"/>
    </xf>
    <xf numFmtId="4" fontId="4" fillId="0"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lignment horizontal="center" vertical="center" wrapText="1"/>
    </xf>
    <xf numFmtId="183" fontId="16" fillId="0" borderId="1" xfId="0" applyNumberFormat="1" applyFont="1" applyFill="1" applyBorder="1" applyAlignment="1">
      <alignment horizontal="center" vertical="center" wrapText="1"/>
    </xf>
    <xf numFmtId="0" fontId="44" fillId="0" borderId="2" xfId="10" applyNumberFormat="1" applyFont="1" applyFill="1" applyBorder="1" applyAlignment="1" applyProtection="1">
      <alignment horizontal="center" vertical="center" wrapText="1"/>
      <protection locked="0"/>
    </xf>
    <xf numFmtId="0" fontId="70" fillId="0" borderId="1"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74" fillId="0" borderId="1" xfId="0" applyFont="1" applyFill="1" applyBorder="1" applyAlignment="1">
      <alignment horizontal="center" vertical="center"/>
    </xf>
    <xf numFmtId="3" fontId="16" fillId="0" borderId="1" xfId="0" applyNumberFormat="1" applyFont="1" applyFill="1" applyBorder="1" applyAlignment="1" applyProtection="1">
      <alignment horizontal="center" vertical="center"/>
      <protection locked="0"/>
    </xf>
    <xf numFmtId="179" fontId="16" fillId="0" borderId="1" xfId="0" applyNumberFormat="1" applyFont="1" applyFill="1" applyBorder="1" applyAlignment="1">
      <alignment horizontal="center" vertical="center" wrapText="1"/>
    </xf>
    <xf numFmtId="4" fontId="4" fillId="0" borderId="1" xfId="3296" applyNumberFormat="1" applyFont="1" applyFill="1" applyBorder="1" applyAlignment="1" applyProtection="1">
      <alignment horizontal="center" vertical="center"/>
      <protection locked="0"/>
    </xf>
    <xf numFmtId="0" fontId="0" fillId="0" borderId="22" xfId="0" applyFill="1" applyBorder="1" applyAlignment="1">
      <alignment horizontal="center" vertical="center" wrapText="1"/>
    </xf>
    <xf numFmtId="0" fontId="11" fillId="0" borderId="1" xfId="0" applyFont="1" applyFill="1" applyBorder="1" applyAlignment="1">
      <alignment horizontal="center"/>
    </xf>
    <xf numFmtId="0" fontId="70" fillId="0" borderId="22" xfId="0" applyFont="1" applyFill="1" applyBorder="1" applyAlignment="1">
      <alignment horizontal="center" vertical="center" wrapText="1"/>
    </xf>
    <xf numFmtId="0" fontId="16" fillId="0" borderId="1" xfId="2869" applyFont="1" applyFill="1" applyBorder="1" applyAlignment="1">
      <alignment horizontal="center" vertical="center"/>
    </xf>
    <xf numFmtId="0" fontId="3" fillId="0" borderId="1" xfId="0" applyFont="1" applyFill="1" applyBorder="1"/>
    <xf numFmtId="0" fontId="0" fillId="0" borderId="22" xfId="0" applyFill="1" applyBorder="1"/>
    <xf numFmtId="39" fontId="16" fillId="0" borderId="1" xfId="0" applyNumberFormat="1" applyFont="1" applyFill="1" applyBorder="1" applyAlignment="1">
      <alignment horizontal="center" vertical="center"/>
    </xf>
    <xf numFmtId="0" fontId="0" fillId="0" borderId="22" xfId="0" applyFill="1" applyBorder="1" applyAlignment="1">
      <alignment horizontal="center"/>
    </xf>
    <xf numFmtId="4" fontId="16" fillId="0" borderId="2"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xf>
    <xf numFmtId="4" fontId="16" fillId="0" borderId="2" xfId="0" applyNumberFormat="1" applyFont="1" applyFill="1" applyBorder="1" applyAlignment="1" applyProtection="1">
      <alignment horizontal="center" vertical="center"/>
      <protection locked="0"/>
    </xf>
    <xf numFmtId="39" fontId="16" fillId="0" borderId="2" xfId="0" applyNumberFormat="1" applyFont="1" applyFill="1" applyBorder="1" applyAlignment="1">
      <alignment horizontal="center" vertical="center"/>
    </xf>
    <xf numFmtId="179" fontId="16" fillId="0" borderId="2" xfId="0" applyNumberFormat="1" applyFont="1" applyFill="1" applyBorder="1" applyAlignment="1">
      <alignment horizontal="center" vertical="center"/>
    </xf>
    <xf numFmtId="0" fontId="0" fillId="0" borderId="5" xfId="0" applyFill="1" applyBorder="1" applyAlignment="1">
      <alignment horizontal="center" vertical="center" wrapText="1"/>
    </xf>
    <xf numFmtId="0" fontId="70" fillId="0" borderId="5" xfId="0" applyFont="1" applyFill="1" applyBorder="1" applyAlignment="1">
      <alignment horizontal="center" vertical="center" wrapText="1"/>
    </xf>
    <xf numFmtId="0" fontId="74" fillId="0" borderId="1" xfId="0" applyFont="1" applyFill="1" applyBorder="1" applyAlignment="1">
      <alignment horizontal="center" vertical="center"/>
    </xf>
    <xf numFmtId="0" fontId="0" fillId="0" borderId="1" xfId="0" applyFill="1" applyBorder="1" applyProtection="1">
      <protection locked="0"/>
    </xf>
    <xf numFmtId="42" fontId="16" fillId="0" borderId="1" xfId="3301" applyFont="1" applyFill="1" applyBorder="1" applyAlignment="1" applyProtection="1">
      <alignment horizontal="center" vertical="center"/>
      <protection locked="0"/>
    </xf>
    <xf numFmtId="3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42" fontId="16" fillId="0" borderId="5" xfId="0" applyNumberFormat="1" applyFont="1" applyFill="1" applyBorder="1" applyAlignment="1">
      <alignment horizontal="center" vertical="center" wrapText="1"/>
    </xf>
    <xf numFmtId="190" fontId="16" fillId="0" borderId="1" xfId="0" applyNumberFormat="1" applyFont="1" applyFill="1" applyBorder="1" applyAlignment="1">
      <alignment horizontal="center" vertical="center" wrapText="1"/>
    </xf>
    <xf numFmtId="190" fontId="74" fillId="0" borderId="1" xfId="0" applyNumberFormat="1" applyFont="1" applyFill="1" applyBorder="1" applyAlignment="1">
      <alignment horizontal="center" vertical="center"/>
    </xf>
    <xf numFmtId="190" fontId="16" fillId="0" borderId="1" xfId="0" applyNumberFormat="1" applyFont="1" applyFill="1" applyBorder="1" applyAlignment="1">
      <alignment horizontal="center" vertical="center"/>
    </xf>
    <xf numFmtId="4" fontId="74" fillId="0" borderId="1" xfId="0" applyNumberFormat="1" applyFont="1" applyFill="1" applyBorder="1" applyAlignment="1">
      <alignment horizontal="center" vertical="center"/>
    </xf>
    <xf numFmtId="42" fontId="16" fillId="0" borderId="1" xfId="0" applyNumberFormat="1" applyFont="1" applyFill="1" applyBorder="1" applyAlignment="1">
      <alignment horizontal="center" vertical="center" wrapText="1"/>
    </xf>
    <xf numFmtId="37" fontId="16" fillId="0" borderId="1" xfId="0" applyNumberFormat="1" applyFont="1" applyFill="1" applyBorder="1" applyAlignment="1" applyProtection="1">
      <alignment horizontal="center" vertical="center"/>
      <protection locked="0"/>
    </xf>
    <xf numFmtId="4" fontId="16" fillId="0" borderId="5" xfId="0" applyNumberFormat="1" applyFont="1" applyFill="1" applyBorder="1" applyAlignment="1">
      <alignment horizontal="center" vertical="center" wrapText="1"/>
    </xf>
    <xf numFmtId="0" fontId="0" fillId="0" borderId="44" xfId="0" applyFill="1" applyBorder="1" applyAlignment="1">
      <alignment horizontal="center"/>
    </xf>
  </cellXfs>
  <cellStyles count="403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3007" xr:uid="{00000000-0005-0000-0000-000031000000}"/>
    <cellStyle name="Comma [0] 2 2 2 2 2 2" xfId="3205" xr:uid="{00000000-0005-0000-0000-000032000000}"/>
    <cellStyle name="Comma [0] 2 2 2 2 2 2 2" xfId="3598" xr:uid="{00000000-0005-0000-0000-000033000000}"/>
    <cellStyle name="Comma [0] 2 2 2 2 2 2 3" xfId="3993" xr:uid="{00000000-0005-0000-0000-000034000000}"/>
    <cellStyle name="Comma [0] 2 2 2 2 2 3" xfId="3404" xr:uid="{00000000-0005-0000-0000-000035000000}"/>
    <cellStyle name="Comma [0] 2 2 2 2 2 4" xfId="3799" xr:uid="{00000000-0005-0000-0000-000036000000}"/>
    <cellStyle name="Comma [0] 2 2 2 2 3" xfId="3107" xr:uid="{00000000-0005-0000-0000-000037000000}"/>
    <cellStyle name="Comma [0] 2 2 2 2 3 2" xfId="3500" xr:uid="{00000000-0005-0000-0000-000038000000}"/>
    <cellStyle name="Comma [0] 2 2 2 2 3 3" xfId="3895" xr:uid="{00000000-0005-0000-0000-000039000000}"/>
    <cellStyle name="Comma [0] 2 2 2 2 4" xfId="3306" xr:uid="{00000000-0005-0000-0000-00003A000000}"/>
    <cellStyle name="Comma [0] 2 2 2 2 5" xfId="3701" xr:uid="{00000000-0005-0000-0000-00003B000000}"/>
    <cellStyle name="Comma [0] 2 2 2 3" xfId="2952" xr:uid="{00000000-0005-0000-0000-00003C000000}"/>
    <cellStyle name="Comma [0] 2 2 2 3 2" xfId="3154" xr:uid="{00000000-0005-0000-0000-00003D000000}"/>
    <cellStyle name="Comma [0] 2 2 2 3 2 2" xfId="3547" xr:uid="{00000000-0005-0000-0000-00003E000000}"/>
    <cellStyle name="Comma [0] 2 2 2 3 2 3" xfId="3942" xr:uid="{00000000-0005-0000-0000-00003F000000}"/>
    <cellStyle name="Comma [0] 2 2 2 3 3" xfId="3353" xr:uid="{00000000-0005-0000-0000-000040000000}"/>
    <cellStyle name="Comma [0] 2 2 2 3 4" xfId="3748" xr:uid="{00000000-0005-0000-0000-000041000000}"/>
    <cellStyle name="Comma [0] 2 2 2 4" xfId="3058" xr:uid="{00000000-0005-0000-0000-000042000000}"/>
    <cellStyle name="Comma [0] 2 2 2 4 2" xfId="3451" xr:uid="{00000000-0005-0000-0000-000043000000}"/>
    <cellStyle name="Comma [0] 2 2 2 4 3" xfId="3846" xr:uid="{00000000-0005-0000-0000-000044000000}"/>
    <cellStyle name="Comma [0] 2 2 2 5" xfId="3256" xr:uid="{00000000-0005-0000-0000-000045000000}"/>
    <cellStyle name="Comma [0] 2 2 2 6" xfId="3650" xr:uid="{00000000-0005-0000-0000-000046000000}"/>
    <cellStyle name="Comma [0] 2 2 3" xfId="2874" xr:uid="{00000000-0005-0000-0000-000047000000}"/>
    <cellStyle name="Comma [0] 2 2 3 2" xfId="3006" xr:uid="{00000000-0005-0000-0000-000048000000}"/>
    <cellStyle name="Comma [0] 2 2 3 2 2" xfId="3204" xr:uid="{00000000-0005-0000-0000-000049000000}"/>
    <cellStyle name="Comma [0] 2 2 3 2 2 2" xfId="3597" xr:uid="{00000000-0005-0000-0000-00004A000000}"/>
    <cellStyle name="Comma [0] 2 2 3 2 2 3" xfId="3992" xr:uid="{00000000-0005-0000-0000-00004B000000}"/>
    <cellStyle name="Comma [0] 2 2 3 2 3" xfId="3403" xr:uid="{00000000-0005-0000-0000-00004C000000}"/>
    <cellStyle name="Comma [0] 2 2 3 2 4" xfId="3798" xr:uid="{00000000-0005-0000-0000-00004D000000}"/>
    <cellStyle name="Comma [0] 2 2 3 3" xfId="3106" xr:uid="{00000000-0005-0000-0000-00004E000000}"/>
    <cellStyle name="Comma [0] 2 2 3 3 2" xfId="3499" xr:uid="{00000000-0005-0000-0000-00004F000000}"/>
    <cellStyle name="Comma [0] 2 2 3 3 3" xfId="3894" xr:uid="{00000000-0005-0000-0000-000050000000}"/>
    <cellStyle name="Comma [0] 2 2 3 4" xfId="3305" xr:uid="{00000000-0005-0000-0000-000051000000}"/>
    <cellStyle name="Comma [0] 2 2 3 5" xfId="3700" xr:uid="{00000000-0005-0000-0000-000052000000}"/>
    <cellStyle name="Comma [0] 2 2 4" xfId="2951" xr:uid="{00000000-0005-0000-0000-000053000000}"/>
    <cellStyle name="Comma [0] 2 2 4 2" xfId="3153" xr:uid="{00000000-0005-0000-0000-000054000000}"/>
    <cellStyle name="Comma [0] 2 2 4 2 2" xfId="3546" xr:uid="{00000000-0005-0000-0000-000055000000}"/>
    <cellStyle name="Comma [0] 2 2 4 2 3" xfId="3941" xr:uid="{00000000-0005-0000-0000-000056000000}"/>
    <cellStyle name="Comma [0] 2 2 4 3" xfId="3352" xr:uid="{00000000-0005-0000-0000-000057000000}"/>
    <cellStyle name="Comma [0] 2 2 4 4" xfId="3747" xr:uid="{00000000-0005-0000-0000-000058000000}"/>
    <cellStyle name="Comma [0] 2 2 5" xfId="3057" xr:uid="{00000000-0005-0000-0000-000059000000}"/>
    <cellStyle name="Comma [0] 2 2 5 2" xfId="3450" xr:uid="{00000000-0005-0000-0000-00005A000000}"/>
    <cellStyle name="Comma [0] 2 2 5 3" xfId="3845" xr:uid="{00000000-0005-0000-0000-00005B000000}"/>
    <cellStyle name="Comma [0] 2 2 6" xfId="3255" xr:uid="{00000000-0005-0000-0000-00005C000000}"/>
    <cellStyle name="Comma [0] 2 2 7" xfId="3649" xr:uid="{00000000-0005-0000-0000-00005D000000}"/>
    <cellStyle name="Comma [0] 2 3" xfId="74" xr:uid="{00000000-0005-0000-0000-00005E000000}"/>
    <cellStyle name="Comma [0] 2 3 2" xfId="2876" xr:uid="{00000000-0005-0000-0000-00005F000000}"/>
    <cellStyle name="Comma [0] 2 3 2 2" xfId="3008" xr:uid="{00000000-0005-0000-0000-000060000000}"/>
    <cellStyle name="Comma [0] 2 3 2 2 2" xfId="3206" xr:uid="{00000000-0005-0000-0000-000061000000}"/>
    <cellStyle name="Comma [0] 2 3 2 2 2 2" xfId="3599" xr:uid="{00000000-0005-0000-0000-000062000000}"/>
    <cellStyle name="Comma [0] 2 3 2 2 2 3" xfId="3994" xr:uid="{00000000-0005-0000-0000-000063000000}"/>
    <cellStyle name="Comma [0] 2 3 2 2 3" xfId="3405" xr:uid="{00000000-0005-0000-0000-000064000000}"/>
    <cellStyle name="Comma [0] 2 3 2 2 4" xfId="3800" xr:uid="{00000000-0005-0000-0000-000065000000}"/>
    <cellStyle name="Comma [0] 2 3 2 3" xfId="3108" xr:uid="{00000000-0005-0000-0000-000066000000}"/>
    <cellStyle name="Comma [0] 2 3 2 3 2" xfId="3501" xr:uid="{00000000-0005-0000-0000-000067000000}"/>
    <cellStyle name="Comma [0] 2 3 2 3 3" xfId="3896" xr:uid="{00000000-0005-0000-0000-000068000000}"/>
    <cellStyle name="Comma [0] 2 3 2 4" xfId="3307" xr:uid="{00000000-0005-0000-0000-000069000000}"/>
    <cellStyle name="Comma [0] 2 3 2 5" xfId="3702" xr:uid="{00000000-0005-0000-0000-00006A000000}"/>
    <cellStyle name="Comma [0] 2 3 3" xfId="2953" xr:uid="{00000000-0005-0000-0000-00006B000000}"/>
    <cellStyle name="Comma [0] 2 3 3 2" xfId="3155" xr:uid="{00000000-0005-0000-0000-00006C000000}"/>
    <cellStyle name="Comma [0] 2 3 3 2 2" xfId="3548" xr:uid="{00000000-0005-0000-0000-00006D000000}"/>
    <cellStyle name="Comma [0] 2 3 3 2 3" xfId="3943" xr:uid="{00000000-0005-0000-0000-00006E000000}"/>
    <cellStyle name="Comma [0] 2 3 3 3" xfId="3354" xr:uid="{00000000-0005-0000-0000-00006F000000}"/>
    <cellStyle name="Comma [0] 2 3 3 4" xfId="3749" xr:uid="{00000000-0005-0000-0000-000070000000}"/>
    <cellStyle name="Comma [0] 2 3 4" xfId="3059" xr:uid="{00000000-0005-0000-0000-000071000000}"/>
    <cellStyle name="Comma [0] 2 3 4 2" xfId="3452" xr:uid="{00000000-0005-0000-0000-000072000000}"/>
    <cellStyle name="Comma [0] 2 3 4 3" xfId="3847" xr:uid="{00000000-0005-0000-0000-000073000000}"/>
    <cellStyle name="Comma [0] 2 3 5" xfId="3257" xr:uid="{00000000-0005-0000-0000-000074000000}"/>
    <cellStyle name="Comma [0] 2 3 6" xfId="3651" xr:uid="{00000000-0005-0000-0000-000075000000}"/>
    <cellStyle name="Comma [0] 2 4" xfId="2873" xr:uid="{00000000-0005-0000-0000-000076000000}"/>
    <cellStyle name="Comma [0] 2 4 2" xfId="3005" xr:uid="{00000000-0005-0000-0000-000077000000}"/>
    <cellStyle name="Comma [0] 2 4 2 2" xfId="3203" xr:uid="{00000000-0005-0000-0000-000078000000}"/>
    <cellStyle name="Comma [0] 2 4 2 2 2" xfId="3596" xr:uid="{00000000-0005-0000-0000-000079000000}"/>
    <cellStyle name="Comma [0] 2 4 2 2 3" xfId="3991" xr:uid="{00000000-0005-0000-0000-00007A000000}"/>
    <cellStyle name="Comma [0] 2 4 2 3" xfId="3402" xr:uid="{00000000-0005-0000-0000-00007B000000}"/>
    <cellStyle name="Comma [0] 2 4 2 4" xfId="3797" xr:uid="{00000000-0005-0000-0000-00007C000000}"/>
    <cellStyle name="Comma [0] 2 4 3" xfId="3105" xr:uid="{00000000-0005-0000-0000-00007D000000}"/>
    <cellStyle name="Comma [0] 2 4 3 2" xfId="3498" xr:uid="{00000000-0005-0000-0000-00007E000000}"/>
    <cellStyle name="Comma [0] 2 4 3 3" xfId="3893" xr:uid="{00000000-0005-0000-0000-00007F000000}"/>
    <cellStyle name="Comma [0] 2 4 4" xfId="3304" xr:uid="{00000000-0005-0000-0000-000080000000}"/>
    <cellStyle name="Comma [0] 2 4 5" xfId="3699" xr:uid="{00000000-0005-0000-0000-000081000000}"/>
    <cellStyle name="Comma [0] 2 5" xfId="2950" xr:uid="{00000000-0005-0000-0000-000082000000}"/>
    <cellStyle name="Comma [0] 2 5 2" xfId="3152" xr:uid="{00000000-0005-0000-0000-000083000000}"/>
    <cellStyle name="Comma [0] 2 5 2 2" xfId="3545" xr:uid="{00000000-0005-0000-0000-000084000000}"/>
    <cellStyle name="Comma [0] 2 5 2 3" xfId="3940" xr:uid="{00000000-0005-0000-0000-000085000000}"/>
    <cellStyle name="Comma [0] 2 5 3" xfId="3351" xr:uid="{00000000-0005-0000-0000-000086000000}"/>
    <cellStyle name="Comma [0] 2 5 4" xfId="3746" xr:uid="{00000000-0005-0000-0000-000087000000}"/>
    <cellStyle name="Comma [0] 2 6" xfId="3056" xr:uid="{00000000-0005-0000-0000-000088000000}"/>
    <cellStyle name="Comma [0] 2 6 2" xfId="3449" xr:uid="{00000000-0005-0000-0000-000089000000}"/>
    <cellStyle name="Comma [0] 2 6 3" xfId="3844" xr:uid="{00000000-0005-0000-0000-00008A000000}"/>
    <cellStyle name="Comma [0] 2 7" xfId="3254" xr:uid="{00000000-0005-0000-0000-00008B000000}"/>
    <cellStyle name="Comma [0] 2 8" xfId="3648" xr:uid="{00000000-0005-0000-0000-00008C000000}"/>
    <cellStyle name="Comma [0] 3" xfId="75" xr:uid="{00000000-0005-0000-0000-00008D000000}"/>
    <cellStyle name="Comma [0] 3 2" xfId="2877" xr:uid="{00000000-0005-0000-0000-00008E000000}"/>
    <cellStyle name="Comma [0] 3 2 2" xfId="3009" xr:uid="{00000000-0005-0000-0000-00008F000000}"/>
    <cellStyle name="Comma [0] 3 2 2 2" xfId="3207" xr:uid="{00000000-0005-0000-0000-000090000000}"/>
    <cellStyle name="Comma [0] 3 2 2 2 2" xfId="3600" xr:uid="{00000000-0005-0000-0000-000091000000}"/>
    <cellStyle name="Comma [0] 3 2 2 2 3" xfId="3995" xr:uid="{00000000-0005-0000-0000-000092000000}"/>
    <cellStyle name="Comma [0] 3 2 2 3" xfId="3406" xr:uid="{00000000-0005-0000-0000-000093000000}"/>
    <cellStyle name="Comma [0] 3 2 2 4" xfId="3801" xr:uid="{00000000-0005-0000-0000-000094000000}"/>
    <cellStyle name="Comma [0] 3 2 3" xfId="3109" xr:uid="{00000000-0005-0000-0000-000095000000}"/>
    <cellStyle name="Comma [0] 3 2 3 2" xfId="3502" xr:uid="{00000000-0005-0000-0000-000096000000}"/>
    <cellStyle name="Comma [0] 3 2 3 3" xfId="3897" xr:uid="{00000000-0005-0000-0000-000097000000}"/>
    <cellStyle name="Comma [0] 3 2 4" xfId="3308" xr:uid="{00000000-0005-0000-0000-000098000000}"/>
    <cellStyle name="Comma [0] 3 2 5" xfId="3703" xr:uid="{00000000-0005-0000-0000-000099000000}"/>
    <cellStyle name="Comma [0] 3 3" xfId="2954" xr:uid="{00000000-0005-0000-0000-00009A000000}"/>
    <cellStyle name="Comma [0] 3 3 2" xfId="3156" xr:uid="{00000000-0005-0000-0000-00009B000000}"/>
    <cellStyle name="Comma [0] 3 3 2 2" xfId="3549" xr:uid="{00000000-0005-0000-0000-00009C000000}"/>
    <cellStyle name="Comma [0] 3 3 2 3" xfId="3944" xr:uid="{00000000-0005-0000-0000-00009D000000}"/>
    <cellStyle name="Comma [0] 3 3 3" xfId="3355" xr:uid="{00000000-0005-0000-0000-00009E000000}"/>
    <cellStyle name="Comma [0] 3 3 4" xfId="3750" xr:uid="{00000000-0005-0000-0000-00009F000000}"/>
    <cellStyle name="Comma [0] 3 4" xfId="3060" xr:uid="{00000000-0005-0000-0000-0000A0000000}"/>
    <cellStyle name="Comma [0] 3 4 2" xfId="3453" xr:uid="{00000000-0005-0000-0000-0000A1000000}"/>
    <cellStyle name="Comma [0] 3 4 3" xfId="3848" xr:uid="{00000000-0005-0000-0000-0000A2000000}"/>
    <cellStyle name="Comma [0] 3 5" xfId="3258" xr:uid="{00000000-0005-0000-0000-0000A3000000}"/>
    <cellStyle name="Comma [0] 3 6" xfId="3652" xr:uid="{00000000-0005-0000-0000-0000A4000000}"/>
    <cellStyle name="Comma [0] 4" xfId="2872" xr:uid="{00000000-0005-0000-0000-0000A5000000}"/>
    <cellStyle name="Comma [0] 4 2" xfId="3004" xr:uid="{00000000-0005-0000-0000-0000A6000000}"/>
    <cellStyle name="Comma [0] 4 2 2" xfId="3202" xr:uid="{00000000-0005-0000-0000-0000A7000000}"/>
    <cellStyle name="Comma [0] 4 2 2 2" xfId="3595" xr:uid="{00000000-0005-0000-0000-0000A8000000}"/>
    <cellStyle name="Comma [0] 4 2 2 3" xfId="3990" xr:uid="{00000000-0005-0000-0000-0000A9000000}"/>
    <cellStyle name="Comma [0] 4 2 3" xfId="3401" xr:uid="{00000000-0005-0000-0000-0000AA000000}"/>
    <cellStyle name="Comma [0] 4 2 4" xfId="3796" xr:uid="{00000000-0005-0000-0000-0000AB000000}"/>
    <cellStyle name="Comma [0] 4 3" xfId="3104" xr:uid="{00000000-0005-0000-0000-0000AC000000}"/>
    <cellStyle name="Comma [0] 4 3 2" xfId="3497" xr:uid="{00000000-0005-0000-0000-0000AD000000}"/>
    <cellStyle name="Comma [0] 4 3 3" xfId="3892" xr:uid="{00000000-0005-0000-0000-0000AE000000}"/>
    <cellStyle name="Comma [0] 4 4" xfId="3303" xr:uid="{00000000-0005-0000-0000-0000AF000000}"/>
    <cellStyle name="Comma [0] 4 5" xfId="3698" xr:uid="{00000000-0005-0000-0000-0000B0000000}"/>
    <cellStyle name="Comma [0] 5" xfId="2949" xr:uid="{00000000-0005-0000-0000-0000B1000000}"/>
    <cellStyle name="Comma [0] 5 2" xfId="3151" xr:uid="{00000000-0005-0000-0000-0000B2000000}"/>
    <cellStyle name="Comma [0] 5 2 2" xfId="3544" xr:uid="{00000000-0005-0000-0000-0000B3000000}"/>
    <cellStyle name="Comma [0] 5 2 3" xfId="3939" xr:uid="{00000000-0005-0000-0000-0000B4000000}"/>
    <cellStyle name="Comma [0] 5 3" xfId="3350" xr:uid="{00000000-0005-0000-0000-0000B5000000}"/>
    <cellStyle name="Comma [0] 5 4" xfId="3745" xr:uid="{00000000-0005-0000-0000-0000B6000000}"/>
    <cellStyle name="Comma [0] 6" xfId="3055" xr:uid="{00000000-0005-0000-0000-0000B7000000}"/>
    <cellStyle name="Comma [0] 6 2" xfId="3448" xr:uid="{00000000-0005-0000-0000-0000B8000000}"/>
    <cellStyle name="Comma [0] 6 3" xfId="3843" xr:uid="{00000000-0005-0000-0000-0000B9000000}"/>
    <cellStyle name="Comma [0] 7" xfId="3253" xr:uid="{00000000-0005-0000-0000-0000BA000000}"/>
    <cellStyle name="Comma [0] 8" xfId="3647" xr:uid="{00000000-0005-0000-0000-0000BB000000}"/>
    <cellStyle name="Comma 10" xfId="2947" xr:uid="{00000000-0005-0000-0000-0000BC000000}"/>
    <cellStyle name="Comma 10 2" xfId="3149" xr:uid="{00000000-0005-0000-0000-0000BD000000}"/>
    <cellStyle name="Comma 10 2 2" xfId="3542" xr:uid="{00000000-0005-0000-0000-0000BE000000}"/>
    <cellStyle name="Comma 10 2 3" xfId="3937" xr:uid="{00000000-0005-0000-0000-0000BF000000}"/>
    <cellStyle name="Comma 10 3" xfId="3348" xr:uid="{00000000-0005-0000-0000-0000C0000000}"/>
    <cellStyle name="Comma 10 4" xfId="3743" xr:uid="{00000000-0005-0000-0000-0000C1000000}"/>
    <cellStyle name="Comma 11" xfId="2995" xr:uid="{00000000-0005-0000-0000-0000C2000000}"/>
    <cellStyle name="Comma 11 2" xfId="3197" xr:uid="{00000000-0005-0000-0000-0000C3000000}"/>
    <cellStyle name="Comma 11 2 2" xfId="3590" xr:uid="{00000000-0005-0000-0000-0000C4000000}"/>
    <cellStyle name="Comma 11 2 3" xfId="3985" xr:uid="{00000000-0005-0000-0000-0000C5000000}"/>
    <cellStyle name="Comma 11 3" xfId="3396" xr:uid="{00000000-0005-0000-0000-0000C6000000}"/>
    <cellStyle name="Comma 11 4" xfId="3791" xr:uid="{00000000-0005-0000-0000-0000C7000000}"/>
    <cellStyle name="Comma 12" xfId="3054" xr:uid="{00000000-0005-0000-0000-0000C8000000}"/>
    <cellStyle name="Comma 12 2" xfId="3447" xr:uid="{00000000-0005-0000-0000-0000C9000000}"/>
    <cellStyle name="Comma 12 3" xfId="3842" xr:uid="{00000000-0005-0000-0000-0000CA000000}"/>
    <cellStyle name="Comma 13" xfId="3252" xr:uid="{00000000-0005-0000-0000-0000CB000000}"/>
    <cellStyle name="Comma 14" xfId="3646" xr:uid="{00000000-0005-0000-0000-0000CC000000}"/>
    <cellStyle name="Comma 15" xfId="3693" xr:uid="{00000000-0005-0000-0000-0000CD000000}"/>
    <cellStyle name="Comma 2" xfId="76" xr:uid="{00000000-0005-0000-0000-0000CE000000}"/>
    <cellStyle name="Comma 2 2" xfId="77" xr:uid="{00000000-0005-0000-0000-0000CF000000}"/>
    <cellStyle name="Comma 2 2 2" xfId="78" xr:uid="{00000000-0005-0000-0000-0000D0000000}"/>
    <cellStyle name="Comma 2 2 2 2" xfId="2880" xr:uid="{00000000-0005-0000-0000-0000D1000000}"/>
    <cellStyle name="Comma 2 2 2 2 2" xfId="3012" xr:uid="{00000000-0005-0000-0000-0000D2000000}"/>
    <cellStyle name="Comma 2 2 2 2 2 2" xfId="3210" xr:uid="{00000000-0005-0000-0000-0000D3000000}"/>
    <cellStyle name="Comma 2 2 2 2 2 2 2" xfId="3603" xr:uid="{00000000-0005-0000-0000-0000D4000000}"/>
    <cellStyle name="Comma 2 2 2 2 2 2 3" xfId="3998" xr:uid="{00000000-0005-0000-0000-0000D5000000}"/>
    <cellStyle name="Comma 2 2 2 2 2 3" xfId="3409" xr:uid="{00000000-0005-0000-0000-0000D6000000}"/>
    <cellStyle name="Comma 2 2 2 2 2 4" xfId="3804" xr:uid="{00000000-0005-0000-0000-0000D7000000}"/>
    <cellStyle name="Comma 2 2 2 2 3" xfId="3112" xr:uid="{00000000-0005-0000-0000-0000D8000000}"/>
    <cellStyle name="Comma 2 2 2 2 3 2" xfId="3505" xr:uid="{00000000-0005-0000-0000-0000D9000000}"/>
    <cellStyle name="Comma 2 2 2 2 3 3" xfId="3900" xr:uid="{00000000-0005-0000-0000-0000DA000000}"/>
    <cellStyle name="Comma 2 2 2 2 4" xfId="3311" xr:uid="{00000000-0005-0000-0000-0000DB000000}"/>
    <cellStyle name="Comma 2 2 2 2 5" xfId="3706" xr:uid="{00000000-0005-0000-0000-0000DC000000}"/>
    <cellStyle name="Comma 2 2 2 3" xfId="2957" xr:uid="{00000000-0005-0000-0000-0000DD000000}"/>
    <cellStyle name="Comma 2 2 2 3 2" xfId="3159" xr:uid="{00000000-0005-0000-0000-0000DE000000}"/>
    <cellStyle name="Comma 2 2 2 3 2 2" xfId="3552" xr:uid="{00000000-0005-0000-0000-0000DF000000}"/>
    <cellStyle name="Comma 2 2 2 3 2 3" xfId="3947" xr:uid="{00000000-0005-0000-0000-0000E0000000}"/>
    <cellStyle name="Comma 2 2 2 3 3" xfId="3358" xr:uid="{00000000-0005-0000-0000-0000E1000000}"/>
    <cellStyle name="Comma 2 2 2 3 4" xfId="3753" xr:uid="{00000000-0005-0000-0000-0000E2000000}"/>
    <cellStyle name="Comma 2 2 2 4" xfId="3063" xr:uid="{00000000-0005-0000-0000-0000E3000000}"/>
    <cellStyle name="Comma 2 2 2 4 2" xfId="3456" xr:uid="{00000000-0005-0000-0000-0000E4000000}"/>
    <cellStyle name="Comma 2 2 2 4 3" xfId="3851" xr:uid="{00000000-0005-0000-0000-0000E5000000}"/>
    <cellStyle name="Comma 2 2 2 5" xfId="3261" xr:uid="{00000000-0005-0000-0000-0000E6000000}"/>
    <cellStyle name="Comma 2 2 2 6" xfId="3655" xr:uid="{00000000-0005-0000-0000-0000E7000000}"/>
    <cellStyle name="Comma 2 2 3" xfId="2879" xr:uid="{00000000-0005-0000-0000-0000E8000000}"/>
    <cellStyle name="Comma 2 2 3 2" xfId="3011" xr:uid="{00000000-0005-0000-0000-0000E9000000}"/>
    <cellStyle name="Comma 2 2 3 2 2" xfId="3209" xr:uid="{00000000-0005-0000-0000-0000EA000000}"/>
    <cellStyle name="Comma 2 2 3 2 2 2" xfId="3602" xr:uid="{00000000-0005-0000-0000-0000EB000000}"/>
    <cellStyle name="Comma 2 2 3 2 2 3" xfId="3997" xr:uid="{00000000-0005-0000-0000-0000EC000000}"/>
    <cellStyle name="Comma 2 2 3 2 3" xfId="3408" xr:uid="{00000000-0005-0000-0000-0000ED000000}"/>
    <cellStyle name="Comma 2 2 3 2 4" xfId="3803" xr:uid="{00000000-0005-0000-0000-0000EE000000}"/>
    <cellStyle name="Comma 2 2 3 3" xfId="3111" xr:uid="{00000000-0005-0000-0000-0000EF000000}"/>
    <cellStyle name="Comma 2 2 3 3 2" xfId="3504" xr:uid="{00000000-0005-0000-0000-0000F0000000}"/>
    <cellStyle name="Comma 2 2 3 3 3" xfId="3899" xr:uid="{00000000-0005-0000-0000-0000F1000000}"/>
    <cellStyle name="Comma 2 2 3 4" xfId="3310" xr:uid="{00000000-0005-0000-0000-0000F2000000}"/>
    <cellStyle name="Comma 2 2 3 5" xfId="3705" xr:uid="{00000000-0005-0000-0000-0000F3000000}"/>
    <cellStyle name="Comma 2 2 4" xfId="2956" xr:uid="{00000000-0005-0000-0000-0000F4000000}"/>
    <cellStyle name="Comma 2 2 4 2" xfId="3158" xr:uid="{00000000-0005-0000-0000-0000F5000000}"/>
    <cellStyle name="Comma 2 2 4 2 2" xfId="3551" xr:uid="{00000000-0005-0000-0000-0000F6000000}"/>
    <cellStyle name="Comma 2 2 4 2 3" xfId="3946" xr:uid="{00000000-0005-0000-0000-0000F7000000}"/>
    <cellStyle name="Comma 2 2 4 3" xfId="3357" xr:uid="{00000000-0005-0000-0000-0000F8000000}"/>
    <cellStyle name="Comma 2 2 4 4" xfId="3752" xr:uid="{00000000-0005-0000-0000-0000F9000000}"/>
    <cellStyle name="Comma 2 2 5" xfId="3062" xr:uid="{00000000-0005-0000-0000-0000FA000000}"/>
    <cellStyle name="Comma 2 2 5 2" xfId="3455" xr:uid="{00000000-0005-0000-0000-0000FB000000}"/>
    <cellStyle name="Comma 2 2 5 3" xfId="3850" xr:uid="{00000000-0005-0000-0000-0000FC000000}"/>
    <cellStyle name="Comma 2 2 6" xfId="3260" xr:uid="{00000000-0005-0000-0000-0000FD000000}"/>
    <cellStyle name="Comma 2 2 7" xfId="3654" xr:uid="{00000000-0005-0000-0000-0000FE000000}"/>
    <cellStyle name="Comma 2 3" xfId="79" xr:uid="{00000000-0005-0000-0000-0000FF000000}"/>
    <cellStyle name="Comma 2 3 2" xfId="2881" xr:uid="{00000000-0005-0000-0000-000000010000}"/>
    <cellStyle name="Comma 2 3 2 2" xfId="3013" xr:uid="{00000000-0005-0000-0000-000001010000}"/>
    <cellStyle name="Comma 2 3 2 2 2" xfId="3211" xr:uid="{00000000-0005-0000-0000-000002010000}"/>
    <cellStyle name="Comma 2 3 2 2 2 2" xfId="3604" xr:uid="{00000000-0005-0000-0000-000003010000}"/>
    <cellStyle name="Comma 2 3 2 2 2 3" xfId="3999" xr:uid="{00000000-0005-0000-0000-000004010000}"/>
    <cellStyle name="Comma 2 3 2 2 3" xfId="3410" xr:uid="{00000000-0005-0000-0000-000005010000}"/>
    <cellStyle name="Comma 2 3 2 2 4" xfId="3805" xr:uid="{00000000-0005-0000-0000-000006010000}"/>
    <cellStyle name="Comma 2 3 2 3" xfId="3113" xr:uid="{00000000-0005-0000-0000-000007010000}"/>
    <cellStyle name="Comma 2 3 2 3 2" xfId="3506" xr:uid="{00000000-0005-0000-0000-000008010000}"/>
    <cellStyle name="Comma 2 3 2 3 3" xfId="3901" xr:uid="{00000000-0005-0000-0000-000009010000}"/>
    <cellStyle name="Comma 2 3 2 4" xfId="3312" xr:uid="{00000000-0005-0000-0000-00000A010000}"/>
    <cellStyle name="Comma 2 3 2 5" xfId="3707" xr:uid="{00000000-0005-0000-0000-00000B010000}"/>
    <cellStyle name="Comma 2 3 3" xfId="2958" xr:uid="{00000000-0005-0000-0000-00000C010000}"/>
    <cellStyle name="Comma 2 3 3 2" xfId="3160" xr:uid="{00000000-0005-0000-0000-00000D010000}"/>
    <cellStyle name="Comma 2 3 3 2 2" xfId="3553" xr:uid="{00000000-0005-0000-0000-00000E010000}"/>
    <cellStyle name="Comma 2 3 3 2 3" xfId="3948" xr:uid="{00000000-0005-0000-0000-00000F010000}"/>
    <cellStyle name="Comma 2 3 3 3" xfId="3359" xr:uid="{00000000-0005-0000-0000-000010010000}"/>
    <cellStyle name="Comma 2 3 3 4" xfId="3754" xr:uid="{00000000-0005-0000-0000-000011010000}"/>
    <cellStyle name="Comma 2 3 4" xfId="3064" xr:uid="{00000000-0005-0000-0000-000012010000}"/>
    <cellStyle name="Comma 2 3 4 2" xfId="3457" xr:uid="{00000000-0005-0000-0000-000013010000}"/>
    <cellStyle name="Comma 2 3 4 3" xfId="3852" xr:uid="{00000000-0005-0000-0000-000014010000}"/>
    <cellStyle name="Comma 2 3 5" xfId="3262" xr:uid="{00000000-0005-0000-0000-000015010000}"/>
    <cellStyle name="Comma 2 3 6" xfId="3656" xr:uid="{00000000-0005-0000-0000-000016010000}"/>
    <cellStyle name="Comma 2 4" xfId="2878" xr:uid="{00000000-0005-0000-0000-000017010000}"/>
    <cellStyle name="Comma 2 4 2" xfId="3010" xr:uid="{00000000-0005-0000-0000-000018010000}"/>
    <cellStyle name="Comma 2 4 2 2" xfId="3208" xr:uid="{00000000-0005-0000-0000-000019010000}"/>
    <cellStyle name="Comma 2 4 2 2 2" xfId="3601" xr:uid="{00000000-0005-0000-0000-00001A010000}"/>
    <cellStyle name="Comma 2 4 2 2 3" xfId="3996" xr:uid="{00000000-0005-0000-0000-00001B010000}"/>
    <cellStyle name="Comma 2 4 2 3" xfId="3407" xr:uid="{00000000-0005-0000-0000-00001C010000}"/>
    <cellStyle name="Comma 2 4 2 4" xfId="3802" xr:uid="{00000000-0005-0000-0000-00001D010000}"/>
    <cellStyle name="Comma 2 4 3" xfId="3110" xr:uid="{00000000-0005-0000-0000-00001E010000}"/>
    <cellStyle name="Comma 2 4 3 2" xfId="3503" xr:uid="{00000000-0005-0000-0000-00001F010000}"/>
    <cellStyle name="Comma 2 4 3 3" xfId="3898" xr:uid="{00000000-0005-0000-0000-000020010000}"/>
    <cellStyle name="Comma 2 4 4" xfId="3309" xr:uid="{00000000-0005-0000-0000-000021010000}"/>
    <cellStyle name="Comma 2 4 5" xfId="3704" xr:uid="{00000000-0005-0000-0000-000022010000}"/>
    <cellStyle name="Comma 2 5" xfId="2955" xr:uid="{00000000-0005-0000-0000-000023010000}"/>
    <cellStyle name="Comma 2 5 2" xfId="3157" xr:uid="{00000000-0005-0000-0000-000024010000}"/>
    <cellStyle name="Comma 2 5 2 2" xfId="3550" xr:uid="{00000000-0005-0000-0000-000025010000}"/>
    <cellStyle name="Comma 2 5 2 3" xfId="3945" xr:uid="{00000000-0005-0000-0000-000026010000}"/>
    <cellStyle name="Comma 2 5 3" xfId="3356" xr:uid="{00000000-0005-0000-0000-000027010000}"/>
    <cellStyle name="Comma 2 5 4" xfId="3751" xr:uid="{00000000-0005-0000-0000-000028010000}"/>
    <cellStyle name="Comma 2 6" xfId="3061" xr:uid="{00000000-0005-0000-0000-000029010000}"/>
    <cellStyle name="Comma 2 6 2" xfId="3454" xr:uid="{00000000-0005-0000-0000-00002A010000}"/>
    <cellStyle name="Comma 2 6 3" xfId="3849" xr:uid="{00000000-0005-0000-0000-00002B010000}"/>
    <cellStyle name="Comma 2 7" xfId="3259" xr:uid="{00000000-0005-0000-0000-00002C010000}"/>
    <cellStyle name="Comma 2 8" xfId="3653" xr:uid="{00000000-0005-0000-0000-00002D010000}"/>
    <cellStyle name="Comma 3" xfId="80" xr:uid="{00000000-0005-0000-0000-00002E010000}"/>
    <cellStyle name="Comma 3 2" xfId="2882" xr:uid="{00000000-0005-0000-0000-00002F010000}"/>
    <cellStyle name="Comma 3 2 2" xfId="3014" xr:uid="{00000000-0005-0000-0000-000030010000}"/>
    <cellStyle name="Comma 3 2 2 2" xfId="3212" xr:uid="{00000000-0005-0000-0000-000031010000}"/>
    <cellStyle name="Comma 3 2 2 2 2" xfId="3605" xr:uid="{00000000-0005-0000-0000-000032010000}"/>
    <cellStyle name="Comma 3 2 2 2 3" xfId="4000" xr:uid="{00000000-0005-0000-0000-000033010000}"/>
    <cellStyle name="Comma 3 2 2 3" xfId="3411" xr:uid="{00000000-0005-0000-0000-000034010000}"/>
    <cellStyle name="Comma 3 2 2 4" xfId="3806" xr:uid="{00000000-0005-0000-0000-000035010000}"/>
    <cellStyle name="Comma 3 2 3" xfId="3114" xr:uid="{00000000-0005-0000-0000-000036010000}"/>
    <cellStyle name="Comma 3 2 3 2" xfId="3507" xr:uid="{00000000-0005-0000-0000-000037010000}"/>
    <cellStyle name="Comma 3 2 3 3" xfId="3902" xr:uid="{00000000-0005-0000-0000-000038010000}"/>
    <cellStyle name="Comma 3 2 4" xfId="3313" xr:uid="{00000000-0005-0000-0000-000039010000}"/>
    <cellStyle name="Comma 3 2 5" xfId="3708" xr:uid="{00000000-0005-0000-0000-00003A010000}"/>
    <cellStyle name="Comma 3 3" xfId="2959" xr:uid="{00000000-0005-0000-0000-00003B010000}"/>
    <cellStyle name="Comma 3 3 2" xfId="3161" xr:uid="{00000000-0005-0000-0000-00003C010000}"/>
    <cellStyle name="Comma 3 3 2 2" xfId="3554" xr:uid="{00000000-0005-0000-0000-00003D010000}"/>
    <cellStyle name="Comma 3 3 2 3" xfId="3949" xr:uid="{00000000-0005-0000-0000-00003E010000}"/>
    <cellStyle name="Comma 3 3 3" xfId="3360" xr:uid="{00000000-0005-0000-0000-00003F010000}"/>
    <cellStyle name="Comma 3 3 4" xfId="3755" xr:uid="{00000000-0005-0000-0000-000040010000}"/>
    <cellStyle name="Comma 3 4" xfId="3065" xr:uid="{00000000-0005-0000-0000-000041010000}"/>
    <cellStyle name="Comma 3 4 2" xfId="3458" xr:uid="{00000000-0005-0000-0000-000042010000}"/>
    <cellStyle name="Comma 3 4 3" xfId="3853" xr:uid="{00000000-0005-0000-0000-000043010000}"/>
    <cellStyle name="Comma 3 5" xfId="3263" xr:uid="{00000000-0005-0000-0000-000044010000}"/>
    <cellStyle name="Comma 3 6" xfId="3657" xr:uid="{00000000-0005-0000-0000-000045010000}"/>
    <cellStyle name="Comma 4" xfId="81" xr:uid="{00000000-0005-0000-0000-000046010000}"/>
    <cellStyle name="Comma 4 2" xfId="2883" xr:uid="{00000000-0005-0000-0000-000047010000}"/>
    <cellStyle name="Comma 4 2 2" xfId="3015" xr:uid="{00000000-0005-0000-0000-000048010000}"/>
    <cellStyle name="Comma 4 2 2 2" xfId="3213" xr:uid="{00000000-0005-0000-0000-000049010000}"/>
    <cellStyle name="Comma 4 2 2 2 2" xfId="3606" xr:uid="{00000000-0005-0000-0000-00004A010000}"/>
    <cellStyle name="Comma 4 2 2 2 3" xfId="4001" xr:uid="{00000000-0005-0000-0000-00004B010000}"/>
    <cellStyle name="Comma 4 2 2 3" xfId="3412" xr:uid="{00000000-0005-0000-0000-00004C010000}"/>
    <cellStyle name="Comma 4 2 2 4" xfId="3807" xr:uid="{00000000-0005-0000-0000-00004D010000}"/>
    <cellStyle name="Comma 4 2 3" xfId="3115" xr:uid="{00000000-0005-0000-0000-00004E010000}"/>
    <cellStyle name="Comma 4 2 3 2" xfId="3508" xr:uid="{00000000-0005-0000-0000-00004F010000}"/>
    <cellStyle name="Comma 4 2 3 3" xfId="3903" xr:uid="{00000000-0005-0000-0000-000050010000}"/>
    <cellStyle name="Comma 4 2 4" xfId="3314" xr:uid="{00000000-0005-0000-0000-000051010000}"/>
    <cellStyle name="Comma 4 2 5" xfId="3709" xr:uid="{00000000-0005-0000-0000-000052010000}"/>
    <cellStyle name="Comma 4 3" xfId="2960" xr:uid="{00000000-0005-0000-0000-000053010000}"/>
    <cellStyle name="Comma 4 3 2" xfId="3162" xr:uid="{00000000-0005-0000-0000-000054010000}"/>
    <cellStyle name="Comma 4 3 2 2" xfId="3555" xr:uid="{00000000-0005-0000-0000-000055010000}"/>
    <cellStyle name="Comma 4 3 2 3" xfId="3950" xr:uid="{00000000-0005-0000-0000-000056010000}"/>
    <cellStyle name="Comma 4 3 3" xfId="3361" xr:uid="{00000000-0005-0000-0000-000057010000}"/>
    <cellStyle name="Comma 4 3 4" xfId="3756" xr:uid="{00000000-0005-0000-0000-000058010000}"/>
    <cellStyle name="Comma 4 4" xfId="3066" xr:uid="{00000000-0005-0000-0000-000059010000}"/>
    <cellStyle name="Comma 4 4 2" xfId="3459" xr:uid="{00000000-0005-0000-0000-00005A010000}"/>
    <cellStyle name="Comma 4 4 3" xfId="3854" xr:uid="{00000000-0005-0000-0000-00005B010000}"/>
    <cellStyle name="Comma 4 5" xfId="3264" xr:uid="{00000000-0005-0000-0000-00005C010000}"/>
    <cellStyle name="Comma 4 6" xfId="3658" xr:uid="{00000000-0005-0000-0000-00005D010000}"/>
    <cellStyle name="Comma 5" xfId="82" xr:uid="{00000000-0005-0000-0000-00005E010000}"/>
    <cellStyle name="Comma 5 2" xfId="2884" xr:uid="{00000000-0005-0000-0000-00005F010000}"/>
    <cellStyle name="Comma 5 2 2" xfId="3016" xr:uid="{00000000-0005-0000-0000-000060010000}"/>
    <cellStyle name="Comma 5 2 2 2" xfId="3214" xr:uid="{00000000-0005-0000-0000-000061010000}"/>
    <cellStyle name="Comma 5 2 2 2 2" xfId="3607" xr:uid="{00000000-0005-0000-0000-000062010000}"/>
    <cellStyle name="Comma 5 2 2 2 3" xfId="4002" xr:uid="{00000000-0005-0000-0000-000063010000}"/>
    <cellStyle name="Comma 5 2 2 3" xfId="3413" xr:uid="{00000000-0005-0000-0000-000064010000}"/>
    <cellStyle name="Comma 5 2 2 4" xfId="3808" xr:uid="{00000000-0005-0000-0000-000065010000}"/>
    <cellStyle name="Comma 5 2 3" xfId="3116" xr:uid="{00000000-0005-0000-0000-000066010000}"/>
    <cellStyle name="Comma 5 2 3 2" xfId="3509" xr:uid="{00000000-0005-0000-0000-000067010000}"/>
    <cellStyle name="Comma 5 2 3 3" xfId="3904" xr:uid="{00000000-0005-0000-0000-000068010000}"/>
    <cellStyle name="Comma 5 2 4" xfId="3315" xr:uid="{00000000-0005-0000-0000-000069010000}"/>
    <cellStyle name="Comma 5 2 5" xfId="3710" xr:uid="{00000000-0005-0000-0000-00006A010000}"/>
    <cellStyle name="Comma 5 3" xfId="2961" xr:uid="{00000000-0005-0000-0000-00006B010000}"/>
    <cellStyle name="Comma 5 3 2" xfId="3163" xr:uid="{00000000-0005-0000-0000-00006C010000}"/>
    <cellStyle name="Comma 5 3 2 2" xfId="3556" xr:uid="{00000000-0005-0000-0000-00006D010000}"/>
    <cellStyle name="Comma 5 3 2 3" xfId="3951" xr:uid="{00000000-0005-0000-0000-00006E010000}"/>
    <cellStyle name="Comma 5 3 3" xfId="3362" xr:uid="{00000000-0005-0000-0000-00006F010000}"/>
    <cellStyle name="Comma 5 3 4" xfId="3757" xr:uid="{00000000-0005-0000-0000-000070010000}"/>
    <cellStyle name="Comma 5 4" xfId="3067" xr:uid="{00000000-0005-0000-0000-000071010000}"/>
    <cellStyle name="Comma 5 4 2" xfId="3460" xr:uid="{00000000-0005-0000-0000-000072010000}"/>
    <cellStyle name="Comma 5 4 3" xfId="3855" xr:uid="{00000000-0005-0000-0000-000073010000}"/>
    <cellStyle name="Comma 5 5" xfId="3265" xr:uid="{00000000-0005-0000-0000-000074010000}"/>
    <cellStyle name="Comma 5 6" xfId="3659" xr:uid="{00000000-0005-0000-0000-000075010000}"/>
    <cellStyle name="Comma 6" xfId="2871" xr:uid="{00000000-0005-0000-0000-000076010000}"/>
    <cellStyle name="Comma 6 2" xfId="3003" xr:uid="{00000000-0005-0000-0000-000077010000}"/>
    <cellStyle name="Comma 6 2 2" xfId="3201" xr:uid="{00000000-0005-0000-0000-000078010000}"/>
    <cellStyle name="Comma 6 2 2 2" xfId="3594" xr:uid="{00000000-0005-0000-0000-000079010000}"/>
    <cellStyle name="Comma 6 2 2 3" xfId="3989" xr:uid="{00000000-0005-0000-0000-00007A010000}"/>
    <cellStyle name="Comma 6 2 3" xfId="3400" xr:uid="{00000000-0005-0000-0000-00007B010000}"/>
    <cellStyle name="Comma 6 2 4" xfId="3795" xr:uid="{00000000-0005-0000-0000-00007C010000}"/>
    <cellStyle name="Comma 6 3" xfId="3103" xr:uid="{00000000-0005-0000-0000-00007D010000}"/>
    <cellStyle name="Comma 6 3 2" xfId="3496" xr:uid="{00000000-0005-0000-0000-00007E010000}"/>
    <cellStyle name="Comma 6 3 3" xfId="3891" xr:uid="{00000000-0005-0000-0000-00007F010000}"/>
    <cellStyle name="Comma 6 4" xfId="3302" xr:uid="{00000000-0005-0000-0000-000080010000}"/>
    <cellStyle name="Comma 6 5" xfId="3697" xr:uid="{00000000-0005-0000-0000-000081010000}"/>
    <cellStyle name="Comma 7" xfId="2941" xr:uid="{00000000-0005-0000-0000-000082010000}"/>
    <cellStyle name="Comma 7 2" xfId="3047" xr:uid="{00000000-0005-0000-0000-000083010000}"/>
    <cellStyle name="Comma 7 2 2" xfId="3245" xr:uid="{00000000-0005-0000-0000-000084010000}"/>
    <cellStyle name="Comma 7 2 2 2" xfId="3638" xr:uid="{00000000-0005-0000-0000-000085010000}"/>
    <cellStyle name="Comma 7 2 2 3" xfId="4033" xr:uid="{00000000-0005-0000-0000-000086010000}"/>
    <cellStyle name="Comma 7 2 3" xfId="3444" xr:uid="{00000000-0005-0000-0000-000087010000}"/>
    <cellStyle name="Comma 7 2 4" xfId="3839" xr:uid="{00000000-0005-0000-0000-000088010000}"/>
    <cellStyle name="Comma 7 3" xfId="3147" xr:uid="{00000000-0005-0000-0000-000089010000}"/>
    <cellStyle name="Comma 7 3 2" xfId="3540" xr:uid="{00000000-0005-0000-0000-00008A010000}"/>
    <cellStyle name="Comma 7 3 3" xfId="3935" xr:uid="{00000000-0005-0000-0000-00008B010000}"/>
    <cellStyle name="Comma 7 4" xfId="3346" xr:uid="{00000000-0005-0000-0000-00008C010000}"/>
    <cellStyle name="Comma 7 5" xfId="3741" xr:uid="{00000000-0005-0000-0000-00008D010000}"/>
    <cellStyle name="Comma 8" xfId="2948" xr:uid="{00000000-0005-0000-0000-00008E010000}"/>
    <cellStyle name="Comma 8 2" xfId="3150" xr:uid="{00000000-0005-0000-0000-00008F010000}"/>
    <cellStyle name="Comma 8 2 2" xfId="3543" xr:uid="{00000000-0005-0000-0000-000090010000}"/>
    <cellStyle name="Comma 8 2 3" xfId="3938" xr:uid="{00000000-0005-0000-0000-000091010000}"/>
    <cellStyle name="Comma 8 3" xfId="3349" xr:uid="{00000000-0005-0000-0000-000092010000}"/>
    <cellStyle name="Comma 8 4" xfId="3744" xr:uid="{00000000-0005-0000-0000-000093010000}"/>
    <cellStyle name="Comma 9" xfId="2998" xr:uid="{00000000-0005-0000-0000-000094010000}"/>
    <cellStyle name="Comma 9 2" xfId="3198" xr:uid="{00000000-0005-0000-0000-000095010000}"/>
    <cellStyle name="Comma 9 2 2" xfId="3591" xr:uid="{00000000-0005-0000-0000-000096010000}"/>
    <cellStyle name="Comma 9 2 3" xfId="3986" xr:uid="{00000000-0005-0000-0000-000097010000}"/>
    <cellStyle name="Comma 9 3" xfId="3397" xr:uid="{00000000-0005-0000-0000-000098010000}"/>
    <cellStyle name="Comma 9 4" xfId="3792" xr:uid="{00000000-0005-0000-0000-000099010000}"/>
    <cellStyle name="Currency" xfId="83" xr:uid="{00000000-0005-0000-0000-00009A010000}"/>
    <cellStyle name="Currency [0]" xfId="84" xr:uid="{00000000-0005-0000-0000-00009B010000}"/>
    <cellStyle name="Currency [0] 2" xfId="85" xr:uid="{00000000-0005-0000-0000-00009C010000}"/>
    <cellStyle name="Currency [0] 2 2" xfId="86" xr:uid="{00000000-0005-0000-0000-00009D010000}"/>
    <cellStyle name="Currency [0] 2 2 2" xfId="87" xr:uid="{00000000-0005-0000-0000-00009E010000}"/>
    <cellStyle name="Currency [0] 2 2 2 2" xfId="88" xr:uid="{00000000-0005-0000-0000-00009F010000}"/>
    <cellStyle name="Currency [0] 2 2 3" xfId="89" xr:uid="{00000000-0005-0000-0000-0000A0010000}"/>
    <cellStyle name="Currency [0] 2 2 3 2" xfId="90" xr:uid="{00000000-0005-0000-0000-0000A1010000}"/>
    <cellStyle name="Currency [0] 2 2 4" xfId="91" xr:uid="{00000000-0005-0000-0000-0000A2010000}"/>
    <cellStyle name="Currency [0] 2 2 4 2" xfId="92" xr:uid="{00000000-0005-0000-0000-0000A3010000}"/>
    <cellStyle name="Currency [0] 2 2 5" xfId="93" xr:uid="{00000000-0005-0000-0000-0000A4010000}"/>
    <cellStyle name="Currency [0] 2 3" xfId="94" xr:uid="{00000000-0005-0000-0000-0000A5010000}"/>
    <cellStyle name="Currency [0] 2 3 2" xfId="95" xr:uid="{00000000-0005-0000-0000-0000A6010000}"/>
    <cellStyle name="Currency [0] 2 4" xfId="96" xr:uid="{00000000-0005-0000-0000-0000A7010000}"/>
    <cellStyle name="Currency [0] 2 4 2" xfId="97" xr:uid="{00000000-0005-0000-0000-0000A8010000}"/>
    <cellStyle name="Currency [0] 2 5" xfId="98" xr:uid="{00000000-0005-0000-0000-0000A9010000}"/>
    <cellStyle name="Currency [0] 2 5 2" xfId="99" xr:uid="{00000000-0005-0000-0000-0000AA010000}"/>
    <cellStyle name="Currency [0] 2 6" xfId="100" xr:uid="{00000000-0005-0000-0000-0000AB010000}"/>
    <cellStyle name="Currency [0] 3" xfId="101" xr:uid="{00000000-0005-0000-0000-0000AC010000}"/>
    <cellStyle name="Currency [0] 3 2" xfId="102" xr:uid="{00000000-0005-0000-0000-0000AD010000}"/>
    <cellStyle name="Currency [0] 3 2 2" xfId="103" xr:uid="{00000000-0005-0000-0000-0000AE010000}"/>
    <cellStyle name="Currency [0] 3 3" xfId="104" xr:uid="{00000000-0005-0000-0000-0000AF010000}"/>
    <cellStyle name="Currency [0] 3 3 2" xfId="105" xr:uid="{00000000-0005-0000-0000-0000B0010000}"/>
    <cellStyle name="Currency [0] 3 4" xfId="106" xr:uid="{00000000-0005-0000-0000-0000B1010000}"/>
    <cellStyle name="Currency [0] 3 4 2" xfId="107" xr:uid="{00000000-0005-0000-0000-0000B2010000}"/>
    <cellStyle name="Currency [0] 3 5" xfId="108" xr:uid="{00000000-0005-0000-0000-0000B3010000}"/>
    <cellStyle name="Currency [0] 4" xfId="109" xr:uid="{00000000-0005-0000-0000-0000B4010000}"/>
    <cellStyle name="Currency [0] 4 2" xfId="110" xr:uid="{00000000-0005-0000-0000-0000B5010000}"/>
    <cellStyle name="Currency [0] 5" xfId="111" xr:uid="{00000000-0005-0000-0000-0000B6010000}"/>
    <cellStyle name="Currency [0] 5 2" xfId="112" xr:uid="{00000000-0005-0000-0000-0000B7010000}"/>
    <cellStyle name="Currency [0] 6" xfId="113" xr:uid="{00000000-0005-0000-0000-0000B8010000}"/>
    <cellStyle name="Currency [0] 6 2" xfId="114" xr:uid="{00000000-0005-0000-0000-0000B9010000}"/>
    <cellStyle name="Currency [0] 7" xfId="115" xr:uid="{00000000-0005-0000-0000-0000BA010000}"/>
    <cellStyle name="Currency 10" xfId="116" xr:uid="{00000000-0005-0000-0000-0000BB010000}"/>
    <cellStyle name="Currency 10 2" xfId="117" xr:uid="{00000000-0005-0000-0000-0000BC010000}"/>
    <cellStyle name="Currency 11" xfId="118" xr:uid="{00000000-0005-0000-0000-0000BD010000}"/>
    <cellStyle name="Currency 11 2" xfId="119" xr:uid="{00000000-0005-0000-0000-0000BE010000}"/>
    <cellStyle name="Currency 12" xfId="120" xr:uid="{00000000-0005-0000-0000-0000BF010000}"/>
    <cellStyle name="Currency 12 2" xfId="121" xr:uid="{00000000-0005-0000-0000-0000C0010000}"/>
    <cellStyle name="Currency 13" xfId="122" xr:uid="{00000000-0005-0000-0000-0000C1010000}"/>
    <cellStyle name="Currency 13 2" xfId="123" xr:uid="{00000000-0005-0000-0000-0000C2010000}"/>
    <cellStyle name="Currency 14" xfId="124" xr:uid="{00000000-0005-0000-0000-0000C3010000}"/>
    <cellStyle name="Currency 15" xfId="125" xr:uid="{00000000-0005-0000-0000-0000C4010000}"/>
    <cellStyle name="Currency 2" xfId="126" xr:uid="{00000000-0005-0000-0000-0000C5010000}"/>
    <cellStyle name="Currency 2 2" xfId="127" xr:uid="{00000000-0005-0000-0000-0000C6010000}"/>
    <cellStyle name="Currency 2 2 2" xfId="128" xr:uid="{00000000-0005-0000-0000-0000C7010000}"/>
    <cellStyle name="Currency 2 2 2 2" xfId="129" xr:uid="{00000000-0005-0000-0000-0000C8010000}"/>
    <cellStyle name="Currency 2 2 3" xfId="130" xr:uid="{00000000-0005-0000-0000-0000C9010000}"/>
    <cellStyle name="Currency 2 2 3 2" xfId="131" xr:uid="{00000000-0005-0000-0000-0000CA010000}"/>
    <cellStyle name="Currency 2 2 4" xfId="132" xr:uid="{00000000-0005-0000-0000-0000CB010000}"/>
    <cellStyle name="Currency 2 2 4 2" xfId="133" xr:uid="{00000000-0005-0000-0000-0000CC010000}"/>
    <cellStyle name="Currency 2 2 5" xfId="134" xr:uid="{00000000-0005-0000-0000-0000CD010000}"/>
    <cellStyle name="Currency 2 3" xfId="135" xr:uid="{00000000-0005-0000-0000-0000CE010000}"/>
    <cellStyle name="Currency 2 3 2" xfId="136" xr:uid="{00000000-0005-0000-0000-0000CF010000}"/>
    <cellStyle name="Currency 2 4" xfId="137" xr:uid="{00000000-0005-0000-0000-0000D0010000}"/>
    <cellStyle name="Currency 2 4 2" xfId="138" xr:uid="{00000000-0005-0000-0000-0000D1010000}"/>
    <cellStyle name="Currency 2 5" xfId="139" xr:uid="{00000000-0005-0000-0000-0000D2010000}"/>
    <cellStyle name="Currency 2 5 2" xfId="140" xr:uid="{00000000-0005-0000-0000-0000D3010000}"/>
    <cellStyle name="Currency 2 6" xfId="141" xr:uid="{00000000-0005-0000-0000-0000D4010000}"/>
    <cellStyle name="Currency 3" xfId="142" xr:uid="{00000000-0005-0000-0000-0000D5010000}"/>
    <cellStyle name="Currency 3 2" xfId="143" xr:uid="{00000000-0005-0000-0000-0000D6010000}"/>
    <cellStyle name="Currency 3 2 2" xfId="144" xr:uid="{00000000-0005-0000-0000-0000D7010000}"/>
    <cellStyle name="Currency 3 3" xfId="145" xr:uid="{00000000-0005-0000-0000-0000D8010000}"/>
    <cellStyle name="Currency 3 3 2" xfId="146" xr:uid="{00000000-0005-0000-0000-0000D9010000}"/>
    <cellStyle name="Currency 3 4" xfId="147" xr:uid="{00000000-0005-0000-0000-0000DA010000}"/>
    <cellStyle name="Currency 3 4 2" xfId="148" xr:uid="{00000000-0005-0000-0000-0000DB010000}"/>
    <cellStyle name="Currency 3 5" xfId="149" xr:uid="{00000000-0005-0000-0000-0000DC010000}"/>
    <cellStyle name="Currency 4" xfId="150" xr:uid="{00000000-0005-0000-0000-0000DD010000}"/>
    <cellStyle name="Currency 4 2" xfId="151" xr:uid="{00000000-0005-0000-0000-0000DE010000}"/>
    <cellStyle name="Currency 4 2 2" xfId="152" xr:uid="{00000000-0005-0000-0000-0000DF010000}"/>
    <cellStyle name="Currency 4 3" xfId="153" xr:uid="{00000000-0005-0000-0000-0000E0010000}"/>
    <cellStyle name="Currency 4 3 2" xfId="154" xr:uid="{00000000-0005-0000-0000-0000E1010000}"/>
    <cellStyle name="Currency 4 4" xfId="155" xr:uid="{00000000-0005-0000-0000-0000E2010000}"/>
    <cellStyle name="Currency 4 4 2" xfId="156" xr:uid="{00000000-0005-0000-0000-0000E3010000}"/>
    <cellStyle name="Currency 4 5" xfId="157" xr:uid="{00000000-0005-0000-0000-0000E4010000}"/>
    <cellStyle name="Currency 5" xfId="158" xr:uid="{00000000-0005-0000-0000-0000E5010000}"/>
    <cellStyle name="Currency 5 2" xfId="159" xr:uid="{00000000-0005-0000-0000-0000E6010000}"/>
    <cellStyle name="Currency 5 2 2" xfId="160" xr:uid="{00000000-0005-0000-0000-0000E7010000}"/>
    <cellStyle name="Currency 5 3" xfId="161" xr:uid="{00000000-0005-0000-0000-0000E8010000}"/>
    <cellStyle name="Currency 5 3 2" xfId="162" xr:uid="{00000000-0005-0000-0000-0000E9010000}"/>
    <cellStyle name="Currency 5 4" xfId="163" xr:uid="{00000000-0005-0000-0000-0000EA010000}"/>
    <cellStyle name="Currency 5 4 2" xfId="164" xr:uid="{00000000-0005-0000-0000-0000EB010000}"/>
    <cellStyle name="Currency 5 5" xfId="165" xr:uid="{00000000-0005-0000-0000-0000EC010000}"/>
    <cellStyle name="Currency 6" xfId="166" xr:uid="{00000000-0005-0000-0000-0000ED010000}"/>
    <cellStyle name="Currency 6 2" xfId="167" xr:uid="{00000000-0005-0000-0000-0000EE010000}"/>
    <cellStyle name="Currency 7" xfId="168" xr:uid="{00000000-0005-0000-0000-0000EF010000}"/>
    <cellStyle name="Currency 7 2" xfId="169" xr:uid="{00000000-0005-0000-0000-0000F0010000}"/>
    <cellStyle name="Currency 8" xfId="170" xr:uid="{00000000-0005-0000-0000-0000F1010000}"/>
    <cellStyle name="Currency 8 2" xfId="171" xr:uid="{00000000-0005-0000-0000-0000F2010000}"/>
    <cellStyle name="Currency 9" xfId="172" xr:uid="{00000000-0005-0000-0000-0000F3010000}"/>
    <cellStyle name="Currency 9 2" xfId="173" xr:uid="{00000000-0005-0000-0000-0000F4010000}"/>
    <cellStyle name="DateStyle" xfId="174" xr:uid="{00000000-0005-0000-0000-0000F5010000}"/>
    <cellStyle name="DateTimeStyle" xfId="175" xr:uid="{00000000-0005-0000-0000-0000F6010000}"/>
    <cellStyle name="Decimal" xfId="176" xr:uid="{00000000-0005-0000-0000-0000F7010000}"/>
    <cellStyle name="DecimalWithBorder" xfId="177" xr:uid="{00000000-0005-0000-0000-0000F8010000}"/>
    <cellStyle name="DecimalWithBorder 2" xfId="178" xr:uid="{00000000-0005-0000-0000-0000F9010000}"/>
    <cellStyle name="DecimalWithBorder 2 2" xfId="179" xr:uid="{00000000-0005-0000-0000-0000FA010000}"/>
    <cellStyle name="DecimalWithBorder 2 3" xfId="180" xr:uid="{00000000-0005-0000-0000-0000FB010000}"/>
    <cellStyle name="DecimalWithBorder 2 4" xfId="181" xr:uid="{00000000-0005-0000-0000-0000FC010000}"/>
    <cellStyle name="DecimalWithBorder 3" xfId="182" xr:uid="{00000000-0005-0000-0000-0000FD010000}"/>
    <cellStyle name="DecimalWithBorder 4" xfId="183" xr:uid="{00000000-0005-0000-0000-0000FE010000}"/>
    <cellStyle name="DecimalWithBorder 5" xfId="184" xr:uid="{00000000-0005-0000-0000-0000FF010000}"/>
    <cellStyle name="Énfasis1 2" xfId="185" xr:uid="{00000000-0005-0000-0000-000000020000}"/>
    <cellStyle name="Énfasis1 2 2" xfId="186" xr:uid="{00000000-0005-0000-0000-000001020000}"/>
    <cellStyle name="EuroCurrency" xfId="187" xr:uid="{00000000-0005-0000-0000-000002020000}"/>
    <cellStyle name="EuroCurrencyWithBorder" xfId="188" xr:uid="{00000000-0005-0000-0000-000003020000}"/>
    <cellStyle name="EuroCurrencyWithBorder 2" xfId="189" xr:uid="{00000000-0005-0000-0000-000004020000}"/>
    <cellStyle name="EuroCurrencyWithBorder 2 2" xfId="190" xr:uid="{00000000-0005-0000-0000-000005020000}"/>
    <cellStyle name="EuroCurrencyWithBorder 2 3" xfId="191" xr:uid="{00000000-0005-0000-0000-000006020000}"/>
    <cellStyle name="EuroCurrencyWithBorder 2 4" xfId="192" xr:uid="{00000000-0005-0000-0000-000007020000}"/>
    <cellStyle name="EuroCurrencyWithBorder 3" xfId="193" xr:uid="{00000000-0005-0000-0000-000008020000}"/>
    <cellStyle name="EuroCurrencyWithBorder 4" xfId="194" xr:uid="{00000000-0005-0000-0000-000009020000}"/>
    <cellStyle name="EuroCurrencyWithBorder 5" xfId="195" xr:uid="{00000000-0005-0000-0000-00000A020000}"/>
    <cellStyle name="HeaderStyle" xfId="196" xr:uid="{00000000-0005-0000-0000-00000B020000}"/>
    <cellStyle name="HeaderSubTop" xfId="197" xr:uid="{00000000-0005-0000-0000-00000C020000}"/>
    <cellStyle name="HeaderSubTopNoBold" xfId="198" xr:uid="{00000000-0005-0000-0000-00000D020000}"/>
    <cellStyle name="HeaderTopBuyer" xfId="199" xr:uid="{00000000-0005-0000-0000-00000E020000}"/>
    <cellStyle name="HeaderTopStyle" xfId="200" xr:uid="{00000000-0005-0000-0000-00000F020000}"/>
    <cellStyle name="HeaderTopStyleAlignRight" xfId="201" xr:uid="{00000000-0005-0000-0000-000010020000}"/>
    <cellStyle name="Hipervínculo" xfId="3248" builtinId="8"/>
    <cellStyle name="Hipervínculo visitado" xfId="3249" builtinId="9" hidden="1"/>
    <cellStyle name="Hipervínculo visitado" xfId="3641" builtinId="9" hidden="1"/>
    <cellStyle name="Hipervínculo visitado" xfId="3642" builtinId="9" hidden="1"/>
    <cellStyle name="MainTitle" xfId="202" xr:uid="{00000000-0005-0000-0000-000015020000}"/>
    <cellStyle name="MainTitle 2" xfId="203" xr:uid="{00000000-0005-0000-0000-000016020000}"/>
    <cellStyle name="MainTitle 2 2" xfId="204" xr:uid="{00000000-0005-0000-0000-000017020000}"/>
    <cellStyle name="MainTitle 2 3" xfId="205" xr:uid="{00000000-0005-0000-0000-000018020000}"/>
    <cellStyle name="MainTitle 2 4" xfId="206" xr:uid="{00000000-0005-0000-0000-000019020000}"/>
    <cellStyle name="MainTitle 3" xfId="207" xr:uid="{00000000-0005-0000-0000-00001A020000}"/>
    <cellStyle name="MainTitle 4" xfId="208" xr:uid="{00000000-0005-0000-0000-00001B020000}"/>
    <cellStyle name="MainTitle 5" xfId="209" xr:uid="{00000000-0005-0000-0000-00001C020000}"/>
    <cellStyle name="Millares" xfId="3" builtinId="3"/>
    <cellStyle name="Millares [0]" xfId="2865" builtinId="6"/>
    <cellStyle name="Millares [0] 2" xfId="2944" xr:uid="{00000000-0005-0000-0000-00001F020000}"/>
    <cellStyle name="Millares [0] 2 2" xfId="3048" xr:uid="{00000000-0005-0000-0000-000020020000}"/>
    <cellStyle name="Millares [0] 2 2 2" xfId="3246" xr:uid="{00000000-0005-0000-0000-000021020000}"/>
    <cellStyle name="Millares [0] 2 2 2 2" xfId="3639" xr:uid="{00000000-0005-0000-0000-000022020000}"/>
    <cellStyle name="Millares [0] 2 2 2 3" xfId="4034" xr:uid="{00000000-0005-0000-0000-000023020000}"/>
    <cellStyle name="Millares [0] 2 2 3" xfId="3445" xr:uid="{00000000-0005-0000-0000-000024020000}"/>
    <cellStyle name="Millares [0] 2 2 4" xfId="3840" xr:uid="{00000000-0005-0000-0000-000025020000}"/>
    <cellStyle name="Millares [0] 2 3" xfId="3051" xr:uid="{00000000-0005-0000-0000-000026020000}"/>
    <cellStyle name="Millares [0] 2 3 2" xfId="3247" xr:uid="{00000000-0005-0000-0000-000027020000}"/>
    <cellStyle name="Millares [0] 2 3 2 2" xfId="3640" xr:uid="{00000000-0005-0000-0000-000028020000}"/>
    <cellStyle name="Millares [0] 2 3 2 3" xfId="4035" xr:uid="{00000000-0005-0000-0000-000029020000}"/>
    <cellStyle name="Millares [0] 2 3 3" xfId="3446" xr:uid="{00000000-0005-0000-0000-00002A020000}"/>
    <cellStyle name="Millares [0] 2 3 4" xfId="3841" xr:uid="{00000000-0005-0000-0000-00002B020000}"/>
    <cellStyle name="Millares [0] 2 4" xfId="3148" xr:uid="{00000000-0005-0000-0000-00002C020000}"/>
    <cellStyle name="Millares [0] 2 4 2" xfId="3541" xr:uid="{00000000-0005-0000-0000-00002D020000}"/>
    <cellStyle name="Millares [0] 2 4 3" xfId="3936" xr:uid="{00000000-0005-0000-0000-00002E020000}"/>
    <cellStyle name="Millares [0] 2 5" xfId="3347" xr:uid="{00000000-0005-0000-0000-00002F020000}"/>
    <cellStyle name="Millares [0] 2 6" xfId="3742" xr:uid="{00000000-0005-0000-0000-000030020000}"/>
    <cellStyle name="Millares [0] 3" xfId="3001" xr:uid="{00000000-0005-0000-0000-000031020000}"/>
    <cellStyle name="Millares [0] 3 2" xfId="3199" xr:uid="{00000000-0005-0000-0000-000032020000}"/>
    <cellStyle name="Millares [0] 3 2 2" xfId="3592" xr:uid="{00000000-0005-0000-0000-000033020000}"/>
    <cellStyle name="Millares [0] 3 2 3" xfId="3987" xr:uid="{00000000-0005-0000-0000-000034020000}"/>
    <cellStyle name="Millares [0] 3 3" xfId="3398" xr:uid="{00000000-0005-0000-0000-000035020000}"/>
    <cellStyle name="Millares [0] 3 4" xfId="3793" xr:uid="{00000000-0005-0000-0000-000036020000}"/>
    <cellStyle name="Millares [0] 4" xfId="3101" xr:uid="{00000000-0005-0000-0000-000037020000}"/>
    <cellStyle name="Millares [0] 4 2" xfId="3494" xr:uid="{00000000-0005-0000-0000-000038020000}"/>
    <cellStyle name="Millares [0] 4 3" xfId="3889" xr:uid="{00000000-0005-0000-0000-000039020000}"/>
    <cellStyle name="Millares [0] 5" xfId="3300" xr:uid="{00000000-0005-0000-0000-00003A020000}"/>
    <cellStyle name="Millares [0] 6" xfId="3695" xr:uid="{00000000-0005-0000-0000-00003B020000}"/>
    <cellStyle name="Millares 10" xfId="210" xr:uid="{00000000-0005-0000-0000-00003C020000}"/>
    <cellStyle name="Millares 10 2" xfId="211" xr:uid="{00000000-0005-0000-0000-00003D020000}"/>
    <cellStyle name="Millares 10 2 2" xfId="2886" xr:uid="{00000000-0005-0000-0000-00003E020000}"/>
    <cellStyle name="Millares 10 2 2 2" xfId="3018" xr:uid="{00000000-0005-0000-0000-00003F020000}"/>
    <cellStyle name="Millares 10 2 2 2 2" xfId="3216" xr:uid="{00000000-0005-0000-0000-000040020000}"/>
    <cellStyle name="Millares 10 2 2 2 2 2" xfId="3609" xr:uid="{00000000-0005-0000-0000-000041020000}"/>
    <cellStyle name="Millares 10 2 2 2 2 3" xfId="4004" xr:uid="{00000000-0005-0000-0000-000042020000}"/>
    <cellStyle name="Millares 10 2 2 2 3" xfId="3415" xr:uid="{00000000-0005-0000-0000-000043020000}"/>
    <cellStyle name="Millares 10 2 2 2 4" xfId="3810" xr:uid="{00000000-0005-0000-0000-000044020000}"/>
    <cellStyle name="Millares 10 2 2 3" xfId="3118" xr:uid="{00000000-0005-0000-0000-000045020000}"/>
    <cellStyle name="Millares 10 2 2 3 2" xfId="3511" xr:uid="{00000000-0005-0000-0000-000046020000}"/>
    <cellStyle name="Millares 10 2 2 3 3" xfId="3906" xr:uid="{00000000-0005-0000-0000-000047020000}"/>
    <cellStyle name="Millares 10 2 2 4" xfId="3317" xr:uid="{00000000-0005-0000-0000-000048020000}"/>
    <cellStyle name="Millares 10 2 2 5" xfId="3712" xr:uid="{00000000-0005-0000-0000-000049020000}"/>
    <cellStyle name="Millares 10 2 3" xfId="2963" xr:uid="{00000000-0005-0000-0000-00004A020000}"/>
    <cellStyle name="Millares 10 2 3 2" xfId="3165" xr:uid="{00000000-0005-0000-0000-00004B020000}"/>
    <cellStyle name="Millares 10 2 3 2 2" xfId="3558" xr:uid="{00000000-0005-0000-0000-00004C020000}"/>
    <cellStyle name="Millares 10 2 3 2 3" xfId="3953" xr:uid="{00000000-0005-0000-0000-00004D020000}"/>
    <cellStyle name="Millares 10 2 3 3" xfId="3364" xr:uid="{00000000-0005-0000-0000-00004E020000}"/>
    <cellStyle name="Millares 10 2 3 4" xfId="3759" xr:uid="{00000000-0005-0000-0000-00004F020000}"/>
    <cellStyle name="Millares 10 2 4" xfId="3069" xr:uid="{00000000-0005-0000-0000-000050020000}"/>
    <cellStyle name="Millares 10 2 4 2" xfId="3462" xr:uid="{00000000-0005-0000-0000-000051020000}"/>
    <cellStyle name="Millares 10 2 4 3" xfId="3857" xr:uid="{00000000-0005-0000-0000-000052020000}"/>
    <cellStyle name="Millares 10 2 5" xfId="3267" xr:uid="{00000000-0005-0000-0000-000053020000}"/>
    <cellStyle name="Millares 10 2 6" xfId="3661" xr:uid="{00000000-0005-0000-0000-000054020000}"/>
    <cellStyle name="Millares 10 3" xfId="2885" xr:uid="{00000000-0005-0000-0000-000055020000}"/>
    <cellStyle name="Millares 10 3 2" xfId="3017" xr:uid="{00000000-0005-0000-0000-000056020000}"/>
    <cellStyle name="Millares 10 3 2 2" xfId="3215" xr:uid="{00000000-0005-0000-0000-000057020000}"/>
    <cellStyle name="Millares 10 3 2 2 2" xfId="3608" xr:uid="{00000000-0005-0000-0000-000058020000}"/>
    <cellStyle name="Millares 10 3 2 2 3" xfId="4003" xr:uid="{00000000-0005-0000-0000-000059020000}"/>
    <cellStyle name="Millares 10 3 2 3" xfId="3414" xr:uid="{00000000-0005-0000-0000-00005A020000}"/>
    <cellStyle name="Millares 10 3 2 4" xfId="3809" xr:uid="{00000000-0005-0000-0000-00005B020000}"/>
    <cellStyle name="Millares 10 3 3" xfId="3117" xr:uid="{00000000-0005-0000-0000-00005C020000}"/>
    <cellStyle name="Millares 10 3 3 2" xfId="3510" xr:uid="{00000000-0005-0000-0000-00005D020000}"/>
    <cellStyle name="Millares 10 3 3 3" xfId="3905" xr:uid="{00000000-0005-0000-0000-00005E020000}"/>
    <cellStyle name="Millares 10 3 4" xfId="3316" xr:uid="{00000000-0005-0000-0000-00005F020000}"/>
    <cellStyle name="Millares 10 3 5" xfId="3711" xr:uid="{00000000-0005-0000-0000-000060020000}"/>
    <cellStyle name="Millares 10 4" xfId="2962" xr:uid="{00000000-0005-0000-0000-000061020000}"/>
    <cellStyle name="Millares 10 4 2" xfId="3164" xr:uid="{00000000-0005-0000-0000-000062020000}"/>
    <cellStyle name="Millares 10 4 2 2" xfId="3557" xr:uid="{00000000-0005-0000-0000-000063020000}"/>
    <cellStyle name="Millares 10 4 2 3" xfId="3952" xr:uid="{00000000-0005-0000-0000-000064020000}"/>
    <cellStyle name="Millares 10 4 3" xfId="3363" xr:uid="{00000000-0005-0000-0000-000065020000}"/>
    <cellStyle name="Millares 10 4 4" xfId="3758" xr:uid="{00000000-0005-0000-0000-000066020000}"/>
    <cellStyle name="Millares 10 5" xfId="3068" xr:uid="{00000000-0005-0000-0000-000067020000}"/>
    <cellStyle name="Millares 10 5 2" xfId="3461" xr:uid="{00000000-0005-0000-0000-000068020000}"/>
    <cellStyle name="Millares 10 5 3" xfId="3856" xr:uid="{00000000-0005-0000-0000-000069020000}"/>
    <cellStyle name="Millares 10 6" xfId="3266" xr:uid="{00000000-0005-0000-0000-00006A020000}"/>
    <cellStyle name="Millares 10 7" xfId="3660" xr:uid="{00000000-0005-0000-0000-00006B020000}"/>
    <cellStyle name="Millares 11" xfId="2868" xr:uid="{00000000-0005-0000-0000-00006C020000}"/>
    <cellStyle name="Millares 12" xfId="2943" xr:uid="{00000000-0005-0000-0000-00006D020000}"/>
    <cellStyle name="Millares 13" xfId="2945" xr:uid="{00000000-0005-0000-0000-00006E020000}"/>
    <cellStyle name="Millares 14" xfId="3000" xr:uid="{00000000-0005-0000-0000-00006F020000}"/>
    <cellStyle name="Millares 15" xfId="3050" xr:uid="{00000000-0005-0000-0000-000070020000}"/>
    <cellStyle name="Millares 16" xfId="2997" xr:uid="{00000000-0005-0000-0000-000071020000}"/>
    <cellStyle name="Millares 17" xfId="3052" xr:uid="{00000000-0005-0000-0000-000072020000}"/>
    <cellStyle name="Millares 18" xfId="3250" xr:uid="{00000000-0005-0000-0000-000073020000}"/>
    <cellStyle name="Millares 19" xfId="3643" xr:uid="{00000000-0005-0000-0000-000074020000}"/>
    <cellStyle name="Millares 2" xfId="4" xr:uid="{00000000-0005-0000-0000-000075020000}"/>
    <cellStyle name="Millares 2 2" xfId="5" xr:uid="{00000000-0005-0000-0000-000076020000}"/>
    <cellStyle name="Millares 2 2 2" xfId="212" xr:uid="{00000000-0005-0000-0000-000077020000}"/>
    <cellStyle name="Millares 2 3" xfId="213" xr:uid="{00000000-0005-0000-0000-000078020000}"/>
    <cellStyle name="Millares 2 3 2" xfId="214" xr:uid="{00000000-0005-0000-0000-000079020000}"/>
    <cellStyle name="Millares 2 3 2 2" xfId="215" xr:uid="{00000000-0005-0000-0000-00007A020000}"/>
    <cellStyle name="Millares 2 3 2 2 2" xfId="2889" xr:uid="{00000000-0005-0000-0000-00007B020000}"/>
    <cellStyle name="Millares 2 3 2 2 2 2" xfId="3021" xr:uid="{00000000-0005-0000-0000-00007C020000}"/>
    <cellStyle name="Millares 2 3 2 2 2 2 2" xfId="3219" xr:uid="{00000000-0005-0000-0000-00007D020000}"/>
    <cellStyle name="Millares 2 3 2 2 2 2 2 2" xfId="3612" xr:uid="{00000000-0005-0000-0000-00007E020000}"/>
    <cellStyle name="Millares 2 3 2 2 2 2 2 3" xfId="4007" xr:uid="{00000000-0005-0000-0000-00007F020000}"/>
    <cellStyle name="Millares 2 3 2 2 2 2 3" xfId="3418" xr:uid="{00000000-0005-0000-0000-000080020000}"/>
    <cellStyle name="Millares 2 3 2 2 2 2 4" xfId="3813" xr:uid="{00000000-0005-0000-0000-000081020000}"/>
    <cellStyle name="Millares 2 3 2 2 2 3" xfId="3121" xr:uid="{00000000-0005-0000-0000-000082020000}"/>
    <cellStyle name="Millares 2 3 2 2 2 3 2" xfId="3514" xr:uid="{00000000-0005-0000-0000-000083020000}"/>
    <cellStyle name="Millares 2 3 2 2 2 3 3" xfId="3909" xr:uid="{00000000-0005-0000-0000-000084020000}"/>
    <cellStyle name="Millares 2 3 2 2 2 4" xfId="3320" xr:uid="{00000000-0005-0000-0000-000085020000}"/>
    <cellStyle name="Millares 2 3 2 2 2 5" xfId="3715" xr:uid="{00000000-0005-0000-0000-000086020000}"/>
    <cellStyle name="Millares 2 3 2 2 3" xfId="2966" xr:uid="{00000000-0005-0000-0000-000087020000}"/>
    <cellStyle name="Millares 2 3 2 2 3 2" xfId="3168" xr:uid="{00000000-0005-0000-0000-000088020000}"/>
    <cellStyle name="Millares 2 3 2 2 3 2 2" xfId="3561" xr:uid="{00000000-0005-0000-0000-000089020000}"/>
    <cellStyle name="Millares 2 3 2 2 3 2 3" xfId="3956" xr:uid="{00000000-0005-0000-0000-00008A020000}"/>
    <cellStyle name="Millares 2 3 2 2 3 3" xfId="3367" xr:uid="{00000000-0005-0000-0000-00008B020000}"/>
    <cellStyle name="Millares 2 3 2 2 3 4" xfId="3762" xr:uid="{00000000-0005-0000-0000-00008C020000}"/>
    <cellStyle name="Millares 2 3 2 2 4" xfId="3072" xr:uid="{00000000-0005-0000-0000-00008D020000}"/>
    <cellStyle name="Millares 2 3 2 2 4 2" xfId="3465" xr:uid="{00000000-0005-0000-0000-00008E020000}"/>
    <cellStyle name="Millares 2 3 2 2 4 3" xfId="3860" xr:uid="{00000000-0005-0000-0000-00008F020000}"/>
    <cellStyle name="Millares 2 3 2 2 5" xfId="3270" xr:uid="{00000000-0005-0000-0000-000090020000}"/>
    <cellStyle name="Millares 2 3 2 2 6" xfId="3664" xr:uid="{00000000-0005-0000-0000-000091020000}"/>
    <cellStyle name="Millares 2 3 2 3" xfId="2888" xr:uid="{00000000-0005-0000-0000-000092020000}"/>
    <cellStyle name="Millares 2 3 2 3 2" xfId="3020" xr:uid="{00000000-0005-0000-0000-000093020000}"/>
    <cellStyle name="Millares 2 3 2 3 2 2" xfId="3218" xr:uid="{00000000-0005-0000-0000-000094020000}"/>
    <cellStyle name="Millares 2 3 2 3 2 2 2" xfId="3611" xr:uid="{00000000-0005-0000-0000-000095020000}"/>
    <cellStyle name="Millares 2 3 2 3 2 2 3" xfId="4006" xr:uid="{00000000-0005-0000-0000-000096020000}"/>
    <cellStyle name="Millares 2 3 2 3 2 3" xfId="3417" xr:uid="{00000000-0005-0000-0000-000097020000}"/>
    <cellStyle name="Millares 2 3 2 3 2 4" xfId="3812" xr:uid="{00000000-0005-0000-0000-000098020000}"/>
    <cellStyle name="Millares 2 3 2 3 3" xfId="3120" xr:uid="{00000000-0005-0000-0000-000099020000}"/>
    <cellStyle name="Millares 2 3 2 3 3 2" xfId="3513" xr:uid="{00000000-0005-0000-0000-00009A020000}"/>
    <cellStyle name="Millares 2 3 2 3 3 3" xfId="3908" xr:uid="{00000000-0005-0000-0000-00009B020000}"/>
    <cellStyle name="Millares 2 3 2 3 4" xfId="3319" xr:uid="{00000000-0005-0000-0000-00009C020000}"/>
    <cellStyle name="Millares 2 3 2 3 5" xfId="3714" xr:uid="{00000000-0005-0000-0000-00009D020000}"/>
    <cellStyle name="Millares 2 3 2 4" xfId="2965" xr:uid="{00000000-0005-0000-0000-00009E020000}"/>
    <cellStyle name="Millares 2 3 2 4 2" xfId="3167" xr:uid="{00000000-0005-0000-0000-00009F020000}"/>
    <cellStyle name="Millares 2 3 2 4 2 2" xfId="3560" xr:uid="{00000000-0005-0000-0000-0000A0020000}"/>
    <cellStyle name="Millares 2 3 2 4 2 3" xfId="3955" xr:uid="{00000000-0005-0000-0000-0000A1020000}"/>
    <cellStyle name="Millares 2 3 2 4 3" xfId="3366" xr:uid="{00000000-0005-0000-0000-0000A2020000}"/>
    <cellStyle name="Millares 2 3 2 4 4" xfId="3761" xr:uid="{00000000-0005-0000-0000-0000A3020000}"/>
    <cellStyle name="Millares 2 3 2 5" xfId="3071" xr:uid="{00000000-0005-0000-0000-0000A4020000}"/>
    <cellStyle name="Millares 2 3 2 5 2" xfId="3464" xr:uid="{00000000-0005-0000-0000-0000A5020000}"/>
    <cellStyle name="Millares 2 3 2 5 3" xfId="3859" xr:uid="{00000000-0005-0000-0000-0000A6020000}"/>
    <cellStyle name="Millares 2 3 2 6" xfId="3269" xr:uid="{00000000-0005-0000-0000-0000A7020000}"/>
    <cellStyle name="Millares 2 3 2 7" xfId="3663" xr:uid="{00000000-0005-0000-0000-0000A8020000}"/>
    <cellStyle name="Millares 2 3 3" xfId="216" xr:uid="{00000000-0005-0000-0000-0000A9020000}"/>
    <cellStyle name="Millares 2 3 3 2" xfId="2890" xr:uid="{00000000-0005-0000-0000-0000AA020000}"/>
    <cellStyle name="Millares 2 3 3 2 2" xfId="3022" xr:uid="{00000000-0005-0000-0000-0000AB020000}"/>
    <cellStyle name="Millares 2 3 3 2 2 2" xfId="3220" xr:uid="{00000000-0005-0000-0000-0000AC020000}"/>
    <cellStyle name="Millares 2 3 3 2 2 2 2" xfId="3613" xr:uid="{00000000-0005-0000-0000-0000AD020000}"/>
    <cellStyle name="Millares 2 3 3 2 2 2 3" xfId="4008" xr:uid="{00000000-0005-0000-0000-0000AE020000}"/>
    <cellStyle name="Millares 2 3 3 2 2 3" xfId="3419" xr:uid="{00000000-0005-0000-0000-0000AF020000}"/>
    <cellStyle name="Millares 2 3 3 2 2 4" xfId="3814" xr:uid="{00000000-0005-0000-0000-0000B0020000}"/>
    <cellStyle name="Millares 2 3 3 2 3" xfId="3122" xr:uid="{00000000-0005-0000-0000-0000B1020000}"/>
    <cellStyle name="Millares 2 3 3 2 3 2" xfId="3515" xr:uid="{00000000-0005-0000-0000-0000B2020000}"/>
    <cellStyle name="Millares 2 3 3 2 3 3" xfId="3910" xr:uid="{00000000-0005-0000-0000-0000B3020000}"/>
    <cellStyle name="Millares 2 3 3 2 4" xfId="3321" xr:uid="{00000000-0005-0000-0000-0000B4020000}"/>
    <cellStyle name="Millares 2 3 3 2 5" xfId="3716" xr:uid="{00000000-0005-0000-0000-0000B5020000}"/>
    <cellStyle name="Millares 2 3 3 3" xfId="2967" xr:uid="{00000000-0005-0000-0000-0000B6020000}"/>
    <cellStyle name="Millares 2 3 3 3 2" xfId="3169" xr:uid="{00000000-0005-0000-0000-0000B7020000}"/>
    <cellStyle name="Millares 2 3 3 3 2 2" xfId="3562" xr:uid="{00000000-0005-0000-0000-0000B8020000}"/>
    <cellStyle name="Millares 2 3 3 3 2 3" xfId="3957" xr:uid="{00000000-0005-0000-0000-0000B9020000}"/>
    <cellStyle name="Millares 2 3 3 3 3" xfId="3368" xr:uid="{00000000-0005-0000-0000-0000BA020000}"/>
    <cellStyle name="Millares 2 3 3 3 4" xfId="3763" xr:uid="{00000000-0005-0000-0000-0000BB020000}"/>
    <cellStyle name="Millares 2 3 3 4" xfId="3073" xr:uid="{00000000-0005-0000-0000-0000BC020000}"/>
    <cellStyle name="Millares 2 3 3 4 2" xfId="3466" xr:uid="{00000000-0005-0000-0000-0000BD020000}"/>
    <cellStyle name="Millares 2 3 3 4 3" xfId="3861" xr:uid="{00000000-0005-0000-0000-0000BE020000}"/>
    <cellStyle name="Millares 2 3 3 5" xfId="3271" xr:uid="{00000000-0005-0000-0000-0000BF020000}"/>
    <cellStyle name="Millares 2 3 3 6" xfId="3665" xr:uid="{00000000-0005-0000-0000-0000C0020000}"/>
    <cellStyle name="Millares 2 3 4" xfId="217" xr:uid="{00000000-0005-0000-0000-0000C1020000}"/>
    <cellStyle name="Millares 2 3 4 2" xfId="2891" xr:uid="{00000000-0005-0000-0000-0000C2020000}"/>
    <cellStyle name="Millares 2 3 4 2 2" xfId="3023" xr:uid="{00000000-0005-0000-0000-0000C3020000}"/>
    <cellStyle name="Millares 2 3 4 2 2 2" xfId="3221" xr:uid="{00000000-0005-0000-0000-0000C4020000}"/>
    <cellStyle name="Millares 2 3 4 2 2 2 2" xfId="3614" xr:uid="{00000000-0005-0000-0000-0000C5020000}"/>
    <cellStyle name="Millares 2 3 4 2 2 2 3" xfId="4009" xr:uid="{00000000-0005-0000-0000-0000C6020000}"/>
    <cellStyle name="Millares 2 3 4 2 2 3" xfId="3420" xr:uid="{00000000-0005-0000-0000-0000C7020000}"/>
    <cellStyle name="Millares 2 3 4 2 2 4" xfId="3815" xr:uid="{00000000-0005-0000-0000-0000C8020000}"/>
    <cellStyle name="Millares 2 3 4 2 3" xfId="3123" xr:uid="{00000000-0005-0000-0000-0000C9020000}"/>
    <cellStyle name="Millares 2 3 4 2 3 2" xfId="3516" xr:uid="{00000000-0005-0000-0000-0000CA020000}"/>
    <cellStyle name="Millares 2 3 4 2 3 3" xfId="3911" xr:uid="{00000000-0005-0000-0000-0000CB020000}"/>
    <cellStyle name="Millares 2 3 4 2 4" xfId="3322" xr:uid="{00000000-0005-0000-0000-0000CC020000}"/>
    <cellStyle name="Millares 2 3 4 2 5" xfId="3717" xr:uid="{00000000-0005-0000-0000-0000CD020000}"/>
    <cellStyle name="Millares 2 3 4 3" xfId="2968" xr:uid="{00000000-0005-0000-0000-0000CE020000}"/>
    <cellStyle name="Millares 2 3 4 3 2" xfId="3170" xr:uid="{00000000-0005-0000-0000-0000CF020000}"/>
    <cellStyle name="Millares 2 3 4 3 2 2" xfId="3563" xr:uid="{00000000-0005-0000-0000-0000D0020000}"/>
    <cellStyle name="Millares 2 3 4 3 2 3" xfId="3958" xr:uid="{00000000-0005-0000-0000-0000D1020000}"/>
    <cellStyle name="Millares 2 3 4 3 3" xfId="3369" xr:uid="{00000000-0005-0000-0000-0000D2020000}"/>
    <cellStyle name="Millares 2 3 4 3 4" xfId="3764" xr:uid="{00000000-0005-0000-0000-0000D3020000}"/>
    <cellStyle name="Millares 2 3 4 4" xfId="3074" xr:uid="{00000000-0005-0000-0000-0000D4020000}"/>
    <cellStyle name="Millares 2 3 4 4 2" xfId="3467" xr:uid="{00000000-0005-0000-0000-0000D5020000}"/>
    <cellStyle name="Millares 2 3 4 4 3" xfId="3862" xr:uid="{00000000-0005-0000-0000-0000D6020000}"/>
    <cellStyle name="Millares 2 3 4 5" xfId="3272" xr:uid="{00000000-0005-0000-0000-0000D7020000}"/>
    <cellStyle name="Millares 2 3 4 6" xfId="3666" xr:uid="{00000000-0005-0000-0000-0000D8020000}"/>
    <cellStyle name="Millares 2 3 5" xfId="2887" xr:uid="{00000000-0005-0000-0000-0000D9020000}"/>
    <cellStyle name="Millares 2 3 5 2" xfId="3019" xr:uid="{00000000-0005-0000-0000-0000DA020000}"/>
    <cellStyle name="Millares 2 3 5 2 2" xfId="3217" xr:uid="{00000000-0005-0000-0000-0000DB020000}"/>
    <cellStyle name="Millares 2 3 5 2 2 2" xfId="3610" xr:uid="{00000000-0005-0000-0000-0000DC020000}"/>
    <cellStyle name="Millares 2 3 5 2 2 3" xfId="4005" xr:uid="{00000000-0005-0000-0000-0000DD020000}"/>
    <cellStyle name="Millares 2 3 5 2 3" xfId="3416" xr:uid="{00000000-0005-0000-0000-0000DE020000}"/>
    <cellStyle name="Millares 2 3 5 2 4" xfId="3811" xr:uid="{00000000-0005-0000-0000-0000DF020000}"/>
    <cellStyle name="Millares 2 3 5 3" xfId="3119" xr:uid="{00000000-0005-0000-0000-0000E0020000}"/>
    <cellStyle name="Millares 2 3 5 3 2" xfId="3512" xr:uid="{00000000-0005-0000-0000-0000E1020000}"/>
    <cellStyle name="Millares 2 3 5 3 3" xfId="3907" xr:uid="{00000000-0005-0000-0000-0000E2020000}"/>
    <cellStyle name="Millares 2 3 5 4" xfId="3318" xr:uid="{00000000-0005-0000-0000-0000E3020000}"/>
    <cellStyle name="Millares 2 3 5 5" xfId="3713" xr:uid="{00000000-0005-0000-0000-0000E4020000}"/>
    <cellStyle name="Millares 2 3 6" xfId="2964" xr:uid="{00000000-0005-0000-0000-0000E5020000}"/>
    <cellStyle name="Millares 2 3 6 2" xfId="3166" xr:uid="{00000000-0005-0000-0000-0000E6020000}"/>
    <cellStyle name="Millares 2 3 6 2 2" xfId="3559" xr:uid="{00000000-0005-0000-0000-0000E7020000}"/>
    <cellStyle name="Millares 2 3 6 2 3" xfId="3954" xr:uid="{00000000-0005-0000-0000-0000E8020000}"/>
    <cellStyle name="Millares 2 3 6 3" xfId="3365" xr:uid="{00000000-0005-0000-0000-0000E9020000}"/>
    <cellStyle name="Millares 2 3 6 4" xfId="3760" xr:uid="{00000000-0005-0000-0000-0000EA020000}"/>
    <cellStyle name="Millares 2 3 7" xfId="3070" xr:uid="{00000000-0005-0000-0000-0000EB020000}"/>
    <cellStyle name="Millares 2 3 7 2" xfId="3463" xr:uid="{00000000-0005-0000-0000-0000EC020000}"/>
    <cellStyle name="Millares 2 3 7 3" xfId="3858" xr:uid="{00000000-0005-0000-0000-0000ED020000}"/>
    <cellStyle name="Millares 2 3 8" xfId="3268" xr:uid="{00000000-0005-0000-0000-0000EE020000}"/>
    <cellStyle name="Millares 2 3 9" xfId="3662" xr:uid="{00000000-0005-0000-0000-0000EF020000}"/>
    <cellStyle name="Millares 2 4" xfId="218" xr:uid="{00000000-0005-0000-0000-0000F0020000}"/>
    <cellStyle name="Millares 2 4 2" xfId="219" xr:uid="{00000000-0005-0000-0000-0000F1020000}"/>
    <cellStyle name="Millares 2 4 2 2" xfId="2893" xr:uid="{00000000-0005-0000-0000-0000F2020000}"/>
    <cellStyle name="Millares 2 4 2 2 2" xfId="3025" xr:uid="{00000000-0005-0000-0000-0000F3020000}"/>
    <cellStyle name="Millares 2 4 2 2 2 2" xfId="3223" xr:uid="{00000000-0005-0000-0000-0000F4020000}"/>
    <cellStyle name="Millares 2 4 2 2 2 2 2" xfId="3616" xr:uid="{00000000-0005-0000-0000-0000F5020000}"/>
    <cellStyle name="Millares 2 4 2 2 2 2 3" xfId="4011" xr:uid="{00000000-0005-0000-0000-0000F6020000}"/>
    <cellStyle name="Millares 2 4 2 2 2 3" xfId="3422" xr:uid="{00000000-0005-0000-0000-0000F7020000}"/>
    <cellStyle name="Millares 2 4 2 2 2 4" xfId="3817" xr:uid="{00000000-0005-0000-0000-0000F8020000}"/>
    <cellStyle name="Millares 2 4 2 2 3" xfId="3125" xr:uid="{00000000-0005-0000-0000-0000F9020000}"/>
    <cellStyle name="Millares 2 4 2 2 3 2" xfId="3518" xr:uid="{00000000-0005-0000-0000-0000FA020000}"/>
    <cellStyle name="Millares 2 4 2 2 3 3" xfId="3913" xr:uid="{00000000-0005-0000-0000-0000FB020000}"/>
    <cellStyle name="Millares 2 4 2 2 4" xfId="3324" xr:uid="{00000000-0005-0000-0000-0000FC020000}"/>
    <cellStyle name="Millares 2 4 2 2 5" xfId="3719" xr:uid="{00000000-0005-0000-0000-0000FD020000}"/>
    <cellStyle name="Millares 2 4 2 3" xfId="2970" xr:uid="{00000000-0005-0000-0000-0000FE020000}"/>
    <cellStyle name="Millares 2 4 2 3 2" xfId="3172" xr:uid="{00000000-0005-0000-0000-0000FF020000}"/>
    <cellStyle name="Millares 2 4 2 3 2 2" xfId="3565" xr:uid="{00000000-0005-0000-0000-000000030000}"/>
    <cellStyle name="Millares 2 4 2 3 2 3" xfId="3960" xr:uid="{00000000-0005-0000-0000-000001030000}"/>
    <cellStyle name="Millares 2 4 2 3 3" xfId="3371" xr:uid="{00000000-0005-0000-0000-000002030000}"/>
    <cellStyle name="Millares 2 4 2 3 4" xfId="3766" xr:uid="{00000000-0005-0000-0000-000003030000}"/>
    <cellStyle name="Millares 2 4 2 4" xfId="3076" xr:uid="{00000000-0005-0000-0000-000004030000}"/>
    <cellStyle name="Millares 2 4 2 4 2" xfId="3469" xr:uid="{00000000-0005-0000-0000-000005030000}"/>
    <cellStyle name="Millares 2 4 2 4 3" xfId="3864" xr:uid="{00000000-0005-0000-0000-000006030000}"/>
    <cellStyle name="Millares 2 4 2 5" xfId="3274" xr:uid="{00000000-0005-0000-0000-000007030000}"/>
    <cellStyle name="Millares 2 4 2 6" xfId="3668" xr:uid="{00000000-0005-0000-0000-000008030000}"/>
    <cellStyle name="Millares 2 4 3" xfId="220" xr:uid="{00000000-0005-0000-0000-000009030000}"/>
    <cellStyle name="Millares 2 4 3 2" xfId="2894" xr:uid="{00000000-0005-0000-0000-00000A030000}"/>
    <cellStyle name="Millares 2 4 3 2 2" xfId="3026" xr:uid="{00000000-0005-0000-0000-00000B030000}"/>
    <cellStyle name="Millares 2 4 3 2 2 2" xfId="3224" xr:uid="{00000000-0005-0000-0000-00000C030000}"/>
    <cellStyle name="Millares 2 4 3 2 2 2 2" xfId="3617" xr:uid="{00000000-0005-0000-0000-00000D030000}"/>
    <cellStyle name="Millares 2 4 3 2 2 2 3" xfId="4012" xr:uid="{00000000-0005-0000-0000-00000E030000}"/>
    <cellStyle name="Millares 2 4 3 2 2 3" xfId="3423" xr:uid="{00000000-0005-0000-0000-00000F030000}"/>
    <cellStyle name="Millares 2 4 3 2 2 4" xfId="3818" xr:uid="{00000000-0005-0000-0000-000010030000}"/>
    <cellStyle name="Millares 2 4 3 2 3" xfId="3126" xr:uid="{00000000-0005-0000-0000-000011030000}"/>
    <cellStyle name="Millares 2 4 3 2 3 2" xfId="3519" xr:uid="{00000000-0005-0000-0000-000012030000}"/>
    <cellStyle name="Millares 2 4 3 2 3 3" xfId="3914" xr:uid="{00000000-0005-0000-0000-000013030000}"/>
    <cellStyle name="Millares 2 4 3 2 4" xfId="3325" xr:uid="{00000000-0005-0000-0000-000014030000}"/>
    <cellStyle name="Millares 2 4 3 2 5" xfId="3720" xr:uid="{00000000-0005-0000-0000-000015030000}"/>
    <cellStyle name="Millares 2 4 3 3" xfId="2971" xr:uid="{00000000-0005-0000-0000-000016030000}"/>
    <cellStyle name="Millares 2 4 3 3 2" xfId="3173" xr:uid="{00000000-0005-0000-0000-000017030000}"/>
    <cellStyle name="Millares 2 4 3 3 2 2" xfId="3566" xr:uid="{00000000-0005-0000-0000-000018030000}"/>
    <cellStyle name="Millares 2 4 3 3 2 3" xfId="3961" xr:uid="{00000000-0005-0000-0000-000019030000}"/>
    <cellStyle name="Millares 2 4 3 3 3" xfId="3372" xr:uid="{00000000-0005-0000-0000-00001A030000}"/>
    <cellStyle name="Millares 2 4 3 3 4" xfId="3767" xr:uid="{00000000-0005-0000-0000-00001B030000}"/>
    <cellStyle name="Millares 2 4 3 4" xfId="3077" xr:uid="{00000000-0005-0000-0000-00001C030000}"/>
    <cellStyle name="Millares 2 4 3 4 2" xfId="3470" xr:uid="{00000000-0005-0000-0000-00001D030000}"/>
    <cellStyle name="Millares 2 4 3 4 3" xfId="3865" xr:uid="{00000000-0005-0000-0000-00001E030000}"/>
    <cellStyle name="Millares 2 4 3 5" xfId="3275" xr:uid="{00000000-0005-0000-0000-00001F030000}"/>
    <cellStyle name="Millares 2 4 3 6" xfId="3669" xr:uid="{00000000-0005-0000-0000-000020030000}"/>
    <cellStyle name="Millares 2 4 4" xfId="2892" xr:uid="{00000000-0005-0000-0000-000021030000}"/>
    <cellStyle name="Millares 2 4 4 2" xfId="3024" xr:uid="{00000000-0005-0000-0000-000022030000}"/>
    <cellStyle name="Millares 2 4 4 2 2" xfId="3222" xr:uid="{00000000-0005-0000-0000-000023030000}"/>
    <cellStyle name="Millares 2 4 4 2 2 2" xfId="3615" xr:uid="{00000000-0005-0000-0000-000024030000}"/>
    <cellStyle name="Millares 2 4 4 2 2 3" xfId="4010" xr:uid="{00000000-0005-0000-0000-000025030000}"/>
    <cellStyle name="Millares 2 4 4 2 3" xfId="3421" xr:uid="{00000000-0005-0000-0000-000026030000}"/>
    <cellStyle name="Millares 2 4 4 2 4" xfId="3816" xr:uid="{00000000-0005-0000-0000-000027030000}"/>
    <cellStyle name="Millares 2 4 4 3" xfId="3124" xr:uid="{00000000-0005-0000-0000-000028030000}"/>
    <cellStyle name="Millares 2 4 4 3 2" xfId="3517" xr:uid="{00000000-0005-0000-0000-000029030000}"/>
    <cellStyle name="Millares 2 4 4 3 3" xfId="3912" xr:uid="{00000000-0005-0000-0000-00002A030000}"/>
    <cellStyle name="Millares 2 4 4 4" xfId="3323" xr:uid="{00000000-0005-0000-0000-00002B030000}"/>
    <cellStyle name="Millares 2 4 4 5" xfId="3718" xr:uid="{00000000-0005-0000-0000-00002C030000}"/>
    <cellStyle name="Millares 2 4 5" xfId="2969" xr:uid="{00000000-0005-0000-0000-00002D030000}"/>
    <cellStyle name="Millares 2 4 5 2" xfId="3171" xr:uid="{00000000-0005-0000-0000-00002E030000}"/>
    <cellStyle name="Millares 2 4 5 2 2" xfId="3564" xr:uid="{00000000-0005-0000-0000-00002F030000}"/>
    <cellStyle name="Millares 2 4 5 2 3" xfId="3959" xr:uid="{00000000-0005-0000-0000-000030030000}"/>
    <cellStyle name="Millares 2 4 5 3" xfId="3370" xr:uid="{00000000-0005-0000-0000-000031030000}"/>
    <cellStyle name="Millares 2 4 5 4" xfId="3765" xr:uid="{00000000-0005-0000-0000-000032030000}"/>
    <cellStyle name="Millares 2 4 6" xfId="3075" xr:uid="{00000000-0005-0000-0000-000033030000}"/>
    <cellStyle name="Millares 2 4 6 2" xfId="3468" xr:uid="{00000000-0005-0000-0000-000034030000}"/>
    <cellStyle name="Millares 2 4 6 3" xfId="3863" xr:uid="{00000000-0005-0000-0000-000035030000}"/>
    <cellStyle name="Millares 2 4 7" xfId="3273" xr:uid="{00000000-0005-0000-0000-000036030000}"/>
    <cellStyle name="Millares 2 4 8" xfId="3667" xr:uid="{00000000-0005-0000-0000-000037030000}"/>
    <cellStyle name="Millares 2 5" xfId="221" xr:uid="{00000000-0005-0000-0000-000038030000}"/>
    <cellStyle name="Millares 2 5 2" xfId="222" xr:uid="{00000000-0005-0000-0000-000039030000}"/>
    <cellStyle name="Millares 2 5 2 2" xfId="2896" xr:uid="{00000000-0005-0000-0000-00003A030000}"/>
    <cellStyle name="Millares 2 5 2 2 2" xfId="3028" xr:uid="{00000000-0005-0000-0000-00003B030000}"/>
    <cellStyle name="Millares 2 5 2 2 2 2" xfId="3226" xr:uid="{00000000-0005-0000-0000-00003C030000}"/>
    <cellStyle name="Millares 2 5 2 2 2 2 2" xfId="3619" xr:uid="{00000000-0005-0000-0000-00003D030000}"/>
    <cellStyle name="Millares 2 5 2 2 2 2 3" xfId="4014" xr:uid="{00000000-0005-0000-0000-00003E030000}"/>
    <cellStyle name="Millares 2 5 2 2 2 3" xfId="3425" xr:uid="{00000000-0005-0000-0000-00003F030000}"/>
    <cellStyle name="Millares 2 5 2 2 2 4" xfId="3820" xr:uid="{00000000-0005-0000-0000-000040030000}"/>
    <cellStyle name="Millares 2 5 2 2 3" xfId="3128" xr:uid="{00000000-0005-0000-0000-000041030000}"/>
    <cellStyle name="Millares 2 5 2 2 3 2" xfId="3521" xr:uid="{00000000-0005-0000-0000-000042030000}"/>
    <cellStyle name="Millares 2 5 2 2 3 3" xfId="3916" xr:uid="{00000000-0005-0000-0000-000043030000}"/>
    <cellStyle name="Millares 2 5 2 2 4" xfId="3327" xr:uid="{00000000-0005-0000-0000-000044030000}"/>
    <cellStyle name="Millares 2 5 2 2 5" xfId="3722" xr:uid="{00000000-0005-0000-0000-000045030000}"/>
    <cellStyle name="Millares 2 5 2 3" xfId="2973" xr:uid="{00000000-0005-0000-0000-000046030000}"/>
    <cellStyle name="Millares 2 5 2 3 2" xfId="3175" xr:uid="{00000000-0005-0000-0000-000047030000}"/>
    <cellStyle name="Millares 2 5 2 3 2 2" xfId="3568" xr:uid="{00000000-0005-0000-0000-000048030000}"/>
    <cellStyle name="Millares 2 5 2 3 2 3" xfId="3963" xr:uid="{00000000-0005-0000-0000-000049030000}"/>
    <cellStyle name="Millares 2 5 2 3 3" xfId="3374" xr:uid="{00000000-0005-0000-0000-00004A030000}"/>
    <cellStyle name="Millares 2 5 2 3 4" xfId="3769" xr:uid="{00000000-0005-0000-0000-00004B030000}"/>
    <cellStyle name="Millares 2 5 2 4" xfId="3079" xr:uid="{00000000-0005-0000-0000-00004C030000}"/>
    <cellStyle name="Millares 2 5 2 4 2" xfId="3472" xr:uid="{00000000-0005-0000-0000-00004D030000}"/>
    <cellStyle name="Millares 2 5 2 4 3" xfId="3867" xr:uid="{00000000-0005-0000-0000-00004E030000}"/>
    <cellStyle name="Millares 2 5 2 5" xfId="3277" xr:uid="{00000000-0005-0000-0000-00004F030000}"/>
    <cellStyle name="Millares 2 5 2 6" xfId="3671" xr:uid="{00000000-0005-0000-0000-000050030000}"/>
    <cellStyle name="Millares 2 5 3" xfId="2895" xr:uid="{00000000-0005-0000-0000-000051030000}"/>
    <cellStyle name="Millares 2 5 3 2" xfId="3027" xr:uid="{00000000-0005-0000-0000-000052030000}"/>
    <cellStyle name="Millares 2 5 3 2 2" xfId="3225" xr:uid="{00000000-0005-0000-0000-000053030000}"/>
    <cellStyle name="Millares 2 5 3 2 2 2" xfId="3618" xr:uid="{00000000-0005-0000-0000-000054030000}"/>
    <cellStyle name="Millares 2 5 3 2 2 3" xfId="4013" xr:uid="{00000000-0005-0000-0000-000055030000}"/>
    <cellStyle name="Millares 2 5 3 2 3" xfId="3424" xr:uid="{00000000-0005-0000-0000-000056030000}"/>
    <cellStyle name="Millares 2 5 3 2 4" xfId="3819" xr:uid="{00000000-0005-0000-0000-000057030000}"/>
    <cellStyle name="Millares 2 5 3 3" xfId="3127" xr:uid="{00000000-0005-0000-0000-000058030000}"/>
    <cellStyle name="Millares 2 5 3 3 2" xfId="3520" xr:uid="{00000000-0005-0000-0000-000059030000}"/>
    <cellStyle name="Millares 2 5 3 3 3" xfId="3915" xr:uid="{00000000-0005-0000-0000-00005A030000}"/>
    <cellStyle name="Millares 2 5 3 4" xfId="3326" xr:uid="{00000000-0005-0000-0000-00005B030000}"/>
    <cellStyle name="Millares 2 5 3 5" xfId="3721" xr:uid="{00000000-0005-0000-0000-00005C030000}"/>
    <cellStyle name="Millares 2 5 4" xfId="2972" xr:uid="{00000000-0005-0000-0000-00005D030000}"/>
    <cellStyle name="Millares 2 5 4 2" xfId="3174" xr:uid="{00000000-0005-0000-0000-00005E030000}"/>
    <cellStyle name="Millares 2 5 4 2 2" xfId="3567" xr:uid="{00000000-0005-0000-0000-00005F030000}"/>
    <cellStyle name="Millares 2 5 4 2 3" xfId="3962" xr:uid="{00000000-0005-0000-0000-000060030000}"/>
    <cellStyle name="Millares 2 5 4 3" xfId="3373" xr:uid="{00000000-0005-0000-0000-000061030000}"/>
    <cellStyle name="Millares 2 5 4 4" xfId="3768" xr:uid="{00000000-0005-0000-0000-000062030000}"/>
    <cellStyle name="Millares 2 5 5" xfId="3078" xr:uid="{00000000-0005-0000-0000-000063030000}"/>
    <cellStyle name="Millares 2 5 5 2" xfId="3471" xr:uid="{00000000-0005-0000-0000-000064030000}"/>
    <cellStyle name="Millares 2 5 5 3" xfId="3866" xr:uid="{00000000-0005-0000-0000-000065030000}"/>
    <cellStyle name="Millares 2 5 6" xfId="3276" xr:uid="{00000000-0005-0000-0000-000066030000}"/>
    <cellStyle name="Millares 2 5 7" xfId="3670" xr:uid="{00000000-0005-0000-0000-000067030000}"/>
    <cellStyle name="Millares 2 6" xfId="223" xr:uid="{00000000-0005-0000-0000-000068030000}"/>
    <cellStyle name="Millares 2 6 2" xfId="224" xr:uid="{00000000-0005-0000-0000-000069030000}"/>
    <cellStyle name="Millares 2 6 2 2" xfId="2898" xr:uid="{00000000-0005-0000-0000-00006A030000}"/>
    <cellStyle name="Millares 2 6 2 2 2" xfId="3030" xr:uid="{00000000-0005-0000-0000-00006B030000}"/>
    <cellStyle name="Millares 2 6 2 2 2 2" xfId="3228" xr:uid="{00000000-0005-0000-0000-00006C030000}"/>
    <cellStyle name="Millares 2 6 2 2 2 2 2" xfId="3621" xr:uid="{00000000-0005-0000-0000-00006D030000}"/>
    <cellStyle name="Millares 2 6 2 2 2 2 3" xfId="4016" xr:uid="{00000000-0005-0000-0000-00006E030000}"/>
    <cellStyle name="Millares 2 6 2 2 2 3" xfId="3427" xr:uid="{00000000-0005-0000-0000-00006F030000}"/>
    <cellStyle name="Millares 2 6 2 2 2 4" xfId="3822" xr:uid="{00000000-0005-0000-0000-000070030000}"/>
    <cellStyle name="Millares 2 6 2 2 3" xfId="3130" xr:uid="{00000000-0005-0000-0000-000071030000}"/>
    <cellStyle name="Millares 2 6 2 2 3 2" xfId="3523" xr:uid="{00000000-0005-0000-0000-000072030000}"/>
    <cellStyle name="Millares 2 6 2 2 3 3" xfId="3918" xr:uid="{00000000-0005-0000-0000-000073030000}"/>
    <cellStyle name="Millares 2 6 2 2 4" xfId="3329" xr:uid="{00000000-0005-0000-0000-000074030000}"/>
    <cellStyle name="Millares 2 6 2 2 5" xfId="3724" xr:uid="{00000000-0005-0000-0000-000075030000}"/>
    <cellStyle name="Millares 2 6 2 3" xfId="2975" xr:uid="{00000000-0005-0000-0000-000076030000}"/>
    <cellStyle name="Millares 2 6 2 3 2" xfId="3177" xr:uid="{00000000-0005-0000-0000-000077030000}"/>
    <cellStyle name="Millares 2 6 2 3 2 2" xfId="3570" xr:uid="{00000000-0005-0000-0000-000078030000}"/>
    <cellStyle name="Millares 2 6 2 3 2 3" xfId="3965" xr:uid="{00000000-0005-0000-0000-000079030000}"/>
    <cellStyle name="Millares 2 6 2 3 3" xfId="3376" xr:uid="{00000000-0005-0000-0000-00007A030000}"/>
    <cellStyle name="Millares 2 6 2 3 4" xfId="3771" xr:uid="{00000000-0005-0000-0000-00007B030000}"/>
    <cellStyle name="Millares 2 6 2 4" xfId="3081" xr:uid="{00000000-0005-0000-0000-00007C030000}"/>
    <cellStyle name="Millares 2 6 2 4 2" xfId="3474" xr:uid="{00000000-0005-0000-0000-00007D030000}"/>
    <cellStyle name="Millares 2 6 2 4 3" xfId="3869" xr:uid="{00000000-0005-0000-0000-00007E030000}"/>
    <cellStyle name="Millares 2 6 2 5" xfId="3279" xr:uid="{00000000-0005-0000-0000-00007F030000}"/>
    <cellStyle name="Millares 2 6 2 6" xfId="3673" xr:uid="{00000000-0005-0000-0000-000080030000}"/>
    <cellStyle name="Millares 2 6 3" xfId="2897" xr:uid="{00000000-0005-0000-0000-000081030000}"/>
    <cellStyle name="Millares 2 6 3 2" xfId="3029" xr:uid="{00000000-0005-0000-0000-000082030000}"/>
    <cellStyle name="Millares 2 6 3 2 2" xfId="3227" xr:uid="{00000000-0005-0000-0000-000083030000}"/>
    <cellStyle name="Millares 2 6 3 2 2 2" xfId="3620" xr:uid="{00000000-0005-0000-0000-000084030000}"/>
    <cellStyle name="Millares 2 6 3 2 2 3" xfId="4015" xr:uid="{00000000-0005-0000-0000-000085030000}"/>
    <cellStyle name="Millares 2 6 3 2 3" xfId="3426" xr:uid="{00000000-0005-0000-0000-000086030000}"/>
    <cellStyle name="Millares 2 6 3 2 4" xfId="3821" xr:uid="{00000000-0005-0000-0000-000087030000}"/>
    <cellStyle name="Millares 2 6 3 3" xfId="3129" xr:uid="{00000000-0005-0000-0000-000088030000}"/>
    <cellStyle name="Millares 2 6 3 3 2" xfId="3522" xr:uid="{00000000-0005-0000-0000-000089030000}"/>
    <cellStyle name="Millares 2 6 3 3 3" xfId="3917" xr:uid="{00000000-0005-0000-0000-00008A030000}"/>
    <cellStyle name="Millares 2 6 3 4" xfId="3328" xr:uid="{00000000-0005-0000-0000-00008B030000}"/>
    <cellStyle name="Millares 2 6 3 5" xfId="3723" xr:uid="{00000000-0005-0000-0000-00008C030000}"/>
    <cellStyle name="Millares 2 6 4" xfId="2974" xr:uid="{00000000-0005-0000-0000-00008D030000}"/>
    <cellStyle name="Millares 2 6 4 2" xfId="3176" xr:uid="{00000000-0005-0000-0000-00008E030000}"/>
    <cellStyle name="Millares 2 6 4 2 2" xfId="3569" xr:uid="{00000000-0005-0000-0000-00008F030000}"/>
    <cellStyle name="Millares 2 6 4 2 3" xfId="3964" xr:uid="{00000000-0005-0000-0000-000090030000}"/>
    <cellStyle name="Millares 2 6 4 3" xfId="3375" xr:uid="{00000000-0005-0000-0000-000091030000}"/>
    <cellStyle name="Millares 2 6 4 4" xfId="3770" xr:uid="{00000000-0005-0000-0000-000092030000}"/>
    <cellStyle name="Millares 2 6 5" xfId="3080" xr:uid="{00000000-0005-0000-0000-000093030000}"/>
    <cellStyle name="Millares 2 6 5 2" xfId="3473" xr:uid="{00000000-0005-0000-0000-000094030000}"/>
    <cellStyle name="Millares 2 6 5 3" xfId="3868" xr:uid="{00000000-0005-0000-0000-000095030000}"/>
    <cellStyle name="Millares 2 6 6" xfId="3278" xr:uid="{00000000-0005-0000-0000-000096030000}"/>
    <cellStyle name="Millares 2 6 7" xfId="3672" xr:uid="{00000000-0005-0000-0000-000097030000}"/>
    <cellStyle name="Millares 20" xfId="3645" xr:uid="{00000000-0005-0000-0000-000098030000}"/>
    <cellStyle name="Millares 3" xfId="6" xr:uid="{00000000-0005-0000-0000-000099030000}"/>
    <cellStyle name="Millares 3 2" xfId="7" xr:uid="{00000000-0005-0000-0000-00009A030000}"/>
    <cellStyle name="Millares 3 3" xfId="225" xr:uid="{00000000-0005-0000-0000-00009B030000}"/>
    <cellStyle name="Millares 3 3 2" xfId="226" xr:uid="{00000000-0005-0000-0000-00009C030000}"/>
    <cellStyle name="Millares 3 3 2 2" xfId="2900" xr:uid="{00000000-0005-0000-0000-00009D030000}"/>
    <cellStyle name="Millares 3 3 2 2 2" xfId="3032" xr:uid="{00000000-0005-0000-0000-00009E030000}"/>
    <cellStyle name="Millares 3 3 2 2 2 2" xfId="3230" xr:uid="{00000000-0005-0000-0000-00009F030000}"/>
    <cellStyle name="Millares 3 3 2 2 2 2 2" xfId="3623" xr:uid="{00000000-0005-0000-0000-0000A0030000}"/>
    <cellStyle name="Millares 3 3 2 2 2 2 3" xfId="4018" xr:uid="{00000000-0005-0000-0000-0000A1030000}"/>
    <cellStyle name="Millares 3 3 2 2 2 3" xfId="3429" xr:uid="{00000000-0005-0000-0000-0000A2030000}"/>
    <cellStyle name="Millares 3 3 2 2 2 4" xfId="3824" xr:uid="{00000000-0005-0000-0000-0000A3030000}"/>
    <cellStyle name="Millares 3 3 2 2 3" xfId="3132" xr:uid="{00000000-0005-0000-0000-0000A4030000}"/>
    <cellStyle name="Millares 3 3 2 2 3 2" xfId="3525" xr:uid="{00000000-0005-0000-0000-0000A5030000}"/>
    <cellStyle name="Millares 3 3 2 2 3 3" xfId="3920" xr:uid="{00000000-0005-0000-0000-0000A6030000}"/>
    <cellStyle name="Millares 3 3 2 2 4" xfId="3331" xr:uid="{00000000-0005-0000-0000-0000A7030000}"/>
    <cellStyle name="Millares 3 3 2 2 5" xfId="3726" xr:uid="{00000000-0005-0000-0000-0000A8030000}"/>
    <cellStyle name="Millares 3 3 2 3" xfId="2977" xr:uid="{00000000-0005-0000-0000-0000A9030000}"/>
    <cellStyle name="Millares 3 3 2 3 2" xfId="3179" xr:uid="{00000000-0005-0000-0000-0000AA030000}"/>
    <cellStyle name="Millares 3 3 2 3 2 2" xfId="3572" xr:uid="{00000000-0005-0000-0000-0000AB030000}"/>
    <cellStyle name="Millares 3 3 2 3 2 3" xfId="3967" xr:uid="{00000000-0005-0000-0000-0000AC030000}"/>
    <cellStyle name="Millares 3 3 2 3 3" xfId="3378" xr:uid="{00000000-0005-0000-0000-0000AD030000}"/>
    <cellStyle name="Millares 3 3 2 3 4" xfId="3773" xr:uid="{00000000-0005-0000-0000-0000AE030000}"/>
    <cellStyle name="Millares 3 3 2 4" xfId="3083" xr:uid="{00000000-0005-0000-0000-0000AF030000}"/>
    <cellStyle name="Millares 3 3 2 4 2" xfId="3476" xr:uid="{00000000-0005-0000-0000-0000B0030000}"/>
    <cellStyle name="Millares 3 3 2 4 3" xfId="3871" xr:uid="{00000000-0005-0000-0000-0000B1030000}"/>
    <cellStyle name="Millares 3 3 2 5" xfId="3281" xr:uid="{00000000-0005-0000-0000-0000B2030000}"/>
    <cellStyle name="Millares 3 3 2 6" xfId="3675" xr:uid="{00000000-0005-0000-0000-0000B3030000}"/>
    <cellStyle name="Millares 3 3 3" xfId="2899" xr:uid="{00000000-0005-0000-0000-0000B4030000}"/>
    <cellStyle name="Millares 3 3 3 2" xfId="3031" xr:uid="{00000000-0005-0000-0000-0000B5030000}"/>
    <cellStyle name="Millares 3 3 3 2 2" xfId="3229" xr:uid="{00000000-0005-0000-0000-0000B6030000}"/>
    <cellStyle name="Millares 3 3 3 2 2 2" xfId="3622" xr:uid="{00000000-0005-0000-0000-0000B7030000}"/>
    <cellStyle name="Millares 3 3 3 2 2 3" xfId="4017" xr:uid="{00000000-0005-0000-0000-0000B8030000}"/>
    <cellStyle name="Millares 3 3 3 2 3" xfId="3428" xr:uid="{00000000-0005-0000-0000-0000B9030000}"/>
    <cellStyle name="Millares 3 3 3 2 4" xfId="3823" xr:uid="{00000000-0005-0000-0000-0000BA030000}"/>
    <cellStyle name="Millares 3 3 3 3" xfId="3131" xr:uid="{00000000-0005-0000-0000-0000BB030000}"/>
    <cellStyle name="Millares 3 3 3 3 2" xfId="3524" xr:uid="{00000000-0005-0000-0000-0000BC030000}"/>
    <cellStyle name="Millares 3 3 3 3 3" xfId="3919" xr:uid="{00000000-0005-0000-0000-0000BD030000}"/>
    <cellStyle name="Millares 3 3 3 4" xfId="3330" xr:uid="{00000000-0005-0000-0000-0000BE030000}"/>
    <cellStyle name="Millares 3 3 3 5" xfId="3725" xr:uid="{00000000-0005-0000-0000-0000BF030000}"/>
    <cellStyle name="Millares 3 3 4" xfId="2976" xr:uid="{00000000-0005-0000-0000-0000C0030000}"/>
    <cellStyle name="Millares 3 3 4 2" xfId="3178" xr:uid="{00000000-0005-0000-0000-0000C1030000}"/>
    <cellStyle name="Millares 3 3 4 2 2" xfId="3571" xr:uid="{00000000-0005-0000-0000-0000C2030000}"/>
    <cellStyle name="Millares 3 3 4 2 3" xfId="3966" xr:uid="{00000000-0005-0000-0000-0000C3030000}"/>
    <cellStyle name="Millares 3 3 4 3" xfId="3377" xr:uid="{00000000-0005-0000-0000-0000C4030000}"/>
    <cellStyle name="Millares 3 3 4 4" xfId="3772" xr:uid="{00000000-0005-0000-0000-0000C5030000}"/>
    <cellStyle name="Millares 3 3 5" xfId="3082" xr:uid="{00000000-0005-0000-0000-0000C6030000}"/>
    <cellStyle name="Millares 3 3 5 2" xfId="3475" xr:uid="{00000000-0005-0000-0000-0000C7030000}"/>
    <cellStyle name="Millares 3 3 5 3" xfId="3870" xr:uid="{00000000-0005-0000-0000-0000C8030000}"/>
    <cellStyle name="Millares 3 3 6" xfId="3280" xr:uid="{00000000-0005-0000-0000-0000C9030000}"/>
    <cellStyle name="Millares 3 3 7" xfId="3674" xr:uid="{00000000-0005-0000-0000-0000CA030000}"/>
    <cellStyle name="Millares 3 4" xfId="227" xr:uid="{00000000-0005-0000-0000-0000CB030000}"/>
    <cellStyle name="Millares 3 4 2" xfId="2901" xr:uid="{00000000-0005-0000-0000-0000CC030000}"/>
    <cellStyle name="Millares 3 4 2 2" xfId="3033" xr:uid="{00000000-0005-0000-0000-0000CD030000}"/>
    <cellStyle name="Millares 3 4 2 2 2" xfId="3231" xr:uid="{00000000-0005-0000-0000-0000CE030000}"/>
    <cellStyle name="Millares 3 4 2 2 2 2" xfId="3624" xr:uid="{00000000-0005-0000-0000-0000CF030000}"/>
    <cellStyle name="Millares 3 4 2 2 2 3" xfId="4019" xr:uid="{00000000-0005-0000-0000-0000D0030000}"/>
    <cellStyle name="Millares 3 4 2 2 3" xfId="3430" xr:uid="{00000000-0005-0000-0000-0000D1030000}"/>
    <cellStyle name="Millares 3 4 2 2 4" xfId="3825" xr:uid="{00000000-0005-0000-0000-0000D2030000}"/>
    <cellStyle name="Millares 3 4 2 3" xfId="3133" xr:uid="{00000000-0005-0000-0000-0000D3030000}"/>
    <cellStyle name="Millares 3 4 2 3 2" xfId="3526" xr:uid="{00000000-0005-0000-0000-0000D4030000}"/>
    <cellStyle name="Millares 3 4 2 3 3" xfId="3921" xr:uid="{00000000-0005-0000-0000-0000D5030000}"/>
    <cellStyle name="Millares 3 4 2 4" xfId="3332" xr:uid="{00000000-0005-0000-0000-0000D6030000}"/>
    <cellStyle name="Millares 3 4 2 5" xfId="3727" xr:uid="{00000000-0005-0000-0000-0000D7030000}"/>
    <cellStyle name="Millares 3 4 3" xfId="2978" xr:uid="{00000000-0005-0000-0000-0000D8030000}"/>
    <cellStyle name="Millares 3 4 3 2" xfId="3180" xr:uid="{00000000-0005-0000-0000-0000D9030000}"/>
    <cellStyle name="Millares 3 4 3 2 2" xfId="3573" xr:uid="{00000000-0005-0000-0000-0000DA030000}"/>
    <cellStyle name="Millares 3 4 3 2 3" xfId="3968" xr:uid="{00000000-0005-0000-0000-0000DB030000}"/>
    <cellStyle name="Millares 3 4 3 3" xfId="3379" xr:uid="{00000000-0005-0000-0000-0000DC030000}"/>
    <cellStyle name="Millares 3 4 3 4" xfId="3774" xr:uid="{00000000-0005-0000-0000-0000DD030000}"/>
    <cellStyle name="Millares 3 4 4" xfId="3084" xr:uid="{00000000-0005-0000-0000-0000DE030000}"/>
    <cellStyle name="Millares 3 4 4 2" xfId="3477" xr:uid="{00000000-0005-0000-0000-0000DF030000}"/>
    <cellStyle name="Millares 3 4 4 3" xfId="3872" xr:uid="{00000000-0005-0000-0000-0000E0030000}"/>
    <cellStyle name="Millares 3 4 5" xfId="3282" xr:uid="{00000000-0005-0000-0000-0000E1030000}"/>
    <cellStyle name="Millares 3 4 6" xfId="3676" xr:uid="{00000000-0005-0000-0000-0000E2030000}"/>
    <cellStyle name="Millares 4" xfId="8" xr:uid="{00000000-0005-0000-0000-0000E3030000}"/>
    <cellStyle name="Millares 4 2" xfId="228" xr:uid="{00000000-0005-0000-0000-0000E4030000}"/>
    <cellStyle name="Millares 5" xfId="229" xr:uid="{00000000-0005-0000-0000-0000E5030000}"/>
    <cellStyle name="Millares 5 2" xfId="230" xr:uid="{00000000-0005-0000-0000-0000E6030000}"/>
    <cellStyle name="Millares 5 3" xfId="231" xr:uid="{00000000-0005-0000-0000-0000E7030000}"/>
    <cellStyle name="Millares 5 4" xfId="232" xr:uid="{00000000-0005-0000-0000-0000E8030000}"/>
    <cellStyle name="Millares 5 4 2" xfId="2902" xr:uid="{00000000-0005-0000-0000-0000E9030000}"/>
    <cellStyle name="Millares 5 4 2 2" xfId="3034" xr:uid="{00000000-0005-0000-0000-0000EA030000}"/>
    <cellStyle name="Millares 5 4 2 2 2" xfId="3232" xr:uid="{00000000-0005-0000-0000-0000EB030000}"/>
    <cellStyle name="Millares 5 4 2 2 2 2" xfId="3625" xr:uid="{00000000-0005-0000-0000-0000EC030000}"/>
    <cellStyle name="Millares 5 4 2 2 2 3" xfId="4020" xr:uid="{00000000-0005-0000-0000-0000ED030000}"/>
    <cellStyle name="Millares 5 4 2 2 3" xfId="3431" xr:uid="{00000000-0005-0000-0000-0000EE030000}"/>
    <cellStyle name="Millares 5 4 2 2 4" xfId="3826" xr:uid="{00000000-0005-0000-0000-0000EF030000}"/>
    <cellStyle name="Millares 5 4 2 3" xfId="3134" xr:uid="{00000000-0005-0000-0000-0000F0030000}"/>
    <cellStyle name="Millares 5 4 2 3 2" xfId="3527" xr:uid="{00000000-0005-0000-0000-0000F1030000}"/>
    <cellStyle name="Millares 5 4 2 3 3" xfId="3922" xr:uid="{00000000-0005-0000-0000-0000F2030000}"/>
    <cellStyle name="Millares 5 4 2 4" xfId="3333" xr:uid="{00000000-0005-0000-0000-0000F3030000}"/>
    <cellStyle name="Millares 5 4 2 5" xfId="3728" xr:uid="{00000000-0005-0000-0000-0000F4030000}"/>
    <cellStyle name="Millares 5 4 3" xfId="2979" xr:uid="{00000000-0005-0000-0000-0000F5030000}"/>
    <cellStyle name="Millares 5 4 3 2" xfId="3181" xr:uid="{00000000-0005-0000-0000-0000F6030000}"/>
    <cellStyle name="Millares 5 4 3 2 2" xfId="3574" xr:uid="{00000000-0005-0000-0000-0000F7030000}"/>
    <cellStyle name="Millares 5 4 3 2 3" xfId="3969" xr:uid="{00000000-0005-0000-0000-0000F8030000}"/>
    <cellStyle name="Millares 5 4 3 3" xfId="3380" xr:uid="{00000000-0005-0000-0000-0000F9030000}"/>
    <cellStyle name="Millares 5 4 3 4" xfId="3775" xr:uid="{00000000-0005-0000-0000-0000FA030000}"/>
    <cellStyle name="Millares 5 4 4" xfId="3085" xr:uid="{00000000-0005-0000-0000-0000FB030000}"/>
    <cellStyle name="Millares 5 4 4 2" xfId="3478" xr:uid="{00000000-0005-0000-0000-0000FC030000}"/>
    <cellStyle name="Millares 5 4 4 3" xfId="3873" xr:uid="{00000000-0005-0000-0000-0000FD030000}"/>
    <cellStyle name="Millares 5 4 5" xfId="3283" xr:uid="{00000000-0005-0000-0000-0000FE030000}"/>
    <cellStyle name="Millares 5 4 6" xfId="3677" xr:uid="{00000000-0005-0000-0000-0000FF030000}"/>
    <cellStyle name="Millares 5 5" xfId="233" xr:uid="{00000000-0005-0000-0000-000000040000}"/>
    <cellStyle name="Millares 5 5 2" xfId="2903" xr:uid="{00000000-0005-0000-0000-000001040000}"/>
    <cellStyle name="Millares 5 5 2 2" xfId="3035" xr:uid="{00000000-0005-0000-0000-000002040000}"/>
    <cellStyle name="Millares 5 5 2 2 2" xfId="3233" xr:uid="{00000000-0005-0000-0000-000003040000}"/>
    <cellStyle name="Millares 5 5 2 2 2 2" xfId="3626" xr:uid="{00000000-0005-0000-0000-000004040000}"/>
    <cellStyle name="Millares 5 5 2 2 2 3" xfId="4021" xr:uid="{00000000-0005-0000-0000-000005040000}"/>
    <cellStyle name="Millares 5 5 2 2 3" xfId="3432" xr:uid="{00000000-0005-0000-0000-000006040000}"/>
    <cellStyle name="Millares 5 5 2 2 4" xfId="3827" xr:uid="{00000000-0005-0000-0000-000007040000}"/>
    <cellStyle name="Millares 5 5 2 3" xfId="3135" xr:uid="{00000000-0005-0000-0000-000008040000}"/>
    <cellStyle name="Millares 5 5 2 3 2" xfId="3528" xr:uid="{00000000-0005-0000-0000-000009040000}"/>
    <cellStyle name="Millares 5 5 2 3 3" xfId="3923" xr:uid="{00000000-0005-0000-0000-00000A040000}"/>
    <cellStyle name="Millares 5 5 2 4" xfId="3334" xr:uid="{00000000-0005-0000-0000-00000B040000}"/>
    <cellStyle name="Millares 5 5 2 5" xfId="3729" xr:uid="{00000000-0005-0000-0000-00000C040000}"/>
    <cellStyle name="Millares 5 5 3" xfId="2980" xr:uid="{00000000-0005-0000-0000-00000D040000}"/>
    <cellStyle name="Millares 5 5 3 2" xfId="3182" xr:uid="{00000000-0005-0000-0000-00000E040000}"/>
    <cellStyle name="Millares 5 5 3 2 2" xfId="3575" xr:uid="{00000000-0005-0000-0000-00000F040000}"/>
    <cellStyle name="Millares 5 5 3 2 3" xfId="3970" xr:uid="{00000000-0005-0000-0000-000010040000}"/>
    <cellStyle name="Millares 5 5 3 3" xfId="3381" xr:uid="{00000000-0005-0000-0000-000011040000}"/>
    <cellStyle name="Millares 5 5 3 4" xfId="3776" xr:uid="{00000000-0005-0000-0000-000012040000}"/>
    <cellStyle name="Millares 5 5 4" xfId="3086" xr:uid="{00000000-0005-0000-0000-000013040000}"/>
    <cellStyle name="Millares 5 5 4 2" xfId="3479" xr:uid="{00000000-0005-0000-0000-000014040000}"/>
    <cellStyle name="Millares 5 5 4 3" xfId="3874" xr:uid="{00000000-0005-0000-0000-000015040000}"/>
    <cellStyle name="Millares 5 5 5" xfId="3284" xr:uid="{00000000-0005-0000-0000-000016040000}"/>
    <cellStyle name="Millares 5 5 6" xfId="3678" xr:uid="{00000000-0005-0000-0000-000017040000}"/>
    <cellStyle name="Millares 6" xfId="234" xr:uid="{00000000-0005-0000-0000-000018040000}"/>
    <cellStyle name="Millares 6 2" xfId="235" xr:uid="{00000000-0005-0000-0000-000019040000}"/>
    <cellStyle name="Millares 6 2 2" xfId="236" xr:uid="{00000000-0005-0000-0000-00001A040000}"/>
    <cellStyle name="Millares 6 2 2 2" xfId="2906" xr:uid="{00000000-0005-0000-0000-00001B040000}"/>
    <cellStyle name="Millares 6 2 2 2 2" xfId="3038" xr:uid="{00000000-0005-0000-0000-00001C040000}"/>
    <cellStyle name="Millares 6 2 2 2 2 2" xfId="3236" xr:uid="{00000000-0005-0000-0000-00001D040000}"/>
    <cellStyle name="Millares 6 2 2 2 2 2 2" xfId="3629" xr:uid="{00000000-0005-0000-0000-00001E040000}"/>
    <cellStyle name="Millares 6 2 2 2 2 2 3" xfId="4024" xr:uid="{00000000-0005-0000-0000-00001F040000}"/>
    <cellStyle name="Millares 6 2 2 2 2 3" xfId="3435" xr:uid="{00000000-0005-0000-0000-000020040000}"/>
    <cellStyle name="Millares 6 2 2 2 2 4" xfId="3830" xr:uid="{00000000-0005-0000-0000-000021040000}"/>
    <cellStyle name="Millares 6 2 2 2 3" xfId="3138" xr:uid="{00000000-0005-0000-0000-000022040000}"/>
    <cellStyle name="Millares 6 2 2 2 3 2" xfId="3531" xr:uid="{00000000-0005-0000-0000-000023040000}"/>
    <cellStyle name="Millares 6 2 2 2 3 3" xfId="3926" xr:uid="{00000000-0005-0000-0000-000024040000}"/>
    <cellStyle name="Millares 6 2 2 2 4" xfId="3337" xr:uid="{00000000-0005-0000-0000-000025040000}"/>
    <cellStyle name="Millares 6 2 2 2 5" xfId="3732" xr:uid="{00000000-0005-0000-0000-000026040000}"/>
    <cellStyle name="Millares 6 2 2 3" xfId="2983" xr:uid="{00000000-0005-0000-0000-000027040000}"/>
    <cellStyle name="Millares 6 2 2 3 2" xfId="3185" xr:uid="{00000000-0005-0000-0000-000028040000}"/>
    <cellStyle name="Millares 6 2 2 3 2 2" xfId="3578" xr:uid="{00000000-0005-0000-0000-000029040000}"/>
    <cellStyle name="Millares 6 2 2 3 2 3" xfId="3973" xr:uid="{00000000-0005-0000-0000-00002A040000}"/>
    <cellStyle name="Millares 6 2 2 3 3" xfId="3384" xr:uid="{00000000-0005-0000-0000-00002B040000}"/>
    <cellStyle name="Millares 6 2 2 3 4" xfId="3779" xr:uid="{00000000-0005-0000-0000-00002C040000}"/>
    <cellStyle name="Millares 6 2 2 4" xfId="3089" xr:uid="{00000000-0005-0000-0000-00002D040000}"/>
    <cellStyle name="Millares 6 2 2 4 2" xfId="3482" xr:uid="{00000000-0005-0000-0000-00002E040000}"/>
    <cellStyle name="Millares 6 2 2 4 3" xfId="3877" xr:uid="{00000000-0005-0000-0000-00002F040000}"/>
    <cellStyle name="Millares 6 2 2 5" xfId="3287" xr:uid="{00000000-0005-0000-0000-000030040000}"/>
    <cellStyle name="Millares 6 2 2 6" xfId="3681" xr:uid="{00000000-0005-0000-0000-000031040000}"/>
    <cellStyle name="Millares 6 2 3" xfId="2905" xr:uid="{00000000-0005-0000-0000-000032040000}"/>
    <cellStyle name="Millares 6 2 3 2" xfId="3037" xr:uid="{00000000-0005-0000-0000-000033040000}"/>
    <cellStyle name="Millares 6 2 3 2 2" xfId="3235" xr:uid="{00000000-0005-0000-0000-000034040000}"/>
    <cellStyle name="Millares 6 2 3 2 2 2" xfId="3628" xr:uid="{00000000-0005-0000-0000-000035040000}"/>
    <cellStyle name="Millares 6 2 3 2 2 3" xfId="4023" xr:uid="{00000000-0005-0000-0000-000036040000}"/>
    <cellStyle name="Millares 6 2 3 2 3" xfId="3434" xr:uid="{00000000-0005-0000-0000-000037040000}"/>
    <cellStyle name="Millares 6 2 3 2 4" xfId="3829" xr:uid="{00000000-0005-0000-0000-000038040000}"/>
    <cellStyle name="Millares 6 2 3 3" xfId="3137" xr:uid="{00000000-0005-0000-0000-000039040000}"/>
    <cellStyle name="Millares 6 2 3 3 2" xfId="3530" xr:uid="{00000000-0005-0000-0000-00003A040000}"/>
    <cellStyle name="Millares 6 2 3 3 3" xfId="3925" xr:uid="{00000000-0005-0000-0000-00003B040000}"/>
    <cellStyle name="Millares 6 2 3 4" xfId="3336" xr:uid="{00000000-0005-0000-0000-00003C040000}"/>
    <cellStyle name="Millares 6 2 3 5" xfId="3731" xr:uid="{00000000-0005-0000-0000-00003D040000}"/>
    <cellStyle name="Millares 6 2 4" xfId="2982" xr:uid="{00000000-0005-0000-0000-00003E040000}"/>
    <cellStyle name="Millares 6 2 4 2" xfId="3184" xr:uid="{00000000-0005-0000-0000-00003F040000}"/>
    <cellStyle name="Millares 6 2 4 2 2" xfId="3577" xr:uid="{00000000-0005-0000-0000-000040040000}"/>
    <cellStyle name="Millares 6 2 4 2 3" xfId="3972" xr:uid="{00000000-0005-0000-0000-000041040000}"/>
    <cellStyle name="Millares 6 2 4 3" xfId="3383" xr:uid="{00000000-0005-0000-0000-000042040000}"/>
    <cellStyle name="Millares 6 2 4 4" xfId="3778" xr:uid="{00000000-0005-0000-0000-000043040000}"/>
    <cellStyle name="Millares 6 2 5" xfId="3088" xr:uid="{00000000-0005-0000-0000-000044040000}"/>
    <cellStyle name="Millares 6 2 5 2" xfId="3481" xr:uid="{00000000-0005-0000-0000-000045040000}"/>
    <cellStyle name="Millares 6 2 5 3" xfId="3876" xr:uid="{00000000-0005-0000-0000-000046040000}"/>
    <cellStyle name="Millares 6 2 6" xfId="3286" xr:uid="{00000000-0005-0000-0000-000047040000}"/>
    <cellStyle name="Millares 6 2 7" xfId="3680" xr:uid="{00000000-0005-0000-0000-000048040000}"/>
    <cellStyle name="Millares 6 3" xfId="237" xr:uid="{00000000-0005-0000-0000-000049040000}"/>
    <cellStyle name="Millares 6 3 2" xfId="238" xr:uid="{00000000-0005-0000-0000-00004A040000}"/>
    <cellStyle name="Millares 6 3 2 2" xfId="2908" xr:uid="{00000000-0005-0000-0000-00004B040000}"/>
    <cellStyle name="Millares 6 3 2 2 2" xfId="3040" xr:uid="{00000000-0005-0000-0000-00004C040000}"/>
    <cellStyle name="Millares 6 3 2 2 2 2" xfId="3238" xr:uid="{00000000-0005-0000-0000-00004D040000}"/>
    <cellStyle name="Millares 6 3 2 2 2 2 2" xfId="3631" xr:uid="{00000000-0005-0000-0000-00004E040000}"/>
    <cellStyle name="Millares 6 3 2 2 2 2 3" xfId="4026" xr:uid="{00000000-0005-0000-0000-00004F040000}"/>
    <cellStyle name="Millares 6 3 2 2 2 3" xfId="3437" xr:uid="{00000000-0005-0000-0000-000050040000}"/>
    <cellStyle name="Millares 6 3 2 2 2 4" xfId="3832" xr:uid="{00000000-0005-0000-0000-000051040000}"/>
    <cellStyle name="Millares 6 3 2 2 3" xfId="3140" xr:uid="{00000000-0005-0000-0000-000052040000}"/>
    <cellStyle name="Millares 6 3 2 2 3 2" xfId="3533" xr:uid="{00000000-0005-0000-0000-000053040000}"/>
    <cellStyle name="Millares 6 3 2 2 3 3" xfId="3928" xr:uid="{00000000-0005-0000-0000-000054040000}"/>
    <cellStyle name="Millares 6 3 2 2 4" xfId="3339" xr:uid="{00000000-0005-0000-0000-000055040000}"/>
    <cellStyle name="Millares 6 3 2 2 5" xfId="3734" xr:uid="{00000000-0005-0000-0000-000056040000}"/>
    <cellStyle name="Millares 6 3 2 3" xfId="2985" xr:uid="{00000000-0005-0000-0000-000057040000}"/>
    <cellStyle name="Millares 6 3 2 3 2" xfId="3187" xr:uid="{00000000-0005-0000-0000-000058040000}"/>
    <cellStyle name="Millares 6 3 2 3 2 2" xfId="3580" xr:uid="{00000000-0005-0000-0000-000059040000}"/>
    <cellStyle name="Millares 6 3 2 3 2 3" xfId="3975" xr:uid="{00000000-0005-0000-0000-00005A040000}"/>
    <cellStyle name="Millares 6 3 2 3 3" xfId="3386" xr:uid="{00000000-0005-0000-0000-00005B040000}"/>
    <cellStyle name="Millares 6 3 2 3 4" xfId="3781" xr:uid="{00000000-0005-0000-0000-00005C040000}"/>
    <cellStyle name="Millares 6 3 2 4" xfId="3091" xr:uid="{00000000-0005-0000-0000-00005D040000}"/>
    <cellStyle name="Millares 6 3 2 4 2" xfId="3484" xr:uid="{00000000-0005-0000-0000-00005E040000}"/>
    <cellStyle name="Millares 6 3 2 4 3" xfId="3879" xr:uid="{00000000-0005-0000-0000-00005F040000}"/>
    <cellStyle name="Millares 6 3 2 5" xfId="3289" xr:uid="{00000000-0005-0000-0000-000060040000}"/>
    <cellStyle name="Millares 6 3 2 6" xfId="3683" xr:uid="{00000000-0005-0000-0000-000061040000}"/>
    <cellStyle name="Millares 6 3 3" xfId="2907" xr:uid="{00000000-0005-0000-0000-000062040000}"/>
    <cellStyle name="Millares 6 3 3 2" xfId="3039" xr:uid="{00000000-0005-0000-0000-000063040000}"/>
    <cellStyle name="Millares 6 3 3 2 2" xfId="3237" xr:uid="{00000000-0005-0000-0000-000064040000}"/>
    <cellStyle name="Millares 6 3 3 2 2 2" xfId="3630" xr:uid="{00000000-0005-0000-0000-000065040000}"/>
    <cellStyle name="Millares 6 3 3 2 2 3" xfId="4025" xr:uid="{00000000-0005-0000-0000-000066040000}"/>
    <cellStyle name="Millares 6 3 3 2 3" xfId="3436" xr:uid="{00000000-0005-0000-0000-000067040000}"/>
    <cellStyle name="Millares 6 3 3 2 4" xfId="3831" xr:uid="{00000000-0005-0000-0000-000068040000}"/>
    <cellStyle name="Millares 6 3 3 3" xfId="3139" xr:uid="{00000000-0005-0000-0000-000069040000}"/>
    <cellStyle name="Millares 6 3 3 3 2" xfId="3532" xr:uid="{00000000-0005-0000-0000-00006A040000}"/>
    <cellStyle name="Millares 6 3 3 3 3" xfId="3927" xr:uid="{00000000-0005-0000-0000-00006B040000}"/>
    <cellStyle name="Millares 6 3 3 4" xfId="3338" xr:uid="{00000000-0005-0000-0000-00006C040000}"/>
    <cellStyle name="Millares 6 3 3 5" xfId="3733" xr:uid="{00000000-0005-0000-0000-00006D040000}"/>
    <cellStyle name="Millares 6 3 4" xfId="2984" xr:uid="{00000000-0005-0000-0000-00006E040000}"/>
    <cellStyle name="Millares 6 3 4 2" xfId="3186" xr:uid="{00000000-0005-0000-0000-00006F040000}"/>
    <cellStyle name="Millares 6 3 4 2 2" xfId="3579" xr:uid="{00000000-0005-0000-0000-000070040000}"/>
    <cellStyle name="Millares 6 3 4 2 3" xfId="3974" xr:uid="{00000000-0005-0000-0000-000071040000}"/>
    <cellStyle name="Millares 6 3 4 3" xfId="3385" xr:uid="{00000000-0005-0000-0000-000072040000}"/>
    <cellStyle name="Millares 6 3 4 4" xfId="3780" xr:uid="{00000000-0005-0000-0000-000073040000}"/>
    <cellStyle name="Millares 6 3 5" xfId="3090" xr:uid="{00000000-0005-0000-0000-000074040000}"/>
    <cellStyle name="Millares 6 3 5 2" xfId="3483" xr:uid="{00000000-0005-0000-0000-000075040000}"/>
    <cellStyle name="Millares 6 3 5 3" xfId="3878" xr:uid="{00000000-0005-0000-0000-000076040000}"/>
    <cellStyle name="Millares 6 3 6" xfId="3288" xr:uid="{00000000-0005-0000-0000-000077040000}"/>
    <cellStyle name="Millares 6 3 7" xfId="3682" xr:uid="{00000000-0005-0000-0000-000078040000}"/>
    <cellStyle name="Millares 6 4" xfId="239" xr:uid="{00000000-0005-0000-0000-000079040000}"/>
    <cellStyle name="Millares 6 5" xfId="2904" xr:uid="{00000000-0005-0000-0000-00007A040000}"/>
    <cellStyle name="Millares 6 5 2" xfId="3036" xr:uid="{00000000-0005-0000-0000-00007B040000}"/>
    <cellStyle name="Millares 6 5 2 2" xfId="3234" xr:uid="{00000000-0005-0000-0000-00007C040000}"/>
    <cellStyle name="Millares 6 5 2 2 2" xfId="3627" xr:uid="{00000000-0005-0000-0000-00007D040000}"/>
    <cellStyle name="Millares 6 5 2 2 3" xfId="4022" xr:uid="{00000000-0005-0000-0000-00007E040000}"/>
    <cellStyle name="Millares 6 5 2 3" xfId="3433" xr:uid="{00000000-0005-0000-0000-00007F040000}"/>
    <cellStyle name="Millares 6 5 2 4" xfId="3828" xr:uid="{00000000-0005-0000-0000-000080040000}"/>
    <cellStyle name="Millares 6 5 3" xfId="3136" xr:uid="{00000000-0005-0000-0000-000081040000}"/>
    <cellStyle name="Millares 6 5 3 2" xfId="3529" xr:uid="{00000000-0005-0000-0000-000082040000}"/>
    <cellStyle name="Millares 6 5 3 3" xfId="3924" xr:uid="{00000000-0005-0000-0000-000083040000}"/>
    <cellStyle name="Millares 6 5 4" xfId="3335" xr:uid="{00000000-0005-0000-0000-000084040000}"/>
    <cellStyle name="Millares 6 5 5" xfId="3730" xr:uid="{00000000-0005-0000-0000-000085040000}"/>
    <cellStyle name="Millares 6 6" xfId="2981" xr:uid="{00000000-0005-0000-0000-000086040000}"/>
    <cellStyle name="Millares 6 6 2" xfId="3183" xr:uid="{00000000-0005-0000-0000-000087040000}"/>
    <cellStyle name="Millares 6 6 2 2" xfId="3576" xr:uid="{00000000-0005-0000-0000-000088040000}"/>
    <cellStyle name="Millares 6 6 2 3" xfId="3971" xr:uid="{00000000-0005-0000-0000-000089040000}"/>
    <cellStyle name="Millares 6 6 3" xfId="3382" xr:uid="{00000000-0005-0000-0000-00008A040000}"/>
    <cellStyle name="Millares 6 6 4" xfId="3777" xr:uid="{00000000-0005-0000-0000-00008B040000}"/>
    <cellStyle name="Millares 6 7" xfId="3087" xr:uid="{00000000-0005-0000-0000-00008C040000}"/>
    <cellStyle name="Millares 6 7 2" xfId="3480" xr:uid="{00000000-0005-0000-0000-00008D040000}"/>
    <cellStyle name="Millares 6 7 3" xfId="3875" xr:uid="{00000000-0005-0000-0000-00008E040000}"/>
    <cellStyle name="Millares 6 8" xfId="3285" xr:uid="{00000000-0005-0000-0000-00008F040000}"/>
    <cellStyle name="Millares 6 9" xfId="3679" xr:uid="{00000000-0005-0000-0000-000090040000}"/>
    <cellStyle name="Millares 7" xfId="240" xr:uid="{00000000-0005-0000-0000-000091040000}"/>
    <cellStyle name="Millares 7 2" xfId="241" xr:uid="{00000000-0005-0000-0000-000092040000}"/>
    <cellStyle name="Millares 7 2 2" xfId="2910" xr:uid="{00000000-0005-0000-0000-000093040000}"/>
    <cellStyle name="Millares 7 2 2 2" xfId="3042" xr:uid="{00000000-0005-0000-0000-000094040000}"/>
    <cellStyle name="Millares 7 2 2 2 2" xfId="3240" xr:uid="{00000000-0005-0000-0000-000095040000}"/>
    <cellStyle name="Millares 7 2 2 2 2 2" xfId="3633" xr:uid="{00000000-0005-0000-0000-000096040000}"/>
    <cellStyle name="Millares 7 2 2 2 2 3" xfId="4028" xr:uid="{00000000-0005-0000-0000-000097040000}"/>
    <cellStyle name="Millares 7 2 2 2 3" xfId="3439" xr:uid="{00000000-0005-0000-0000-000098040000}"/>
    <cellStyle name="Millares 7 2 2 2 4" xfId="3834" xr:uid="{00000000-0005-0000-0000-000099040000}"/>
    <cellStyle name="Millares 7 2 2 3" xfId="3142" xr:uid="{00000000-0005-0000-0000-00009A040000}"/>
    <cellStyle name="Millares 7 2 2 3 2" xfId="3535" xr:uid="{00000000-0005-0000-0000-00009B040000}"/>
    <cellStyle name="Millares 7 2 2 3 3" xfId="3930" xr:uid="{00000000-0005-0000-0000-00009C040000}"/>
    <cellStyle name="Millares 7 2 2 4" xfId="3341" xr:uid="{00000000-0005-0000-0000-00009D040000}"/>
    <cellStyle name="Millares 7 2 2 5" xfId="3736" xr:uid="{00000000-0005-0000-0000-00009E040000}"/>
    <cellStyle name="Millares 7 2 3" xfId="2987" xr:uid="{00000000-0005-0000-0000-00009F040000}"/>
    <cellStyle name="Millares 7 2 3 2" xfId="3189" xr:uid="{00000000-0005-0000-0000-0000A0040000}"/>
    <cellStyle name="Millares 7 2 3 2 2" xfId="3582" xr:uid="{00000000-0005-0000-0000-0000A1040000}"/>
    <cellStyle name="Millares 7 2 3 2 3" xfId="3977" xr:uid="{00000000-0005-0000-0000-0000A2040000}"/>
    <cellStyle name="Millares 7 2 3 3" xfId="3388" xr:uid="{00000000-0005-0000-0000-0000A3040000}"/>
    <cellStyle name="Millares 7 2 3 4" xfId="3783" xr:uid="{00000000-0005-0000-0000-0000A4040000}"/>
    <cellStyle name="Millares 7 2 4" xfId="3093" xr:uid="{00000000-0005-0000-0000-0000A5040000}"/>
    <cellStyle name="Millares 7 2 4 2" xfId="3486" xr:uid="{00000000-0005-0000-0000-0000A6040000}"/>
    <cellStyle name="Millares 7 2 4 3" xfId="3881" xr:uid="{00000000-0005-0000-0000-0000A7040000}"/>
    <cellStyle name="Millares 7 2 5" xfId="3291" xr:uid="{00000000-0005-0000-0000-0000A8040000}"/>
    <cellStyle name="Millares 7 2 6" xfId="3685" xr:uid="{00000000-0005-0000-0000-0000A9040000}"/>
    <cellStyle name="Millares 7 3" xfId="2909" xr:uid="{00000000-0005-0000-0000-0000AA040000}"/>
    <cellStyle name="Millares 7 3 2" xfId="3041" xr:uid="{00000000-0005-0000-0000-0000AB040000}"/>
    <cellStyle name="Millares 7 3 2 2" xfId="3239" xr:uid="{00000000-0005-0000-0000-0000AC040000}"/>
    <cellStyle name="Millares 7 3 2 2 2" xfId="3632" xr:uid="{00000000-0005-0000-0000-0000AD040000}"/>
    <cellStyle name="Millares 7 3 2 2 3" xfId="4027" xr:uid="{00000000-0005-0000-0000-0000AE040000}"/>
    <cellStyle name="Millares 7 3 2 3" xfId="3438" xr:uid="{00000000-0005-0000-0000-0000AF040000}"/>
    <cellStyle name="Millares 7 3 2 4" xfId="3833" xr:uid="{00000000-0005-0000-0000-0000B0040000}"/>
    <cellStyle name="Millares 7 3 3" xfId="3141" xr:uid="{00000000-0005-0000-0000-0000B1040000}"/>
    <cellStyle name="Millares 7 3 3 2" xfId="3534" xr:uid="{00000000-0005-0000-0000-0000B2040000}"/>
    <cellStyle name="Millares 7 3 3 3" xfId="3929" xr:uid="{00000000-0005-0000-0000-0000B3040000}"/>
    <cellStyle name="Millares 7 3 4" xfId="3340" xr:uid="{00000000-0005-0000-0000-0000B4040000}"/>
    <cellStyle name="Millares 7 3 5" xfId="3735" xr:uid="{00000000-0005-0000-0000-0000B5040000}"/>
    <cellStyle name="Millares 7 4" xfId="2986" xr:uid="{00000000-0005-0000-0000-0000B6040000}"/>
    <cellStyle name="Millares 7 4 2" xfId="3188" xr:uid="{00000000-0005-0000-0000-0000B7040000}"/>
    <cellStyle name="Millares 7 4 2 2" xfId="3581" xr:uid="{00000000-0005-0000-0000-0000B8040000}"/>
    <cellStyle name="Millares 7 4 2 3" xfId="3976" xr:uid="{00000000-0005-0000-0000-0000B9040000}"/>
    <cellStyle name="Millares 7 4 3" xfId="3387" xr:uid="{00000000-0005-0000-0000-0000BA040000}"/>
    <cellStyle name="Millares 7 4 4" xfId="3782" xr:uid="{00000000-0005-0000-0000-0000BB040000}"/>
    <cellStyle name="Millares 7 5" xfId="3092" xr:uid="{00000000-0005-0000-0000-0000BC040000}"/>
    <cellStyle name="Millares 7 5 2" xfId="3485" xr:uid="{00000000-0005-0000-0000-0000BD040000}"/>
    <cellStyle name="Millares 7 5 3" xfId="3880" xr:uid="{00000000-0005-0000-0000-0000BE040000}"/>
    <cellStyle name="Millares 7 6" xfId="3290" xr:uid="{00000000-0005-0000-0000-0000BF040000}"/>
    <cellStyle name="Millares 7 7" xfId="3684" xr:uid="{00000000-0005-0000-0000-0000C0040000}"/>
    <cellStyle name="Millares 8" xfId="242" xr:uid="{00000000-0005-0000-0000-0000C1040000}"/>
    <cellStyle name="Millares 8 2" xfId="243" xr:uid="{00000000-0005-0000-0000-0000C2040000}"/>
    <cellStyle name="Millares 8 2 2" xfId="2912" xr:uid="{00000000-0005-0000-0000-0000C3040000}"/>
    <cellStyle name="Millares 8 2 2 2" xfId="3044" xr:uid="{00000000-0005-0000-0000-0000C4040000}"/>
    <cellStyle name="Millares 8 2 2 2 2" xfId="3242" xr:uid="{00000000-0005-0000-0000-0000C5040000}"/>
    <cellStyle name="Millares 8 2 2 2 2 2" xfId="3635" xr:uid="{00000000-0005-0000-0000-0000C6040000}"/>
    <cellStyle name="Millares 8 2 2 2 2 3" xfId="4030" xr:uid="{00000000-0005-0000-0000-0000C7040000}"/>
    <cellStyle name="Millares 8 2 2 2 3" xfId="3441" xr:uid="{00000000-0005-0000-0000-0000C8040000}"/>
    <cellStyle name="Millares 8 2 2 2 4" xfId="3836" xr:uid="{00000000-0005-0000-0000-0000C9040000}"/>
    <cellStyle name="Millares 8 2 2 3" xfId="3144" xr:uid="{00000000-0005-0000-0000-0000CA040000}"/>
    <cellStyle name="Millares 8 2 2 3 2" xfId="3537" xr:uid="{00000000-0005-0000-0000-0000CB040000}"/>
    <cellStyle name="Millares 8 2 2 3 3" xfId="3932" xr:uid="{00000000-0005-0000-0000-0000CC040000}"/>
    <cellStyle name="Millares 8 2 2 4" xfId="3343" xr:uid="{00000000-0005-0000-0000-0000CD040000}"/>
    <cellStyle name="Millares 8 2 2 5" xfId="3738" xr:uid="{00000000-0005-0000-0000-0000CE040000}"/>
    <cellStyle name="Millares 8 2 3" xfId="2989" xr:uid="{00000000-0005-0000-0000-0000CF040000}"/>
    <cellStyle name="Millares 8 2 3 2" xfId="3191" xr:uid="{00000000-0005-0000-0000-0000D0040000}"/>
    <cellStyle name="Millares 8 2 3 2 2" xfId="3584" xr:uid="{00000000-0005-0000-0000-0000D1040000}"/>
    <cellStyle name="Millares 8 2 3 2 3" xfId="3979" xr:uid="{00000000-0005-0000-0000-0000D2040000}"/>
    <cellStyle name="Millares 8 2 3 3" xfId="3390" xr:uid="{00000000-0005-0000-0000-0000D3040000}"/>
    <cellStyle name="Millares 8 2 3 4" xfId="3785" xr:uid="{00000000-0005-0000-0000-0000D4040000}"/>
    <cellStyle name="Millares 8 2 4" xfId="3095" xr:uid="{00000000-0005-0000-0000-0000D5040000}"/>
    <cellStyle name="Millares 8 2 4 2" xfId="3488" xr:uid="{00000000-0005-0000-0000-0000D6040000}"/>
    <cellStyle name="Millares 8 2 4 3" xfId="3883" xr:uid="{00000000-0005-0000-0000-0000D7040000}"/>
    <cellStyle name="Millares 8 2 5" xfId="3293" xr:uid="{00000000-0005-0000-0000-0000D8040000}"/>
    <cellStyle name="Millares 8 2 6" xfId="3687" xr:uid="{00000000-0005-0000-0000-0000D9040000}"/>
    <cellStyle name="Millares 8 3" xfId="2911" xr:uid="{00000000-0005-0000-0000-0000DA040000}"/>
    <cellStyle name="Millares 8 3 2" xfId="3043" xr:uid="{00000000-0005-0000-0000-0000DB040000}"/>
    <cellStyle name="Millares 8 3 2 2" xfId="3241" xr:uid="{00000000-0005-0000-0000-0000DC040000}"/>
    <cellStyle name="Millares 8 3 2 2 2" xfId="3634" xr:uid="{00000000-0005-0000-0000-0000DD040000}"/>
    <cellStyle name="Millares 8 3 2 2 3" xfId="4029" xr:uid="{00000000-0005-0000-0000-0000DE040000}"/>
    <cellStyle name="Millares 8 3 2 3" xfId="3440" xr:uid="{00000000-0005-0000-0000-0000DF040000}"/>
    <cellStyle name="Millares 8 3 2 4" xfId="3835" xr:uid="{00000000-0005-0000-0000-0000E0040000}"/>
    <cellStyle name="Millares 8 3 3" xfId="3143" xr:uid="{00000000-0005-0000-0000-0000E1040000}"/>
    <cellStyle name="Millares 8 3 3 2" xfId="3536" xr:uid="{00000000-0005-0000-0000-0000E2040000}"/>
    <cellStyle name="Millares 8 3 3 3" xfId="3931" xr:uid="{00000000-0005-0000-0000-0000E3040000}"/>
    <cellStyle name="Millares 8 3 4" xfId="3342" xr:uid="{00000000-0005-0000-0000-0000E4040000}"/>
    <cellStyle name="Millares 8 3 5" xfId="3737" xr:uid="{00000000-0005-0000-0000-0000E5040000}"/>
    <cellStyle name="Millares 8 4" xfId="2988" xr:uid="{00000000-0005-0000-0000-0000E6040000}"/>
    <cellStyle name="Millares 8 4 2" xfId="3190" xr:uid="{00000000-0005-0000-0000-0000E7040000}"/>
    <cellStyle name="Millares 8 4 2 2" xfId="3583" xr:uid="{00000000-0005-0000-0000-0000E8040000}"/>
    <cellStyle name="Millares 8 4 2 3" xfId="3978" xr:uid="{00000000-0005-0000-0000-0000E9040000}"/>
    <cellStyle name="Millares 8 4 3" xfId="3389" xr:uid="{00000000-0005-0000-0000-0000EA040000}"/>
    <cellStyle name="Millares 8 4 4" xfId="3784" xr:uid="{00000000-0005-0000-0000-0000EB040000}"/>
    <cellStyle name="Millares 8 5" xfId="3094" xr:uid="{00000000-0005-0000-0000-0000EC040000}"/>
    <cellStyle name="Millares 8 5 2" xfId="3487" xr:uid="{00000000-0005-0000-0000-0000ED040000}"/>
    <cellStyle name="Millares 8 5 3" xfId="3882" xr:uid="{00000000-0005-0000-0000-0000EE040000}"/>
    <cellStyle name="Millares 8 6" xfId="3292" xr:uid="{00000000-0005-0000-0000-0000EF040000}"/>
    <cellStyle name="Millares 8 7" xfId="3686" xr:uid="{00000000-0005-0000-0000-0000F0040000}"/>
    <cellStyle name="Millares 9" xfId="244" xr:uid="{00000000-0005-0000-0000-0000F1040000}"/>
    <cellStyle name="Millares 9 2" xfId="245" xr:uid="{00000000-0005-0000-0000-0000F2040000}"/>
    <cellStyle name="Millares 9 2 2" xfId="2914" xr:uid="{00000000-0005-0000-0000-0000F3040000}"/>
    <cellStyle name="Millares 9 2 2 2" xfId="3046" xr:uid="{00000000-0005-0000-0000-0000F4040000}"/>
    <cellStyle name="Millares 9 2 2 2 2" xfId="3244" xr:uid="{00000000-0005-0000-0000-0000F5040000}"/>
    <cellStyle name="Millares 9 2 2 2 2 2" xfId="3637" xr:uid="{00000000-0005-0000-0000-0000F6040000}"/>
    <cellStyle name="Millares 9 2 2 2 2 3" xfId="4032" xr:uid="{00000000-0005-0000-0000-0000F7040000}"/>
    <cellStyle name="Millares 9 2 2 2 3" xfId="3443" xr:uid="{00000000-0005-0000-0000-0000F8040000}"/>
    <cellStyle name="Millares 9 2 2 2 4" xfId="3838" xr:uid="{00000000-0005-0000-0000-0000F9040000}"/>
    <cellStyle name="Millares 9 2 2 3" xfId="3146" xr:uid="{00000000-0005-0000-0000-0000FA040000}"/>
    <cellStyle name="Millares 9 2 2 3 2" xfId="3539" xr:uid="{00000000-0005-0000-0000-0000FB040000}"/>
    <cellStyle name="Millares 9 2 2 3 3" xfId="3934" xr:uid="{00000000-0005-0000-0000-0000FC040000}"/>
    <cellStyle name="Millares 9 2 2 4" xfId="3345" xr:uid="{00000000-0005-0000-0000-0000FD040000}"/>
    <cellStyle name="Millares 9 2 2 5" xfId="3740" xr:uid="{00000000-0005-0000-0000-0000FE040000}"/>
    <cellStyle name="Millares 9 2 3" xfId="2991" xr:uid="{00000000-0005-0000-0000-0000FF040000}"/>
    <cellStyle name="Millares 9 2 3 2" xfId="3193" xr:uid="{00000000-0005-0000-0000-000000050000}"/>
    <cellStyle name="Millares 9 2 3 2 2" xfId="3586" xr:uid="{00000000-0005-0000-0000-000001050000}"/>
    <cellStyle name="Millares 9 2 3 2 3" xfId="3981" xr:uid="{00000000-0005-0000-0000-000002050000}"/>
    <cellStyle name="Millares 9 2 3 3" xfId="3392" xr:uid="{00000000-0005-0000-0000-000003050000}"/>
    <cellStyle name="Millares 9 2 3 4" xfId="3787" xr:uid="{00000000-0005-0000-0000-000004050000}"/>
    <cellStyle name="Millares 9 2 4" xfId="3097" xr:uid="{00000000-0005-0000-0000-000005050000}"/>
    <cellStyle name="Millares 9 2 4 2" xfId="3490" xr:uid="{00000000-0005-0000-0000-000006050000}"/>
    <cellStyle name="Millares 9 2 4 3" xfId="3885" xr:uid="{00000000-0005-0000-0000-000007050000}"/>
    <cellStyle name="Millares 9 2 5" xfId="3295" xr:uid="{00000000-0005-0000-0000-000008050000}"/>
    <cellStyle name="Millares 9 2 6" xfId="3689" xr:uid="{00000000-0005-0000-0000-000009050000}"/>
    <cellStyle name="Millares 9 3" xfId="2913" xr:uid="{00000000-0005-0000-0000-00000A050000}"/>
    <cellStyle name="Millares 9 3 2" xfId="3045" xr:uid="{00000000-0005-0000-0000-00000B050000}"/>
    <cellStyle name="Millares 9 3 2 2" xfId="3243" xr:uid="{00000000-0005-0000-0000-00000C050000}"/>
    <cellStyle name="Millares 9 3 2 2 2" xfId="3636" xr:uid="{00000000-0005-0000-0000-00000D050000}"/>
    <cellStyle name="Millares 9 3 2 2 3" xfId="4031" xr:uid="{00000000-0005-0000-0000-00000E050000}"/>
    <cellStyle name="Millares 9 3 2 3" xfId="3442" xr:uid="{00000000-0005-0000-0000-00000F050000}"/>
    <cellStyle name="Millares 9 3 2 4" xfId="3837" xr:uid="{00000000-0005-0000-0000-000010050000}"/>
    <cellStyle name="Millares 9 3 3" xfId="3145" xr:uid="{00000000-0005-0000-0000-000011050000}"/>
    <cellStyle name="Millares 9 3 3 2" xfId="3538" xr:uid="{00000000-0005-0000-0000-000012050000}"/>
    <cellStyle name="Millares 9 3 3 3" xfId="3933" xr:uid="{00000000-0005-0000-0000-000013050000}"/>
    <cellStyle name="Millares 9 3 4" xfId="3344" xr:uid="{00000000-0005-0000-0000-000014050000}"/>
    <cellStyle name="Millares 9 3 5" xfId="3739" xr:uid="{00000000-0005-0000-0000-000015050000}"/>
    <cellStyle name="Millares 9 4" xfId="2990" xr:uid="{00000000-0005-0000-0000-000016050000}"/>
    <cellStyle name="Millares 9 4 2" xfId="3192" xr:uid="{00000000-0005-0000-0000-000017050000}"/>
    <cellStyle name="Millares 9 4 2 2" xfId="3585" xr:uid="{00000000-0005-0000-0000-000018050000}"/>
    <cellStyle name="Millares 9 4 2 3" xfId="3980" xr:uid="{00000000-0005-0000-0000-000019050000}"/>
    <cellStyle name="Millares 9 4 3" xfId="3391" xr:uid="{00000000-0005-0000-0000-00001A050000}"/>
    <cellStyle name="Millares 9 4 4" xfId="3786" xr:uid="{00000000-0005-0000-0000-00001B050000}"/>
    <cellStyle name="Millares 9 5" xfId="3096" xr:uid="{00000000-0005-0000-0000-00001C050000}"/>
    <cellStyle name="Millares 9 5 2" xfId="3489" xr:uid="{00000000-0005-0000-0000-00001D050000}"/>
    <cellStyle name="Millares 9 5 3" xfId="3884" xr:uid="{00000000-0005-0000-0000-00001E050000}"/>
    <cellStyle name="Millares 9 6" xfId="3294" xr:uid="{00000000-0005-0000-0000-00001F050000}"/>
    <cellStyle name="Millares 9 7" xfId="3688" xr:uid="{00000000-0005-0000-0000-000020050000}"/>
    <cellStyle name="Moneda" xfId="9" builtinId="4"/>
    <cellStyle name="Moneda [0]" xfId="2866" builtinId="7"/>
    <cellStyle name="Moneda [0] 10" xfId="3002" xr:uid="{00000000-0005-0000-0000-000023050000}"/>
    <cellStyle name="Moneda [0] 10 2" xfId="3200" xr:uid="{00000000-0005-0000-0000-000024050000}"/>
    <cellStyle name="Moneda [0] 10 2 2" xfId="3593" xr:uid="{00000000-0005-0000-0000-000025050000}"/>
    <cellStyle name="Moneda [0] 10 2 3" xfId="3988" xr:uid="{00000000-0005-0000-0000-000026050000}"/>
    <cellStyle name="Moneda [0] 10 3" xfId="3399" xr:uid="{00000000-0005-0000-0000-000027050000}"/>
    <cellStyle name="Moneda [0] 10 4" xfId="3794" xr:uid="{00000000-0005-0000-0000-000028050000}"/>
    <cellStyle name="Moneda [0] 11" xfId="3102" xr:uid="{00000000-0005-0000-0000-000029050000}"/>
    <cellStyle name="Moneda [0] 11 2" xfId="3495" xr:uid="{00000000-0005-0000-0000-00002A050000}"/>
    <cellStyle name="Moneda [0] 11 3" xfId="3890" xr:uid="{00000000-0005-0000-0000-00002B050000}"/>
    <cellStyle name="Moneda [0] 12" xfId="3301" xr:uid="{00000000-0005-0000-0000-00002C050000}"/>
    <cellStyle name="Moneda [0] 13" xfId="3696" xr:uid="{00000000-0005-0000-0000-00002D050000}"/>
    <cellStyle name="Moneda [0] 2" xfId="246" xr:uid="{00000000-0005-0000-0000-00002E050000}"/>
    <cellStyle name="Moneda [0] 2 2" xfId="247" xr:uid="{00000000-0005-0000-0000-00002F050000}"/>
    <cellStyle name="Moneda [0] 2 2 2" xfId="248" xr:uid="{00000000-0005-0000-0000-000030050000}"/>
    <cellStyle name="Moneda [0] 2 2 2 2" xfId="249" xr:uid="{00000000-0005-0000-0000-000031050000}"/>
    <cellStyle name="Moneda [0] 2 2 2 2 2" xfId="2916" xr:uid="{00000000-0005-0000-0000-000032050000}"/>
    <cellStyle name="Moneda [0] 2 2 2 3" xfId="2915" xr:uid="{00000000-0005-0000-0000-000033050000}"/>
    <cellStyle name="Moneda [0] 2 2 3" xfId="250" xr:uid="{00000000-0005-0000-0000-000034050000}"/>
    <cellStyle name="Moneda [0] 2 2 3 2" xfId="2917" xr:uid="{00000000-0005-0000-0000-000035050000}"/>
    <cellStyle name="Moneda [0] 2 2 4" xfId="251" xr:uid="{00000000-0005-0000-0000-000036050000}"/>
    <cellStyle name="Moneda [0] 2 2 4 2" xfId="2918" xr:uid="{00000000-0005-0000-0000-000037050000}"/>
    <cellStyle name="Moneda [0] 2 3" xfId="252" xr:uid="{00000000-0005-0000-0000-000038050000}"/>
    <cellStyle name="Moneda [0] 2 3 2" xfId="253" xr:uid="{00000000-0005-0000-0000-000039050000}"/>
    <cellStyle name="Moneda [0] 2 3 2 2" xfId="2920" xr:uid="{00000000-0005-0000-0000-00003A050000}"/>
    <cellStyle name="Moneda [0] 2 3 3" xfId="2919" xr:uid="{00000000-0005-0000-0000-00003B050000}"/>
    <cellStyle name="Moneda [0] 2 4" xfId="254" xr:uid="{00000000-0005-0000-0000-00003C050000}"/>
    <cellStyle name="Moneda [0] 2 4 2" xfId="2921" xr:uid="{00000000-0005-0000-0000-00003D050000}"/>
    <cellStyle name="Moneda [0] 2 5" xfId="255" xr:uid="{00000000-0005-0000-0000-00003E050000}"/>
    <cellStyle name="Moneda [0] 2 5 2" xfId="2922" xr:uid="{00000000-0005-0000-0000-00003F050000}"/>
    <cellStyle name="Moneda [0] 3" xfId="256" xr:uid="{00000000-0005-0000-0000-000040050000}"/>
    <cellStyle name="Moneda [0] 3 10" xfId="3297" xr:uid="{00000000-0005-0000-0000-000041050000}"/>
    <cellStyle name="Moneda [0] 3 11" xfId="3690" xr:uid="{00000000-0005-0000-0000-000042050000}"/>
    <cellStyle name="Moneda [0] 3 2" xfId="257" xr:uid="{00000000-0005-0000-0000-000043050000}"/>
    <cellStyle name="Moneda [0] 3 2 2" xfId="258" xr:uid="{00000000-0005-0000-0000-000044050000}"/>
    <cellStyle name="Moneda [0] 3 2 2 2" xfId="259" xr:uid="{00000000-0005-0000-0000-000045050000}"/>
    <cellStyle name="Moneda [0] 3 2 3" xfId="260" xr:uid="{00000000-0005-0000-0000-000046050000}"/>
    <cellStyle name="Moneda [0] 3 2 3 2" xfId="261" xr:uid="{00000000-0005-0000-0000-000047050000}"/>
    <cellStyle name="Moneda [0] 3 2 4" xfId="262" xr:uid="{00000000-0005-0000-0000-000048050000}"/>
    <cellStyle name="Moneda [0] 3 2 4 2" xfId="263" xr:uid="{00000000-0005-0000-0000-000049050000}"/>
    <cellStyle name="Moneda [0] 3 2 5" xfId="264" xr:uid="{00000000-0005-0000-0000-00004A050000}"/>
    <cellStyle name="Moneda [0] 3 3" xfId="265" xr:uid="{00000000-0005-0000-0000-00004B050000}"/>
    <cellStyle name="Moneda [0] 3 3 2" xfId="266" xr:uid="{00000000-0005-0000-0000-00004C050000}"/>
    <cellStyle name="Moneda [0] 3 4" xfId="267" xr:uid="{00000000-0005-0000-0000-00004D050000}"/>
    <cellStyle name="Moneda [0] 3 4 2" xfId="268" xr:uid="{00000000-0005-0000-0000-00004E050000}"/>
    <cellStyle name="Moneda [0] 3 5" xfId="269" xr:uid="{00000000-0005-0000-0000-00004F050000}"/>
    <cellStyle name="Moneda [0] 3 5 2" xfId="270" xr:uid="{00000000-0005-0000-0000-000050050000}"/>
    <cellStyle name="Moneda [0] 3 6" xfId="271" xr:uid="{00000000-0005-0000-0000-000051050000}"/>
    <cellStyle name="Moneda [0] 3 7" xfId="272" xr:uid="{00000000-0005-0000-0000-000052050000}"/>
    <cellStyle name="Moneda [0] 3 8" xfId="2992" xr:uid="{00000000-0005-0000-0000-000053050000}"/>
    <cellStyle name="Moneda [0] 3 8 2" xfId="3194" xr:uid="{00000000-0005-0000-0000-000054050000}"/>
    <cellStyle name="Moneda [0] 3 8 2 2" xfId="3587" xr:uid="{00000000-0005-0000-0000-000055050000}"/>
    <cellStyle name="Moneda [0] 3 8 2 3" xfId="3982" xr:uid="{00000000-0005-0000-0000-000056050000}"/>
    <cellStyle name="Moneda [0] 3 8 3" xfId="3393" xr:uid="{00000000-0005-0000-0000-000057050000}"/>
    <cellStyle name="Moneda [0] 3 8 4" xfId="3788" xr:uid="{00000000-0005-0000-0000-000058050000}"/>
    <cellStyle name="Moneda [0] 3 9" xfId="3098" xr:uid="{00000000-0005-0000-0000-000059050000}"/>
    <cellStyle name="Moneda [0] 3 9 2" xfId="3491" xr:uid="{00000000-0005-0000-0000-00005A050000}"/>
    <cellStyle name="Moneda [0] 3 9 3" xfId="3886" xr:uid="{00000000-0005-0000-0000-00005B050000}"/>
    <cellStyle name="Moneda [0] 4" xfId="273" xr:uid="{00000000-0005-0000-0000-00005C050000}"/>
    <cellStyle name="Moneda [0] 4 2" xfId="274" xr:uid="{00000000-0005-0000-0000-00005D050000}"/>
    <cellStyle name="Moneda [0] 4 2 2" xfId="275" xr:uid="{00000000-0005-0000-0000-00005E050000}"/>
    <cellStyle name="Moneda [0] 4 3" xfId="276" xr:uid="{00000000-0005-0000-0000-00005F050000}"/>
    <cellStyle name="Moneda [0] 4 3 2" xfId="277" xr:uid="{00000000-0005-0000-0000-000060050000}"/>
    <cellStyle name="Moneda [0] 4 4" xfId="278" xr:uid="{00000000-0005-0000-0000-000061050000}"/>
    <cellStyle name="Moneda [0] 4 4 2" xfId="279" xr:uid="{00000000-0005-0000-0000-000062050000}"/>
    <cellStyle name="Moneda [0] 4 5" xfId="280" xr:uid="{00000000-0005-0000-0000-000063050000}"/>
    <cellStyle name="Moneda [0] 5" xfId="281" xr:uid="{00000000-0005-0000-0000-000064050000}"/>
    <cellStyle name="Moneda [0] 5 2" xfId="282" xr:uid="{00000000-0005-0000-0000-000065050000}"/>
    <cellStyle name="Moneda [0] 5 2 2" xfId="283" xr:uid="{00000000-0005-0000-0000-000066050000}"/>
    <cellStyle name="Moneda [0] 5 3" xfId="284" xr:uid="{00000000-0005-0000-0000-000067050000}"/>
    <cellStyle name="Moneda [0] 5 3 2" xfId="285" xr:uid="{00000000-0005-0000-0000-000068050000}"/>
    <cellStyle name="Moneda [0] 5 4" xfId="286" xr:uid="{00000000-0005-0000-0000-000069050000}"/>
    <cellStyle name="Moneda [0] 5 4 2" xfId="287" xr:uid="{00000000-0005-0000-0000-00006A050000}"/>
    <cellStyle name="Moneda [0] 5 5" xfId="288" xr:uid="{00000000-0005-0000-0000-00006B050000}"/>
    <cellStyle name="Moneda [0] 6" xfId="289" xr:uid="{00000000-0005-0000-0000-00006C050000}"/>
    <cellStyle name="Moneda [0] 6 2" xfId="290" xr:uid="{00000000-0005-0000-0000-00006D050000}"/>
    <cellStyle name="Moneda [0] 7" xfId="291" xr:uid="{00000000-0005-0000-0000-00006E050000}"/>
    <cellStyle name="Moneda [0] 7 2" xfId="292" xr:uid="{00000000-0005-0000-0000-00006F050000}"/>
    <cellStyle name="Moneda [0] 8" xfId="293" xr:uid="{00000000-0005-0000-0000-000070050000}"/>
    <cellStyle name="Moneda [0] 8 2" xfId="294" xr:uid="{00000000-0005-0000-0000-000071050000}"/>
    <cellStyle name="Moneda [0] 9" xfId="295" xr:uid="{00000000-0005-0000-0000-000072050000}"/>
    <cellStyle name="Moneda [0] 9 2" xfId="296" xr:uid="{00000000-0005-0000-0000-000073050000}"/>
    <cellStyle name="Moneda 10" xfId="297" xr:uid="{00000000-0005-0000-0000-000074050000}"/>
    <cellStyle name="Moneda 10 10" xfId="298" xr:uid="{00000000-0005-0000-0000-000075050000}"/>
    <cellStyle name="Moneda 10 11" xfId="299" xr:uid="{00000000-0005-0000-0000-000076050000}"/>
    <cellStyle name="Moneda 10 2" xfId="300" xr:uid="{00000000-0005-0000-0000-000077050000}"/>
    <cellStyle name="Moneda 10 2 2" xfId="301" xr:uid="{00000000-0005-0000-0000-000078050000}"/>
    <cellStyle name="Moneda 10 2 2 2" xfId="302" xr:uid="{00000000-0005-0000-0000-000079050000}"/>
    <cellStyle name="Moneda 10 2 2 2 2" xfId="303" xr:uid="{00000000-0005-0000-0000-00007A050000}"/>
    <cellStyle name="Moneda 10 2 2 2 2 2" xfId="304" xr:uid="{00000000-0005-0000-0000-00007B050000}"/>
    <cellStyle name="Moneda 10 2 2 2 3" xfId="305" xr:uid="{00000000-0005-0000-0000-00007C050000}"/>
    <cellStyle name="Moneda 10 2 2 2 3 2" xfId="306" xr:uid="{00000000-0005-0000-0000-00007D050000}"/>
    <cellStyle name="Moneda 10 2 2 2 4" xfId="307" xr:uid="{00000000-0005-0000-0000-00007E050000}"/>
    <cellStyle name="Moneda 10 2 2 2 4 2" xfId="308" xr:uid="{00000000-0005-0000-0000-00007F050000}"/>
    <cellStyle name="Moneda 10 2 2 2 5" xfId="309" xr:uid="{00000000-0005-0000-0000-000080050000}"/>
    <cellStyle name="Moneda 10 2 2 3" xfId="310" xr:uid="{00000000-0005-0000-0000-000081050000}"/>
    <cellStyle name="Moneda 10 2 2 3 2" xfId="311" xr:uid="{00000000-0005-0000-0000-000082050000}"/>
    <cellStyle name="Moneda 10 2 2 4" xfId="312" xr:uid="{00000000-0005-0000-0000-000083050000}"/>
    <cellStyle name="Moneda 10 2 2 4 2" xfId="313" xr:uid="{00000000-0005-0000-0000-000084050000}"/>
    <cellStyle name="Moneda 10 2 2 5" xfId="314" xr:uid="{00000000-0005-0000-0000-000085050000}"/>
    <cellStyle name="Moneda 10 2 2 5 2" xfId="315" xr:uid="{00000000-0005-0000-0000-000086050000}"/>
    <cellStyle name="Moneda 10 2 2 6" xfId="316" xr:uid="{00000000-0005-0000-0000-000087050000}"/>
    <cellStyle name="Moneda 10 2 3" xfId="317" xr:uid="{00000000-0005-0000-0000-000088050000}"/>
    <cellStyle name="Moneda 10 2 3 2" xfId="318" xr:uid="{00000000-0005-0000-0000-000089050000}"/>
    <cellStyle name="Moneda 10 2 3 2 2" xfId="319" xr:uid="{00000000-0005-0000-0000-00008A050000}"/>
    <cellStyle name="Moneda 10 2 3 3" xfId="320" xr:uid="{00000000-0005-0000-0000-00008B050000}"/>
    <cellStyle name="Moneda 10 2 3 3 2" xfId="321" xr:uid="{00000000-0005-0000-0000-00008C050000}"/>
    <cellStyle name="Moneda 10 2 3 4" xfId="322" xr:uid="{00000000-0005-0000-0000-00008D050000}"/>
    <cellStyle name="Moneda 10 2 3 4 2" xfId="323" xr:uid="{00000000-0005-0000-0000-00008E050000}"/>
    <cellStyle name="Moneda 10 2 3 5" xfId="324" xr:uid="{00000000-0005-0000-0000-00008F050000}"/>
    <cellStyle name="Moneda 10 2 4" xfId="325" xr:uid="{00000000-0005-0000-0000-000090050000}"/>
    <cellStyle name="Moneda 10 2 4 2" xfId="326" xr:uid="{00000000-0005-0000-0000-000091050000}"/>
    <cellStyle name="Moneda 10 2 5" xfId="327" xr:uid="{00000000-0005-0000-0000-000092050000}"/>
    <cellStyle name="Moneda 10 2 5 2" xfId="328" xr:uid="{00000000-0005-0000-0000-000093050000}"/>
    <cellStyle name="Moneda 10 2 6" xfId="329" xr:uid="{00000000-0005-0000-0000-000094050000}"/>
    <cellStyle name="Moneda 10 2 6 2" xfId="330" xr:uid="{00000000-0005-0000-0000-000095050000}"/>
    <cellStyle name="Moneda 10 2 7" xfId="331" xr:uid="{00000000-0005-0000-0000-000096050000}"/>
    <cellStyle name="Moneda 10 2 8" xfId="332" xr:uid="{00000000-0005-0000-0000-000097050000}"/>
    <cellStyle name="Moneda 10 3" xfId="333" xr:uid="{00000000-0005-0000-0000-000098050000}"/>
    <cellStyle name="Moneda 10 3 2" xfId="334" xr:uid="{00000000-0005-0000-0000-000099050000}"/>
    <cellStyle name="Moneda 10 3 2 2" xfId="335" xr:uid="{00000000-0005-0000-0000-00009A050000}"/>
    <cellStyle name="Moneda 10 3 2 2 2" xfId="336" xr:uid="{00000000-0005-0000-0000-00009B050000}"/>
    <cellStyle name="Moneda 10 3 2 2 2 2" xfId="337" xr:uid="{00000000-0005-0000-0000-00009C050000}"/>
    <cellStyle name="Moneda 10 3 2 2 3" xfId="338" xr:uid="{00000000-0005-0000-0000-00009D050000}"/>
    <cellStyle name="Moneda 10 3 2 2 3 2" xfId="339" xr:uid="{00000000-0005-0000-0000-00009E050000}"/>
    <cellStyle name="Moneda 10 3 2 2 4" xfId="340" xr:uid="{00000000-0005-0000-0000-00009F050000}"/>
    <cellStyle name="Moneda 10 3 2 2 4 2" xfId="341" xr:uid="{00000000-0005-0000-0000-0000A0050000}"/>
    <cellStyle name="Moneda 10 3 2 2 5" xfId="342" xr:uid="{00000000-0005-0000-0000-0000A1050000}"/>
    <cellStyle name="Moneda 10 3 2 3" xfId="343" xr:uid="{00000000-0005-0000-0000-0000A2050000}"/>
    <cellStyle name="Moneda 10 3 2 3 2" xfId="344" xr:uid="{00000000-0005-0000-0000-0000A3050000}"/>
    <cellStyle name="Moneda 10 3 2 4" xfId="345" xr:uid="{00000000-0005-0000-0000-0000A4050000}"/>
    <cellStyle name="Moneda 10 3 2 4 2" xfId="346" xr:uid="{00000000-0005-0000-0000-0000A5050000}"/>
    <cellStyle name="Moneda 10 3 2 5" xfId="347" xr:uid="{00000000-0005-0000-0000-0000A6050000}"/>
    <cellStyle name="Moneda 10 3 2 5 2" xfId="348" xr:uid="{00000000-0005-0000-0000-0000A7050000}"/>
    <cellStyle name="Moneda 10 3 2 6" xfId="349" xr:uid="{00000000-0005-0000-0000-0000A8050000}"/>
    <cellStyle name="Moneda 10 3 3" xfId="350" xr:uid="{00000000-0005-0000-0000-0000A9050000}"/>
    <cellStyle name="Moneda 10 3 3 2" xfId="351" xr:uid="{00000000-0005-0000-0000-0000AA050000}"/>
    <cellStyle name="Moneda 10 3 3 2 2" xfId="352" xr:uid="{00000000-0005-0000-0000-0000AB050000}"/>
    <cellStyle name="Moneda 10 3 3 3" xfId="353" xr:uid="{00000000-0005-0000-0000-0000AC050000}"/>
    <cellStyle name="Moneda 10 3 3 3 2" xfId="354" xr:uid="{00000000-0005-0000-0000-0000AD050000}"/>
    <cellStyle name="Moneda 10 3 3 4" xfId="355" xr:uid="{00000000-0005-0000-0000-0000AE050000}"/>
    <cellStyle name="Moneda 10 3 3 4 2" xfId="356" xr:uid="{00000000-0005-0000-0000-0000AF050000}"/>
    <cellStyle name="Moneda 10 3 3 5" xfId="357" xr:uid="{00000000-0005-0000-0000-0000B0050000}"/>
    <cellStyle name="Moneda 10 3 4" xfId="358" xr:uid="{00000000-0005-0000-0000-0000B1050000}"/>
    <cellStyle name="Moneda 10 3 4 2" xfId="359" xr:uid="{00000000-0005-0000-0000-0000B2050000}"/>
    <cellStyle name="Moneda 10 3 5" xfId="360" xr:uid="{00000000-0005-0000-0000-0000B3050000}"/>
    <cellStyle name="Moneda 10 3 5 2" xfId="361" xr:uid="{00000000-0005-0000-0000-0000B4050000}"/>
    <cellStyle name="Moneda 10 3 6" xfId="362" xr:uid="{00000000-0005-0000-0000-0000B5050000}"/>
    <cellStyle name="Moneda 10 3 6 2" xfId="363" xr:uid="{00000000-0005-0000-0000-0000B6050000}"/>
    <cellStyle name="Moneda 10 3 7" xfId="364" xr:uid="{00000000-0005-0000-0000-0000B7050000}"/>
    <cellStyle name="Moneda 10 4" xfId="365" xr:uid="{00000000-0005-0000-0000-0000B8050000}"/>
    <cellStyle name="Moneda 10 4 2" xfId="366" xr:uid="{00000000-0005-0000-0000-0000B9050000}"/>
    <cellStyle name="Moneda 10 4 2 2" xfId="367" xr:uid="{00000000-0005-0000-0000-0000BA050000}"/>
    <cellStyle name="Moneda 10 4 2 2 2" xfId="368" xr:uid="{00000000-0005-0000-0000-0000BB050000}"/>
    <cellStyle name="Moneda 10 4 2 2 2 2" xfId="369" xr:uid="{00000000-0005-0000-0000-0000BC050000}"/>
    <cellStyle name="Moneda 10 4 2 2 3" xfId="370" xr:uid="{00000000-0005-0000-0000-0000BD050000}"/>
    <cellStyle name="Moneda 10 4 2 2 3 2" xfId="371" xr:uid="{00000000-0005-0000-0000-0000BE050000}"/>
    <cellStyle name="Moneda 10 4 2 2 4" xfId="372" xr:uid="{00000000-0005-0000-0000-0000BF050000}"/>
    <cellStyle name="Moneda 10 4 2 2 4 2" xfId="373" xr:uid="{00000000-0005-0000-0000-0000C0050000}"/>
    <cellStyle name="Moneda 10 4 2 2 5" xfId="374" xr:uid="{00000000-0005-0000-0000-0000C1050000}"/>
    <cellStyle name="Moneda 10 4 2 3" xfId="375" xr:uid="{00000000-0005-0000-0000-0000C2050000}"/>
    <cellStyle name="Moneda 10 4 2 3 2" xfId="376" xr:uid="{00000000-0005-0000-0000-0000C3050000}"/>
    <cellStyle name="Moneda 10 4 2 4" xfId="377" xr:uid="{00000000-0005-0000-0000-0000C4050000}"/>
    <cellStyle name="Moneda 10 4 2 4 2" xfId="378" xr:uid="{00000000-0005-0000-0000-0000C5050000}"/>
    <cellStyle name="Moneda 10 4 2 5" xfId="379" xr:uid="{00000000-0005-0000-0000-0000C6050000}"/>
    <cellStyle name="Moneda 10 4 2 5 2" xfId="380" xr:uid="{00000000-0005-0000-0000-0000C7050000}"/>
    <cellStyle name="Moneda 10 4 2 6" xfId="381" xr:uid="{00000000-0005-0000-0000-0000C8050000}"/>
    <cellStyle name="Moneda 10 4 3" xfId="382" xr:uid="{00000000-0005-0000-0000-0000C9050000}"/>
    <cellStyle name="Moneda 10 4 3 2" xfId="383" xr:uid="{00000000-0005-0000-0000-0000CA050000}"/>
    <cellStyle name="Moneda 10 4 3 2 2" xfId="384" xr:uid="{00000000-0005-0000-0000-0000CB050000}"/>
    <cellStyle name="Moneda 10 4 3 3" xfId="385" xr:uid="{00000000-0005-0000-0000-0000CC050000}"/>
    <cellStyle name="Moneda 10 4 3 3 2" xfId="386" xr:uid="{00000000-0005-0000-0000-0000CD050000}"/>
    <cellStyle name="Moneda 10 4 3 4" xfId="387" xr:uid="{00000000-0005-0000-0000-0000CE050000}"/>
    <cellStyle name="Moneda 10 4 3 4 2" xfId="388" xr:uid="{00000000-0005-0000-0000-0000CF050000}"/>
    <cellStyle name="Moneda 10 4 3 5" xfId="389" xr:uid="{00000000-0005-0000-0000-0000D0050000}"/>
    <cellStyle name="Moneda 10 4 4" xfId="390" xr:uid="{00000000-0005-0000-0000-0000D1050000}"/>
    <cellStyle name="Moneda 10 4 4 2" xfId="391" xr:uid="{00000000-0005-0000-0000-0000D2050000}"/>
    <cellStyle name="Moneda 10 4 5" xfId="392" xr:uid="{00000000-0005-0000-0000-0000D3050000}"/>
    <cellStyle name="Moneda 10 4 5 2" xfId="393" xr:uid="{00000000-0005-0000-0000-0000D4050000}"/>
    <cellStyle name="Moneda 10 4 6" xfId="394" xr:uid="{00000000-0005-0000-0000-0000D5050000}"/>
    <cellStyle name="Moneda 10 4 6 2" xfId="395" xr:uid="{00000000-0005-0000-0000-0000D6050000}"/>
    <cellStyle name="Moneda 10 4 7" xfId="396" xr:uid="{00000000-0005-0000-0000-0000D7050000}"/>
    <cellStyle name="Moneda 10 5" xfId="397" xr:uid="{00000000-0005-0000-0000-0000D8050000}"/>
    <cellStyle name="Moneda 10 5 2" xfId="398" xr:uid="{00000000-0005-0000-0000-0000D9050000}"/>
    <cellStyle name="Moneda 10 5 2 2" xfId="399" xr:uid="{00000000-0005-0000-0000-0000DA050000}"/>
    <cellStyle name="Moneda 10 5 2 2 2" xfId="400" xr:uid="{00000000-0005-0000-0000-0000DB050000}"/>
    <cellStyle name="Moneda 10 5 2 3" xfId="401" xr:uid="{00000000-0005-0000-0000-0000DC050000}"/>
    <cellStyle name="Moneda 10 5 2 3 2" xfId="402" xr:uid="{00000000-0005-0000-0000-0000DD050000}"/>
    <cellStyle name="Moneda 10 5 2 4" xfId="403" xr:uid="{00000000-0005-0000-0000-0000DE050000}"/>
    <cellStyle name="Moneda 10 5 2 4 2" xfId="404" xr:uid="{00000000-0005-0000-0000-0000DF050000}"/>
    <cellStyle name="Moneda 10 5 2 5" xfId="405" xr:uid="{00000000-0005-0000-0000-0000E0050000}"/>
    <cellStyle name="Moneda 10 5 3" xfId="406" xr:uid="{00000000-0005-0000-0000-0000E1050000}"/>
    <cellStyle name="Moneda 10 5 3 2" xfId="407" xr:uid="{00000000-0005-0000-0000-0000E2050000}"/>
    <cellStyle name="Moneda 10 5 4" xfId="408" xr:uid="{00000000-0005-0000-0000-0000E3050000}"/>
    <cellStyle name="Moneda 10 5 4 2" xfId="409" xr:uid="{00000000-0005-0000-0000-0000E4050000}"/>
    <cellStyle name="Moneda 10 5 5" xfId="410" xr:uid="{00000000-0005-0000-0000-0000E5050000}"/>
    <cellStyle name="Moneda 10 5 5 2" xfId="411" xr:uid="{00000000-0005-0000-0000-0000E6050000}"/>
    <cellStyle name="Moneda 10 5 6" xfId="412" xr:uid="{00000000-0005-0000-0000-0000E7050000}"/>
    <cellStyle name="Moneda 10 6" xfId="413" xr:uid="{00000000-0005-0000-0000-0000E8050000}"/>
    <cellStyle name="Moneda 10 6 2" xfId="414" xr:uid="{00000000-0005-0000-0000-0000E9050000}"/>
    <cellStyle name="Moneda 10 6 2 2" xfId="415" xr:uid="{00000000-0005-0000-0000-0000EA050000}"/>
    <cellStyle name="Moneda 10 6 3" xfId="416" xr:uid="{00000000-0005-0000-0000-0000EB050000}"/>
    <cellStyle name="Moneda 10 6 3 2" xfId="417" xr:uid="{00000000-0005-0000-0000-0000EC050000}"/>
    <cellStyle name="Moneda 10 6 4" xfId="418" xr:uid="{00000000-0005-0000-0000-0000ED050000}"/>
    <cellStyle name="Moneda 10 6 4 2" xfId="419" xr:uid="{00000000-0005-0000-0000-0000EE050000}"/>
    <cellStyle name="Moneda 10 6 5" xfId="420" xr:uid="{00000000-0005-0000-0000-0000EF050000}"/>
    <cellStyle name="Moneda 10 7" xfId="421" xr:uid="{00000000-0005-0000-0000-0000F0050000}"/>
    <cellStyle name="Moneda 10 7 2" xfId="422" xr:uid="{00000000-0005-0000-0000-0000F1050000}"/>
    <cellStyle name="Moneda 10 8" xfId="423" xr:uid="{00000000-0005-0000-0000-0000F2050000}"/>
    <cellStyle name="Moneda 10 8 2" xfId="424" xr:uid="{00000000-0005-0000-0000-0000F3050000}"/>
    <cellStyle name="Moneda 10 9" xfId="425" xr:uid="{00000000-0005-0000-0000-0000F4050000}"/>
    <cellStyle name="Moneda 10 9 2" xfId="426" xr:uid="{00000000-0005-0000-0000-0000F5050000}"/>
    <cellStyle name="Moneda 11" xfId="427" xr:uid="{00000000-0005-0000-0000-0000F6050000}"/>
    <cellStyle name="Moneda 11 10" xfId="428" xr:uid="{00000000-0005-0000-0000-0000F7050000}"/>
    <cellStyle name="Moneda 11 11" xfId="429" xr:uid="{00000000-0005-0000-0000-0000F8050000}"/>
    <cellStyle name="Moneda 11 2" xfId="430" xr:uid="{00000000-0005-0000-0000-0000F9050000}"/>
    <cellStyle name="Moneda 11 2 2" xfId="431" xr:uid="{00000000-0005-0000-0000-0000FA050000}"/>
    <cellStyle name="Moneda 11 2 2 2" xfId="432" xr:uid="{00000000-0005-0000-0000-0000FB050000}"/>
    <cellStyle name="Moneda 11 2 2 2 2" xfId="433" xr:uid="{00000000-0005-0000-0000-0000FC050000}"/>
    <cellStyle name="Moneda 11 2 2 2 2 2" xfId="434" xr:uid="{00000000-0005-0000-0000-0000FD050000}"/>
    <cellStyle name="Moneda 11 2 2 2 3" xfId="435" xr:uid="{00000000-0005-0000-0000-0000FE050000}"/>
    <cellStyle name="Moneda 11 2 2 2 3 2" xfId="436" xr:uid="{00000000-0005-0000-0000-0000FF050000}"/>
    <cellStyle name="Moneda 11 2 2 2 4" xfId="437" xr:uid="{00000000-0005-0000-0000-000000060000}"/>
    <cellStyle name="Moneda 11 2 2 2 4 2" xfId="438" xr:uid="{00000000-0005-0000-0000-000001060000}"/>
    <cellStyle name="Moneda 11 2 2 2 5" xfId="439" xr:uid="{00000000-0005-0000-0000-000002060000}"/>
    <cellStyle name="Moneda 11 2 2 3" xfId="440" xr:uid="{00000000-0005-0000-0000-000003060000}"/>
    <cellStyle name="Moneda 11 2 2 3 2" xfId="441" xr:uid="{00000000-0005-0000-0000-000004060000}"/>
    <cellStyle name="Moneda 11 2 2 4" xfId="442" xr:uid="{00000000-0005-0000-0000-000005060000}"/>
    <cellStyle name="Moneda 11 2 2 4 2" xfId="443" xr:uid="{00000000-0005-0000-0000-000006060000}"/>
    <cellStyle name="Moneda 11 2 2 5" xfId="444" xr:uid="{00000000-0005-0000-0000-000007060000}"/>
    <cellStyle name="Moneda 11 2 2 5 2" xfId="445" xr:uid="{00000000-0005-0000-0000-000008060000}"/>
    <cellStyle name="Moneda 11 2 2 6" xfId="446" xr:uid="{00000000-0005-0000-0000-000009060000}"/>
    <cellStyle name="Moneda 11 2 3" xfId="447" xr:uid="{00000000-0005-0000-0000-00000A060000}"/>
    <cellStyle name="Moneda 11 2 3 2" xfId="448" xr:uid="{00000000-0005-0000-0000-00000B060000}"/>
    <cellStyle name="Moneda 11 2 3 2 2" xfId="449" xr:uid="{00000000-0005-0000-0000-00000C060000}"/>
    <cellStyle name="Moneda 11 2 3 3" xfId="450" xr:uid="{00000000-0005-0000-0000-00000D060000}"/>
    <cellStyle name="Moneda 11 2 3 3 2" xfId="451" xr:uid="{00000000-0005-0000-0000-00000E060000}"/>
    <cellStyle name="Moneda 11 2 3 4" xfId="452" xr:uid="{00000000-0005-0000-0000-00000F060000}"/>
    <cellStyle name="Moneda 11 2 3 4 2" xfId="453" xr:uid="{00000000-0005-0000-0000-000010060000}"/>
    <cellStyle name="Moneda 11 2 3 5" xfId="454" xr:uid="{00000000-0005-0000-0000-000011060000}"/>
    <cellStyle name="Moneda 11 2 4" xfId="455" xr:uid="{00000000-0005-0000-0000-000012060000}"/>
    <cellStyle name="Moneda 11 2 4 2" xfId="456" xr:uid="{00000000-0005-0000-0000-000013060000}"/>
    <cellStyle name="Moneda 11 2 5" xfId="457" xr:uid="{00000000-0005-0000-0000-000014060000}"/>
    <cellStyle name="Moneda 11 2 5 2" xfId="458" xr:uid="{00000000-0005-0000-0000-000015060000}"/>
    <cellStyle name="Moneda 11 2 6" xfId="459" xr:uid="{00000000-0005-0000-0000-000016060000}"/>
    <cellStyle name="Moneda 11 2 6 2" xfId="460" xr:uid="{00000000-0005-0000-0000-000017060000}"/>
    <cellStyle name="Moneda 11 2 7" xfId="461" xr:uid="{00000000-0005-0000-0000-000018060000}"/>
    <cellStyle name="Moneda 11 2 8" xfId="462" xr:uid="{00000000-0005-0000-0000-000019060000}"/>
    <cellStyle name="Moneda 11 3" xfId="463" xr:uid="{00000000-0005-0000-0000-00001A060000}"/>
    <cellStyle name="Moneda 11 3 2" xfId="464" xr:uid="{00000000-0005-0000-0000-00001B060000}"/>
    <cellStyle name="Moneda 11 3 2 2" xfId="465" xr:uid="{00000000-0005-0000-0000-00001C060000}"/>
    <cellStyle name="Moneda 11 3 2 2 2" xfId="466" xr:uid="{00000000-0005-0000-0000-00001D060000}"/>
    <cellStyle name="Moneda 11 3 2 2 2 2" xfId="467" xr:uid="{00000000-0005-0000-0000-00001E060000}"/>
    <cellStyle name="Moneda 11 3 2 2 3" xfId="468" xr:uid="{00000000-0005-0000-0000-00001F060000}"/>
    <cellStyle name="Moneda 11 3 2 2 3 2" xfId="469" xr:uid="{00000000-0005-0000-0000-000020060000}"/>
    <cellStyle name="Moneda 11 3 2 2 4" xfId="470" xr:uid="{00000000-0005-0000-0000-000021060000}"/>
    <cellStyle name="Moneda 11 3 2 2 4 2" xfId="471" xr:uid="{00000000-0005-0000-0000-000022060000}"/>
    <cellStyle name="Moneda 11 3 2 2 5" xfId="472" xr:uid="{00000000-0005-0000-0000-000023060000}"/>
    <cellStyle name="Moneda 11 3 2 3" xfId="473" xr:uid="{00000000-0005-0000-0000-000024060000}"/>
    <cellStyle name="Moneda 11 3 2 3 2" xfId="474" xr:uid="{00000000-0005-0000-0000-000025060000}"/>
    <cellStyle name="Moneda 11 3 2 4" xfId="475" xr:uid="{00000000-0005-0000-0000-000026060000}"/>
    <cellStyle name="Moneda 11 3 2 4 2" xfId="476" xr:uid="{00000000-0005-0000-0000-000027060000}"/>
    <cellStyle name="Moneda 11 3 2 5" xfId="477" xr:uid="{00000000-0005-0000-0000-000028060000}"/>
    <cellStyle name="Moneda 11 3 2 5 2" xfId="478" xr:uid="{00000000-0005-0000-0000-000029060000}"/>
    <cellStyle name="Moneda 11 3 2 6" xfId="479" xr:uid="{00000000-0005-0000-0000-00002A060000}"/>
    <cellStyle name="Moneda 11 3 3" xfId="480" xr:uid="{00000000-0005-0000-0000-00002B060000}"/>
    <cellStyle name="Moneda 11 3 3 2" xfId="481" xr:uid="{00000000-0005-0000-0000-00002C060000}"/>
    <cellStyle name="Moneda 11 3 3 2 2" xfId="482" xr:uid="{00000000-0005-0000-0000-00002D060000}"/>
    <cellStyle name="Moneda 11 3 3 3" xfId="483" xr:uid="{00000000-0005-0000-0000-00002E060000}"/>
    <cellStyle name="Moneda 11 3 3 3 2" xfId="484" xr:uid="{00000000-0005-0000-0000-00002F060000}"/>
    <cellStyle name="Moneda 11 3 3 4" xfId="485" xr:uid="{00000000-0005-0000-0000-000030060000}"/>
    <cellStyle name="Moneda 11 3 3 4 2" xfId="486" xr:uid="{00000000-0005-0000-0000-000031060000}"/>
    <cellStyle name="Moneda 11 3 3 5" xfId="487" xr:uid="{00000000-0005-0000-0000-000032060000}"/>
    <cellStyle name="Moneda 11 3 4" xfId="488" xr:uid="{00000000-0005-0000-0000-000033060000}"/>
    <cellStyle name="Moneda 11 3 4 2" xfId="489" xr:uid="{00000000-0005-0000-0000-000034060000}"/>
    <cellStyle name="Moneda 11 3 5" xfId="490" xr:uid="{00000000-0005-0000-0000-000035060000}"/>
    <cellStyle name="Moneda 11 3 5 2" xfId="491" xr:uid="{00000000-0005-0000-0000-000036060000}"/>
    <cellStyle name="Moneda 11 3 6" xfId="492" xr:uid="{00000000-0005-0000-0000-000037060000}"/>
    <cellStyle name="Moneda 11 3 6 2" xfId="493" xr:uid="{00000000-0005-0000-0000-000038060000}"/>
    <cellStyle name="Moneda 11 3 7" xfId="494" xr:uid="{00000000-0005-0000-0000-000039060000}"/>
    <cellStyle name="Moneda 11 4" xfId="495" xr:uid="{00000000-0005-0000-0000-00003A060000}"/>
    <cellStyle name="Moneda 11 4 2" xfId="496" xr:uid="{00000000-0005-0000-0000-00003B060000}"/>
    <cellStyle name="Moneda 11 4 2 2" xfId="497" xr:uid="{00000000-0005-0000-0000-00003C060000}"/>
    <cellStyle name="Moneda 11 4 2 2 2" xfId="498" xr:uid="{00000000-0005-0000-0000-00003D060000}"/>
    <cellStyle name="Moneda 11 4 2 2 2 2" xfId="499" xr:uid="{00000000-0005-0000-0000-00003E060000}"/>
    <cellStyle name="Moneda 11 4 2 2 3" xfId="500" xr:uid="{00000000-0005-0000-0000-00003F060000}"/>
    <cellStyle name="Moneda 11 4 2 2 3 2" xfId="501" xr:uid="{00000000-0005-0000-0000-000040060000}"/>
    <cellStyle name="Moneda 11 4 2 2 4" xfId="502" xr:uid="{00000000-0005-0000-0000-000041060000}"/>
    <cellStyle name="Moneda 11 4 2 2 4 2" xfId="503" xr:uid="{00000000-0005-0000-0000-000042060000}"/>
    <cellStyle name="Moneda 11 4 2 2 5" xfId="504" xr:uid="{00000000-0005-0000-0000-000043060000}"/>
    <cellStyle name="Moneda 11 4 2 3" xfId="505" xr:uid="{00000000-0005-0000-0000-000044060000}"/>
    <cellStyle name="Moneda 11 4 2 3 2" xfId="506" xr:uid="{00000000-0005-0000-0000-000045060000}"/>
    <cellStyle name="Moneda 11 4 2 4" xfId="507" xr:uid="{00000000-0005-0000-0000-000046060000}"/>
    <cellStyle name="Moneda 11 4 2 4 2" xfId="508" xr:uid="{00000000-0005-0000-0000-000047060000}"/>
    <cellStyle name="Moneda 11 4 2 5" xfId="509" xr:uid="{00000000-0005-0000-0000-000048060000}"/>
    <cellStyle name="Moneda 11 4 2 5 2" xfId="510" xr:uid="{00000000-0005-0000-0000-000049060000}"/>
    <cellStyle name="Moneda 11 4 2 6" xfId="511" xr:uid="{00000000-0005-0000-0000-00004A060000}"/>
    <cellStyle name="Moneda 11 4 3" xfId="512" xr:uid="{00000000-0005-0000-0000-00004B060000}"/>
    <cellStyle name="Moneda 11 4 3 2" xfId="513" xr:uid="{00000000-0005-0000-0000-00004C060000}"/>
    <cellStyle name="Moneda 11 4 3 2 2" xfId="514" xr:uid="{00000000-0005-0000-0000-00004D060000}"/>
    <cellStyle name="Moneda 11 4 3 3" xfId="515" xr:uid="{00000000-0005-0000-0000-00004E060000}"/>
    <cellStyle name="Moneda 11 4 3 3 2" xfId="516" xr:uid="{00000000-0005-0000-0000-00004F060000}"/>
    <cellStyle name="Moneda 11 4 3 4" xfId="517" xr:uid="{00000000-0005-0000-0000-000050060000}"/>
    <cellStyle name="Moneda 11 4 3 4 2" xfId="518" xr:uid="{00000000-0005-0000-0000-000051060000}"/>
    <cellStyle name="Moneda 11 4 3 5" xfId="519" xr:uid="{00000000-0005-0000-0000-000052060000}"/>
    <cellStyle name="Moneda 11 4 4" xfId="520" xr:uid="{00000000-0005-0000-0000-000053060000}"/>
    <cellStyle name="Moneda 11 4 4 2" xfId="521" xr:uid="{00000000-0005-0000-0000-000054060000}"/>
    <cellStyle name="Moneda 11 4 5" xfId="522" xr:uid="{00000000-0005-0000-0000-000055060000}"/>
    <cellStyle name="Moneda 11 4 5 2" xfId="523" xr:uid="{00000000-0005-0000-0000-000056060000}"/>
    <cellStyle name="Moneda 11 4 6" xfId="524" xr:uid="{00000000-0005-0000-0000-000057060000}"/>
    <cellStyle name="Moneda 11 4 6 2" xfId="525" xr:uid="{00000000-0005-0000-0000-000058060000}"/>
    <cellStyle name="Moneda 11 4 7" xfId="526" xr:uid="{00000000-0005-0000-0000-000059060000}"/>
    <cellStyle name="Moneda 11 5" xfId="527" xr:uid="{00000000-0005-0000-0000-00005A060000}"/>
    <cellStyle name="Moneda 11 5 2" xfId="528" xr:uid="{00000000-0005-0000-0000-00005B060000}"/>
    <cellStyle name="Moneda 11 5 2 2" xfId="529" xr:uid="{00000000-0005-0000-0000-00005C060000}"/>
    <cellStyle name="Moneda 11 5 2 2 2" xfId="530" xr:uid="{00000000-0005-0000-0000-00005D060000}"/>
    <cellStyle name="Moneda 11 5 2 3" xfId="531" xr:uid="{00000000-0005-0000-0000-00005E060000}"/>
    <cellStyle name="Moneda 11 5 2 3 2" xfId="532" xr:uid="{00000000-0005-0000-0000-00005F060000}"/>
    <cellStyle name="Moneda 11 5 2 4" xfId="533" xr:uid="{00000000-0005-0000-0000-000060060000}"/>
    <cellStyle name="Moneda 11 5 2 4 2" xfId="534" xr:uid="{00000000-0005-0000-0000-000061060000}"/>
    <cellStyle name="Moneda 11 5 2 5" xfId="535" xr:uid="{00000000-0005-0000-0000-000062060000}"/>
    <cellStyle name="Moneda 11 5 3" xfId="536" xr:uid="{00000000-0005-0000-0000-000063060000}"/>
    <cellStyle name="Moneda 11 5 3 2" xfId="537" xr:uid="{00000000-0005-0000-0000-000064060000}"/>
    <cellStyle name="Moneda 11 5 4" xfId="538" xr:uid="{00000000-0005-0000-0000-000065060000}"/>
    <cellStyle name="Moneda 11 5 4 2" xfId="539" xr:uid="{00000000-0005-0000-0000-000066060000}"/>
    <cellStyle name="Moneda 11 5 5" xfId="540" xr:uid="{00000000-0005-0000-0000-000067060000}"/>
    <cellStyle name="Moneda 11 5 5 2" xfId="541" xr:uid="{00000000-0005-0000-0000-000068060000}"/>
    <cellStyle name="Moneda 11 5 6" xfId="542" xr:uid="{00000000-0005-0000-0000-000069060000}"/>
    <cellStyle name="Moneda 11 6" xfId="543" xr:uid="{00000000-0005-0000-0000-00006A060000}"/>
    <cellStyle name="Moneda 11 6 2" xfId="544" xr:uid="{00000000-0005-0000-0000-00006B060000}"/>
    <cellStyle name="Moneda 11 6 2 2" xfId="545" xr:uid="{00000000-0005-0000-0000-00006C060000}"/>
    <cellStyle name="Moneda 11 6 3" xfId="546" xr:uid="{00000000-0005-0000-0000-00006D060000}"/>
    <cellStyle name="Moneda 11 6 3 2" xfId="547" xr:uid="{00000000-0005-0000-0000-00006E060000}"/>
    <cellStyle name="Moneda 11 6 4" xfId="548" xr:uid="{00000000-0005-0000-0000-00006F060000}"/>
    <cellStyle name="Moneda 11 6 4 2" xfId="549" xr:uid="{00000000-0005-0000-0000-000070060000}"/>
    <cellStyle name="Moneda 11 6 5" xfId="550" xr:uid="{00000000-0005-0000-0000-000071060000}"/>
    <cellStyle name="Moneda 11 7" xfId="551" xr:uid="{00000000-0005-0000-0000-000072060000}"/>
    <cellStyle name="Moneda 11 7 2" xfId="552" xr:uid="{00000000-0005-0000-0000-000073060000}"/>
    <cellStyle name="Moneda 11 8" xfId="553" xr:uid="{00000000-0005-0000-0000-000074060000}"/>
    <cellStyle name="Moneda 11 8 2" xfId="554" xr:uid="{00000000-0005-0000-0000-000075060000}"/>
    <cellStyle name="Moneda 11 9" xfId="555" xr:uid="{00000000-0005-0000-0000-000076060000}"/>
    <cellStyle name="Moneda 11 9 2" xfId="556" xr:uid="{00000000-0005-0000-0000-000077060000}"/>
    <cellStyle name="Moneda 12" xfId="557" xr:uid="{00000000-0005-0000-0000-000078060000}"/>
    <cellStyle name="Moneda 12 2" xfId="558" xr:uid="{00000000-0005-0000-0000-000079060000}"/>
    <cellStyle name="Moneda 12 2 2" xfId="559" xr:uid="{00000000-0005-0000-0000-00007A060000}"/>
    <cellStyle name="Moneda 12 2 2 2" xfId="560" xr:uid="{00000000-0005-0000-0000-00007B060000}"/>
    <cellStyle name="Moneda 12 2 2 2 2" xfId="561" xr:uid="{00000000-0005-0000-0000-00007C060000}"/>
    <cellStyle name="Moneda 12 2 2 2 2 2" xfId="562" xr:uid="{00000000-0005-0000-0000-00007D060000}"/>
    <cellStyle name="Moneda 12 2 2 2 3" xfId="563" xr:uid="{00000000-0005-0000-0000-00007E060000}"/>
    <cellStyle name="Moneda 12 2 2 2 3 2" xfId="564" xr:uid="{00000000-0005-0000-0000-00007F060000}"/>
    <cellStyle name="Moneda 12 2 2 2 4" xfId="565" xr:uid="{00000000-0005-0000-0000-000080060000}"/>
    <cellStyle name="Moneda 12 2 2 2 4 2" xfId="566" xr:uid="{00000000-0005-0000-0000-000081060000}"/>
    <cellStyle name="Moneda 12 2 2 2 5" xfId="567" xr:uid="{00000000-0005-0000-0000-000082060000}"/>
    <cellStyle name="Moneda 12 2 2 3" xfId="568" xr:uid="{00000000-0005-0000-0000-000083060000}"/>
    <cellStyle name="Moneda 12 2 2 3 2" xfId="569" xr:uid="{00000000-0005-0000-0000-000084060000}"/>
    <cellStyle name="Moneda 12 2 2 4" xfId="570" xr:uid="{00000000-0005-0000-0000-000085060000}"/>
    <cellStyle name="Moneda 12 2 2 4 2" xfId="571" xr:uid="{00000000-0005-0000-0000-000086060000}"/>
    <cellStyle name="Moneda 12 2 2 5" xfId="572" xr:uid="{00000000-0005-0000-0000-000087060000}"/>
    <cellStyle name="Moneda 12 2 2 5 2" xfId="573" xr:uid="{00000000-0005-0000-0000-000088060000}"/>
    <cellStyle name="Moneda 12 2 2 6" xfId="574" xr:uid="{00000000-0005-0000-0000-000089060000}"/>
    <cellStyle name="Moneda 12 2 3" xfId="575" xr:uid="{00000000-0005-0000-0000-00008A060000}"/>
    <cellStyle name="Moneda 12 2 3 2" xfId="576" xr:uid="{00000000-0005-0000-0000-00008B060000}"/>
    <cellStyle name="Moneda 12 2 3 2 2" xfId="577" xr:uid="{00000000-0005-0000-0000-00008C060000}"/>
    <cellStyle name="Moneda 12 2 3 3" xfId="578" xr:uid="{00000000-0005-0000-0000-00008D060000}"/>
    <cellStyle name="Moneda 12 2 3 3 2" xfId="579" xr:uid="{00000000-0005-0000-0000-00008E060000}"/>
    <cellStyle name="Moneda 12 2 3 4" xfId="580" xr:uid="{00000000-0005-0000-0000-00008F060000}"/>
    <cellStyle name="Moneda 12 2 3 4 2" xfId="581" xr:uid="{00000000-0005-0000-0000-000090060000}"/>
    <cellStyle name="Moneda 12 2 3 5" xfId="582" xr:uid="{00000000-0005-0000-0000-000091060000}"/>
    <cellStyle name="Moneda 12 2 4" xfId="583" xr:uid="{00000000-0005-0000-0000-000092060000}"/>
    <cellStyle name="Moneda 12 2 4 2" xfId="584" xr:uid="{00000000-0005-0000-0000-000093060000}"/>
    <cellStyle name="Moneda 12 2 5" xfId="585" xr:uid="{00000000-0005-0000-0000-000094060000}"/>
    <cellStyle name="Moneda 12 2 5 2" xfId="586" xr:uid="{00000000-0005-0000-0000-000095060000}"/>
    <cellStyle name="Moneda 12 2 6" xfId="587" xr:uid="{00000000-0005-0000-0000-000096060000}"/>
    <cellStyle name="Moneda 12 2 6 2" xfId="588" xr:uid="{00000000-0005-0000-0000-000097060000}"/>
    <cellStyle name="Moneda 12 2 7" xfId="589" xr:uid="{00000000-0005-0000-0000-000098060000}"/>
    <cellStyle name="Moneda 12 2 8" xfId="590" xr:uid="{00000000-0005-0000-0000-000099060000}"/>
    <cellStyle name="Moneda 12 3" xfId="591" xr:uid="{00000000-0005-0000-0000-00009A060000}"/>
    <cellStyle name="Moneda 12 3 2" xfId="592" xr:uid="{00000000-0005-0000-0000-00009B060000}"/>
    <cellStyle name="Moneda 12 3 2 2" xfId="593" xr:uid="{00000000-0005-0000-0000-00009C060000}"/>
    <cellStyle name="Moneda 12 3 2 2 2" xfId="594" xr:uid="{00000000-0005-0000-0000-00009D060000}"/>
    <cellStyle name="Moneda 12 3 2 3" xfId="595" xr:uid="{00000000-0005-0000-0000-00009E060000}"/>
    <cellStyle name="Moneda 12 3 2 3 2" xfId="596" xr:uid="{00000000-0005-0000-0000-00009F060000}"/>
    <cellStyle name="Moneda 12 3 2 4" xfId="597" xr:uid="{00000000-0005-0000-0000-0000A0060000}"/>
    <cellStyle name="Moneda 12 3 2 4 2" xfId="598" xr:uid="{00000000-0005-0000-0000-0000A1060000}"/>
    <cellStyle name="Moneda 12 3 2 5" xfId="599" xr:uid="{00000000-0005-0000-0000-0000A2060000}"/>
    <cellStyle name="Moneda 12 3 3" xfId="600" xr:uid="{00000000-0005-0000-0000-0000A3060000}"/>
    <cellStyle name="Moneda 12 3 3 2" xfId="601" xr:uid="{00000000-0005-0000-0000-0000A4060000}"/>
    <cellStyle name="Moneda 12 3 4" xfId="602" xr:uid="{00000000-0005-0000-0000-0000A5060000}"/>
    <cellStyle name="Moneda 12 3 4 2" xfId="603" xr:uid="{00000000-0005-0000-0000-0000A6060000}"/>
    <cellStyle name="Moneda 12 3 5" xfId="604" xr:uid="{00000000-0005-0000-0000-0000A7060000}"/>
    <cellStyle name="Moneda 12 3 5 2" xfId="605" xr:uid="{00000000-0005-0000-0000-0000A8060000}"/>
    <cellStyle name="Moneda 12 3 6" xfId="606" xr:uid="{00000000-0005-0000-0000-0000A9060000}"/>
    <cellStyle name="Moneda 12 4" xfId="607" xr:uid="{00000000-0005-0000-0000-0000AA060000}"/>
    <cellStyle name="Moneda 12 4 2" xfId="608" xr:uid="{00000000-0005-0000-0000-0000AB060000}"/>
    <cellStyle name="Moneda 12 4 2 2" xfId="609" xr:uid="{00000000-0005-0000-0000-0000AC060000}"/>
    <cellStyle name="Moneda 12 4 3" xfId="610" xr:uid="{00000000-0005-0000-0000-0000AD060000}"/>
    <cellStyle name="Moneda 12 4 3 2" xfId="611" xr:uid="{00000000-0005-0000-0000-0000AE060000}"/>
    <cellStyle name="Moneda 12 4 4" xfId="612" xr:uid="{00000000-0005-0000-0000-0000AF060000}"/>
    <cellStyle name="Moneda 12 4 4 2" xfId="613" xr:uid="{00000000-0005-0000-0000-0000B0060000}"/>
    <cellStyle name="Moneda 12 4 5" xfId="614" xr:uid="{00000000-0005-0000-0000-0000B1060000}"/>
    <cellStyle name="Moneda 12 5" xfId="615" xr:uid="{00000000-0005-0000-0000-0000B2060000}"/>
    <cellStyle name="Moneda 12 5 2" xfId="616" xr:uid="{00000000-0005-0000-0000-0000B3060000}"/>
    <cellStyle name="Moneda 12 6" xfId="617" xr:uid="{00000000-0005-0000-0000-0000B4060000}"/>
    <cellStyle name="Moneda 12 6 2" xfId="618" xr:uid="{00000000-0005-0000-0000-0000B5060000}"/>
    <cellStyle name="Moneda 12 7" xfId="619" xr:uid="{00000000-0005-0000-0000-0000B6060000}"/>
    <cellStyle name="Moneda 12 7 2" xfId="620" xr:uid="{00000000-0005-0000-0000-0000B7060000}"/>
    <cellStyle name="Moneda 12 8" xfId="621" xr:uid="{00000000-0005-0000-0000-0000B8060000}"/>
    <cellStyle name="Moneda 12 9" xfId="622" xr:uid="{00000000-0005-0000-0000-0000B9060000}"/>
    <cellStyle name="Moneda 13" xfId="623" xr:uid="{00000000-0005-0000-0000-0000BA060000}"/>
    <cellStyle name="Moneda 13 10" xfId="624" xr:uid="{00000000-0005-0000-0000-0000BB060000}"/>
    <cellStyle name="Moneda 13 2" xfId="625" xr:uid="{00000000-0005-0000-0000-0000BC060000}"/>
    <cellStyle name="Moneda 13 2 2" xfId="626" xr:uid="{00000000-0005-0000-0000-0000BD060000}"/>
    <cellStyle name="Moneda 13 2 2 2" xfId="627" xr:uid="{00000000-0005-0000-0000-0000BE060000}"/>
    <cellStyle name="Moneda 13 2 2 2 2" xfId="628" xr:uid="{00000000-0005-0000-0000-0000BF060000}"/>
    <cellStyle name="Moneda 13 2 2 2 2 2" xfId="629" xr:uid="{00000000-0005-0000-0000-0000C0060000}"/>
    <cellStyle name="Moneda 13 2 2 2 3" xfId="630" xr:uid="{00000000-0005-0000-0000-0000C1060000}"/>
    <cellStyle name="Moneda 13 2 2 2 3 2" xfId="631" xr:uid="{00000000-0005-0000-0000-0000C2060000}"/>
    <cellStyle name="Moneda 13 2 2 2 4" xfId="632" xr:uid="{00000000-0005-0000-0000-0000C3060000}"/>
    <cellStyle name="Moneda 13 2 2 2 4 2" xfId="633" xr:uid="{00000000-0005-0000-0000-0000C4060000}"/>
    <cellStyle name="Moneda 13 2 2 2 5" xfId="634" xr:uid="{00000000-0005-0000-0000-0000C5060000}"/>
    <cellStyle name="Moneda 13 2 2 3" xfId="635" xr:uid="{00000000-0005-0000-0000-0000C6060000}"/>
    <cellStyle name="Moneda 13 2 2 3 2" xfId="636" xr:uid="{00000000-0005-0000-0000-0000C7060000}"/>
    <cellStyle name="Moneda 13 2 2 4" xfId="637" xr:uid="{00000000-0005-0000-0000-0000C8060000}"/>
    <cellStyle name="Moneda 13 2 2 4 2" xfId="638" xr:uid="{00000000-0005-0000-0000-0000C9060000}"/>
    <cellStyle name="Moneda 13 2 2 5" xfId="639" xr:uid="{00000000-0005-0000-0000-0000CA060000}"/>
    <cellStyle name="Moneda 13 2 2 5 2" xfId="640" xr:uid="{00000000-0005-0000-0000-0000CB060000}"/>
    <cellStyle name="Moneda 13 2 2 6" xfId="641" xr:uid="{00000000-0005-0000-0000-0000CC060000}"/>
    <cellStyle name="Moneda 13 2 3" xfId="642" xr:uid="{00000000-0005-0000-0000-0000CD060000}"/>
    <cellStyle name="Moneda 13 2 3 2" xfId="643" xr:uid="{00000000-0005-0000-0000-0000CE060000}"/>
    <cellStyle name="Moneda 13 2 3 2 2" xfId="644" xr:uid="{00000000-0005-0000-0000-0000CF060000}"/>
    <cellStyle name="Moneda 13 2 3 3" xfId="645" xr:uid="{00000000-0005-0000-0000-0000D0060000}"/>
    <cellStyle name="Moneda 13 2 3 3 2" xfId="646" xr:uid="{00000000-0005-0000-0000-0000D1060000}"/>
    <cellStyle name="Moneda 13 2 3 4" xfId="647" xr:uid="{00000000-0005-0000-0000-0000D2060000}"/>
    <cellStyle name="Moneda 13 2 3 4 2" xfId="648" xr:uid="{00000000-0005-0000-0000-0000D3060000}"/>
    <cellStyle name="Moneda 13 2 3 5" xfId="649" xr:uid="{00000000-0005-0000-0000-0000D4060000}"/>
    <cellStyle name="Moneda 13 2 4" xfId="650" xr:uid="{00000000-0005-0000-0000-0000D5060000}"/>
    <cellStyle name="Moneda 13 2 4 2" xfId="651" xr:uid="{00000000-0005-0000-0000-0000D6060000}"/>
    <cellStyle name="Moneda 13 2 5" xfId="652" xr:uid="{00000000-0005-0000-0000-0000D7060000}"/>
    <cellStyle name="Moneda 13 2 5 2" xfId="653" xr:uid="{00000000-0005-0000-0000-0000D8060000}"/>
    <cellStyle name="Moneda 13 2 6" xfId="654" xr:uid="{00000000-0005-0000-0000-0000D9060000}"/>
    <cellStyle name="Moneda 13 2 6 2" xfId="655" xr:uid="{00000000-0005-0000-0000-0000DA060000}"/>
    <cellStyle name="Moneda 13 2 7" xfId="656" xr:uid="{00000000-0005-0000-0000-0000DB060000}"/>
    <cellStyle name="Moneda 13 2 8" xfId="657" xr:uid="{00000000-0005-0000-0000-0000DC060000}"/>
    <cellStyle name="Moneda 13 3" xfId="658" xr:uid="{00000000-0005-0000-0000-0000DD060000}"/>
    <cellStyle name="Moneda 13 3 2" xfId="659" xr:uid="{00000000-0005-0000-0000-0000DE060000}"/>
    <cellStyle name="Moneda 13 3 2 2" xfId="660" xr:uid="{00000000-0005-0000-0000-0000DF060000}"/>
    <cellStyle name="Moneda 13 3 2 2 2" xfId="661" xr:uid="{00000000-0005-0000-0000-0000E0060000}"/>
    <cellStyle name="Moneda 13 3 2 3" xfId="662" xr:uid="{00000000-0005-0000-0000-0000E1060000}"/>
    <cellStyle name="Moneda 13 3 2 3 2" xfId="663" xr:uid="{00000000-0005-0000-0000-0000E2060000}"/>
    <cellStyle name="Moneda 13 3 2 4" xfId="664" xr:uid="{00000000-0005-0000-0000-0000E3060000}"/>
    <cellStyle name="Moneda 13 3 2 4 2" xfId="665" xr:uid="{00000000-0005-0000-0000-0000E4060000}"/>
    <cellStyle name="Moneda 13 3 2 5" xfId="666" xr:uid="{00000000-0005-0000-0000-0000E5060000}"/>
    <cellStyle name="Moneda 13 3 3" xfId="667" xr:uid="{00000000-0005-0000-0000-0000E6060000}"/>
    <cellStyle name="Moneda 13 3 3 2" xfId="668" xr:uid="{00000000-0005-0000-0000-0000E7060000}"/>
    <cellStyle name="Moneda 13 3 4" xfId="669" xr:uid="{00000000-0005-0000-0000-0000E8060000}"/>
    <cellStyle name="Moneda 13 3 4 2" xfId="670" xr:uid="{00000000-0005-0000-0000-0000E9060000}"/>
    <cellStyle name="Moneda 13 3 5" xfId="671" xr:uid="{00000000-0005-0000-0000-0000EA060000}"/>
    <cellStyle name="Moneda 13 3 5 2" xfId="672" xr:uid="{00000000-0005-0000-0000-0000EB060000}"/>
    <cellStyle name="Moneda 13 3 6" xfId="673" xr:uid="{00000000-0005-0000-0000-0000EC060000}"/>
    <cellStyle name="Moneda 13 4" xfId="674" xr:uid="{00000000-0005-0000-0000-0000ED060000}"/>
    <cellStyle name="Moneda 13 4 2" xfId="675" xr:uid="{00000000-0005-0000-0000-0000EE060000}"/>
    <cellStyle name="Moneda 13 4 2 2" xfId="676" xr:uid="{00000000-0005-0000-0000-0000EF060000}"/>
    <cellStyle name="Moneda 13 4 3" xfId="677" xr:uid="{00000000-0005-0000-0000-0000F0060000}"/>
    <cellStyle name="Moneda 13 4 3 2" xfId="678" xr:uid="{00000000-0005-0000-0000-0000F1060000}"/>
    <cellStyle name="Moneda 13 4 4" xfId="679" xr:uid="{00000000-0005-0000-0000-0000F2060000}"/>
    <cellStyle name="Moneda 13 4 4 2" xfId="680" xr:uid="{00000000-0005-0000-0000-0000F3060000}"/>
    <cellStyle name="Moneda 13 4 5" xfId="681" xr:uid="{00000000-0005-0000-0000-0000F4060000}"/>
    <cellStyle name="Moneda 13 5" xfId="682" xr:uid="{00000000-0005-0000-0000-0000F5060000}"/>
    <cellStyle name="Moneda 13 5 2" xfId="683" xr:uid="{00000000-0005-0000-0000-0000F6060000}"/>
    <cellStyle name="Moneda 13 5 2 2" xfId="684" xr:uid="{00000000-0005-0000-0000-0000F7060000}"/>
    <cellStyle name="Moneda 13 5 3" xfId="685" xr:uid="{00000000-0005-0000-0000-0000F8060000}"/>
    <cellStyle name="Moneda 13 5 3 2" xfId="686" xr:uid="{00000000-0005-0000-0000-0000F9060000}"/>
    <cellStyle name="Moneda 13 5 4" xfId="687" xr:uid="{00000000-0005-0000-0000-0000FA060000}"/>
    <cellStyle name="Moneda 13 5 4 2" xfId="688" xr:uid="{00000000-0005-0000-0000-0000FB060000}"/>
    <cellStyle name="Moneda 13 5 5" xfId="689" xr:uid="{00000000-0005-0000-0000-0000FC060000}"/>
    <cellStyle name="Moneda 13 6" xfId="690" xr:uid="{00000000-0005-0000-0000-0000FD060000}"/>
    <cellStyle name="Moneda 13 6 2" xfId="691" xr:uid="{00000000-0005-0000-0000-0000FE060000}"/>
    <cellStyle name="Moneda 13 7" xfId="692" xr:uid="{00000000-0005-0000-0000-0000FF060000}"/>
    <cellStyle name="Moneda 13 7 2" xfId="693" xr:uid="{00000000-0005-0000-0000-000000070000}"/>
    <cellStyle name="Moneda 13 8" xfId="694" xr:uid="{00000000-0005-0000-0000-000001070000}"/>
    <cellStyle name="Moneda 13 8 2" xfId="695" xr:uid="{00000000-0005-0000-0000-000002070000}"/>
    <cellStyle name="Moneda 13 9" xfId="696" xr:uid="{00000000-0005-0000-0000-000003070000}"/>
    <cellStyle name="Moneda 14" xfId="697" xr:uid="{00000000-0005-0000-0000-000004070000}"/>
    <cellStyle name="Moneda 14 2" xfId="698" xr:uid="{00000000-0005-0000-0000-000005070000}"/>
    <cellStyle name="Moneda 14 2 2" xfId="699" xr:uid="{00000000-0005-0000-0000-000006070000}"/>
    <cellStyle name="Moneda 14 2 2 2" xfId="700" xr:uid="{00000000-0005-0000-0000-000007070000}"/>
    <cellStyle name="Moneda 14 2 2 2 2" xfId="701" xr:uid="{00000000-0005-0000-0000-000008070000}"/>
    <cellStyle name="Moneda 14 2 2 2 2 2" xfId="702" xr:uid="{00000000-0005-0000-0000-000009070000}"/>
    <cellStyle name="Moneda 14 2 2 2 3" xfId="703" xr:uid="{00000000-0005-0000-0000-00000A070000}"/>
    <cellStyle name="Moneda 14 2 2 2 3 2" xfId="704" xr:uid="{00000000-0005-0000-0000-00000B070000}"/>
    <cellStyle name="Moneda 14 2 2 2 4" xfId="705" xr:uid="{00000000-0005-0000-0000-00000C070000}"/>
    <cellStyle name="Moneda 14 2 2 2 4 2" xfId="706" xr:uid="{00000000-0005-0000-0000-00000D070000}"/>
    <cellStyle name="Moneda 14 2 2 2 5" xfId="707" xr:uid="{00000000-0005-0000-0000-00000E070000}"/>
    <cellStyle name="Moneda 14 2 2 3" xfId="708" xr:uid="{00000000-0005-0000-0000-00000F070000}"/>
    <cellStyle name="Moneda 14 2 2 3 2" xfId="709" xr:uid="{00000000-0005-0000-0000-000010070000}"/>
    <cellStyle name="Moneda 14 2 2 4" xfId="710" xr:uid="{00000000-0005-0000-0000-000011070000}"/>
    <cellStyle name="Moneda 14 2 2 4 2" xfId="711" xr:uid="{00000000-0005-0000-0000-000012070000}"/>
    <cellStyle name="Moneda 14 2 2 5" xfId="712" xr:uid="{00000000-0005-0000-0000-000013070000}"/>
    <cellStyle name="Moneda 14 2 2 5 2" xfId="713" xr:uid="{00000000-0005-0000-0000-000014070000}"/>
    <cellStyle name="Moneda 14 2 2 6" xfId="714" xr:uid="{00000000-0005-0000-0000-000015070000}"/>
    <cellStyle name="Moneda 14 2 3" xfId="715" xr:uid="{00000000-0005-0000-0000-000016070000}"/>
    <cellStyle name="Moneda 14 2 3 2" xfId="716" xr:uid="{00000000-0005-0000-0000-000017070000}"/>
    <cellStyle name="Moneda 14 2 3 2 2" xfId="717" xr:uid="{00000000-0005-0000-0000-000018070000}"/>
    <cellStyle name="Moneda 14 2 3 3" xfId="718" xr:uid="{00000000-0005-0000-0000-000019070000}"/>
    <cellStyle name="Moneda 14 2 3 3 2" xfId="719" xr:uid="{00000000-0005-0000-0000-00001A070000}"/>
    <cellStyle name="Moneda 14 2 3 4" xfId="720" xr:uid="{00000000-0005-0000-0000-00001B070000}"/>
    <cellStyle name="Moneda 14 2 3 4 2" xfId="721" xr:uid="{00000000-0005-0000-0000-00001C070000}"/>
    <cellStyle name="Moneda 14 2 3 5" xfId="722" xr:uid="{00000000-0005-0000-0000-00001D070000}"/>
    <cellStyle name="Moneda 14 2 4" xfId="723" xr:uid="{00000000-0005-0000-0000-00001E070000}"/>
    <cellStyle name="Moneda 14 2 4 2" xfId="724" xr:uid="{00000000-0005-0000-0000-00001F070000}"/>
    <cellStyle name="Moneda 14 2 5" xfId="725" xr:uid="{00000000-0005-0000-0000-000020070000}"/>
    <cellStyle name="Moneda 14 2 5 2" xfId="726" xr:uid="{00000000-0005-0000-0000-000021070000}"/>
    <cellStyle name="Moneda 14 2 6" xfId="727" xr:uid="{00000000-0005-0000-0000-000022070000}"/>
    <cellStyle name="Moneda 14 2 6 2" xfId="728" xr:uid="{00000000-0005-0000-0000-000023070000}"/>
    <cellStyle name="Moneda 14 2 7" xfId="729" xr:uid="{00000000-0005-0000-0000-000024070000}"/>
    <cellStyle name="Moneda 14 2 8" xfId="730" xr:uid="{00000000-0005-0000-0000-000025070000}"/>
    <cellStyle name="Moneda 14 3" xfId="731" xr:uid="{00000000-0005-0000-0000-000026070000}"/>
    <cellStyle name="Moneda 14 3 2" xfId="732" xr:uid="{00000000-0005-0000-0000-000027070000}"/>
    <cellStyle name="Moneda 14 3 2 2" xfId="733" xr:uid="{00000000-0005-0000-0000-000028070000}"/>
    <cellStyle name="Moneda 14 3 2 2 2" xfId="734" xr:uid="{00000000-0005-0000-0000-000029070000}"/>
    <cellStyle name="Moneda 14 3 2 3" xfId="735" xr:uid="{00000000-0005-0000-0000-00002A070000}"/>
    <cellStyle name="Moneda 14 3 2 3 2" xfId="736" xr:uid="{00000000-0005-0000-0000-00002B070000}"/>
    <cellStyle name="Moneda 14 3 2 4" xfId="737" xr:uid="{00000000-0005-0000-0000-00002C070000}"/>
    <cellStyle name="Moneda 14 3 2 4 2" xfId="738" xr:uid="{00000000-0005-0000-0000-00002D070000}"/>
    <cellStyle name="Moneda 14 3 2 5" xfId="739" xr:uid="{00000000-0005-0000-0000-00002E070000}"/>
    <cellStyle name="Moneda 14 3 3" xfId="740" xr:uid="{00000000-0005-0000-0000-00002F070000}"/>
    <cellStyle name="Moneda 14 3 3 2" xfId="741" xr:uid="{00000000-0005-0000-0000-000030070000}"/>
    <cellStyle name="Moneda 14 3 4" xfId="742" xr:uid="{00000000-0005-0000-0000-000031070000}"/>
    <cellStyle name="Moneda 14 3 4 2" xfId="743" xr:uid="{00000000-0005-0000-0000-000032070000}"/>
    <cellStyle name="Moneda 14 3 5" xfId="744" xr:uid="{00000000-0005-0000-0000-000033070000}"/>
    <cellStyle name="Moneda 14 3 5 2" xfId="745" xr:uid="{00000000-0005-0000-0000-000034070000}"/>
    <cellStyle name="Moneda 14 3 6" xfId="746" xr:uid="{00000000-0005-0000-0000-000035070000}"/>
    <cellStyle name="Moneda 14 4" xfId="747" xr:uid="{00000000-0005-0000-0000-000036070000}"/>
    <cellStyle name="Moneda 14 4 2" xfId="748" xr:uid="{00000000-0005-0000-0000-000037070000}"/>
    <cellStyle name="Moneda 14 4 2 2" xfId="749" xr:uid="{00000000-0005-0000-0000-000038070000}"/>
    <cellStyle name="Moneda 14 4 3" xfId="750" xr:uid="{00000000-0005-0000-0000-000039070000}"/>
    <cellStyle name="Moneda 14 4 3 2" xfId="751" xr:uid="{00000000-0005-0000-0000-00003A070000}"/>
    <cellStyle name="Moneda 14 4 4" xfId="752" xr:uid="{00000000-0005-0000-0000-00003B070000}"/>
    <cellStyle name="Moneda 14 4 4 2" xfId="753" xr:uid="{00000000-0005-0000-0000-00003C070000}"/>
    <cellStyle name="Moneda 14 4 5" xfId="754" xr:uid="{00000000-0005-0000-0000-00003D070000}"/>
    <cellStyle name="Moneda 14 5" xfId="755" xr:uid="{00000000-0005-0000-0000-00003E070000}"/>
    <cellStyle name="Moneda 14 5 2" xfId="756" xr:uid="{00000000-0005-0000-0000-00003F070000}"/>
    <cellStyle name="Moneda 14 6" xfId="757" xr:uid="{00000000-0005-0000-0000-000040070000}"/>
    <cellStyle name="Moneda 14 6 2" xfId="758" xr:uid="{00000000-0005-0000-0000-000041070000}"/>
    <cellStyle name="Moneda 14 7" xfId="759" xr:uid="{00000000-0005-0000-0000-000042070000}"/>
    <cellStyle name="Moneda 14 7 2" xfId="760" xr:uid="{00000000-0005-0000-0000-000043070000}"/>
    <cellStyle name="Moneda 14 8" xfId="761" xr:uid="{00000000-0005-0000-0000-000044070000}"/>
    <cellStyle name="Moneda 14 9" xfId="762" xr:uid="{00000000-0005-0000-0000-000045070000}"/>
    <cellStyle name="Moneda 15" xfId="763" xr:uid="{00000000-0005-0000-0000-000046070000}"/>
    <cellStyle name="Moneda 15 2" xfId="764" xr:uid="{00000000-0005-0000-0000-000047070000}"/>
    <cellStyle name="Moneda 15 2 2" xfId="765" xr:uid="{00000000-0005-0000-0000-000048070000}"/>
    <cellStyle name="Moneda 15 2 2 2" xfId="766" xr:uid="{00000000-0005-0000-0000-000049070000}"/>
    <cellStyle name="Moneda 15 2 2 2 2" xfId="767" xr:uid="{00000000-0005-0000-0000-00004A070000}"/>
    <cellStyle name="Moneda 15 2 2 2 2 2" xfId="768" xr:uid="{00000000-0005-0000-0000-00004B070000}"/>
    <cellStyle name="Moneda 15 2 2 2 3" xfId="769" xr:uid="{00000000-0005-0000-0000-00004C070000}"/>
    <cellStyle name="Moneda 15 2 2 2 3 2" xfId="770" xr:uid="{00000000-0005-0000-0000-00004D070000}"/>
    <cellStyle name="Moneda 15 2 2 2 4" xfId="771" xr:uid="{00000000-0005-0000-0000-00004E070000}"/>
    <cellStyle name="Moneda 15 2 2 2 4 2" xfId="772" xr:uid="{00000000-0005-0000-0000-00004F070000}"/>
    <cellStyle name="Moneda 15 2 2 2 5" xfId="773" xr:uid="{00000000-0005-0000-0000-000050070000}"/>
    <cellStyle name="Moneda 15 2 2 3" xfId="774" xr:uid="{00000000-0005-0000-0000-000051070000}"/>
    <cellStyle name="Moneda 15 2 2 3 2" xfId="775" xr:uid="{00000000-0005-0000-0000-000052070000}"/>
    <cellStyle name="Moneda 15 2 2 4" xfId="776" xr:uid="{00000000-0005-0000-0000-000053070000}"/>
    <cellStyle name="Moneda 15 2 2 4 2" xfId="777" xr:uid="{00000000-0005-0000-0000-000054070000}"/>
    <cellStyle name="Moneda 15 2 2 5" xfId="778" xr:uid="{00000000-0005-0000-0000-000055070000}"/>
    <cellStyle name="Moneda 15 2 2 5 2" xfId="779" xr:uid="{00000000-0005-0000-0000-000056070000}"/>
    <cellStyle name="Moneda 15 2 2 6" xfId="780" xr:uid="{00000000-0005-0000-0000-000057070000}"/>
    <cellStyle name="Moneda 15 2 3" xfId="781" xr:uid="{00000000-0005-0000-0000-000058070000}"/>
    <cellStyle name="Moneda 15 2 3 2" xfId="782" xr:uid="{00000000-0005-0000-0000-000059070000}"/>
    <cellStyle name="Moneda 15 2 3 2 2" xfId="783" xr:uid="{00000000-0005-0000-0000-00005A070000}"/>
    <cellStyle name="Moneda 15 2 3 3" xfId="784" xr:uid="{00000000-0005-0000-0000-00005B070000}"/>
    <cellStyle name="Moneda 15 2 3 3 2" xfId="785" xr:uid="{00000000-0005-0000-0000-00005C070000}"/>
    <cellStyle name="Moneda 15 2 3 4" xfId="786" xr:uid="{00000000-0005-0000-0000-00005D070000}"/>
    <cellStyle name="Moneda 15 2 3 4 2" xfId="787" xr:uid="{00000000-0005-0000-0000-00005E070000}"/>
    <cellStyle name="Moneda 15 2 3 5" xfId="788" xr:uid="{00000000-0005-0000-0000-00005F070000}"/>
    <cellStyle name="Moneda 15 2 4" xfId="789" xr:uid="{00000000-0005-0000-0000-000060070000}"/>
    <cellStyle name="Moneda 15 2 4 2" xfId="790" xr:uid="{00000000-0005-0000-0000-000061070000}"/>
    <cellStyle name="Moneda 15 2 5" xfId="791" xr:uid="{00000000-0005-0000-0000-000062070000}"/>
    <cellStyle name="Moneda 15 2 5 2" xfId="792" xr:uid="{00000000-0005-0000-0000-000063070000}"/>
    <cellStyle name="Moneda 15 2 6" xfId="793" xr:uid="{00000000-0005-0000-0000-000064070000}"/>
    <cellStyle name="Moneda 15 2 6 2" xfId="794" xr:uid="{00000000-0005-0000-0000-000065070000}"/>
    <cellStyle name="Moneda 15 2 7" xfId="795" xr:uid="{00000000-0005-0000-0000-000066070000}"/>
    <cellStyle name="Moneda 15 2 8" xfId="796" xr:uid="{00000000-0005-0000-0000-000067070000}"/>
    <cellStyle name="Moneda 15 3" xfId="797" xr:uid="{00000000-0005-0000-0000-000068070000}"/>
    <cellStyle name="Moneda 15 3 2" xfId="798" xr:uid="{00000000-0005-0000-0000-000069070000}"/>
    <cellStyle name="Moneda 15 3 2 2" xfId="799" xr:uid="{00000000-0005-0000-0000-00006A070000}"/>
    <cellStyle name="Moneda 15 3 2 2 2" xfId="800" xr:uid="{00000000-0005-0000-0000-00006B070000}"/>
    <cellStyle name="Moneda 15 3 2 3" xfId="801" xr:uid="{00000000-0005-0000-0000-00006C070000}"/>
    <cellStyle name="Moneda 15 3 2 3 2" xfId="802" xr:uid="{00000000-0005-0000-0000-00006D070000}"/>
    <cellStyle name="Moneda 15 3 2 4" xfId="803" xr:uid="{00000000-0005-0000-0000-00006E070000}"/>
    <cellStyle name="Moneda 15 3 2 4 2" xfId="804" xr:uid="{00000000-0005-0000-0000-00006F070000}"/>
    <cellStyle name="Moneda 15 3 2 5" xfId="805" xr:uid="{00000000-0005-0000-0000-000070070000}"/>
    <cellStyle name="Moneda 15 3 3" xfId="806" xr:uid="{00000000-0005-0000-0000-000071070000}"/>
    <cellStyle name="Moneda 15 3 3 2" xfId="807" xr:uid="{00000000-0005-0000-0000-000072070000}"/>
    <cellStyle name="Moneda 15 3 4" xfId="808" xr:uid="{00000000-0005-0000-0000-000073070000}"/>
    <cellStyle name="Moneda 15 3 4 2" xfId="809" xr:uid="{00000000-0005-0000-0000-000074070000}"/>
    <cellStyle name="Moneda 15 3 5" xfId="810" xr:uid="{00000000-0005-0000-0000-000075070000}"/>
    <cellStyle name="Moneda 15 3 5 2" xfId="811" xr:uid="{00000000-0005-0000-0000-000076070000}"/>
    <cellStyle name="Moneda 15 3 6" xfId="812" xr:uid="{00000000-0005-0000-0000-000077070000}"/>
    <cellStyle name="Moneda 15 4" xfId="813" xr:uid="{00000000-0005-0000-0000-000078070000}"/>
    <cellStyle name="Moneda 15 4 2" xfId="814" xr:uid="{00000000-0005-0000-0000-000079070000}"/>
    <cellStyle name="Moneda 15 4 2 2" xfId="815" xr:uid="{00000000-0005-0000-0000-00007A070000}"/>
    <cellStyle name="Moneda 15 4 3" xfId="816" xr:uid="{00000000-0005-0000-0000-00007B070000}"/>
    <cellStyle name="Moneda 15 4 3 2" xfId="817" xr:uid="{00000000-0005-0000-0000-00007C070000}"/>
    <cellStyle name="Moneda 15 4 4" xfId="818" xr:uid="{00000000-0005-0000-0000-00007D070000}"/>
    <cellStyle name="Moneda 15 4 4 2" xfId="819" xr:uid="{00000000-0005-0000-0000-00007E070000}"/>
    <cellStyle name="Moneda 15 4 5" xfId="820" xr:uid="{00000000-0005-0000-0000-00007F070000}"/>
    <cellStyle name="Moneda 15 5" xfId="821" xr:uid="{00000000-0005-0000-0000-000080070000}"/>
    <cellStyle name="Moneda 15 5 2" xfId="822" xr:uid="{00000000-0005-0000-0000-000081070000}"/>
    <cellStyle name="Moneda 15 6" xfId="823" xr:uid="{00000000-0005-0000-0000-000082070000}"/>
    <cellStyle name="Moneda 15 6 2" xfId="824" xr:uid="{00000000-0005-0000-0000-000083070000}"/>
    <cellStyle name="Moneda 15 7" xfId="825" xr:uid="{00000000-0005-0000-0000-000084070000}"/>
    <cellStyle name="Moneda 15 7 2" xfId="826" xr:uid="{00000000-0005-0000-0000-000085070000}"/>
    <cellStyle name="Moneda 15 8" xfId="827" xr:uid="{00000000-0005-0000-0000-000086070000}"/>
    <cellStyle name="Moneda 15 9" xfId="828" xr:uid="{00000000-0005-0000-0000-000087070000}"/>
    <cellStyle name="Moneda 16" xfId="829" xr:uid="{00000000-0005-0000-0000-000088070000}"/>
    <cellStyle name="Moneda 16 2" xfId="830" xr:uid="{00000000-0005-0000-0000-000089070000}"/>
    <cellStyle name="Moneda 16 2 2" xfId="831" xr:uid="{00000000-0005-0000-0000-00008A070000}"/>
    <cellStyle name="Moneda 16 2 2 2" xfId="832" xr:uid="{00000000-0005-0000-0000-00008B070000}"/>
    <cellStyle name="Moneda 16 2 2 2 2" xfId="833" xr:uid="{00000000-0005-0000-0000-00008C070000}"/>
    <cellStyle name="Moneda 16 2 2 3" xfId="834" xr:uid="{00000000-0005-0000-0000-00008D070000}"/>
    <cellStyle name="Moneda 16 2 2 3 2" xfId="835" xr:uid="{00000000-0005-0000-0000-00008E070000}"/>
    <cellStyle name="Moneda 16 2 2 4" xfId="836" xr:uid="{00000000-0005-0000-0000-00008F070000}"/>
    <cellStyle name="Moneda 16 2 2 4 2" xfId="837" xr:uid="{00000000-0005-0000-0000-000090070000}"/>
    <cellStyle name="Moneda 16 2 2 5" xfId="838" xr:uid="{00000000-0005-0000-0000-000091070000}"/>
    <cellStyle name="Moneda 16 2 3" xfId="839" xr:uid="{00000000-0005-0000-0000-000092070000}"/>
    <cellStyle name="Moneda 16 2 3 2" xfId="840" xr:uid="{00000000-0005-0000-0000-000093070000}"/>
    <cellStyle name="Moneda 16 2 4" xfId="841" xr:uid="{00000000-0005-0000-0000-000094070000}"/>
    <cellStyle name="Moneda 16 2 4 2" xfId="842" xr:uid="{00000000-0005-0000-0000-000095070000}"/>
    <cellStyle name="Moneda 16 2 5" xfId="843" xr:uid="{00000000-0005-0000-0000-000096070000}"/>
    <cellStyle name="Moneda 16 2 5 2" xfId="844" xr:uid="{00000000-0005-0000-0000-000097070000}"/>
    <cellStyle name="Moneda 16 2 6" xfId="845" xr:uid="{00000000-0005-0000-0000-000098070000}"/>
    <cellStyle name="Moneda 16 2 7" xfId="846" xr:uid="{00000000-0005-0000-0000-000099070000}"/>
    <cellStyle name="Moneda 16 3" xfId="847" xr:uid="{00000000-0005-0000-0000-00009A070000}"/>
    <cellStyle name="Moneda 16 3 2" xfId="848" xr:uid="{00000000-0005-0000-0000-00009B070000}"/>
    <cellStyle name="Moneda 16 3 2 2" xfId="849" xr:uid="{00000000-0005-0000-0000-00009C070000}"/>
    <cellStyle name="Moneda 16 3 3" xfId="850" xr:uid="{00000000-0005-0000-0000-00009D070000}"/>
    <cellStyle name="Moneda 16 3 3 2" xfId="851" xr:uid="{00000000-0005-0000-0000-00009E070000}"/>
    <cellStyle name="Moneda 16 3 4" xfId="852" xr:uid="{00000000-0005-0000-0000-00009F070000}"/>
    <cellStyle name="Moneda 16 3 4 2" xfId="853" xr:uid="{00000000-0005-0000-0000-0000A0070000}"/>
    <cellStyle name="Moneda 16 3 5" xfId="854" xr:uid="{00000000-0005-0000-0000-0000A1070000}"/>
    <cellStyle name="Moneda 16 4" xfId="855" xr:uid="{00000000-0005-0000-0000-0000A2070000}"/>
    <cellStyle name="Moneda 16 4 2" xfId="856" xr:uid="{00000000-0005-0000-0000-0000A3070000}"/>
    <cellStyle name="Moneda 16 5" xfId="857" xr:uid="{00000000-0005-0000-0000-0000A4070000}"/>
    <cellStyle name="Moneda 16 5 2" xfId="858" xr:uid="{00000000-0005-0000-0000-0000A5070000}"/>
    <cellStyle name="Moneda 16 6" xfId="859" xr:uid="{00000000-0005-0000-0000-0000A6070000}"/>
    <cellStyle name="Moneda 16 6 2" xfId="860" xr:uid="{00000000-0005-0000-0000-0000A7070000}"/>
    <cellStyle name="Moneda 16 7" xfId="861" xr:uid="{00000000-0005-0000-0000-0000A8070000}"/>
    <cellStyle name="Moneda 16 8" xfId="862" xr:uid="{00000000-0005-0000-0000-0000A9070000}"/>
    <cellStyle name="Moneda 17" xfId="863" xr:uid="{00000000-0005-0000-0000-0000AA070000}"/>
    <cellStyle name="Moneda 17 2" xfId="864" xr:uid="{00000000-0005-0000-0000-0000AB070000}"/>
    <cellStyle name="Moneda 17 2 2" xfId="865" xr:uid="{00000000-0005-0000-0000-0000AC070000}"/>
    <cellStyle name="Moneda 17 2 2 2" xfId="866" xr:uid="{00000000-0005-0000-0000-0000AD070000}"/>
    <cellStyle name="Moneda 17 2 2 2 2" xfId="867" xr:uid="{00000000-0005-0000-0000-0000AE070000}"/>
    <cellStyle name="Moneda 17 2 2 3" xfId="868" xr:uid="{00000000-0005-0000-0000-0000AF070000}"/>
    <cellStyle name="Moneda 17 2 2 3 2" xfId="869" xr:uid="{00000000-0005-0000-0000-0000B0070000}"/>
    <cellStyle name="Moneda 17 2 2 4" xfId="870" xr:uid="{00000000-0005-0000-0000-0000B1070000}"/>
    <cellStyle name="Moneda 17 2 2 4 2" xfId="871" xr:uid="{00000000-0005-0000-0000-0000B2070000}"/>
    <cellStyle name="Moneda 17 2 2 5" xfId="872" xr:uid="{00000000-0005-0000-0000-0000B3070000}"/>
    <cellStyle name="Moneda 17 2 3" xfId="873" xr:uid="{00000000-0005-0000-0000-0000B4070000}"/>
    <cellStyle name="Moneda 17 2 3 2" xfId="874" xr:uid="{00000000-0005-0000-0000-0000B5070000}"/>
    <cellStyle name="Moneda 17 2 4" xfId="875" xr:uid="{00000000-0005-0000-0000-0000B6070000}"/>
    <cellStyle name="Moneda 17 2 4 2" xfId="876" xr:uid="{00000000-0005-0000-0000-0000B7070000}"/>
    <cellStyle name="Moneda 17 2 5" xfId="877" xr:uid="{00000000-0005-0000-0000-0000B8070000}"/>
    <cellStyle name="Moneda 17 2 5 2" xfId="878" xr:uid="{00000000-0005-0000-0000-0000B9070000}"/>
    <cellStyle name="Moneda 17 2 6" xfId="879" xr:uid="{00000000-0005-0000-0000-0000BA070000}"/>
    <cellStyle name="Moneda 17 2 7" xfId="880" xr:uid="{00000000-0005-0000-0000-0000BB070000}"/>
    <cellStyle name="Moneda 17 3" xfId="881" xr:uid="{00000000-0005-0000-0000-0000BC070000}"/>
    <cellStyle name="Moneda 17 3 2" xfId="882" xr:uid="{00000000-0005-0000-0000-0000BD070000}"/>
    <cellStyle name="Moneda 17 3 2 2" xfId="883" xr:uid="{00000000-0005-0000-0000-0000BE070000}"/>
    <cellStyle name="Moneda 17 3 3" xfId="884" xr:uid="{00000000-0005-0000-0000-0000BF070000}"/>
    <cellStyle name="Moneda 17 3 3 2" xfId="885" xr:uid="{00000000-0005-0000-0000-0000C0070000}"/>
    <cellStyle name="Moneda 17 3 4" xfId="886" xr:uid="{00000000-0005-0000-0000-0000C1070000}"/>
    <cellStyle name="Moneda 17 3 4 2" xfId="887" xr:uid="{00000000-0005-0000-0000-0000C2070000}"/>
    <cellStyle name="Moneda 17 3 5" xfId="888" xr:uid="{00000000-0005-0000-0000-0000C3070000}"/>
    <cellStyle name="Moneda 17 4" xfId="889" xr:uid="{00000000-0005-0000-0000-0000C4070000}"/>
    <cellStyle name="Moneda 17 4 2" xfId="890" xr:uid="{00000000-0005-0000-0000-0000C5070000}"/>
    <cellStyle name="Moneda 17 5" xfId="891" xr:uid="{00000000-0005-0000-0000-0000C6070000}"/>
    <cellStyle name="Moneda 17 5 2" xfId="892" xr:uid="{00000000-0005-0000-0000-0000C7070000}"/>
    <cellStyle name="Moneda 17 6" xfId="893" xr:uid="{00000000-0005-0000-0000-0000C8070000}"/>
    <cellStyle name="Moneda 17 6 2" xfId="894" xr:uid="{00000000-0005-0000-0000-0000C9070000}"/>
    <cellStyle name="Moneda 17 7" xfId="895" xr:uid="{00000000-0005-0000-0000-0000CA070000}"/>
    <cellStyle name="Moneda 17 8" xfId="896" xr:uid="{00000000-0005-0000-0000-0000CB070000}"/>
    <cellStyle name="Moneda 18" xfId="897" xr:uid="{00000000-0005-0000-0000-0000CC070000}"/>
    <cellStyle name="Moneda 18 2" xfId="898" xr:uid="{00000000-0005-0000-0000-0000CD070000}"/>
    <cellStyle name="Moneda 18 2 2" xfId="899" xr:uid="{00000000-0005-0000-0000-0000CE070000}"/>
    <cellStyle name="Moneda 18 2 2 2" xfId="900" xr:uid="{00000000-0005-0000-0000-0000CF070000}"/>
    <cellStyle name="Moneda 18 2 2 2 2" xfId="901" xr:uid="{00000000-0005-0000-0000-0000D0070000}"/>
    <cellStyle name="Moneda 18 2 2 3" xfId="902" xr:uid="{00000000-0005-0000-0000-0000D1070000}"/>
    <cellStyle name="Moneda 18 2 2 3 2" xfId="903" xr:uid="{00000000-0005-0000-0000-0000D2070000}"/>
    <cellStyle name="Moneda 18 2 2 4" xfId="904" xr:uid="{00000000-0005-0000-0000-0000D3070000}"/>
    <cellStyle name="Moneda 18 2 2 4 2" xfId="905" xr:uid="{00000000-0005-0000-0000-0000D4070000}"/>
    <cellStyle name="Moneda 18 2 2 5" xfId="906" xr:uid="{00000000-0005-0000-0000-0000D5070000}"/>
    <cellStyle name="Moneda 18 2 3" xfId="907" xr:uid="{00000000-0005-0000-0000-0000D6070000}"/>
    <cellStyle name="Moneda 18 2 3 2" xfId="908" xr:uid="{00000000-0005-0000-0000-0000D7070000}"/>
    <cellStyle name="Moneda 18 2 4" xfId="909" xr:uid="{00000000-0005-0000-0000-0000D8070000}"/>
    <cellStyle name="Moneda 18 2 4 2" xfId="910" xr:uid="{00000000-0005-0000-0000-0000D9070000}"/>
    <cellStyle name="Moneda 18 2 5" xfId="911" xr:uid="{00000000-0005-0000-0000-0000DA070000}"/>
    <cellStyle name="Moneda 18 2 5 2" xfId="912" xr:uid="{00000000-0005-0000-0000-0000DB070000}"/>
    <cellStyle name="Moneda 18 2 6" xfId="913" xr:uid="{00000000-0005-0000-0000-0000DC070000}"/>
    <cellStyle name="Moneda 18 2 7" xfId="914" xr:uid="{00000000-0005-0000-0000-0000DD070000}"/>
    <cellStyle name="Moneda 18 3" xfId="915" xr:uid="{00000000-0005-0000-0000-0000DE070000}"/>
    <cellStyle name="Moneda 18 3 2" xfId="916" xr:uid="{00000000-0005-0000-0000-0000DF070000}"/>
    <cellStyle name="Moneda 18 3 2 2" xfId="917" xr:uid="{00000000-0005-0000-0000-0000E0070000}"/>
    <cellStyle name="Moneda 18 3 3" xfId="918" xr:uid="{00000000-0005-0000-0000-0000E1070000}"/>
    <cellStyle name="Moneda 18 3 3 2" xfId="919" xr:uid="{00000000-0005-0000-0000-0000E2070000}"/>
    <cellStyle name="Moneda 18 3 4" xfId="920" xr:uid="{00000000-0005-0000-0000-0000E3070000}"/>
    <cellStyle name="Moneda 18 3 4 2" xfId="921" xr:uid="{00000000-0005-0000-0000-0000E4070000}"/>
    <cellStyle name="Moneda 18 3 5" xfId="922" xr:uid="{00000000-0005-0000-0000-0000E5070000}"/>
    <cellStyle name="Moneda 18 4" xfId="923" xr:uid="{00000000-0005-0000-0000-0000E6070000}"/>
    <cellStyle name="Moneda 18 4 2" xfId="924" xr:uid="{00000000-0005-0000-0000-0000E7070000}"/>
    <cellStyle name="Moneda 18 5" xfId="925" xr:uid="{00000000-0005-0000-0000-0000E8070000}"/>
    <cellStyle name="Moneda 18 5 2" xfId="926" xr:uid="{00000000-0005-0000-0000-0000E9070000}"/>
    <cellStyle name="Moneda 18 6" xfId="927" xr:uid="{00000000-0005-0000-0000-0000EA070000}"/>
    <cellStyle name="Moneda 18 6 2" xfId="928" xr:uid="{00000000-0005-0000-0000-0000EB070000}"/>
    <cellStyle name="Moneda 18 7" xfId="929" xr:uid="{00000000-0005-0000-0000-0000EC070000}"/>
    <cellStyle name="Moneda 18 8" xfId="930" xr:uid="{00000000-0005-0000-0000-0000ED070000}"/>
    <cellStyle name="Moneda 19" xfId="931" xr:uid="{00000000-0005-0000-0000-0000EE070000}"/>
    <cellStyle name="Moneda 19 2" xfId="932" xr:uid="{00000000-0005-0000-0000-0000EF070000}"/>
    <cellStyle name="Moneda 19 2 2" xfId="933" xr:uid="{00000000-0005-0000-0000-0000F0070000}"/>
    <cellStyle name="Moneda 19 2 2 2" xfId="934" xr:uid="{00000000-0005-0000-0000-0000F1070000}"/>
    <cellStyle name="Moneda 19 2 2 2 2" xfId="935" xr:uid="{00000000-0005-0000-0000-0000F2070000}"/>
    <cellStyle name="Moneda 19 2 2 3" xfId="936" xr:uid="{00000000-0005-0000-0000-0000F3070000}"/>
    <cellStyle name="Moneda 19 2 2 3 2" xfId="937" xr:uid="{00000000-0005-0000-0000-0000F4070000}"/>
    <cellStyle name="Moneda 19 2 2 4" xfId="938" xr:uid="{00000000-0005-0000-0000-0000F5070000}"/>
    <cellStyle name="Moneda 19 2 2 4 2" xfId="939" xr:uid="{00000000-0005-0000-0000-0000F6070000}"/>
    <cellStyle name="Moneda 19 2 2 5" xfId="940" xr:uid="{00000000-0005-0000-0000-0000F7070000}"/>
    <cellStyle name="Moneda 19 2 3" xfId="941" xr:uid="{00000000-0005-0000-0000-0000F8070000}"/>
    <cellStyle name="Moneda 19 2 3 2" xfId="942" xr:uid="{00000000-0005-0000-0000-0000F9070000}"/>
    <cellStyle name="Moneda 19 2 4" xfId="943" xr:uid="{00000000-0005-0000-0000-0000FA070000}"/>
    <cellStyle name="Moneda 19 2 4 2" xfId="944" xr:uid="{00000000-0005-0000-0000-0000FB070000}"/>
    <cellStyle name="Moneda 19 2 5" xfId="945" xr:uid="{00000000-0005-0000-0000-0000FC070000}"/>
    <cellStyle name="Moneda 19 2 5 2" xfId="946" xr:uid="{00000000-0005-0000-0000-0000FD070000}"/>
    <cellStyle name="Moneda 19 2 6" xfId="947" xr:uid="{00000000-0005-0000-0000-0000FE070000}"/>
    <cellStyle name="Moneda 19 2 7" xfId="948" xr:uid="{00000000-0005-0000-0000-0000FF070000}"/>
    <cellStyle name="Moneda 19 3" xfId="949" xr:uid="{00000000-0005-0000-0000-000000080000}"/>
    <cellStyle name="Moneda 19 3 2" xfId="950" xr:uid="{00000000-0005-0000-0000-000001080000}"/>
    <cellStyle name="Moneda 19 3 2 2" xfId="951" xr:uid="{00000000-0005-0000-0000-000002080000}"/>
    <cellStyle name="Moneda 19 3 3" xfId="952" xr:uid="{00000000-0005-0000-0000-000003080000}"/>
    <cellStyle name="Moneda 19 3 3 2" xfId="953" xr:uid="{00000000-0005-0000-0000-000004080000}"/>
    <cellStyle name="Moneda 19 3 4" xfId="954" xr:uid="{00000000-0005-0000-0000-000005080000}"/>
    <cellStyle name="Moneda 19 3 4 2" xfId="955" xr:uid="{00000000-0005-0000-0000-000006080000}"/>
    <cellStyle name="Moneda 19 3 5" xfId="956" xr:uid="{00000000-0005-0000-0000-000007080000}"/>
    <cellStyle name="Moneda 19 4" xfId="957" xr:uid="{00000000-0005-0000-0000-000008080000}"/>
    <cellStyle name="Moneda 19 4 2" xfId="958" xr:uid="{00000000-0005-0000-0000-000009080000}"/>
    <cellStyle name="Moneda 19 5" xfId="959" xr:uid="{00000000-0005-0000-0000-00000A080000}"/>
    <cellStyle name="Moneda 19 5 2" xfId="960" xr:uid="{00000000-0005-0000-0000-00000B080000}"/>
    <cellStyle name="Moneda 19 6" xfId="961" xr:uid="{00000000-0005-0000-0000-00000C080000}"/>
    <cellStyle name="Moneda 19 6 2" xfId="962" xr:uid="{00000000-0005-0000-0000-00000D080000}"/>
    <cellStyle name="Moneda 19 7" xfId="963" xr:uid="{00000000-0005-0000-0000-00000E080000}"/>
    <cellStyle name="Moneda 19 8" xfId="964" xr:uid="{00000000-0005-0000-0000-00000F080000}"/>
    <cellStyle name="Moneda 2" xfId="10" xr:uid="{00000000-0005-0000-0000-000010080000}"/>
    <cellStyle name="Moneda 2 2" xfId="11" xr:uid="{00000000-0005-0000-0000-000011080000}"/>
    <cellStyle name="Moneda 2 2 2" xfId="12" xr:uid="{00000000-0005-0000-0000-000012080000}"/>
    <cellStyle name="Moneda 2 2 3" xfId="965" xr:uid="{00000000-0005-0000-0000-000013080000}"/>
    <cellStyle name="Moneda 2 2 3 2" xfId="966" xr:uid="{00000000-0005-0000-0000-000014080000}"/>
    <cellStyle name="Moneda 2 3" xfId="13" xr:uid="{00000000-0005-0000-0000-000015080000}"/>
    <cellStyle name="Moneda 2 3 10" xfId="967" xr:uid="{00000000-0005-0000-0000-000016080000}"/>
    <cellStyle name="Moneda 2 3 10 2" xfId="968" xr:uid="{00000000-0005-0000-0000-000017080000}"/>
    <cellStyle name="Moneda 2 3 10 2 2" xfId="969" xr:uid="{00000000-0005-0000-0000-000018080000}"/>
    <cellStyle name="Moneda 2 3 10 3" xfId="970" xr:uid="{00000000-0005-0000-0000-000019080000}"/>
    <cellStyle name="Moneda 2 3 11" xfId="971" xr:uid="{00000000-0005-0000-0000-00001A080000}"/>
    <cellStyle name="Moneda 2 3 11 2" xfId="972" xr:uid="{00000000-0005-0000-0000-00001B080000}"/>
    <cellStyle name="Moneda 2 3 11 3" xfId="973" xr:uid="{00000000-0005-0000-0000-00001C080000}"/>
    <cellStyle name="Moneda 2 3 12" xfId="974" xr:uid="{00000000-0005-0000-0000-00001D080000}"/>
    <cellStyle name="Moneda 2 3 2" xfId="975" xr:uid="{00000000-0005-0000-0000-00001E080000}"/>
    <cellStyle name="Moneda 2 3 2 10" xfId="976" xr:uid="{00000000-0005-0000-0000-00001F080000}"/>
    <cellStyle name="Moneda 2 3 2 11" xfId="977" xr:uid="{00000000-0005-0000-0000-000020080000}"/>
    <cellStyle name="Moneda 2 3 2 2" xfId="978" xr:uid="{00000000-0005-0000-0000-000021080000}"/>
    <cellStyle name="Moneda 2 3 2 2 2" xfId="979" xr:uid="{00000000-0005-0000-0000-000022080000}"/>
    <cellStyle name="Moneda 2 3 2 2 2 2" xfId="980" xr:uid="{00000000-0005-0000-0000-000023080000}"/>
    <cellStyle name="Moneda 2 3 2 2 2 2 2" xfId="981" xr:uid="{00000000-0005-0000-0000-000024080000}"/>
    <cellStyle name="Moneda 2 3 2 2 2 2 2 2" xfId="982" xr:uid="{00000000-0005-0000-0000-000025080000}"/>
    <cellStyle name="Moneda 2 3 2 2 2 2 2 2 2" xfId="983" xr:uid="{00000000-0005-0000-0000-000026080000}"/>
    <cellStyle name="Moneda 2 3 2 2 2 2 2 3" xfId="984" xr:uid="{00000000-0005-0000-0000-000027080000}"/>
    <cellStyle name="Moneda 2 3 2 2 2 2 3" xfId="985" xr:uid="{00000000-0005-0000-0000-000028080000}"/>
    <cellStyle name="Moneda 2 3 2 2 2 2 3 2" xfId="986" xr:uid="{00000000-0005-0000-0000-000029080000}"/>
    <cellStyle name="Moneda 2 3 2 2 2 2 3 3" xfId="987" xr:uid="{00000000-0005-0000-0000-00002A080000}"/>
    <cellStyle name="Moneda 2 3 2 2 2 2 4" xfId="988" xr:uid="{00000000-0005-0000-0000-00002B080000}"/>
    <cellStyle name="Moneda 2 3 2 2 2 2 4 2" xfId="989" xr:uid="{00000000-0005-0000-0000-00002C080000}"/>
    <cellStyle name="Moneda 2 3 2 2 2 2 5" xfId="990" xr:uid="{00000000-0005-0000-0000-00002D080000}"/>
    <cellStyle name="Moneda 2 3 2 2 2 2 6" xfId="991" xr:uid="{00000000-0005-0000-0000-00002E080000}"/>
    <cellStyle name="Moneda 2 3 2 2 2 3" xfId="992" xr:uid="{00000000-0005-0000-0000-00002F080000}"/>
    <cellStyle name="Moneda 2 3 2 2 2 3 2" xfId="993" xr:uid="{00000000-0005-0000-0000-000030080000}"/>
    <cellStyle name="Moneda 2 3 2 2 2 3 2 2" xfId="994" xr:uid="{00000000-0005-0000-0000-000031080000}"/>
    <cellStyle name="Moneda 2 3 2 2 2 3 3" xfId="995" xr:uid="{00000000-0005-0000-0000-000032080000}"/>
    <cellStyle name="Moneda 2 3 2 2 2 4" xfId="996" xr:uid="{00000000-0005-0000-0000-000033080000}"/>
    <cellStyle name="Moneda 2 3 2 2 2 4 2" xfId="997" xr:uid="{00000000-0005-0000-0000-000034080000}"/>
    <cellStyle name="Moneda 2 3 2 2 2 4 3" xfId="998" xr:uid="{00000000-0005-0000-0000-000035080000}"/>
    <cellStyle name="Moneda 2 3 2 2 2 5" xfId="999" xr:uid="{00000000-0005-0000-0000-000036080000}"/>
    <cellStyle name="Moneda 2 3 2 2 2 5 2" xfId="1000" xr:uid="{00000000-0005-0000-0000-000037080000}"/>
    <cellStyle name="Moneda 2 3 2 2 2 6" xfId="1001" xr:uid="{00000000-0005-0000-0000-000038080000}"/>
    <cellStyle name="Moneda 2 3 2 2 2 7" xfId="1002" xr:uid="{00000000-0005-0000-0000-000039080000}"/>
    <cellStyle name="Moneda 2 3 2 2 3" xfId="1003" xr:uid="{00000000-0005-0000-0000-00003A080000}"/>
    <cellStyle name="Moneda 2 3 2 2 3 2" xfId="1004" xr:uid="{00000000-0005-0000-0000-00003B080000}"/>
    <cellStyle name="Moneda 2 3 2 2 3 2 2" xfId="1005" xr:uid="{00000000-0005-0000-0000-00003C080000}"/>
    <cellStyle name="Moneda 2 3 2 2 3 2 2 2" xfId="1006" xr:uid="{00000000-0005-0000-0000-00003D080000}"/>
    <cellStyle name="Moneda 2 3 2 2 3 2 2 3" xfId="1007" xr:uid="{00000000-0005-0000-0000-00003E080000}"/>
    <cellStyle name="Moneda 2 3 2 2 3 2 3" xfId="1008" xr:uid="{00000000-0005-0000-0000-00003F080000}"/>
    <cellStyle name="Moneda 2 3 2 2 3 2 4" xfId="1009" xr:uid="{00000000-0005-0000-0000-000040080000}"/>
    <cellStyle name="Moneda 2 3 2 2 3 3" xfId="1010" xr:uid="{00000000-0005-0000-0000-000041080000}"/>
    <cellStyle name="Moneda 2 3 2 2 3 3 2" xfId="1011" xr:uid="{00000000-0005-0000-0000-000042080000}"/>
    <cellStyle name="Moneda 2 3 2 2 3 3 2 2" xfId="1012" xr:uid="{00000000-0005-0000-0000-000043080000}"/>
    <cellStyle name="Moneda 2 3 2 2 3 3 3" xfId="1013" xr:uid="{00000000-0005-0000-0000-000044080000}"/>
    <cellStyle name="Moneda 2 3 2 2 3 4" xfId="1014" xr:uid="{00000000-0005-0000-0000-000045080000}"/>
    <cellStyle name="Moneda 2 3 2 2 3 4 2" xfId="1015" xr:uid="{00000000-0005-0000-0000-000046080000}"/>
    <cellStyle name="Moneda 2 3 2 2 3 4 3" xfId="1016" xr:uid="{00000000-0005-0000-0000-000047080000}"/>
    <cellStyle name="Moneda 2 3 2 2 3 5" xfId="1017" xr:uid="{00000000-0005-0000-0000-000048080000}"/>
    <cellStyle name="Moneda 2 3 2 2 3 6" xfId="1018" xr:uid="{00000000-0005-0000-0000-000049080000}"/>
    <cellStyle name="Moneda 2 3 2 2 4" xfId="1019" xr:uid="{00000000-0005-0000-0000-00004A080000}"/>
    <cellStyle name="Moneda 2 3 2 2 4 2" xfId="1020" xr:uid="{00000000-0005-0000-0000-00004B080000}"/>
    <cellStyle name="Moneda 2 3 2 2 4 2 2" xfId="1021" xr:uid="{00000000-0005-0000-0000-00004C080000}"/>
    <cellStyle name="Moneda 2 3 2 2 4 2 2 2" xfId="1022" xr:uid="{00000000-0005-0000-0000-00004D080000}"/>
    <cellStyle name="Moneda 2 3 2 2 4 2 3" xfId="1023" xr:uid="{00000000-0005-0000-0000-00004E080000}"/>
    <cellStyle name="Moneda 2 3 2 2 4 2 4" xfId="1024" xr:uid="{00000000-0005-0000-0000-00004F080000}"/>
    <cellStyle name="Moneda 2 3 2 2 4 3" xfId="1025" xr:uid="{00000000-0005-0000-0000-000050080000}"/>
    <cellStyle name="Moneda 2 3 2 2 4 3 2" xfId="1026" xr:uid="{00000000-0005-0000-0000-000051080000}"/>
    <cellStyle name="Moneda 2 3 2 2 4 4" xfId="1027" xr:uid="{00000000-0005-0000-0000-000052080000}"/>
    <cellStyle name="Moneda 2 3 2 2 4 5" xfId="1028" xr:uid="{00000000-0005-0000-0000-000053080000}"/>
    <cellStyle name="Moneda 2 3 2 2 5" xfId="1029" xr:uid="{00000000-0005-0000-0000-000054080000}"/>
    <cellStyle name="Moneda 2 3 2 2 5 2" xfId="1030" xr:uid="{00000000-0005-0000-0000-000055080000}"/>
    <cellStyle name="Moneda 2 3 2 2 5 2 2" xfId="1031" xr:uid="{00000000-0005-0000-0000-000056080000}"/>
    <cellStyle name="Moneda 2 3 2 2 5 2 3" xfId="1032" xr:uid="{00000000-0005-0000-0000-000057080000}"/>
    <cellStyle name="Moneda 2 3 2 2 5 3" xfId="1033" xr:uid="{00000000-0005-0000-0000-000058080000}"/>
    <cellStyle name="Moneda 2 3 2 2 5 4" xfId="1034" xr:uid="{00000000-0005-0000-0000-000059080000}"/>
    <cellStyle name="Moneda 2 3 2 2 6" xfId="1035" xr:uid="{00000000-0005-0000-0000-00005A080000}"/>
    <cellStyle name="Moneda 2 3 2 2 6 2" xfId="1036" xr:uid="{00000000-0005-0000-0000-00005B080000}"/>
    <cellStyle name="Moneda 2 3 2 2 6 2 2" xfId="1037" xr:uid="{00000000-0005-0000-0000-00005C080000}"/>
    <cellStyle name="Moneda 2 3 2 2 6 3" xfId="1038" xr:uid="{00000000-0005-0000-0000-00005D080000}"/>
    <cellStyle name="Moneda 2 3 2 2 7" xfId="1039" xr:uid="{00000000-0005-0000-0000-00005E080000}"/>
    <cellStyle name="Moneda 2 3 2 2 7 2" xfId="1040" xr:uid="{00000000-0005-0000-0000-00005F080000}"/>
    <cellStyle name="Moneda 2 3 2 2 8" xfId="1041" xr:uid="{00000000-0005-0000-0000-000060080000}"/>
    <cellStyle name="Moneda 2 3 2 3" xfId="1042" xr:uid="{00000000-0005-0000-0000-000061080000}"/>
    <cellStyle name="Moneda 2 3 2 3 2" xfId="1043" xr:uid="{00000000-0005-0000-0000-000062080000}"/>
    <cellStyle name="Moneda 2 3 2 3 2 2" xfId="1044" xr:uid="{00000000-0005-0000-0000-000063080000}"/>
    <cellStyle name="Moneda 2 3 2 3 2 2 2" xfId="1045" xr:uid="{00000000-0005-0000-0000-000064080000}"/>
    <cellStyle name="Moneda 2 3 2 3 2 2 2 2" xfId="1046" xr:uid="{00000000-0005-0000-0000-000065080000}"/>
    <cellStyle name="Moneda 2 3 2 3 2 2 2 3" xfId="1047" xr:uid="{00000000-0005-0000-0000-000066080000}"/>
    <cellStyle name="Moneda 2 3 2 3 2 2 3" xfId="1048" xr:uid="{00000000-0005-0000-0000-000067080000}"/>
    <cellStyle name="Moneda 2 3 2 3 2 2 3 2" xfId="1049" xr:uid="{00000000-0005-0000-0000-000068080000}"/>
    <cellStyle name="Moneda 2 3 2 3 2 2 4" xfId="1050" xr:uid="{00000000-0005-0000-0000-000069080000}"/>
    <cellStyle name="Moneda 2 3 2 3 2 2 4 2" xfId="1051" xr:uid="{00000000-0005-0000-0000-00006A080000}"/>
    <cellStyle name="Moneda 2 3 2 3 2 2 5" xfId="1052" xr:uid="{00000000-0005-0000-0000-00006B080000}"/>
    <cellStyle name="Moneda 2 3 2 3 2 2 6" xfId="1053" xr:uid="{00000000-0005-0000-0000-00006C080000}"/>
    <cellStyle name="Moneda 2 3 2 3 2 3" xfId="1054" xr:uid="{00000000-0005-0000-0000-00006D080000}"/>
    <cellStyle name="Moneda 2 3 2 3 2 3 2" xfId="1055" xr:uid="{00000000-0005-0000-0000-00006E080000}"/>
    <cellStyle name="Moneda 2 3 2 3 2 3 3" xfId="1056" xr:uid="{00000000-0005-0000-0000-00006F080000}"/>
    <cellStyle name="Moneda 2 3 2 3 2 4" xfId="1057" xr:uid="{00000000-0005-0000-0000-000070080000}"/>
    <cellStyle name="Moneda 2 3 2 3 2 4 2" xfId="1058" xr:uid="{00000000-0005-0000-0000-000071080000}"/>
    <cellStyle name="Moneda 2 3 2 3 2 5" xfId="1059" xr:uid="{00000000-0005-0000-0000-000072080000}"/>
    <cellStyle name="Moneda 2 3 2 3 2 5 2" xfId="1060" xr:uid="{00000000-0005-0000-0000-000073080000}"/>
    <cellStyle name="Moneda 2 3 2 3 2 6" xfId="1061" xr:uid="{00000000-0005-0000-0000-000074080000}"/>
    <cellStyle name="Moneda 2 3 2 3 2 7" xfId="1062" xr:uid="{00000000-0005-0000-0000-000075080000}"/>
    <cellStyle name="Moneda 2 3 2 3 3" xfId="1063" xr:uid="{00000000-0005-0000-0000-000076080000}"/>
    <cellStyle name="Moneda 2 3 2 3 3 2" xfId="1064" xr:uid="{00000000-0005-0000-0000-000077080000}"/>
    <cellStyle name="Moneda 2 3 2 3 3 2 2" xfId="1065" xr:uid="{00000000-0005-0000-0000-000078080000}"/>
    <cellStyle name="Moneda 2 3 2 3 3 2 3" xfId="1066" xr:uid="{00000000-0005-0000-0000-000079080000}"/>
    <cellStyle name="Moneda 2 3 2 3 3 3" xfId="1067" xr:uid="{00000000-0005-0000-0000-00007A080000}"/>
    <cellStyle name="Moneda 2 3 2 3 3 3 2" xfId="1068" xr:uid="{00000000-0005-0000-0000-00007B080000}"/>
    <cellStyle name="Moneda 2 3 2 3 3 4" xfId="1069" xr:uid="{00000000-0005-0000-0000-00007C080000}"/>
    <cellStyle name="Moneda 2 3 2 3 3 4 2" xfId="1070" xr:uid="{00000000-0005-0000-0000-00007D080000}"/>
    <cellStyle name="Moneda 2 3 2 3 3 5" xfId="1071" xr:uid="{00000000-0005-0000-0000-00007E080000}"/>
    <cellStyle name="Moneda 2 3 2 3 3 6" xfId="1072" xr:uid="{00000000-0005-0000-0000-00007F080000}"/>
    <cellStyle name="Moneda 2 3 2 3 4" xfId="1073" xr:uid="{00000000-0005-0000-0000-000080080000}"/>
    <cellStyle name="Moneda 2 3 2 3 4 2" xfId="1074" xr:uid="{00000000-0005-0000-0000-000081080000}"/>
    <cellStyle name="Moneda 2 3 2 3 4 3" xfId="1075" xr:uid="{00000000-0005-0000-0000-000082080000}"/>
    <cellStyle name="Moneda 2 3 2 3 5" xfId="1076" xr:uid="{00000000-0005-0000-0000-000083080000}"/>
    <cellStyle name="Moneda 2 3 2 3 5 2" xfId="1077" xr:uid="{00000000-0005-0000-0000-000084080000}"/>
    <cellStyle name="Moneda 2 3 2 3 6" xfId="1078" xr:uid="{00000000-0005-0000-0000-000085080000}"/>
    <cellStyle name="Moneda 2 3 2 3 6 2" xfId="1079" xr:uid="{00000000-0005-0000-0000-000086080000}"/>
    <cellStyle name="Moneda 2 3 2 3 7" xfId="1080" xr:uid="{00000000-0005-0000-0000-000087080000}"/>
    <cellStyle name="Moneda 2 3 2 3 8" xfId="1081" xr:uid="{00000000-0005-0000-0000-000088080000}"/>
    <cellStyle name="Moneda 2 3 2 4" xfId="1082" xr:uid="{00000000-0005-0000-0000-000089080000}"/>
    <cellStyle name="Moneda 2 3 2 4 2" xfId="1083" xr:uid="{00000000-0005-0000-0000-00008A080000}"/>
    <cellStyle name="Moneda 2 3 2 4 2 2" xfId="1084" xr:uid="{00000000-0005-0000-0000-00008B080000}"/>
    <cellStyle name="Moneda 2 3 2 4 2 2 2" xfId="1085" xr:uid="{00000000-0005-0000-0000-00008C080000}"/>
    <cellStyle name="Moneda 2 3 2 4 2 2 2 2" xfId="1086" xr:uid="{00000000-0005-0000-0000-00008D080000}"/>
    <cellStyle name="Moneda 2 3 2 4 2 2 2 3" xfId="1087" xr:uid="{00000000-0005-0000-0000-00008E080000}"/>
    <cellStyle name="Moneda 2 3 2 4 2 2 3" xfId="1088" xr:uid="{00000000-0005-0000-0000-00008F080000}"/>
    <cellStyle name="Moneda 2 3 2 4 2 2 3 2" xfId="1089" xr:uid="{00000000-0005-0000-0000-000090080000}"/>
    <cellStyle name="Moneda 2 3 2 4 2 2 4" xfId="1090" xr:uid="{00000000-0005-0000-0000-000091080000}"/>
    <cellStyle name="Moneda 2 3 2 4 2 2 4 2" xfId="1091" xr:uid="{00000000-0005-0000-0000-000092080000}"/>
    <cellStyle name="Moneda 2 3 2 4 2 2 5" xfId="1092" xr:uid="{00000000-0005-0000-0000-000093080000}"/>
    <cellStyle name="Moneda 2 3 2 4 2 2 6" xfId="1093" xr:uid="{00000000-0005-0000-0000-000094080000}"/>
    <cellStyle name="Moneda 2 3 2 4 2 3" xfId="1094" xr:uid="{00000000-0005-0000-0000-000095080000}"/>
    <cellStyle name="Moneda 2 3 2 4 2 3 2" xfId="1095" xr:uid="{00000000-0005-0000-0000-000096080000}"/>
    <cellStyle name="Moneda 2 3 2 4 2 3 3" xfId="1096" xr:uid="{00000000-0005-0000-0000-000097080000}"/>
    <cellStyle name="Moneda 2 3 2 4 2 4" xfId="1097" xr:uid="{00000000-0005-0000-0000-000098080000}"/>
    <cellStyle name="Moneda 2 3 2 4 2 4 2" xfId="1098" xr:uid="{00000000-0005-0000-0000-000099080000}"/>
    <cellStyle name="Moneda 2 3 2 4 2 5" xfId="1099" xr:uid="{00000000-0005-0000-0000-00009A080000}"/>
    <cellStyle name="Moneda 2 3 2 4 2 5 2" xfId="1100" xr:uid="{00000000-0005-0000-0000-00009B080000}"/>
    <cellStyle name="Moneda 2 3 2 4 2 6" xfId="1101" xr:uid="{00000000-0005-0000-0000-00009C080000}"/>
    <cellStyle name="Moneda 2 3 2 4 2 7" xfId="1102" xr:uid="{00000000-0005-0000-0000-00009D080000}"/>
    <cellStyle name="Moneda 2 3 2 4 3" xfId="1103" xr:uid="{00000000-0005-0000-0000-00009E080000}"/>
    <cellStyle name="Moneda 2 3 2 4 3 2" xfId="1104" xr:uid="{00000000-0005-0000-0000-00009F080000}"/>
    <cellStyle name="Moneda 2 3 2 4 3 2 2" xfId="1105" xr:uid="{00000000-0005-0000-0000-0000A0080000}"/>
    <cellStyle name="Moneda 2 3 2 4 3 2 3" xfId="1106" xr:uid="{00000000-0005-0000-0000-0000A1080000}"/>
    <cellStyle name="Moneda 2 3 2 4 3 3" xfId="1107" xr:uid="{00000000-0005-0000-0000-0000A2080000}"/>
    <cellStyle name="Moneda 2 3 2 4 3 3 2" xfId="1108" xr:uid="{00000000-0005-0000-0000-0000A3080000}"/>
    <cellStyle name="Moneda 2 3 2 4 3 4" xfId="1109" xr:uid="{00000000-0005-0000-0000-0000A4080000}"/>
    <cellStyle name="Moneda 2 3 2 4 3 4 2" xfId="1110" xr:uid="{00000000-0005-0000-0000-0000A5080000}"/>
    <cellStyle name="Moneda 2 3 2 4 3 5" xfId="1111" xr:uid="{00000000-0005-0000-0000-0000A6080000}"/>
    <cellStyle name="Moneda 2 3 2 4 3 6" xfId="1112" xr:uid="{00000000-0005-0000-0000-0000A7080000}"/>
    <cellStyle name="Moneda 2 3 2 4 4" xfId="1113" xr:uid="{00000000-0005-0000-0000-0000A8080000}"/>
    <cellStyle name="Moneda 2 3 2 4 4 2" xfId="1114" xr:uid="{00000000-0005-0000-0000-0000A9080000}"/>
    <cellStyle name="Moneda 2 3 2 4 4 3" xfId="1115" xr:uid="{00000000-0005-0000-0000-0000AA080000}"/>
    <cellStyle name="Moneda 2 3 2 4 5" xfId="1116" xr:uid="{00000000-0005-0000-0000-0000AB080000}"/>
    <cellStyle name="Moneda 2 3 2 4 5 2" xfId="1117" xr:uid="{00000000-0005-0000-0000-0000AC080000}"/>
    <cellStyle name="Moneda 2 3 2 4 6" xfId="1118" xr:uid="{00000000-0005-0000-0000-0000AD080000}"/>
    <cellStyle name="Moneda 2 3 2 4 6 2" xfId="1119" xr:uid="{00000000-0005-0000-0000-0000AE080000}"/>
    <cellStyle name="Moneda 2 3 2 4 7" xfId="1120" xr:uid="{00000000-0005-0000-0000-0000AF080000}"/>
    <cellStyle name="Moneda 2 3 2 4 8" xfId="1121" xr:uid="{00000000-0005-0000-0000-0000B0080000}"/>
    <cellStyle name="Moneda 2 3 2 5" xfId="1122" xr:uid="{00000000-0005-0000-0000-0000B1080000}"/>
    <cellStyle name="Moneda 2 3 2 5 2" xfId="1123" xr:uid="{00000000-0005-0000-0000-0000B2080000}"/>
    <cellStyle name="Moneda 2 3 2 5 2 2" xfId="1124" xr:uid="{00000000-0005-0000-0000-0000B3080000}"/>
    <cellStyle name="Moneda 2 3 2 5 2 2 2" xfId="1125" xr:uid="{00000000-0005-0000-0000-0000B4080000}"/>
    <cellStyle name="Moneda 2 3 2 5 2 2 2 2" xfId="1126" xr:uid="{00000000-0005-0000-0000-0000B5080000}"/>
    <cellStyle name="Moneda 2 3 2 5 2 2 3" xfId="1127" xr:uid="{00000000-0005-0000-0000-0000B6080000}"/>
    <cellStyle name="Moneda 2 3 2 5 2 3" xfId="1128" xr:uid="{00000000-0005-0000-0000-0000B7080000}"/>
    <cellStyle name="Moneda 2 3 2 5 2 3 2" xfId="1129" xr:uid="{00000000-0005-0000-0000-0000B8080000}"/>
    <cellStyle name="Moneda 2 3 2 5 2 3 3" xfId="1130" xr:uid="{00000000-0005-0000-0000-0000B9080000}"/>
    <cellStyle name="Moneda 2 3 2 5 2 4" xfId="1131" xr:uid="{00000000-0005-0000-0000-0000BA080000}"/>
    <cellStyle name="Moneda 2 3 2 5 2 4 2" xfId="1132" xr:uid="{00000000-0005-0000-0000-0000BB080000}"/>
    <cellStyle name="Moneda 2 3 2 5 2 5" xfId="1133" xr:uid="{00000000-0005-0000-0000-0000BC080000}"/>
    <cellStyle name="Moneda 2 3 2 5 2 6" xfId="1134" xr:uid="{00000000-0005-0000-0000-0000BD080000}"/>
    <cellStyle name="Moneda 2 3 2 5 3" xfId="1135" xr:uid="{00000000-0005-0000-0000-0000BE080000}"/>
    <cellStyle name="Moneda 2 3 2 5 3 2" xfId="1136" xr:uid="{00000000-0005-0000-0000-0000BF080000}"/>
    <cellStyle name="Moneda 2 3 2 5 3 2 2" xfId="1137" xr:uid="{00000000-0005-0000-0000-0000C0080000}"/>
    <cellStyle name="Moneda 2 3 2 5 3 3" xfId="1138" xr:uid="{00000000-0005-0000-0000-0000C1080000}"/>
    <cellStyle name="Moneda 2 3 2 5 4" xfId="1139" xr:uid="{00000000-0005-0000-0000-0000C2080000}"/>
    <cellStyle name="Moneda 2 3 2 5 4 2" xfId="1140" xr:uid="{00000000-0005-0000-0000-0000C3080000}"/>
    <cellStyle name="Moneda 2 3 2 5 4 3" xfId="1141" xr:uid="{00000000-0005-0000-0000-0000C4080000}"/>
    <cellStyle name="Moneda 2 3 2 5 5" xfId="1142" xr:uid="{00000000-0005-0000-0000-0000C5080000}"/>
    <cellStyle name="Moneda 2 3 2 5 5 2" xfId="1143" xr:uid="{00000000-0005-0000-0000-0000C6080000}"/>
    <cellStyle name="Moneda 2 3 2 5 6" xfId="1144" xr:uid="{00000000-0005-0000-0000-0000C7080000}"/>
    <cellStyle name="Moneda 2 3 2 5 7" xfId="1145" xr:uid="{00000000-0005-0000-0000-0000C8080000}"/>
    <cellStyle name="Moneda 2 3 2 6" xfId="1146" xr:uid="{00000000-0005-0000-0000-0000C9080000}"/>
    <cellStyle name="Moneda 2 3 2 6 2" xfId="1147" xr:uid="{00000000-0005-0000-0000-0000CA080000}"/>
    <cellStyle name="Moneda 2 3 2 6 2 2" xfId="1148" xr:uid="{00000000-0005-0000-0000-0000CB080000}"/>
    <cellStyle name="Moneda 2 3 2 6 2 2 2" xfId="1149" xr:uid="{00000000-0005-0000-0000-0000CC080000}"/>
    <cellStyle name="Moneda 2 3 2 6 2 3" xfId="1150" xr:uid="{00000000-0005-0000-0000-0000CD080000}"/>
    <cellStyle name="Moneda 2 3 2 6 3" xfId="1151" xr:uid="{00000000-0005-0000-0000-0000CE080000}"/>
    <cellStyle name="Moneda 2 3 2 6 3 2" xfId="1152" xr:uid="{00000000-0005-0000-0000-0000CF080000}"/>
    <cellStyle name="Moneda 2 3 2 6 3 3" xfId="1153" xr:uid="{00000000-0005-0000-0000-0000D0080000}"/>
    <cellStyle name="Moneda 2 3 2 6 4" xfId="1154" xr:uid="{00000000-0005-0000-0000-0000D1080000}"/>
    <cellStyle name="Moneda 2 3 2 6 4 2" xfId="1155" xr:uid="{00000000-0005-0000-0000-0000D2080000}"/>
    <cellStyle name="Moneda 2 3 2 6 5" xfId="1156" xr:uid="{00000000-0005-0000-0000-0000D3080000}"/>
    <cellStyle name="Moneda 2 3 2 6 6" xfId="1157" xr:uid="{00000000-0005-0000-0000-0000D4080000}"/>
    <cellStyle name="Moneda 2 3 2 7" xfId="1158" xr:uid="{00000000-0005-0000-0000-0000D5080000}"/>
    <cellStyle name="Moneda 2 3 2 7 2" xfId="1159" xr:uid="{00000000-0005-0000-0000-0000D6080000}"/>
    <cellStyle name="Moneda 2 3 2 7 2 2" xfId="1160" xr:uid="{00000000-0005-0000-0000-0000D7080000}"/>
    <cellStyle name="Moneda 2 3 2 7 3" xfId="1161" xr:uid="{00000000-0005-0000-0000-0000D8080000}"/>
    <cellStyle name="Moneda 2 3 2 8" xfId="1162" xr:uid="{00000000-0005-0000-0000-0000D9080000}"/>
    <cellStyle name="Moneda 2 3 2 8 2" xfId="1163" xr:uid="{00000000-0005-0000-0000-0000DA080000}"/>
    <cellStyle name="Moneda 2 3 2 8 3" xfId="1164" xr:uid="{00000000-0005-0000-0000-0000DB080000}"/>
    <cellStyle name="Moneda 2 3 2 9" xfId="1165" xr:uid="{00000000-0005-0000-0000-0000DC080000}"/>
    <cellStyle name="Moneda 2 3 2 9 2" xfId="1166" xr:uid="{00000000-0005-0000-0000-0000DD080000}"/>
    <cellStyle name="Moneda 2 3 3" xfId="1167" xr:uid="{00000000-0005-0000-0000-0000DE080000}"/>
    <cellStyle name="Moneda 2 3 3 2" xfId="1168" xr:uid="{00000000-0005-0000-0000-0000DF080000}"/>
    <cellStyle name="Moneda 2 3 3 2 2" xfId="1169" xr:uid="{00000000-0005-0000-0000-0000E0080000}"/>
    <cellStyle name="Moneda 2 3 3 2 2 2" xfId="1170" xr:uid="{00000000-0005-0000-0000-0000E1080000}"/>
    <cellStyle name="Moneda 2 3 3 2 2 2 2" xfId="1171" xr:uid="{00000000-0005-0000-0000-0000E2080000}"/>
    <cellStyle name="Moneda 2 3 3 2 2 2 2 2" xfId="1172" xr:uid="{00000000-0005-0000-0000-0000E3080000}"/>
    <cellStyle name="Moneda 2 3 3 2 2 2 3" xfId="1173" xr:uid="{00000000-0005-0000-0000-0000E4080000}"/>
    <cellStyle name="Moneda 2 3 3 2 2 3" xfId="1174" xr:uid="{00000000-0005-0000-0000-0000E5080000}"/>
    <cellStyle name="Moneda 2 3 3 2 2 3 2" xfId="1175" xr:uid="{00000000-0005-0000-0000-0000E6080000}"/>
    <cellStyle name="Moneda 2 3 3 2 2 3 3" xfId="1176" xr:uid="{00000000-0005-0000-0000-0000E7080000}"/>
    <cellStyle name="Moneda 2 3 3 2 2 4" xfId="1177" xr:uid="{00000000-0005-0000-0000-0000E8080000}"/>
    <cellStyle name="Moneda 2 3 3 2 2 4 2" xfId="1178" xr:uid="{00000000-0005-0000-0000-0000E9080000}"/>
    <cellStyle name="Moneda 2 3 3 2 2 5" xfId="1179" xr:uid="{00000000-0005-0000-0000-0000EA080000}"/>
    <cellStyle name="Moneda 2 3 3 2 2 6" xfId="1180" xr:uid="{00000000-0005-0000-0000-0000EB080000}"/>
    <cellStyle name="Moneda 2 3 3 2 3" xfId="1181" xr:uid="{00000000-0005-0000-0000-0000EC080000}"/>
    <cellStyle name="Moneda 2 3 3 2 3 2" xfId="1182" xr:uid="{00000000-0005-0000-0000-0000ED080000}"/>
    <cellStyle name="Moneda 2 3 3 2 3 2 2" xfId="1183" xr:uid="{00000000-0005-0000-0000-0000EE080000}"/>
    <cellStyle name="Moneda 2 3 3 2 3 3" xfId="1184" xr:uid="{00000000-0005-0000-0000-0000EF080000}"/>
    <cellStyle name="Moneda 2 3 3 2 4" xfId="1185" xr:uid="{00000000-0005-0000-0000-0000F0080000}"/>
    <cellStyle name="Moneda 2 3 3 2 4 2" xfId="1186" xr:uid="{00000000-0005-0000-0000-0000F1080000}"/>
    <cellStyle name="Moneda 2 3 3 2 4 3" xfId="1187" xr:uid="{00000000-0005-0000-0000-0000F2080000}"/>
    <cellStyle name="Moneda 2 3 3 2 5" xfId="1188" xr:uid="{00000000-0005-0000-0000-0000F3080000}"/>
    <cellStyle name="Moneda 2 3 3 2 5 2" xfId="1189" xr:uid="{00000000-0005-0000-0000-0000F4080000}"/>
    <cellStyle name="Moneda 2 3 3 2 6" xfId="1190" xr:uid="{00000000-0005-0000-0000-0000F5080000}"/>
    <cellStyle name="Moneda 2 3 3 2 7" xfId="1191" xr:uid="{00000000-0005-0000-0000-0000F6080000}"/>
    <cellStyle name="Moneda 2 3 3 3" xfId="1192" xr:uid="{00000000-0005-0000-0000-0000F7080000}"/>
    <cellStyle name="Moneda 2 3 3 3 2" xfId="1193" xr:uid="{00000000-0005-0000-0000-0000F8080000}"/>
    <cellStyle name="Moneda 2 3 3 3 2 2" xfId="1194" xr:uid="{00000000-0005-0000-0000-0000F9080000}"/>
    <cellStyle name="Moneda 2 3 3 3 2 2 2" xfId="1195" xr:uid="{00000000-0005-0000-0000-0000FA080000}"/>
    <cellStyle name="Moneda 2 3 3 3 2 2 3" xfId="1196" xr:uid="{00000000-0005-0000-0000-0000FB080000}"/>
    <cellStyle name="Moneda 2 3 3 3 2 3" xfId="1197" xr:uid="{00000000-0005-0000-0000-0000FC080000}"/>
    <cellStyle name="Moneda 2 3 3 3 2 4" xfId="1198" xr:uid="{00000000-0005-0000-0000-0000FD080000}"/>
    <cellStyle name="Moneda 2 3 3 3 3" xfId="1199" xr:uid="{00000000-0005-0000-0000-0000FE080000}"/>
    <cellStyle name="Moneda 2 3 3 3 3 2" xfId="1200" xr:uid="{00000000-0005-0000-0000-0000FF080000}"/>
    <cellStyle name="Moneda 2 3 3 3 3 2 2" xfId="1201" xr:uid="{00000000-0005-0000-0000-000000090000}"/>
    <cellStyle name="Moneda 2 3 3 3 3 3" xfId="1202" xr:uid="{00000000-0005-0000-0000-000001090000}"/>
    <cellStyle name="Moneda 2 3 3 3 4" xfId="1203" xr:uid="{00000000-0005-0000-0000-000002090000}"/>
    <cellStyle name="Moneda 2 3 3 3 4 2" xfId="1204" xr:uid="{00000000-0005-0000-0000-000003090000}"/>
    <cellStyle name="Moneda 2 3 3 3 4 3" xfId="1205" xr:uid="{00000000-0005-0000-0000-000004090000}"/>
    <cellStyle name="Moneda 2 3 3 3 5" xfId="1206" xr:uid="{00000000-0005-0000-0000-000005090000}"/>
    <cellStyle name="Moneda 2 3 3 3 6" xfId="1207" xr:uid="{00000000-0005-0000-0000-000006090000}"/>
    <cellStyle name="Moneda 2 3 3 4" xfId="1208" xr:uid="{00000000-0005-0000-0000-000007090000}"/>
    <cellStyle name="Moneda 2 3 3 4 2" xfId="1209" xr:uid="{00000000-0005-0000-0000-000008090000}"/>
    <cellStyle name="Moneda 2 3 3 4 2 2" xfId="1210" xr:uid="{00000000-0005-0000-0000-000009090000}"/>
    <cellStyle name="Moneda 2 3 3 4 2 2 2" xfId="1211" xr:uid="{00000000-0005-0000-0000-00000A090000}"/>
    <cellStyle name="Moneda 2 3 3 4 2 3" xfId="1212" xr:uid="{00000000-0005-0000-0000-00000B090000}"/>
    <cellStyle name="Moneda 2 3 3 4 2 4" xfId="1213" xr:uid="{00000000-0005-0000-0000-00000C090000}"/>
    <cellStyle name="Moneda 2 3 3 4 3" xfId="1214" xr:uid="{00000000-0005-0000-0000-00000D090000}"/>
    <cellStyle name="Moneda 2 3 3 4 3 2" xfId="1215" xr:uid="{00000000-0005-0000-0000-00000E090000}"/>
    <cellStyle name="Moneda 2 3 3 4 4" xfId="1216" xr:uid="{00000000-0005-0000-0000-00000F090000}"/>
    <cellStyle name="Moneda 2 3 3 4 5" xfId="1217" xr:uid="{00000000-0005-0000-0000-000010090000}"/>
    <cellStyle name="Moneda 2 3 3 5" xfId="1218" xr:uid="{00000000-0005-0000-0000-000011090000}"/>
    <cellStyle name="Moneda 2 3 3 5 2" xfId="1219" xr:uid="{00000000-0005-0000-0000-000012090000}"/>
    <cellStyle name="Moneda 2 3 3 5 2 2" xfId="1220" xr:uid="{00000000-0005-0000-0000-000013090000}"/>
    <cellStyle name="Moneda 2 3 3 5 2 3" xfId="1221" xr:uid="{00000000-0005-0000-0000-000014090000}"/>
    <cellStyle name="Moneda 2 3 3 5 3" xfId="1222" xr:uid="{00000000-0005-0000-0000-000015090000}"/>
    <cellStyle name="Moneda 2 3 3 5 4" xfId="1223" xr:uid="{00000000-0005-0000-0000-000016090000}"/>
    <cellStyle name="Moneda 2 3 3 6" xfId="1224" xr:uid="{00000000-0005-0000-0000-000017090000}"/>
    <cellStyle name="Moneda 2 3 3 6 2" xfId="1225" xr:uid="{00000000-0005-0000-0000-000018090000}"/>
    <cellStyle name="Moneda 2 3 3 6 2 2" xfId="1226" xr:uid="{00000000-0005-0000-0000-000019090000}"/>
    <cellStyle name="Moneda 2 3 3 6 3" xfId="1227" xr:uid="{00000000-0005-0000-0000-00001A090000}"/>
    <cellStyle name="Moneda 2 3 3 7" xfId="1228" xr:uid="{00000000-0005-0000-0000-00001B090000}"/>
    <cellStyle name="Moneda 2 3 3 7 2" xfId="1229" xr:uid="{00000000-0005-0000-0000-00001C090000}"/>
    <cellStyle name="Moneda 2 3 3 8" xfId="1230" xr:uid="{00000000-0005-0000-0000-00001D090000}"/>
    <cellStyle name="Moneda 2 3 4" xfId="1231" xr:uid="{00000000-0005-0000-0000-00001E090000}"/>
    <cellStyle name="Moneda 2 3 4 2" xfId="1232" xr:uid="{00000000-0005-0000-0000-00001F090000}"/>
    <cellStyle name="Moneda 2 3 4 2 2" xfId="1233" xr:uid="{00000000-0005-0000-0000-000020090000}"/>
    <cellStyle name="Moneda 2 3 4 2 2 2" xfId="1234" xr:uid="{00000000-0005-0000-0000-000021090000}"/>
    <cellStyle name="Moneda 2 3 4 2 2 2 2" xfId="1235" xr:uid="{00000000-0005-0000-0000-000022090000}"/>
    <cellStyle name="Moneda 2 3 4 2 2 2 2 2" xfId="1236" xr:uid="{00000000-0005-0000-0000-000023090000}"/>
    <cellStyle name="Moneda 2 3 4 2 2 2 3" xfId="1237" xr:uid="{00000000-0005-0000-0000-000024090000}"/>
    <cellStyle name="Moneda 2 3 4 2 2 3" xfId="1238" xr:uid="{00000000-0005-0000-0000-000025090000}"/>
    <cellStyle name="Moneda 2 3 4 2 2 3 2" xfId="1239" xr:uid="{00000000-0005-0000-0000-000026090000}"/>
    <cellStyle name="Moneda 2 3 4 2 2 3 3" xfId="1240" xr:uid="{00000000-0005-0000-0000-000027090000}"/>
    <cellStyle name="Moneda 2 3 4 2 2 4" xfId="1241" xr:uid="{00000000-0005-0000-0000-000028090000}"/>
    <cellStyle name="Moneda 2 3 4 2 2 4 2" xfId="1242" xr:uid="{00000000-0005-0000-0000-000029090000}"/>
    <cellStyle name="Moneda 2 3 4 2 2 5" xfId="1243" xr:uid="{00000000-0005-0000-0000-00002A090000}"/>
    <cellStyle name="Moneda 2 3 4 2 2 6" xfId="1244" xr:uid="{00000000-0005-0000-0000-00002B090000}"/>
    <cellStyle name="Moneda 2 3 4 2 3" xfId="1245" xr:uid="{00000000-0005-0000-0000-00002C090000}"/>
    <cellStyle name="Moneda 2 3 4 2 3 2" xfId="1246" xr:uid="{00000000-0005-0000-0000-00002D090000}"/>
    <cellStyle name="Moneda 2 3 4 2 3 2 2" xfId="1247" xr:uid="{00000000-0005-0000-0000-00002E090000}"/>
    <cellStyle name="Moneda 2 3 4 2 3 3" xfId="1248" xr:uid="{00000000-0005-0000-0000-00002F090000}"/>
    <cellStyle name="Moneda 2 3 4 2 4" xfId="1249" xr:uid="{00000000-0005-0000-0000-000030090000}"/>
    <cellStyle name="Moneda 2 3 4 2 4 2" xfId="1250" xr:uid="{00000000-0005-0000-0000-000031090000}"/>
    <cellStyle name="Moneda 2 3 4 2 4 3" xfId="1251" xr:uid="{00000000-0005-0000-0000-000032090000}"/>
    <cellStyle name="Moneda 2 3 4 2 5" xfId="1252" xr:uid="{00000000-0005-0000-0000-000033090000}"/>
    <cellStyle name="Moneda 2 3 4 2 5 2" xfId="1253" xr:uid="{00000000-0005-0000-0000-000034090000}"/>
    <cellStyle name="Moneda 2 3 4 2 6" xfId="1254" xr:uid="{00000000-0005-0000-0000-000035090000}"/>
    <cellStyle name="Moneda 2 3 4 2 7" xfId="1255" xr:uid="{00000000-0005-0000-0000-000036090000}"/>
    <cellStyle name="Moneda 2 3 4 3" xfId="1256" xr:uid="{00000000-0005-0000-0000-000037090000}"/>
    <cellStyle name="Moneda 2 3 4 3 2" xfId="1257" xr:uid="{00000000-0005-0000-0000-000038090000}"/>
    <cellStyle name="Moneda 2 3 4 3 2 2" xfId="1258" xr:uid="{00000000-0005-0000-0000-000039090000}"/>
    <cellStyle name="Moneda 2 3 4 3 2 2 2" xfId="1259" xr:uid="{00000000-0005-0000-0000-00003A090000}"/>
    <cellStyle name="Moneda 2 3 4 3 2 2 3" xfId="1260" xr:uid="{00000000-0005-0000-0000-00003B090000}"/>
    <cellStyle name="Moneda 2 3 4 3 2 3" xfId="1261" xr:uid="{00000000-0005-0000-0000-00003C090000}"/>
    <cellStyle name="Moneda 2 3 4 3 2 4" xfId="1262" xr:uid="{00000000-0005-0000-0000-00003D090000}"/>
    <cellStyle name="Moneda 2 3 4 3 3" xfId="1263" xr:uid="{00000000-0005-0000-0000-00003E090000}"/>
    <cellStyle name="Moneda 2 3 4 3 3 2" xfId="1264" xr:uid="{00000000-0005-0000-0000-00003F090000}"/>
    <cellStyle name="Moneda 2 3 4 3 3 2 2" xfId="1265" xr:uid="{00000000-0005-0000-0000-000040090000}"/>
    <cellStyle name="Moneda 2 3 4 3 3 3" xfId="1266" xr:uid="{00000000-0005-0000-0000-000041090000}"/>
    <cellStyle name="Moneda 2 3 4 3 4" xfId="1267" xr:uid="{00000000-0005-0000-0000-000042090000}"/>
    <cellStyle name="Moneda 2 3 4 3 4 2" xfId="1268" xr:uid="{00000000-0005-0000-0000-000043090000}"/>
    <cellStyle name="Moneda 2 3 4 3 4 3" xfId="1269" xr:uid="{00000000-0005-0000-0000-000044090000}"/>
    <cellStyle name="Moneda 2 3 4 3 5" xfId="1270" xr:uid="{00000000-0005-0000-0000-000045090000}"/>
    <cellStyle name="Moneda 2 3 4 3 6" xfId="1271" xr:uid="{00000000-0005-0000-0000-000046090000}"/>
    <cellStyle name="Moneda 2 3 4 4" xfId="1272" xr:uid="{00000000-0005-0000-0000-000047090000}"/>
    <cellStyle name="Moneda 2 3 4 4 2" xfId="1273" xr:uid="{00000000-0005-0000-0000-000048090000}"/>
    <cellStyle name="Moneda 2 3 4 4 2 2" xfId="1274" xr:uid="{00000000-0005-0000-0000-000049090000}"/>
    <cellStyle name="Moneda 2 3 4 4 2 2 2" xfId="1275" xr:uid="{00000000-0005-0000-0000-00004A090000}"/>
    <cellStyle name="Moneda 2 3 4 4 2 3" xfId="1276" xr:uid="{00000000-0005-0000-0000-00004B090000}"/>
    <cellStyle name="Moneda 2 3 4 4 2 4" xfId="1277" xr:uid="{00000000-0005-0000-0000-00004C090000}"/>
    <cellStyle name="Moneda 2 3 4 4 3" xfId="1278" xr:uid="{00000000-0005-0000-0000-00004D090000}"/>
    <cellStyle name="Moneda 2 3 4 4 3 2" xfId="1279" xr:uid="{00000000-0005-0000-0000-00004E090000}"/>
    <cellStyle name="Moneda 2 3 4 4 4" xfId="1280" xr:uid="{00000000-0005-0000-0000-00004F090000}"/>
    <cellStyle name="Moneda 2 3 4 4 5" xfId="1281" xr:uid="{00000000-0005-0000-0000-000050090000}"/>
    <cellStyle name="Moneda 2 3 4 5" xfId="1282" xr:uid="{00000000-0005-0000-0000-000051090000}"/>
    <cellStyle name="Moneda 2 3 4 5 2" xfId="1283" xr:uid="{00000000-0005-0000-0000-000052090000}"/>
    <cellStyle name="Moneda 2 3 4 5 2 2" xfId="1284" xr:uid="{00000000-0005-0000-0000-000053090000}"/>
    <cellStyle name="Moneda 2 3 4 5 2 3" xfId="1285" xr:uid="{00000000-0005-0000-0000-000054090000}"/>
    <cellStyle name="Moneda 2 3 4 5 3" xfId="1286" xr:uid="{00000000-0005-0000-0000-000055090000}"/>
    <cellStyle name="Moneda 2 3 4 5 4" xfId="1287" xr:uid="{00000000-0005-0000-0000-000056090000}"/>
    <cellStyle name="Moneda 2 3 4 6" xfId="1288" xr:uid="{00000000-0005-0000-0000-000057090000}"/>
    <cellStyle name="Moneda 2 3 4 6 2" xfId="1289" xr:uid="{00000000-0005-0000-0000-000058090000}"/>
    <cellStyle name="Moneda 2 3 4 6 2 2" xfId="1290" xr:uid="{00000000-0005-0000-0000-000059090000}"/>
    <cellStyle name="Moneda 2 3 4 6 3" xfId="1291" xr:uid="{00000000-0005-0000-0000-00005A090000}"/>
    <cellStyle name="Moneda 2 3 4 7" xfId="1292" xr:uid="{00000000-0005-0000-0000-00005B090000}"/>
    <cellStyle name="Moneda 2 3 4 7 2" xfId="1293" xr:uid="{00000000-0005-0000-0000-00005C090000}"/>
    <cellStyle name="Moneda 2 3 4 8" xfId="1294" xr:uid="{00000000-0005-0000-0000-00005D090000}"/>
    <cellStyle name="Moneda 2 3 5" xfId="1295" xr:uid="{00000000-0005-0000-0000-00005E090000}"/>
    <cellStyle name="Moneda 2 3 5 2" xfId="1296" xr:uid="{00000000-0005-0000-0000-00005F090000}"/>
    <cellStyle name="Moneda 2 3 5 2 2" xfId="1297" xr:uid="{00000000-0005-0000-0000-000060090000}"/>
    <cellStyle name="Moneda 2 3 5 2 2 2" xfId="1298" xr:uid="{00000000-0005-0000-0000-000061090000}"/>
    <cellStyle name="Moneda 2 3 5 2 2 2 2" xfId="1299" xr:uid="{00000000-0005-0000-0000-000062090000}"/>
    <cellStyle name="Moneda 2 3 5 2 2 2 3" xfId="1300" xr:uid="{00000000-0005-0000-0000-000063090000}"/>
    <cellStyle name="Moneda 2 3 5 2 2 3" xfId="1301" xr:uid="{00000000-0005-0000-0000-000064090000}"/>
    <cellStyle name="Moneda 2 3 5 2 2 3 2" xfId="1302" xr:uid="{00000000-0005-0000-0000-000065090000}"/>
    <cellStyle name="Moneda 2 3 5 2 2 4" xfId="1303" xr:uid="{00000000-0005-0000-0000-000066090000}"/>
    <cellStyle name="Moneda 2 3 5 2 2 4 2" xfId="1304" xr:uid="{00000000-0005-0000-0000-000067090000}"/>
    <cellStyle name="Moneda 2 3 5 2 2 5" xfId="1305" xr:uid="{00000000-0005-0000-0000-000068090000}"/>
    <cellStyle name="Moneda 2 3 5 2 2 6" xfId="1306" xr:uid="{00000000-0005-0000-0000-000069090000}"/>
    <cellStyle name="Moneda 2 3 5 2 3" xfId="1307" xr:uid="{00000000-0005-0000-0000-00006A090000}"/>
    <cellStyle name="Moneda 2 3 5 2 3 2" xfId="1308" xr:uid="{00000000-0005-0000-0000-00006B090000}"/>
    <cellStyle name="Moneda 2 3 5 2 3 3" xfId="1309" xr:uid="{00000000-0005-0000-0000-00006C090000}"/>
    <cellStyle name="Moneda 2 3 5 2 4" xfId="1310" xr:uid="{00000000-0005-0000-0000-00006D090000}"/>
    <cellStyle name="Moneda 2 3 5 2 4 2" xfId="1311" xr:uid="{00000000-0005-0000-0000-00006E090000}"/>
    <cellStyle name="Moneda 2 3 5 2 5" xfId="1312" xr:uid="{00000000-0005-0000-0000-00006F090000}"/>
    <cellStyle name="Moneda 2 3 5 2 5 2" xfId="1313" xr:uid="{00000000-0005-0000-0000-000070090000}"/>
    <cellStyle name="Moneda 2 3 5 2 6" xfId="1314" xr:uid="{00000000-0005-0000-0000-000071090000}"/>
    <cellStyle name="Moneda 2 3 5 2 7" xfId="1315" xr:uid="{00000000-0005-0000-0000-000072090000}"/>
    <cellStyle name="Moneda 2 3 5 3" xfId="1316" xr:uid="{00000000-0005-0000-0000-000073090000}"/>
    <cellStyle name="Moneda 2 3 5 3 2" xfId="1317" xr:uid="{00000000-0005-0000-0000-000074090000}"/>
    <cellStyle name="Moneda 2 3 5 3 2 2" xfId="1318" xr:uid="{00000000-0005-0000-0000-000075090000}"/>
    <cellStyle name="Moneda 2 3 5 3 2 3" xfId="1319" xr:uid="{00000000-0005-0000-0000-000076090000}"/>
    <cellStyle name="Moneda 2 3 5 3 3" xfId="1320" xr:uid="{00000000-0005-0000-0000-000077090000}"/>
    <cellStyle name="Moneda 2 3 5 3 3 2" xfId="1321" xr:uid="{00000000-0005-0000-0000-000078090000}"/>
    <cellStyle name="Moneda 2 3 5 3 4" xfId="1322" xr:uid="{00000000-0005-0000-0000-000079090000}"/>
    <cellStyle name="Moneda 2 3 5 3 4 2" xfId="1323" xr:uid="{00000000-0005-0000-0000-00007A090000}"/>
    <cellStyle name="Moneda 2 3 5 3 5" xfId="1324" xr:uid="{00000000-0005-0000-0000-00007B090000}"/>
    <cellStyle name="Moneda 2 3 5 3 6" xfId="1325" xr:uid="{00000000-0005-0000-0000-00007C090000}"/>
    <cellStyle name="Moneda 2 3 5 4" xfId="1326" xr:uid="{00000000-0005-0000-0000-00007D090000}"/>
    <cellStyle name="Moneda 2 3 5 4 2" xfId="1327" xr:uid="{00000000-0005-0000-0000-00007E090000}"/>
    <cellStyle name="Moneda 2 3 5 4 3" xfId="1328" xr:uid="{00000000-0005-0000-0000-00007F090000}"/>
    <cellStyle name="Moneda 2 3 5 5" xfId="1329" xr:uid="{00000000-0005-0000-0000-000080090000}"/>
    <cellStyle name="Moneda 2 3 5 5 2" xfId="1330" xr:uid="{00000000-0005-0000-0000-000081090000}"/>
    <cellStyle name="Moneda 2 3 5 6" xfId="1331" xr:uid="{00000000-0005-0000-0000-000082090000}"/>
    <cellStyle name="Moneda 2 3 5 6 2" xfId="1332" xr:uid="{00000000-0005-0000-0000-000083090000}"/>
    <cellStyle name="Moneda 2 3 5 7" xfId="1333" xr:uid="{00000000-0005-0000-0000-000084090000}"/>
    <cellStyle name="Moneda 2 3 5 8" xfId="1334" xr:uid="{00000000-0005-0000-0000-000085090000}"/>
    <cellStyle name="Moneda 2 3 6" xfId="1335" xr:uid="{00000000-0005-0000-0000-000086090000}"/>
    <cellStyle name="Moneda 2 3 6 2" xfId="1336" xr:uid="{00000000-0005-0000-0000-000087090000}"/>
    <cellStyle name="Moneda 2 3 6 2 2" xfId="1337" xr:uid="{00000000-0005-0000-0000-000088090000}"/>
    <cellStyle name="Moneda 2 3 6 2 2 2" xfId="1338" xr:uid="{00000000-0005-0000-0000-000089090000}"/>
    <cellStyle name="Moneda 2 3 6 2 2 2 2" xfId="1339" xr:uid="{00000000-0005-0000-0000-00008A090000}"/>
    <cellStyle name="Moneda 2 3 6 2 2 3" xfId="1340" xr:uid="{00000000-0005-0000-0000-00008B090000}"/>
    <cellStyle name="Moneda 2 3 6 2 3" xfId="1341" xr:uid="{00000000-0005-0000-0000-00008C090000}"/>
    <cellStyle name="Moneda 2 3 6 2 3 2" xfId="1342" xr:uid="{00000000-0005-0000-0000-00008D090000}"/>
    <cellStyle name="Moneda 2 3 6 2 3 3" xfId="1343" xr:uid="{00000000-0005-0000-0000-00008E090000}"/>
    <cellStyle name="Moneda 2 3 6 2 4" xfId="1344" xr:uid="{00000000-0005-0000-0000-00008F090000}"/>
    <cellStyle name="Moneda 2 3 6 2 4 2" xfId="1345" xr:uid="{00000000-0005-0000-0000-000090090000}"/>
    <cellStyle name="Moneda 2 3 6 2 5" xfId="1346" xr:uid="{00000000-0005-0000-0000-000091090000}"/>
    <cellStyle name="Moneda 2 3 6 2 6" xfId="1347" xr:uid="{00000000-0005-0000-0000-000092090000}"/>
    <cellStyle name="Moneda 2 3 6 3" xfId="1348" xr:uid="{00000000-0005-0000-0000-000093090000}"/>
    <cellStyle name="Moneda 2 3 6 3 2" xfId="1349" xr:uid="{00000000-0005-0000-0000-000094090000}"/>
    <cellStyle name="Moneda 2 3 6 3 2 2" xfId="1350" xr:uid="{00000000-0005-0000-0000-000095090000}"/>
    <cellStyle name="Moneda 2 3 6 3 3" xfId="1351" xr:uid="{00000000-0005-0000-0000-000096090000}"/>
    <cellStyle name="Moneda 2 3 6 4" xfId="1352" xr:uid="{00000000-0005-0000-0000-000097090000}"/>
    <cellStyle name="Moneda 2 3 6 4 2" xfId="1353" xr:uid="{00000000-0005-0000-0000-000098090000}"/>
    <cellStyle name="Moneda 2 3 6 4 3" xfId="1354" xr:uid="{00000000-0005-0000-0000-000099090000}"/>
    <cellStyle name="Moneda 2 3 6 5" xfId="1355" xr:uid="{00000000-0005-0000-0000-00009A090000}"/>
    <cellStyle name="Moneda 2 3 6 5 2" xfId="1356" xr:uid="{00000000-0005-0000-0000-00009B090000}"/>
    <cellStyle name="Moneda 2 3 6 6" xfId="1357" xr:uid="{00000000-0005-0000-0000-00009C090000}"/>
    <cellStyle name="Moneda 2 3 6 7" xfId="1358" xr:uid="{00000000-0005-0000-0000-00009D090000}"/>
    <cellStyle name="Moneda 2 3 7" xfId="1359" xr:uid="{00000000-0005-0000-0000-00009E090000}"/>
    <cellStyle name="Moneda 2 3 7 2" xfId="1360" xr:uid="{00000000-0005-0000-0000-00009F090000}"/>
    <cellStyle name="Moneda 2 3 7 2 2" xfId="1361" xr:uid="{00000000-0005-0000-0000-0000A0090000}"/>
    <cellStyle name="Moneda 2 3 7 2 2 2" xfId="1362" xr:uid="{00000000-0005-0000-0000-0000A1090000}"/>
    <cellStyle name="Moneda 2 3 7 2 2 3" xfId="1363" xr:uid="{00000000-0005-0000-0000-0000A2090000}"/>
    <cellStyle name="Moneda 2 3 7 2 3" xfId="1364" xr:uid="{00000000-0005-0000-0000-0000A3090000}"/>
    <cellStyle name="Moneda 2 3 7 2 4" xfId="1365" xr:uid="{00000000-0005-0000-0000-0000A4090000}"/>
    <cellStyle name="Moneda 2 3 7 3" xfId="1366" xr:uid="{00000000-0005-0000-0000-0000A5090000}"/>
    <cellStyle name="Moneda 2 3 7 3 2" xfId="1367" xr:uid="{00000000-0005-0000-0000-0000A6090000}"/>
    <cellStyle name="Moneda 2 3 7 3 2 2" xfId="1368" xr:uid="{00000000-0005-0000-0000-0000A7090000}"/>
    <cellStyle name="Moneda 2 3 7 3 3" xfId="1369" xr:uid="{00000000-0005-0000-0000-0000A8090000}"/>
    <cellStyle name="Moneda 2 3 7 4" xfId="1370" xr:uid="{00000000-0005-0000-0000-0000A9090000}"/>
    <cellStyle name="Moneda 2 3 7 4 2" xfId="1371" xr:uid="{00000000-0005-0000-0000-0000AA090000}"/>
    <cellStyle name="Moneda 2 3 7 4 3" xfId="1372" xr:uid="{00000000-0005-0000-0000-0000AB090000}"/>
    <cellStyle name="Moneda 2 3 7 5" xfId="1373" xr:uid="{00000000-0005-0000-0000-0000AC090000}"/>
    <cellStyle name="Moneda 2 3 7 6" xfId="1374" xr:uid="{00000000-0005-0000-0000-0000AD090000}"/>
    <cellStyle name="Moneda 2 3 8" xfId="1375" xr:uid="{00000000-0005-0000-0000-0000AE090000}"/>
    <cellStyle name="Moneda 2 3 8 2" xfId="1376" xr:uid="{00000000-0005-0000-0000-0000AF090000}"/>
    <cellStyle name="Moneda 2 3 8 2 2" xfId="1377" xr:uid="{00000000-0005-0000-0000-0000B0090000}"/>
    <cellStyle name="Moneda 2 3 8 2 3" xfId="1378" xr:uid="{00000000-0005-0000-0000-0000B1090000}"/>
    <cellStyle name="Moneda 2 3 8 3" xfId="1379" xr:uid="{00000000-0005-0000-0000-0000B2090000}"/>
    <cellStyle name="Moneda 2 3 8 4" xfId="1380" xr:uid="{00000000-0005-0000-0000-0000B3090000}"/>
    <cellStyle name="Moneda 2 3 9" xfId="1381" xr:uid="{00000000-0005-0000-0000-0000B4090000}"/>
    <cellStyle name="Moneda 2 3 9 2" xfId="1382" xr:uid="{00000000-0005-0000-0000-0000B5090000}"/>
    <cellStyle name="Moneda 2 3 9 2 2" xfId="1383" xr:uid="{00000000-0005-0000-0000-0000B6090000}"/>
    <cellStyle name="Moneda 2 3 9 3" xfId="1384" xr:uid="{00000000-0005-0000-0000-0000B7090000}"/>
    <cellStyle name="Moneda 2 4" xfId="1385" xr:uid="{00000000-0005-0000-0000-0000B8090000}"/>
    <cellStyle name="Moneda 2 4 2" xfId="1386" xr:uid="{00000000-0005-0000-0000-0000B9090000}"/>
    <cellStyle name="Moneda 2 4 3" xfId="2923" xr:uid="{00000000-0005-0000-0000-0000BA090000}"/>
    <cellStyle name="Moneda 2 5" xfId="1387" xr:uid="{00000000-0005-0000-0000-0000BB090000}"/>
    <cellStyle name="Moneda 2 5 2" xfId="1388" xr:uid="{00000000-0005-0000-0000-0000BC090000}"/>
    <cellStyle name="Moneda 2 5 2 2" xfId="1389" xr:uid="{00000000-0005-0000-0000-0000BD090000}"/>
    <cellStyle name="Moneda 2 5 3" xfId="1390" xr:uid="{00000000-0005-0000-0000-0000BE090000}"/>
    <cellStyle name="Moneda 2 5 3 2" xfId="1391" xr:uid="{00000000-0005-0000-0000-0000BF090000}"/>
    <cellStyle name="Moneda 2 5 4" xfId="1392" xr:uid="{00000000-0005-0000-0000-0000C0090000}"/>
    <cellStyle name="Moneda 2 5 4 2" xfId="1393" xr:uid="{00000000-0005-0000-0000-0000C1090000}"/>
    <cellStyle name="Moneda 2 5 5" xfId="1394" xr:uid="{00000000-0005-0000-0000-0000C2090000}"/>
    <cellStyle name="Moneda 2 6" xfId="1395" xr:uid="{00000000-0005-0000-0000-0000C3090000}"/>
    <cellStyle name="Moneda 20" xfId="1396" xr:uid="{00000000-0005-0000-0000-0000C4090000}"/>
    <cellStyle name="Moneda 20 2" xfId="1397" xr:uid="{00000000-0005-0000-0000-0000C5090000}"/>
    <cellStyle name="Moneda 20 2 2" xfId="1398" xr:uid="{00000000-0005-0000-0000-0000C6090000}"/>
    <cellStyle name="Moneda 20 2 2 2" xfId="1399" xr:uid="{00000000-0005-0000-0000-0000C7090000}"/>
    <cellStyle name="Moneda 20 2 2 2 2" xfId="1400" xr:uid="{00000000-0005-0000-0000-0000C8090000}"/>
    <cellStyle name="Moneda 20 2 2 3" xfId="1401" xr:uid="{00000000-0005-0000-0000-0000C9090000}"/>
    <cellStyle name="Moneda 20 2 2 3 2" xfId="1402" xr:uid="{00000000-0005-0000-0000-0000CA090000}"/>
    <cellStyle name="Moneda 20 2 2 4" xfId="1403" xr:uid="{00000000-0005-0000-0000-0000CB090000}"/>
    <cellStyle name="Moneda 20 2 2 4 2" xfId="1404" xr:uid="{00000000-0005-0000-0000-0000CC090000}"/>
    <cellStyle name="Moneda 20 2 2 5" xfId="1405" xr:uid="{00000000-0005-0000-0000-0000CD090000}"/>
    <cellStyle name="Moneda 20 2 3" xfId="1406" xr:uid="{00000000-0005-0000-0000-0000CE090000}"/>
    <cellStyle name="Moneda 20 2 3 2" xfId="1407" xr:uid="{00000000-0005-0000-0000-0000CF090000}"/>
    <cellStyle name="Moneda 20 2 4" xfId="1408" xr:uid="{00000000-0005-0000-0000-0000D0090000}"/>
    <cellStyle name="Moneda 20 2 4 2" xfId="1409" xr:uid="{00000000-0005-0000-0000-0000D1090000}"/>
    <cellStyle name="Moneda 20 2 5" xfId="1410" xr:uid="{00000000-0005-0000-0000-0000D2090000}"/>
    <cellStyle name="Moneda 20 2 5 2" xfId="1411" xr:uid="{00000000-0005-0000-0000-0000D3090000}"/>
    <cellStyle name="Moneda 20 2 6" xfId="1412" xr:uid="{00000000-0005-0000-0000-0000D4090000}"/>
    <cellStyle name="Moneda 20 2 7" xfId="1413" xr:uid="{00000000-0005-0000-0000-0000D5090000}"/>
    <cellStyle name="Moneda 20 3" xfId="1414" xr:uid="{00000000-0005-0000-0000-0000D6090000}"/>
    <cellStyle name="Moneda 20 3 2" xfId="1415" xr:uid="{00000000-0005-0000-0000-0000D7090000}"/>
    <cellStyle name="Moneda 20 3 2 2" xfId="1416" xr:uid="{00000000-0005-0000-0000-0000D8090000}"/>
    <cellStyle name="Moneda 20 3 3" xfId="1417" xr:uid="{00000000-0005-0000-0000-0000D9090000}"/>
    <cellStyle name="Moneda 20 3 3 2" xfId="1418" xr:uid="{00000000-0005-0000-0000-0000DA090000}"/>
    <cellStyle name="Moneda 20 3 4" xfId="1419" xr:uid="{00000000-0005-0000-0000-0000DB090000}"/>
    <cellStyle name="Moneda 20 3 4 2" xfId="1420" xr:uid="{00000000-0005-0000-0000-0000DC090000}"/>
    <cellStyle name="Moneda 20 3 5" xfId="1421" xr:uid="{00000000-0005-0000-0000-0000DD090000}"/>
    <cellStyle name="Moneda 20 4" xfId="1422" xr:uid="{00000000-0005-0000-0000-0000DE090000}"/>
    <cellStyle name="Moneda 20 4 2" xfId="1423" xr:uid="{00000000-0005-0000-0000-0000DF090000}"/>
    <cellStyle name="Moneda 20 5" xfId="1424" xr:uid="{00000000-0005-0000-0000-0000E0090000}"/>
    <cellStyle name="Moneda 20 5 2" xfId="1425" xr:uid="{00000000-0005-0000-0000-0000E1090000}"/>
    <cellStyle name="Moneda 20 6" xfId="1426" xr:uid="{00000000-0005-0000-0000-0000E2090000}"/>
    <cellStyle name="Moneda 20 6 2" xfId="1427" xr:uid="{00000000-0005-0000-0000-0000E3090000}"/>
    <cellStyle name="Moneda 20 7" xfId="1428" xr:uid="{00000000-0005-0000-0000-0000E4090000}"/>
    <cellStyle name="Moneda 20 8" xfId="1429" xr:uid="{00000000-0005-0000-0000-0000E5090000}"/>
    <cellStyle name="Moneda 21" xfId="1430" xr:uid="{00000000-0005-0000-0000-0000E6090000}"/>
    <cellStyle name="Moneda 21 2" xfId="1431" xr:uid="{00000000-0005-0000-0000-0000E7090000}"/>
    <cellStyle name="Moneda 21 2 2" xfId="1432" xr:uid="{00000000-0005-0000-0000-0000E8090000}"/>
    <cellStyle name="Moneda 21 2 2 2" xfId="1433" xr:uid="{00000000-0005-0000-0000-0000E9090000}"/>
    <cellStyle name="Moneda 21 2 2 2 2" xfId="1434" xr:uid="{00000000-0005-0000-0000-0000EA090000}"/>
    <cellStyle name="Moneda 21 2 2 3" xfId="1435" xr:uid="{00000000-0005-0000-0000-0000EB090000}"/>
    <cellStyle name="Moneda 21 2 2 3 2" xfId="1436" xr:uid="{00000000-0005-0000-0000-0000EC090000}"/>
    <cellStyle name="Moneda 21 2 2 4" xfId="1437" xr:uid="{00000000-0005-0000-0000-0000ED090000}"/>
    <cellStyle name="Moneda 21 2 2 4 2" xfId="1438" xr:uid="{00000000-0005-0000-0000-0000EE090000}"/>
    <cellStyle name="Moneda 21 2 2 5" xfId="1439" xr:uid="{00000000-0005-0000-0000-0000EF090000}"/>
    <cellStyle name="Moneda 21 2 3" xfId="1440" xr:uid="{00000000-0005-0000-0000-0000F0090000}"/>
    <cellStyle name="Moneda 21 2 3 2" xfId="1441" xr:uid="{00000000-0005-0000-0000-0000F1090000}"/>
    <cellStyle name="Moneda 21 2 4" xfId="1442" xr:uid="{00000000-0005-0000-0000-0000F2090000}"/>
    <cellStyle name="Moneda 21 2 4 2" xfId="1443" xr:uid="{00000000-0005-0000-0000-0000F3090000}"/>
    <cellStyle name="Moneda 21 2 5" xfId="1444" xr:uid="{00000000-0005-0000-0000-0000F4090000}"/>
    <cellStyle name="Moneda 21 2 5 2" xfId="1445" xr:uid="{00000000-0005-0000-0000-0000F5090000}"/>
    <cellStyle name="Moneda 21 2 6" xfId="1446" xr:uid="{00000000-0005-0000-0000-0000F6090000}"/>
    <cellStyle name="Moneda 21 2 7" xfId="1447" xr:uid="{00000000-0005-0000-0000-0000F7090000}"/>
    <cellStyle name="Moneda 21 3" xfId="1448" xr:uid="{00000000-0005-0000-0000-0000F8090000}"/>
    <cellStyle name="Moneda 21 3 2" xfId="1449" xr:uid="{00000000-0005-0000-0000-0000F9090000}"/>
    <cellStyle name="Moneda 21 3 2 2" xfId="1450" xr:uid="{00000000-0005-0000-0000-0000FA090000}"/>
    <cellStyle name="Moneda 21 3 3" xfId="1451" xr:uid="{00000000-0005-0000-0000-0000FB090000}"/>
    <cellStyle name="Moneda 21 3 3 2" xfId="1452" xr:uid="{00000000-0005-0000-0000-0000FC090000}"/>
    <cellStyle name="Moneda 21 3 4" xfId="1453" xr:uid="{00000000-0005-0000-0000-0000FD090000}"/>
    <cellStyle name="Moneda 21 3 4 2" xfId="1454" xr:uid="{00000000-0005-0000-0000-0000FE090000}"/>
    <cellStyle name="Moneda 21 3 5" xfId="1455" xr:uid="{00000000-0005-0000-0000-0000FF090000}"/>
    <cellStyle name="Moneda 21 4" xfId="1456" xr:uid="{00000000-0005-0000-0000-0000000A0000}"/>
    <cellStyle name="Moneda 21 4 2" xfId="1457" xr:uid="{00000000-0005-0000-0000-0000010A0000}"/>
    <cellStyle name="Moneda 21 5" xfId="1458" xr:uid="{00000000-0005-0000-0000-0000020A0000}"/>
    <cellStyle name="Moneda 21 5 2" xfId="1459" xr:uid="{00000000-0005-0000-0000-0000030A0000}"/>
    <cellStyle name="Moneda 21 6" xfId="1460" xr:uid="{00000000-0005-0000-0000-0000040A0000}"/>
    <cellStyle name="Moneda 21 6 2" xfId="1461" xr:uid="{00000000-0005-0000-0000-0000050A0000}"/>
    <cellStyle name="Moneda 21 7" xfId="1462" xr:uid="{00000000-0005-0000-0000-0000060A0000}"/>
    <cellStyle name="Moneda 21 8" xfId="1463" xr:uid="{00000000-0005-0000-0000-0000070A0000}"/>
    <cellStyle name="Moneda 22" xfId="1464" xr:uid="{00000000-0005-0000-0000-0000080A0000}"/>
    <cellStyle name="Moneda 22 2" xfId="1465" xr:uid="{00000000-0005-0000-0000-0000090A0000}"/>
    <cellStyle name="Moneda 22 2 2" xfId="1466" xr:uid="{00000000-0005-0000-0000-00000A0A0000}"/>
    <cellStyle name="Moneda 22 2 2 2" xfId="1467" xr:uid="{00000000-0005-0000-0000-00000B0A0000}"/>
    <cellStyle name="Moneda 22 2 2 2 2" xfId="1468" xr:uid="{00000000-0005-0000-0000-00000C0A0000}"/>
    <cellStyle name="Moneda 22 2 2 3" xfId="1469" xr:uid="{00000000-0005-0000-0000-00000D0A0000}"/>
    <cellStyle name="Moneda 22 2 2 3 2" xfId="1470" xr:uid="{00000000-0005-0000-0000-00000E0A0000}"/>
    <cellStyle name="Moneda 22 2 2 4" xfId="1471" xr:uid="{00000000-0005-0000-0000-00000F0A0000}"/>
    <cellStyle name="Moneda 22 2 2 4 2" xfId="1472" xr:uid="{00000000-0005-0000-0000-0000100A0000}"/>
    <cellStyle name="Moneda 22 2 2 5" xfId="1473" xr:uid="{00000000-0005-0000-0000-0000110A0000}"/>
    <cellStyle name="Moneda 22 2 3" xfId="1474" xr:uid="{00000000-0005-0000-0000-0000120A0000}"/>
    <cellStyle name="Moneda 22 2 3 2" xfId="1475" xr:uid="{00000000-0005-0000-0000-0000130A0000}"/>
    <cellStyle name="Moneda 22 2 4" xfId="1476" xr:uid="{00000000-0005-0000-0000-0000140A0000}"/>
    <cellStyle name="Moneda 22 2 4 2" xfId="1477" xr:uid="{00000000-0005-0000-0000-0000150A0000}"/>
    <cellStyle name="Moneda 22 2 5" xfId="1478" xr:uid="{00000000-0005-0000-0000-0000160A0000}"/>
    <cellStyle name="Moneda 22 2 5 2" xfId="1479" xr:uid="{00000000-0005-0000-0000-0000170A0000}"/>
    <cellStyle name="Moneda 22 2 6" xfId="1480" xr:uid="{00000000-0005-0000-0000-0000180A0000}"/>
    <cellStyle name="Moneda 22 3" xfId="1481" xr:uid="{00000000-0005-0000-0000-0000190A0000}"/>
    <cellStyle name="Moneda 22 3 2" xfId="1482" xr:uid="{00000000-0005-0000-0000-00001A0A0000}"/>
    <cellStyle name="Moneda 22 3 2 2" xfId="1483" xr:uid="{00000000-0005-0000-0000-00001B0A0000}"/>
    <cellStyle name="Moneda 22 3 3" xfId="1484" xr:uid="{00000000-0005-0000-0000-00001C0A0000}"/>
    <cellStyle name="Moneda 22 3 3 2" xfId="1485" xr:uid="{00000000-0005-0000-0000-00001D0A0000}"/>
    <cellStyle name="Moneda 22 3 4" xfId="1486" xr:uid="{00000000-0005-0000-0000-00001E0A0000}"/>
    <cellStyle name="Moneda 22 3 4 2" xfId="1487" xr:uid="{00000000-0005-0000-0000-00001F0A0000}"/>
    <cellStyle name="Moneda 22 3 5" xfId="1488" xr:uid="{00000000-0005-0000-0000-0000200A0000}"/>
    <cellStyle name="Moneda 22 4" xfId="1489" xr:uid="{00000000-0005-0000-0000-0000210A0000}"/>
    <cellStyle name="Moneda 22 4 2" xfId="1490" xr:uid="{00000000-0005-0000-0000-0000220A0000}"/>
    <cellStyle name="Moneda 22 5" xfId="1491" xr:uid="{00000000-0005-0000-0000-0000230A0000}"/>
    <cellStyle name="Moneda 22 5 2" xfId="1492" xr:uid="{00000000-0005-0000-0000-0000240A0000}"/>
    <cellStyle name="Moneda 22 6" xfId="1493" xr:uid="{00000000-0005-0000-0000-0000250A0000}"/>
    <cellStyle name="Moneda 22 6 2" xfId="1494" xr:uid="{00000000-0005-0000-0000-0000260A0000}"/>
    <cellStyle name="Moneda 22 7" xfId="1495" xr:uid="{00000000-0005-0000-0000-0000270A0000}"/>
    <cellStyle name="Moneda 22 8" xfId="1496" xr:uid="{00000000-0005-0000-0000-0000280A0000}"/>
    <cellStyle name="Moneda 23" xfId="1497" xr:uid="{00000000-0005-0000-0000-0000290A0000}"/>
    <cellStyle name="Moneda 23 2" xfId="1498" xr:uid="{00000000-0005-0000-0000-00002A0A0000}"/>
    <cellStyle name="Moneda 23 2 2" xfId="1499" xr:uid="{00000000-0005-0000-0000-00002B0A0000}"/>
    <cellStyle name="Moneda 23 2 2 2" xfId="1500" xr:uid="{00000000-0005-0000-0000-00002C0A0000}"/>
    <cellStyle name="Moneda 23 2 3" xfId="1501" xr:uid="{00000000-0005-0000-0000-00002D0A0000}"/>
    <cellStyle name="Moneda 23 2 3 2" xfId="1502" xr:uid="{00000000-0005-0000-0000-00002E0A0000}"/>
    <cellStyle name="Moneda 23 2 4" xfId="1503" xr:uid="{00000000-0005-0000-0000-00002F0A0000}"/>
    <cellStyle name="Moneda 23 2 4 2" xfId="1504" xr:uid="{00000000-0005-0000-0000-0000300A0000}"/>
    <cellStyle name="Moneda 23 2 5" xfId="1505" xr:uid="{00000000-0005-0000-0000-0000310A0000}"/>
    <cellStyle name="Moneda 23 3" xfId="1506" xr:uid="{00000000-0005-0000-0000-0000320A0000}"/>
    <cellStyle name="Moneda 23 3 2" xfId="1507" xr:uid="{00000000-0005-0000-0000-0000330A0000}"/>
    <cellStyle name="Moneda 23 4" xfId="1508" xr:uid="{00000000-0005-0000-0000-0000340A0000}"/>
    <cellStyle name="Moneda 23 4 2" xfId="1509" xr:uid="{00000000-0005-0000-0000-0000350A0000}"/>
    <cellStyle name="Moneda 23 5" xfId="1510" xr:uid="{00000000-0005-0000-0000-0000360A0000}"/>
    <cellStyle name="Moneda 23 5 2" xfId="1511" xr:uid="{00000000-0005-0000-0000-0000370A0000}"/>
    <cellStyle name="Moneda 23 6" xfId="1512" xr:uid="{00000000-0005-0000-0000-0000380A0000}"/>
    <cellStyle name="Moneda 23 7" xfId="1513" xr:uid="{00000000-0005-0000-0000-0000390A0000}"/>
    <cellStyle name="Moneda 24" xfId="1514" xr:uid="{00000000-0005-0000-0000-00003A0A0000}"/>
    <cellStyle name="Moneda 24 2" xfId="1515" xr:uid="{00000000-0005-0000-0000-00003B0A0000}"/>
    <cellStyle name="Moneda 24 2 2" xfId="1516" xr:uid="{00000000-0005-0000-0000-00003C0A0000}"/>
    <cellStyle name="Moneda 24 2 2 2" xfId="1517" xr:uid="{00000000-0005-0000-0000-00003D0A0000}"/>
    <cellStyle name="Moneda 24 2 3" xfId="1518" xr:uid="{00000000-0005-0000-0000-00003E0A0000}"/>
    <cellStyle name="Moneda 24 2 3 2" xfId="1519" xr:uid="{00000000-0005-0000-0000-00003F0A0000}"/>
    <cellStyle name="Moneda 24 2 4" xfId="1520" xr:uid="{00000000-0005-0000-0000-0000400A0000}"/>
    <cellStyle name="Moneda 24 2 4 2" xfId="1521" xr:uid="{00000000-0005-0000-0000-0000410A0000}"/>
    <cellStyle name="Moneda 24 2 5" xfId="1522" xr:uid="{00000000-0005-0000-0000-0000420A0000}"/>
    <cellStyle name="Moneda 24 3" xfId="1523" xr:uid="{00000000-0005-0000-0000-0000430A0000}"/>
    <cellStyle name="Moneda 24 3 2" xfId="1524" xr:uid="{00000000-0005-0000-0000-0000440A0000}"/>
    <cellStyle name="Moneda 24 4" xfId="1525" xr:uid="{00000000-0005-0000-0000-0000450A0000}"/>
    <cellStyle name="Moneda 24 4 2" xfId="1526" xr:uid="{00000000-0005-0000-0000-0000460A0000}"/>
    <cellStyle name="Moneda 24 5" xfId="1527" xr:uid="{00000000-0005-0000-0000-0000470A0000}"/>
    <cellStyle name="Moneda 24 5 2" xfId="1528" xr:uid="{00000000-0005-0000-0000-0000480A0000}"/>
    <cellStyle name="Moneda 24 6" xfId="1529" xr:uid="{00000000-0005-0000-0000-0000490A0000}"/>
    <cellStyle name="Moneda 24 7" xfId="1530" xr:uid="{00000000-0005-0000-0000-00004A0A0000}"/>
    <cellStyle name="Moneda 25" xfId="1531" xr:uid="{00000000-0005-0000-0000-00004B0A0000}"/>
    <cellStyle name="Moneda 25 2" xfId="1532" xr:uid="{00000000-0005-0000-0000-00004C0A0000}"/>
    <cellStyle name="Moneda 25 2 2" xfId="1533" xr:uid="{00000000-0005-0000-0000-00004D0A0000}"/>
    <cellStyle name="Moneda 25 3" xfId="1534" xr:uid="{00000000-0005-0000-0000-00004E0A0000}"/>
    <cellStyle name="Moneda 25 3 2" xfId="1535" xr:uid="{00000000-0005-0000-0000-00004F0A0000}"/>
    <cellStyle name="Moneda 25 4" xfId="1536" xr:uid="{00000000-0005-0000-0000-0000500A0000}"/>
    <cellStyle name="Moneda 25 4 2" xfId="1537" xr:uid="{00000000-0005-0000-0000-0000510A0000}"/>
    <cellStyle name="Moneda 25 5" xfId="1538" xr:uid="{00000000-0005-0000-0000-0000520A0000}"/>
    <cellStyle name="Moneda 26" xfId="1539" xr:uid="{00000000-0005-0000-0000-0000530A0000}"/>
    <cellStyle name="Moneda 26 2" xfId="1540" xr:uid="{00000000-0005-0000-0000-0000540A0000}"/>
    <cellStyle name="Moneda 26 2 2" xfId="1541" xr:uid="{00000000-0005-0000-0000-0000550A0000}"/>
    <cellStyle name="Moneda 26 3" xfId="1542" xr:uid="{00000000-0005-0000-0000-0000560A0000}"/>
    <cellStyle name="Moneda 26 3 2" xfId="1543" xr:uid="{00000000-0005-0000-0000-0000570A0000}"/>
    <cellStyle name="Moneda 26 4" xfId="1544" xr:uid="{00000000-0005-0000-0000-0000580A0000}"/>
    <cellStyle name="Moneda 26 4 2" xfId="1545" xr:uid="{00000000-0005-0000-0000-0000590A0000}"/>
    <cellStyle name="Moneda 26 5" xfId="1546" xr:uid="{00000000-0005-0000-0000-00005A0A0000}"/>
    <cellStyle name="Moneda 27" xfId="1547" xr:uid="{00000000-0005-0000-0000-00005B0A0000}"/>
    <cellStyle name="Moneda 27 2" xfId="1548" xr:uid="{00000000-0005-0000-0000-00005C0A0000}"/>
    <cellStyle name="Moneda 27 2 2" xfId="1549" xr:uid="{00000000-0005-0000-0000-00005D0A0000}"/>
    <cellStyle name="Moneda 27 3" xfId="1550" xr:uid="{00000000-0005-0000-0000-00005E0A0000}"/>
    <cellStyle name="Moneda 27 3 2" xfId="1551" xr:uid="{00000000-0005-0000-0000-00005F0A0000}"/>
    <cellStyle name="Moneda 27 4" xfId="1552" xr:uid="{00000000-0005-0000-0000-0000600A0000}"/>
    <cellStyle name="Moneda 27 4 2" xfId="1553" xr:uid="{00000000-0005-0000-0000-0000610A0000}"/>
    <cellStyle name="Moneda 27 5" xfId="1554" xr:uid="{00000000-0005-0000-0000-0000620A0000}"/>
    <cellStyle name="Moneda 28" xfId="1555" xr:uid="{00000000-0005-0000-0000-0000630A0000}"/>
    <cellStyle name="Moneda 28 2" xfId="1556" xr:uid="{00000000-0005-0000-0000-0000640A0000}"/>
    <cellStyle name="Moneda 28 2 2" xfId="1557" xr:uid="{00000000-0005-0000-0000-0000650A0000}"/>
    <cellStyle name="Moneda 28 3" xfId="1558" xr:uid="{00000000-0005-0000-0000-0000660A0000}"/>
    <cellStyle name="Moneda 28 3 2" xfId="1559" xr:uid="{00000000-0005-0000-0000-0000670A0000}"/>
    <cellStyle name="Moneda 28 4" xfId="1560" xr:uid="{00000000-0005-0000-0000-0000680A0000}"/>
    <cellStyle name="Moneda 28 4 2" xfId="1561" xr:uid="{00000000-0005-0000-0000-0000690A0000}"/>
    <cellStyle name="Moneda 28 5" xfId="1562" xr:uid="{00000000-0005-0000-0000-00006A0A0000}"/>
    <cellStyle name="Moneda 29" xfId="1563" xr:uid="{00000000-0005-0000-0000-00006B0A0000}"/>
    <cellStyle name="Moneda 29 2" xfId="1564" xr:uid="{00000000-0005-0000-0000-00006C0A0000}"/>
    <cellStyle name="Moneda 29 2 2" xfId="1565" xr:uid="{00000000-0005-0000-0000-00006D0A0000}"/>
    <cellStyle name="Moneda 29 3" xfId="1566" xr:uid="{00000000-0005-0000-0000-00006E0A0000}"/>
    <cellStyle name="Moneda 29 3 2" xfId="1567" xr:uid="{00000000-0005-0000-0000-00006F0A0000}"/>
    <cellStyle name="Moneda 29 4" xfId="1568" xr:uid="{00000000-0005-0000-0000-0000700A0000}"/>
    <cellStyle name="Moneda 29 4 2" xfId="1569" xr:uid="{00000000-0005-0000-0000-0000710A0000}"/>
    <cellStyle name="Moneda 29 5" xfId="1570" xr:uid="{00000000-0005-0000-0000-0000720A0000}"/>
    <cellStyle name="Moneda 3" xfId="14" xr:uid="{00000000-0005-0000-0000-0000730A0000}"/>
    <cellStyle name="Moneda 3 10" xfId="1571" xr:uid="{00000000-0005-0000-0000-0000740A0000}"/>
    <cellStyle name="Moneda 3 10 2" xfId="1572" xr:uid="{00000000-0005-0000-0000-0000750A0000}"/>
    <cellStyle name="Moneda 3 10 2 2" xfId="1573" xr:uid="{00000000-0005-0000-0000-0000760A0000}"/>
    <cellStyle name="Moneda 3 10 3" xfId="1574" xr:uid="{00000000-0005-0000-0000-0000770A0000}"/>
    <cellStyle name="Moneda 3 10 3 2" xfId="1575" xr:uid="{00000000-0005-0000-0000-0000780A0000}"/>
    <cellStyle name="Moneda 3 10 4" xfId="1576" xr:uid="{00000000-0005-0000-0000-0000790A0000}"/>
    <cellStyle name="Moneda 3 10 4 2" xfId="1577" xr:uid="{00000000-0005-0000-0000-00007A0A0000}"/>
    <cellStyle name="Moneda 3 10 5" xfId="1578" xr:uid="{00000000-0005-0000-0000-00007B0A0000}"/>
    <cellStyle name="Moneda 3 11" xfId="1579" xr:uid="{00000000-0005-0000-0000-00007C0A0000}"/>
    <cellStyle name="Moneda 3 11 2" xfId="1580" xr:uid="{00000000-0005-0000-0000-00007D0A0000}"/>
    <cellStyle name="Moneda 3 12" xfId="1581" xr:uid="{00000000-0005-0000-0000-00007E0A0000}"/>
    <cellStyle name="Moneda 3 12 2" xfId="1582" xr:uid="{00000000-0005-0000-0000-00007F0A0000}"/>
    <cellStyle name="Moneda 3 13" xfId="1583" xr:uid="{00000000-0005-0000-0000-0000800A0000}"/>
    <cellStyle name="Moneda 3 13 2" xfId="1584" xr:uid="{00000000-0005-0000-0000-0000810A0000}"/>
    <cellStyle name="Moneda 3 14" xfId="1585" xr:uid="{00000000-0005-0000-0000-0000820A0000}"/>
    <cellStyle name="Moneda 3 14 2" xfId="1586" xr:uid="{00000000-0005-0000-0000-0000830A0000}"/>
    <cellStyle name="Moneda 3 15" xfId="1587" xr:uid="{00000000-0005-0000-0000-0000840A0000}"/>
    <cellStyle name="Moneda 3 15 2" xfId="1588" xr:uid="{00000000-0005-0000-0000-0000850A0000}"/>
    <cellStyle name="Moneda 3 15 3" xfId="1589" xr:uid="{00000000-0005-0000-0000-0000860A0000}"/>
    <cellStyle name="Moneda 3 15 3 2" xfId="2924" xr:uid="{00000000-0005-0000-0000-0000870A0000}"/>
    <cellStyle name="Moneda 3 15 4" xfId="2993" xr:uid="{00000000-0005-0000-0000-0000880A0000}"/>
    <cellStyle name="Moneda 3 15 4 2" xfId="3195" xr:uid="{00000000-0005-0000-0000-0000890A0000}"/>
    <cellStyle name="Moneda 3 15 4 2 2" xfId="3588" xr:uid="{00000000-0005-0000-0000-00008A0A0000}"/>
    <cellStyle name="Moneda 3 15 4 2 3" xfId="3983" xr:uid="{00000000-0005-0000-0000-00008B0A0000}"/>
    <cellStyle name="Moneda 3 15 4 3" xfId="3394" xr:uid="{00000000-0005-0000-0000-00008C0A0000}"/>
    <cellStyle name="Moneda 3 15 4 4" xfId="3789" xr:uid="{00000000-0005-0000-0000-00008D0A0000}"/>
    <cellStyle name="Moneda 3 15 5" xfId="3099" xr:uid="{00000000-0005-0000-0000-00008E0A0000}"/>
    <cellStyle name="Moneda 3 15 5 2" xfId="3492" xr:uid="{00000000-0005-0000-0000-00008F0A0000}"/>
    <cellStyle name="Moneda 3 15 5 3" xfId="3887" xr:uid="{00000000-0005-0000-0000-0000900A0000}"/>
    <cellStyle name="Moneda 3 15 6" xfId="3298" xr:uid="{00000000-0005-0000-0000-0000910A0000}"/>
    <cellStyle name="Moneda 3 15 7" xfId="3691" xr:uid="{00000000-0005-0000-0000-0000920A0000}"/>
    <cellStyle name="Moneda 3 16" xfId="1590" xr:uid="{00000000-0005-0000-0000-0000930A0000}"/>
    <cellStyle name="Moneda 3 16 2" xfId="2925" xr:uid="{00000000-0005-0000-0000-0000940A0000}"/>
    <cellStyle name="Moneda 3 2" xfId="1591" xr:uid="{00000000-0005-0000-0000-0000950A0000}"/>
    <cellStyle name="Moneda 3 2 10" xfId="1592" xr:uid="{00000000-0005-0000-0000-0000960A0000}"/>
    <cellStyle name="Moneda 3 2 10 2" xfId="1593" xr:uid="{00000000-0005-0000-0000-0000970A0000}"/>
    <cellStyle name="Moneda 3 2 11" xfId="1594" xr:uid="{00000000-0005-0000-0000-0000980A0000}"/>
    <cellStyle name="Moneda 3 2 2" xfId="1595" xr:uid="{00000000-0005-0000-0000-0000990A0000}"/>
    <cellStyle name="Moneda 3 2 2 2" xfId="1596" xr:uid="{00000000-0005-0000-0000-00009A0A0000}"/>
    <cellStyle name="Moneda 3 2 2 2 2" xfId="1597" xr:uid="{00000000-0005-0000-0000-00009B0A0000}"/>
    <cellStyle name="Moneda 3 2 2 2 2 2" xfId="1598" xr:uid="{00000000-0005-0000-0000-00009C0A0000}"/>
    <cellStyle name="Moneda 3 2 2 2 2 2 2" xfId="1599" xr:uid="{00000000-0005-0000-0000-00009D0A0000}"/>
    <cellStyle name="Moneda 3 2 2 2 2 3" xfId="1600" xr:uid="{00000000-0005-0000-0000-00009E0A0000}"/>
    <cellStyle name="Moneda 3 2 2 2 2 3 2" xfId="1601" xr:uid="{00000000-0005-0000-0000-00009F0A0000}"/>
    <cellStyle name="Moneda 3 2 2 2 2 4" xfId="1602" xr:uid="{00000000-0005-0000-0000-0000A00A0000}"/>
    <cellStyle name="Moneda 3 2 2 2 2 4 2" xfId="1603" xr:uid="{00000000-0005-0000-0000-0000A10A0000}"/>
    <cellStyle name="Moneda 3 2 2 2 2 5" xfId="1604" xr:uid="{00000000-0005-0000-0000-0000A20A0000}"/>
    <cellStyle name="Moneda 3 2 2 2 3" xfId="1605" xr:uid="{00000000-0005-0000-0000-0000A30A0000}"/>
    <cellStyle name="Moneda 3 2 2 2 3 2" xfId="1606" xr:uid="{00000000-0005-0000-0000-0000A40A0000}"/>
    <cellStyle name="Moneda 3 2 2 2 4" xfId="1607" xr:uid="{00000000-0005-0000-0000-0000A50A0000}"/>
    <cellStyle name="Moneda 3 2 2 2 4 2" xfId="1608" xr:uid="{00000000-0005-0000-0000-0000A60A0000}"/>
    <cellStyle name="Moneda 3 2 2 2 5" xfId="1609" xr:uid="{00000000-0005-0000-0000-0000A70A0000}"/>
    <cellStyle name="Moneda 3 2 2 2 5 2" xfId="1610" xr:uid="{00000000-0005-0000-0000-0000A80A0000}"/>
    <cellStyle name="Moneda 3 2 2 2 6" xfId="1611" xr:uid="{00000000-0005-0000-0000-0000A90A0000}"/>
    <cellStyle name="Moneda 3 2 2 3" xfId="1612" xr:uid="{00000000-0005-0000-0000-0000AA0A0000}"/>
    <cellStyle name="Moneda 3 2 2 3 2" xfId="1613" xr:uid="{00000000-0005-0000-0000-0000AB0A0000}"/>
    <cellStyle name="Moneda 3 2 2 3 2 2" xfId="1614" xr:uid="{00000000-0005-0000-0000-0000AC0A0000}"/>
    <cellStyle name="Moneda 3 2 2 3 2 2 2" xfId="1615" xr:uid="{00000000-0005-0000-0000-0000AD0A0000}"/>
    <cellStyle name="Moneda 3 2 2 3 2 3" xfId="1616" xr:uid="{00000000-0005-0000-0000-0000AE0A0000}"/>
    <cellStyle name="Moneda 3 2 2 3 3" xfId="1617" xr:uid="{00000000-0005-0000-0000-0000AF0A0000}"/>
    <cellStyle name="Moneda 3 2 2 3 3 2" xfId="1618" xr:uid="{00000000-0005-0000-0000-0000B00A0000}"/>
    <cellStyle name="Moneda 3 2 2 3 4" xfId="1619" xr:uid="{00000000-0005-0000-0000-0000B10A0000}"/>
    <cellStyle name="Moneda 3 2 2 3 4 2" xfId="1620" xr:uid="{00000000-0005-0000-0000-0000B20A0000}"/>
    <cellStyle name="Moneda 3 2 2 3 5" xfId="1621" xr:uid="{00000000-0005-0000-0000-0000B30A0000}"/>
    <cellStyle name="Moneda 3 2 2 4" xfId="1622" xr:uid="{00000000-0005-0000-0000-0000B40A0000}"/>
    <cellStyle name="Moneda 3 2 2 4 2" xfId="1623" xr:uid="{00000000-0005-0000-0000-0000B50A0000}"/>
    <cellStyle name="Moneda 3 2 2 4 2 2" xfId="1624" xr:uid="{00000000-0005-0000-0000-0000B60A0000}"/>
    <cellStyle name="Moneda 3 2 2 4 2 2 2" xfId="1625" xr:uid="{00000000-0005-0000-0000-0000B70A0000}"/>
    <cellStyle name="Moneda 3 2 2 4 2 3" xfId="1626" xr:uid="{00000000-0005-0000-0000-0000B80A0000}"/>
    <cellStyle name="Moneda 3 2 2 4 3" xfId="1627" xr:uid="{00000000-0005-0000-0000-0000B90A0000}"/>
    <cellStyle name="Moneda 3 2 2 4 3 2" xfId="1628" xr:uid="{00000000-0005-0000-0000-0000BA0A0000}"/>
    <cellStyle name="Moneda 3 2 2 4 4" xfId="1629" xr:uid="{00000000-0005-0000-0000-0000BB0A0000}"/>
    <cellStyle name="Moneda 3 2 2 5" xfId="1630" xr:uid="{00000000-0005-0000-0000-0000BC0A0000}"/>
    <cellStyle name="Moneda 3 2 2 5 2" xfId="1631" xr:uid="{00000000-0005-0000-0000-0000BD0A0000}"/>
    <cellStyle name="Moneda 3 2 2 5 2 2" xfId="1632" xr:uid="{00000000-0005-0000-0000-0000BE0A0000}"/>
    <cellStyle name="Moneda 3 2 2 5 3" xfId="1633" xr:uid="{00000000-0005-0000-0000-0000BF0A0000}"/>
    <cellStyle name="Moneda 3 2 2 6" xfId="1634" xr:uid="{00000000-0005-0000-0000-0000C00A0000}"/>
    <cellStyle name="Moneda 3 2 2 6 2" xfId="1635" xr:uid="{00000000-0005-0000-0000-0000C10A0000}"/>
    <cellStyle name="Moneda 3 2 2 7" xfId="1636" xr:uid="{00000000-0005-0000-0000-0000C20A0000}"/>
    <cellStyle name="Moneda 3 2 3" xfId="1637" xr:uid="{00000000-0005-0000-0000-0000C30A0000}"/>
    <cellStyle name="Moneda 3 2 3 2" xfId="1638" xr:uid="{00000000-0005-0000-0000-0000C40A0000}"/>
    <cellStyle name="Moneda 3 2 3 2 2" xfId="1639" xr:uid="{00000000-0005-0000-0000-0000C50A0000}"/>
    <cellStyle name="Moneda 3 2 3 2 2 2" xfId="1640" xr:uid="{00000000-0005-0000-0000-0000C60A0000}"/>
    <cellStyle name="Moneda 3 2 3 2 2 2 2" xfId="1641" xr:uid="{00000000-0005-0000-0000-0000C70A0000}"/>
    <cellStyle name="Moneda 3 2 3 2 2 3" xfId="1642" xr:uid="{00000000-0005-0000-0000-0000C80A0000}"/>
    <cellStyle name="Moneda 3 2 3 2 2 3 2" xfId="1643" xr:uid="{00000000-0005-0000-0000-0000C90A0000}"/>
    <cellStyle name="Moneda 3 2 3 2 2 4" xfId="1644" xr:uid="{00000000-0005-0000-0000-0000CA0A0000}"/>
    <cellStyle name="Moneda 3 2 3 2 2 4 2" xfId="1645" xr:uid="{00000000-0005-0000-0000-0000CB0A0000}"/>
    <cellStyle name="Moneda 3 2 3 2 2 5" xfId="1646" xr:uid="{00000000-0005-0000-0000-0000CC0A0000}"/>
    <cellStyle name="Moneda 3 2 3 2 3" xfId="1647" xr:uid="{00000000-0005-0000-0000-0000CD0A0000}"/>
    <cellStyle name="Moneda 3 2 3 2 3 2" xfId="1648" xr:uid="{00000000-0005-0000-0000-0000CE0A0000}"/>
    <cellStyle name="Moneda 3 2 3 2 4" xfId="1649" xr:uid="{00000000-0005-0000-0000-0000CF0A0000}"/>
    <cellStyle name="Moneda 3 2 3 2 4 2" xfId="1650" xr:uid="{00000000-0005-0000-0000-0000D00A0000}"/>
    <cellStyle name="Moneda 3 2 3 2 5" xfId="1651" xr:uid="{00000000-0005-0000-0000-0000D10A0000}"/>
    <cellStyle name="Moneda 3 2 3 2 5 2" xfId="1652" xr:uid="{00000000-0005-0000-0000-0000D20A0000}"/>
    <cellStyle name="Moneda 3 2 3 2 6" xfId="1653" xr:uid="{00000000-0005-0000-0000-0000D30A0000}"/>
    <cellStyle name="Moneda 3 2 3 3" xfId="1654" xr:uid="{00000000-0005-0000-0000-0000D40A0000}"/>
    <cellStyle name="Moneda 3 2 3 3 2" xfId="1655" xr:uid="{00000000-0005-0000-0000-0000D50A0000}"/>
    <cellStyle name="Moneda 3 2 3 3 2 2" xfId="1656" xr:uid="{00000000-0005-0000-0000-0000D60A0000}"/>
    <cellStyle name="Moneda 3 2 3 3 3" xfId="1657" xr:uid="{00000000-0005-0000-0000-0000D70A0000}"/>
    <cellStyle name="Moneda 3 2 3 3 3 2" xfId="1658" xr:uid="{00000000-0005-0000-0000-0000D80A0000}"/>
    <cellStyle name="Moneda 3 2 3 3 4" xfId="1659" xr:uid="{00000000-0005-0000-0000-0000D90A0000}"/>
    <cellStyle name="Moneda 3 2 3 3 4 2" xfId="1660" xr:uid="{00000000-0005-0000-0000-0000DA0A0000}"/>
    <cellStyle name="Moneda 3 2 3 3 5" xfId="1661" xr:uid="{00000000-0005-0000-0000-0000DB0A0000}"/>
    <cellStyle name="Moneda 3 2 3 4" xfId="1662" xr:uid="{00000000-0005-0000-0000-0000DC0A0000}"/>
    <cellStyle name="Moneda 3 2 3 4 2" xfId="1663" xr:uid="{00000000-0005-0000-0000-0000DD0A0000}"/>
    <cellStyle name="Moneda 3 2 3 5" xfId="1664" xr:uid="{00000000-0005-0000-0000-0000DE0A0000}"/>
    <cellStyle name="Moneda 3 2 3 5 2" xfId="1665" xr:uid="{00000000-0005-0000-0000-0000DF0A0000}"/>
    <cellStyle name="Moneda 3 2 3 6" xfId="1666" xr:uid="{00000000-0005-0000-0000-0000E00A0000}"/>
    <cellStyle name="Moneda 3 2 3 6 2" xfId="1667" xr:uid="{00000000-0005-0000-0000-0000E10A0000}"/>
    <cellStyle name="Moneda 3 2 3 7" xfId="1668" xr:uid="{00000000-0005-0000-0000-0000E20A0000}"/>
    <cellStyle name="Moneda 3 2 4" xfId="1669" xr:uid="{00000000-0005-0000-0000-0000E30A0000}"/>
    <cellStyle name="Moneda 3 2 4 2" xfId="1670" xr:uid="{00000000-0005-0000-0000-0000E40A0000}"/>
    <cellStyle name="Moneda 3 2 4 2 2" xfId="1671" xr:uid="{00000000-0005-0000-0000-0000E50A0000}"/>
    <cellStyle name="Moneda 3 2 4 2 2 2" xfId="1672" xr:uid="{00000000-0005-0000-0000-0000E60A0000}"/>
    <cellStyle name="Moneda 3 2 4 2 2 2 2" xfId="1673" xr:uid="{00000000-0005-0000-0000-0000E70A0000}"/>
    <cellStyle name="Moneda 3 2 4 2 2 3" xfId="1674" xr:uid="{00000000-0005-0000-0000-0000E80A0000}"/>
    <cellStyle name="Moneda 3 2 4 2 2 3 2" xfId="1675" xr:uid="{00000000-0005-0000-0000-0000E90A0000}"/>
    <cellStyle name="Moneda 3 2 4 2 2 4" xfId="1676" xr:uid="{00000000-0005-0000-0000-0000EA0A0000}"/>
    <cellStyle name="Moneda 3 2 4 2 2 4 2" xfId="1677" xr:uid="{00000000-0005-0000-0000-0000EB0A0000}"/>
    <cellStyle name="Moneda 3 2 4 2 2 5" xfId="1678" xr:uid="{00000000-0005-0000-0000-0000EC0A0000}"/>
    <cellStyle name="Moneda 3 2 4 2 3" xfId="1679" xr:uid="{00000000-0005-0000-0000-0000ED0A0000}"/>
    <cellStyle name="Moneda 3 2 4 2 3 2" xfId="1680" xr:uid="{00000000-0005-0000-0000-0000EE0A0000}"/>
    <cellStyle name="Moneda 3 2 4 2 4" xfId="1681" xr:uid="{00000000-0005-0000-0000-0000EF0A0000}"/>
    <cellStyle name="Moneda 3 2 4 2 4 2" xfId="1682" xr:uid="{00000000-0005-0000-0000-0000F00A0000}"/>
    <cellStyle name="Moneda 3 2 4 2 5" xfId="1683" xr:uid="{00000000-0005-0000-0000-0000F10A0000}"/>
    <cellStyle name="Moneda 3 2 4 2 5 2" xfId="1684" xr:uid="{00000000-0005-0000-0000-0000F20A0000}"/>
    <cellStyle name="Moneda 3 2 4 2 6" xfId="1685" xr:uid="{00000000-0005-0000-0000-0000F30A0000}"/>
    <cellStyle name="Moneda 3 2 4 3" xfId="1686" xr:uid="{00000000-0005-0000-0000-0000F40A0000}"/>
    <cellStyle name="Moneda 3 2 4 3 2" xfId="1687" xr:uid="{00000000-0005-0000-0000-0000F50A0000}"/>
    <cellStyle name="Moneda 3 2 4 3 2 2" xfId="1688" xr:uid="{00000000-0005-0000-0000-0000F60A0000}"/>
    <cellStyle name="Moneda 3 2 4 3 3" xfId="1689" xr:uid="{00000000-0005-0000-0000-0000F70A0000}"/>
    <cellStyle name="Moneda 3 2 4 3 3 2" xfId="1690" xr:uid="{00000000-0005-0000-0000-0000F80A0000}"/>
    <cellStyle name="Moneda 3 2 4 3 4" xfId="1691" xr:uid="{00000000-0005-0000-0000-0000F90A0000}"/>
    <cellStyle name="Moneda 3 2 4 3 4 2" xfId="1692" xr:uid="{00000000-0005-0000-0000-0000FA0A0000}"/>
    <cellStyle name="Moneda 3 2 4 3 5" xfId="1693" xr:uid="{00000000-0005-0000-0000-0000FB0A0000}"/>
    <cellStyle name="Moneda 3 2 4 4" xfId="1694" xr:uid="{00000000-0005-0000-0000-0000FC0A0000}"/>
    <cellStyle name="Moneda 3 2 4 4 2" xfId="1695" xr:uid="{00000000-0005-0000-0000-0000FD0A0000}"/>
    <cellStyle name="Moneda 3 2 4 5" xfId="1696" xr:uid="{00000000-0005-0000-0000-0000FE0A0000}"/>
    <cellStyle name="Moneda 3 2 4 5 2" xfId="1697" xr:uid="{00000000-0005-0000-0000-0000FF0A0000}"/>
    <cellStyle name="Moneda 3 2 4 6" xfId="1698" xr:uid="{00000000-0005-0000-0000-0000000B0000}"/>
    <cellStyle name="Moneda 3 2 4 6 2" xfId="1699" xr:uid="{00000000-0005-0000-0000-0000010B0000}"/>
    <cellStyle name="Moneda 3 2 4 7" xfId="1700" xr:uid="{00000000-0005-0000-0000-0000020B0000}"/>
    <cellStyle name="Moneda 3 2 5" xfId="1701" xr:uid="{00000000-0005-0000-0000-0000030B0000}"/>
    <cellStyle name="Moneda 3 2 5 2" xfId="1702" xr:uid="{00000000-0005-0000-0000-0000040B0000}"/>
    <cellStyle name="Moneda 3 2 5 2 2" xfId="1703" xr:uid="{00000000-0005-0000-0000-0000050B0000}"/>
    <cellStyle name="Moneda 3 2 5 2 2 2" xfId="1704" xr:uid="{00000000-0005-0000-0000-0000060B0000}"/>
    <cellStyle name="Moneda 3 2 5 2 3" xfId="1705" xr:uid="{00000000-0005-0000-0000-0000070B0000}"/>
    <cellStyle name="Moneda 3 2 5 2 3 2" xfId="1706" xr:uid="{00000000-0005-0000-0000-0000080B0000}"/>
    <cellStyle name="Moneda 3 2 5 2 4" xfId="1707" xr:uid="{00000000-0005-0000-0000-0000090B0000}"/>
    <cellStyle name="Moneda 3 2 5 2 4 2" xfId="1708" xr:uid="{00000000-0005-0000-0000-00000A0B0000}"/>
    <cellStyle name="Moneda 3 2 5 2 5" xfId="1709" xr:uid="{00000000-0005-0000-0000-00000B0B0000}"/>
    <cellStyle name="Moneda 3 2 5 3" xfId="1710" xr:uid="{00000000-0005-0000-0000-00000C0B0000}"/>
    <cellStyle name="Moneda 3 2 5 3 2" xfId="1711" xr:uid="{00000000-0005-0000-0000-00000D0B0000}"/>
    <cellStyle name="Moneda 3 2 5 4" xfId="1712" xr:uid="{00000000-0005-0000-0000-00000E0B0000}"/>
    <cellStyle name="Moneda 3 2 5 4 2" xfId="1713" xr:uid="{00000000-0005-0000-0000-00000F0B0000}"/>
    <cellStyle name="Moneda 3 2 5 5" xfId="1714" xr:uid="{00000000-0005-0000-0000-0000100B0000}"/>
    <cellStyle name="Moneda 3 2 5 5 2" xfId="1715" xr:uid="{00000000-0005-0000-0000-0000110B0000}"/>
    <cellStyle name="Moneda 3 2 5 6" xfId="1716" xr:uid="{00000000-0005-0000-0000-0000120B0000}"/>
    <cellStyle name="Moneda 3 2 6" xfId="1717" xr:uid="{00000000-0005-0000-0000-0000130B0000}"/>
    <cellStyle name="Moneda 3 2 6 2" xfId="1718" xr:uid="{00000000-0005-0000-0000-0000140B0000}"/>
    <cellStyle name="Moneda 3 2 6 2 2" xfId="1719" xr:uid="{00000000-0005-0000-0000-0000150B0000}"/>
    <cellStyle name="Moneda 3 2 6 2 3" xfId="1720" xr:uid="{00000000-0005-0000-0000-0000160B0000}"/>
    <cellStyle name="Moneda 3 2 6 2 3 2" xfId="2926" xr:uid="{00000000-0005-0000-0000-0000170B0000}"/>
    <cellStyle name="Moneda 3 2 6 3" xfId="1721" xr:uid="{00000000-0005-0000-0000-0000180B0000}"/>
    <cellStyle name="Moneda 3 2 6 4" xfId="1722" xr:uid="{00000000-0005-0000-0000-0000190B0000}"/>
    <cellStyle name="Moneda 3 2 6 4 2" xfId="2927" xr:uid="{00000000-0005-0000-0000-00001A0B0000}"/>
    <cellStyle name="Moneda 3 2 7" xfId="1723" xr:uid="{00000000-0005-0000-0000-00001B0B0000}"/>
    <cellStyle name="Moneda 3 2 7 2" xfId="1724" xr:uid="{00000000-0005-0000-0000-00001C0B0000}"/>
    <cellStyle name="Moneda 3 2 7 2 2" xfId="1725" xr:uid="{00000000-0005-0000-0000-00001D0B0000}"/>
    <cellStyle name="Moneda 3 2 7 3" xfId="1726" xr:uid="{00000000-0005-0000-0000-00001E0B0000}"/>
    <cellStyle name="Moneda 3 2 7 3 2" xfId="1727" xr:uid="{00000000-0005-0000-0000-00001F0B0000}"/>
    <cellStyle name="Moneda 3 2 7 4" xfId="1728" xr:uid="{00000000-0005-0000-0000-0000200B0000}"/>
    <cellStyle name="Moneda 3 2 7 4 2" xfId="1729" xr:uid="{00000000-0005-0000-0000-0000210B0000}"/>
    <cellStyle name="Moneda 3 2 7 5" xfId="1730" xr:uid="{00000000-0005-0000-0000-0000220B0000}"/>
    <cellStyle name="Moneda 3 2 8" xfId="1731" xr:uid="{00000000-0005-0000-0000-0000230B0000}"/>
    <cellStyle name="Moneda 3 2 8 2" xfId="1732" xr:uid="{00000000-0005-0000-0000-0000240B0000}"/>
    <cellStyle name="Moneda 3 2 8 3" xfId="1733" xr:uid="{00000000-0005-0000-0000-0000250B0000}"/>
    <cellStyle name="Moneda 3 2 8 4" xfId="2928" xr:uid="{00000000-0005-0000-0000-0000260B0000}"/>
    <cellStyle name="Moneda 3 2 9" xfId="1734" xr:uid="{00000000-0005-0000-0000-0000270B0000}"/>
    <cellStyle name="Moneda 3 2 9 2" xfId="1735" xr:uid="{00000000-0005-0000-0000-0000280B0000}"/>
    <cellStyle name="Moneda 3 3" xfId="1736" xr:uid="{00000000-0005-0000-0000-0000290B0000}"/>
    <cellStyle name="Moneda 3 3 2" xfId="1737" xr:uid="{00000000-0005-0000-0000-00002A0B0000}"/>
    <cellStyle name="Moneda 3 3 2 2" xfId="1738" xr:uid="{00000000-0005-0000-0000-00002B0B0000}"/>
    <cellStyle name="Moneda 3 3 2 2 2" xfId="1739" xr:uid="{00000000-0005-0000-0000-00002C0B0000}"/>
    <cellStyle name="Moneda 3 3 2 2 2 2" xfId="1740" xr:uid="{00000000-0005-0000-0000-00002D0B0000}"/>
    <cellStyle name="Moneda 3 3 2 2 3" xfId="1741" xr:uid="{00000000-0005-0000-0000-00002E0B0000}"/>
    <cellStyle name="Moneda 3 3 2 2 3 2" xfId="1742" xr:uid="{00000000-0005-0000-0000-00002F0B0000}"/>
    <cellStyle name="Moneda 3 3 2 2 4" xfId="1743" xr:uid="{00000000-0005-0000-0000-0000300B0000}"/>
    <cellStyle name="Moneda 3 3 2 2 4 2" xfId="1744" xr:uid="{00000000-0005-0000-0000-0000310B0000}"/>
    <cellStyle name="Moneda 3 3 2 2 5" xfId="1745" xr:uid="{00000000-0005-0000-0000-0000320B0000}"/>
    <cellStyle name="Moneda 3 3 2 3" xfId="1746" xr:uid="{00000000-0005-0000-0000-0000330B0000}"/>
    <cellStyle name="Moneda 3 3 2 3 2" xfId="1747" xr:uid="{00000000-0005-0000-0000-0000340B0000}"/>
    <cellStyle name="Moneda 3 3 2 4" xfId="1748" xr:uid="{00000000-0005-0000-0000-0000350B0000}"/>
    <cellStyle name="Moneda 3 3 2 4 2" xfId="1749" xr:uid="{00000000-0005-0000-0000-0000360B0000}"/>
    <cellStyle name="Moneda 3 3 2 5" xfId="1750" xr:uid="{00000000-0005-0000-0000-0000370B0000}"/>
    <cellStyle name="Moneda 3 3 2 5 2" xfId="1751" xr:uid="{00000000-0005-0000-0000-0000380B0000}"/>
    <cellStyle name="Moneda 3 3 2 6" xfId="1752" xr:uid="{00000000-0005-0000-0000-0000390B0000}"/>
    <cellStyle name="Moneda 3 3 2 7" xfId="1753" xr:uid="{00000000-0005-0000-0000-00003A0B0000}"/>
    <cellStyle name="Moneda 3 3 3" xfId="1754" xr:uid="{00000000-0005-0000-0000-00003B0B0000}"/>
    <cellStyle name="Moneda 3 3 3 2" xfId="1755" xr:uid="{00000000-0005-0000-0000-00003C0B0000}"/>
    <cellStyle name="Moneda 3 3 3 2 2" xfId="1756" xr:uid="{00000000-0005-0000-0000-00003D0B0000}"/>
    <cellStyle name="Moneda 3 3 3 3" xfId="1757" xr:uid="{00000000-0005-0000-0000-00003E0B0000}"/>
    <cellStyle name="Moneda 3 3 3 3 2" xfId="1758" xr:uid="{00000000-0005-0000-0000-00003F0B0000}"/>
    <cellStyle name="Moneda 3 3 3 4" xfId="1759" xr:uid="{00000000-0005-0000-0000-0000400B0000}"/>
    <cellStyle name="Moneda 3 3 3 4 2" xfId="1760" xr:uid="{00000000-0005-0000-0000-0000410B0000}"/>
    <cellStyle name="Moneda 3 3 3 5" xfId="1761" xr:uid="{00000000-0005-0000-0000-0000420B0000}"/>
    <cellStyle name="Moneda 3 3 4" xfId="1762" xr:uid="{00000000-0005-0000-0000-0000430B0000}"/>
    <cellStyle name="Moneda 3 3 4 2" xfId="1763" xr:uid="{00000000-0005-0000-0000-0000440B0000}"/>
    <cellStyle name="Moneda 3 3 5" xfId="1764" xr:uid="{00000000-0005-0000-0000-0000450B0000}"/>
    <cellStyle name="Moneda 3 3 5 2" xfId="1765" xr:uid="{00000000-0005-0000-0000-0000460B0000}"/>
    <cellStyle name="Moneda 3 3 6" xfId="1766" xr:uid="{00000000-0005-0000-0000-0000470B0000}"/>
    <cellStyle name="Moneda 3 3 6 2" xfId="1767" xr:uid="{00000000-0005-0000-0000-0000480B0000}"/>
    <cellStyle name="Moneda 3 3 7" xfId="1768" xr:uid="{00000000-0005-0000-0000-0000490B0000}"/>
    <cellStyle name="Moneda 3 3 8" xfId="1769" xr:uid="{00000000-0005-0000-0000-00004A0B0000}"/>
    <cellStyle name="Moneda 3 4" xfId="1770" xr:uid="{00000000-0005-0000-0000-00004B0B0000}"/>
    <cellStyle name="Moneda 3 4 2" xfId="1771" xr:uid="{00000000-0005-0000-0000-00004C0B0000}"/>
    <cellStyle name="Moneda 3 4 2 2" xfId="1772" xr:uid="{00000000-0005-0000-0000-00004D0B0000}"/>
    <cellStyle name="Moneda 3 4 2 2 2" xfId="1773" xr:uid="{00000000-0005-0000-0000-00004E0B0000}"/>
    <cellStyle name="Moneda 3 4 2 2 2 2" xfId="1774" xr:uid="{00000000-0005-0000-0000-00004F0B0000}"/>
    <cellStyle name="Moneda 3 4 2 2 3" xfId="1775" xr:uid="{00000000-0005-0000-0000-0000500B0000}"/>
    <cellStyle name="Moneda 3 4 2 2 3 2" xfId="1776" xr:uid="{00000000-0005-0000-0000-0000510B0000}"/>
    <cellStyle name="Moneda 3 4 2 2 4" xfId="1777" xr:uid="{00000000-0005-0000-0000-0000520B0000}"/>
    <cellStyle name="Moneda 3 4 2 2 4 2" xfId="1778" xr:uid="{00000000-0005-0000-0000-0000530B0000}"/>
    <cellStyle name="Moneda 3 4 2 2 5" xfId="1779" xr:uid="{00000000-0005-0000-0000-0000540B0000}"/>
    <cellStyle name="Moneda 3 4 2 3" xfId="1780" xr:uid="{00000000-0005-0000-0000-0000550B0000}"/>
    <cellStyle name="Moneda 3 4 2 3 2" xfId="1781" xr:uid="{00000000-0005-0000-0000-0000560B0000}"/>
    <cellStyle name="Moneda 3 4 2 4" xfId="1782" xr:uid="{00000000-0005-0000-0000-0000570B0000}"/>
    <cellStyle name="Moneda 3 4 2 4 2" xfId="1783" xr:uid="{00000000-0005-0000-0000-0000580B0000}"/>
    <cellStyle name="Moneda 3 4 2 5" xfId="1784" xr:uid="{00000000-0005-0000-0000-0000590B0000}"/>
    <cellStyle name="Moneda 3 4 2 5 2" xfId="1785" xr:uid="{00000000-0005-0000-0000-00005A0B0000}"/>
    <cellStyle name="Moneda 3 4 2 6" xfId="1786" xr:uid="{00000000-0005-0000-0000-00005B0B0000}"/>
    <cellStyle name="Moneda 3 4 3" xfId="1787" xr:uid="{00000000-0005-0000-0000-00005C0B0000}"/>
    <cellStyle name="Moneda 3 4 3 2" xfId="1788" xr:uid="{00000000-0005-0000-0000-00005D0B0000}"/>
    <cellStyle name="Moneda 3 4 3 2 2" xfId="1789" xr:uid="{00000000-0005-0000-0000-00005E0B0000}"/>
    <cellStyle name="Moneda 3 4 3 3" xfId="1790" xr:uid="{00000000-0005-0000-0000-00005F0B0000}"/>
    <cellStyle name="Moneda 3 4 3 3 2" xfId="1791" xr:uid="{00000000-0005-0000-0000-0000600B0000}"/>
    <cellStyle name="Moneda 3 4 3 4" xfId="1792" xr:uid="{00000000-0005-0000-0000-0000610B0000}"/>
    <cellStyle name="Moneda 3 4 3 4 2" xfId="1793" xr:uid="{00000000-0005-0000-0000-0000620B0000}"/>
    <cellStyle name="Moneda 3 4 3 5" xfId="1794" xr:uid="{00000000-0005-0000-0000-0000630B0000}"/>
    <cellStyle name="Moneda 3 4 4" xfId="1795" xr:uid="{00000000-0005-0000-0000-0000640B0000}"/>
    <cellStyle name="Moneda 3 4 4 2" xfId="1796" xr:uid="{00000000-0005-0000-0000-0000650B0000}"/>
    <cellStyle name="Moneda 3 4 5" xfId="1797" xr:uid="{00000000-0005-0000-0000-0000660B0000}"/>
    <cellStyle name="Moneda 3 4 5 2" xfId="1798" xr:uid="{00000000-0005-0000-0000-0000670B0000}"/>
    <cellStyle name="Moneda 3 4 6" xfId="1799" xr:uid="{00000000-0005-0000-0000-0000680B0000}"/>
    <cellStyle name="Moneda 3 4 6 2" xfId="1800" xr:uid="{00000000-0005-0000-0000-0000690B0000}"/>
    <cellStyle name="Moneda 3 4 7" xfId="1801" xr:uid="{00000000-0005-0000-0000-00006A0B0000}"/>
    <cellStyle name="Moneda 3 5" xfId="1802" xr:uid="{00000000-0005-0000-0000-00006B0B0000}"/>
    <cellStyle name="Moneda 3 5 10" xfId="3100" xr:uid="{00000000-0005-0000-0000-00006C0B0000}"/>
    <cellStyle name="Moneda 3 5 10 2" xfId="3493" xr:uid="{00000000-0005-0000-0000-00006D0B0000}"/>
    <cellStyle name="Moneda 3 5 10 3" xfId="3888" xr:uid="{00000000-0005-0000-0000-00006E0B0000}"/>
    <cellStyle name="Moneda 3 5 11" xfId="3299" xr:uid="{00000000-0005-0000-0000-00006F0B0000}"/>
    <cellStyle name="Moneda 3 5 12" xfId="3692" xr:uid="{00000000-0005-0000-0000-0000700B0000}"/>
    <cellStyle name="Moneda 3 5 2" xfId="1803" xr:uid="{00000000-0005-0000-0000-0000710B0000}"/>
    <cellStyle name="Moneda 3 5 2 2" xfId="1804" xr:uid="{00000000-0005-0000-0000-0000720B0000}"/>
    <cellStyle name="Moneda 3 5 2 2 2" xfId="1805" xr:uid="{00000000-0005-0000-0000-0000730B0000}"/>
    <cellStyle name="Moneda 3 5 2 2 2 2" xfId="1806" xr:uid="{00000000-0005-0000-0000-0000740B0000}"/>
    <cellStyle name="Moneda 3 5 2 2 3" xfId="1807" xr:uid="{00000000-0005-0000-0000-0000750B0000}"/>
    <cellStyle name="Moneda 3 5 2 2 3 2" xfId="1808" xr:uid="{00000000-0005-0000-0000-0000760B0000}"/>
    <cellStyle name="Moneda 3 5 2 2 4" xfId="1809" xr:uid="{00000000-0005-0000-0000-0000770B0000}"/>
    <cellStyle name="Moneda 3 5 2 2 4 2" xfId="1810" xr:uid="{00000000-0005-0000-0000-0000780B0000}"/>
    <cellStyle name="Moneda 3 5 2 2 5" xfId="1811" xr:uid="{00000000-0005-0000-0000-0000790B0000}"/>
    <cellStyle name="Moneda 3 5 2 3" xfId="1812" xr:uid="{00000000-0005-0000-0000-00007A0B0000}"/>
    <cellStyle name="Moneda 3 5 2 3 2" xfId="1813" xr:uid="{00000000-0005-0000-0000-00007B0B0000}"/>
    <cellStyle name="Moneda 3 5 2 4" xfId="1814" xr:uid="{00000000-0005-0000-0000-00007C0B0000}"/>
    <cellStyle name="Moneda 3 5 2 4 2" xfId="1815" xr:uid="{00000000-0005-0000-0000-00007D0B0000}"/>
    <cellStyle name="Moneda 3 5 2 5" xfId="1816" xr:uid="{00000000-0005-0000-0000-00007E0B0000}"/>
    <cellStyle name="Moneda 3 5 2 5 2" xfId="1817" xr:uid="{00000000-0005-0000-0000-00007F0B0000}"/>
    <cellStyle name="Moneda 3 5 2 6" xfId="1818" xr:uid="{00000000-0005-0000-0000-0000800B0000}"/>
    <cellStyle name="Moneda 3 5 3" xfId="1819" xr:uid="{00000000-0005-0000-0000-0000810B0000}"/>
    <cellStyle name="Moneda 3 5 3 2" xfId="1820" xr:uid="{00000000-0005-0000-0000-0000820B0000}"/>
    <cellStyle name="Moneda 3 5 3 2 2" xfId="1821" xr:uid="{00000000-0005-0000-0000-0000830B0000}"/>
    <cellStyle name="Moneda 3 5 3 3" xfId="1822" xr:uid="{00000000-0005-0000-0000-0000840B0000}"/>
    <cellStyle name="Moneda 3 5 3 3 2" xfId="1823" xr:uid="{00000000-0005-0000-0000-0000850B0000}"/>
    <cellStyle name="Moneda 3 5 3 4" xfId="1824" xr:uid="{00000000-0005-0000-0000-0000860B0000}"/>
    <cellStyle name="Moneda 3 5 3 4 2" xfId="1825" xr:uid="{00000000-0005-0000-0000-0000870B0000}"/>
    <cellStyle name="Moneda 3 5 3 5" xfId="1826" xr:uid="{00000000-0005-0000-0000-0000880B0000}"/>
    <cellStyle name="Moneda 3 5 4" xfId="1827" xr:uid="{00000000-0005-0000-0000-0000890B0000}"/>
    <cellStyle name="Moneda 3 5 4 2" xfId="1828" xr:uid="{00000000-0005-0000-0000-00008A0B0000}"/>
    <cellStyle name="Moneda 3 5 5" xfId="1829" xr:uid="{00000000-0005-0000-0000-00008B0B0000}"/>
    <cellStyle name="Moneda 3 5 5 2" xfId="1830" xr:uid="{00000000-0005-0000-0000-00008C0B0000}"/>
    <cellStyle name="Moneda 3 5 6" xfId="1831" xr:uid="{00000000-0005-0000-0000-00008D0B0000}"/>
    <cellStyle name="Moneda 3 5 6 2" xfId="1832" xr:uid="{00000000-0005-0000-0000-00008E0B0000}"/>
    <cellStyle name="Moneda 3 5 7" xfId="1833" xr:uid="{00000000-0005-0000-0000-00008F0B0000}"/>
    <cellStyle name="Moneda 3 5 8" xfId="1834" xr:uid="{00000000-0005-0000-0000-0000900B0000}"/>
    <cellStyle name="Moneda 3 5 9" xfId="2994" xr:uid="{00000000-0005-0000-0000-0000910B0000}"/>
    <cellStyle name="Moneda 3 5 9 2" xfId="3196" xr:uid="{00000000-0005-0000-0000-0000920B0000}"/>
    <cellStyle name="Moneda 3 5 9 2 2" xfId="3589" xr:uid="{00000000-0005-0000-0000-0000930B0000}"/>
    <cellStyle name="Moneda 3 5 9 2 3" xfId="3984" xr:uid="{00000000-0005-0000-0000-0000940B0000}"/>
    <cellStyle name="Moneda 3 5 9 3" xfId="3395" xr:uid="{00000000-0005-0000-0000-0000950B0000}"/>
    <cellStyle name="Moneda 3 5 9 4" xfId="3790" xr:uid="{00000000-0005-0000-0000-0000960B0000}"/>
    <cellStyle name="Moneda 3 6" xfId="1835" xr:uid="{00000000-0005-0000-0000-0000970B0000}"/>
    <cellStyle name="Moneda 3 6 2" xfId="1836" xr:uid="{00000000-0005-0000-0000-0000980B0000}"/>
    <cellStyle name="Moneda 3 6 2 2" xfId="1837" xr:uid="{00000000-0005-0000-0000-0000990B0000}"/>
    <cellStyle name="Moneda 3 6 2 2 2" xfId="1838" xr:uid="{00000000-0005-0000-0000-00009A0B0000}"/>
    <cellStyle name="Moneda 3 6 2 2 2 2" xfId="2932" xr:uid="{00000000-0005-0000-0000-00009B0B0000}"/>
    <cellStyle name="Moneda 3 6 2 2 3" xfId="2931" xr:uid="{00000000-0005-0000-0000-00009C0B0000}"/>
    <cellStyle name="Moneda 3 6 2 3" xfId="1839" xr:uid="{00000000-0005-0000-0000-00009D0B0000}"/>
    <cellStyle name="Moneda 3 6 2 3 2" xfId="2933" xr:uid="{00000000-0005-0000-0000-00009E0B0000}"/>
    <cellStyle name="Moneda 3 6 2 4" xfId="2930" xr:uid="{00000000-0005-0000-0000-00009F0B0000}"/>
    <cellStyle name="Moneda 3 6 3" xfId="1840" xr:uid="{00000000-0005-0000-0000-0000A00B0000}"/>
    <cellStyle name="Moneda 3 6 3 2" xfId="2934" xr:uid="{00000000-0005-0000-0000-0000A10B0000}"/>
    <cellStyle name="Moneda 3 6 4" xfId="2929" xr:uid="{00000000-0005-0000-0000-0000A20B0000}"/>
    <cellStyle name="Moneda 3 7" xfId="1841" xr:uid="{00000000-0005-0000-0000-0000A30B0000}"/>
    <cellStyle name="Moneda 3 7 2" xfId="1842" xr:uid="{00000000-0005-0000-0000-0000A40B0000}"/>
    <cellStyle name="Moneda 3 7 2 2" xfId="1843" xr:uid="{00000000-0005-0000-0000-0000A50B0000}"/>
    <cellStyle name="Moneda 3 7 2 2 2" xfId="2937" xr:uid="{00000000-0005-0000-0000-0000A60B0000}"/>
    <cellStyle name="Moneda 3 7 2 3" xfId="2936" xr:uid="{00000000-0005-0000-0000-0000A70B0000}"/>
    <cellStyle name="Moneda 3 7 3" xfId="1844" xr:uid="{00000000-0005-0000-0000-0000A80B0000}"/>
    <cellStyle name="Moneda 3 7 3 2" xfId="2938" xr:uid="{00000000-0005-0000-0000-0000A90B0000}"/>
    <cellStyle name="Moneda 3 7 4" xfId="2935" xr:uid="{00000000-0005-0000-0000-0000AA0B0000}"/>
    <cellStyle name="Moneda 3 8" xfId="1845" xr:uid="{00000000-0005-0000-0000-0000AB0B0000}"/>
    <cellStyle name="Moneda 3 8 2" xfId="1846" xr:uid="{00000000-0005-0000-0000-0000AC0B0000}"/>
    <cellStyle name="Moneda 3 8 2 2" xfId="1847" xr:uid="{00000000-0005-0000-0000-0000AD0B0000}"/>
    <cellStyle name="Moneda 3 8 2 2 2" xfId="1848" xr:uid="{00000000-0005-0000-0000-0000AE0B0000}"/>
    <cellStyle name="Moneda 3 8 2 3" xfId="1849" xr:uid="{00000000-0005-0000-0000-0000AF0B0000}"/>
    <cellStyle name="Moneda 3 8 2 3 2" xfId="1850" xr:uid="{00000000-0005-0000-0000-0000B00B0000}"/>
    <cellStyle name="Moneda 3 8 2 4" xfId="1851" xr:uid="{00000000-0005-0000-0000-0000B10B0000}"/>
    <cellStyle name="Moneda 3 8 2 4 2" xfId="1852" xr:uid="{00000000-0005-0000-0000-0000B20B0000}"/>
    <cellStyle name="Moneda 3 8 2 5" xfId="1853" xr:uid="{00000000-0005-0000-0000-0000B30B0000}"/>
    <cellStyle name="Moneda 3 8 3" xfId="1854" xr:uid="{00000000-0005-0000-0000-0000B40B0000}"/>
    <cellStyle name="Moneda 3 8 3 2" xfId="1855" xr:uid="{00000000-0005-0000-0000-0000B50B0000}"/>
    <cellStyle name="Moneda 3 8 4" xfId="1856" xr:uid="{00000000-0005-0000-0000-0000B60B0000}"/>
    <cellStyle name="Moneda 3 8 4 2" xfId="1857" xr:uid="{00000000-0005-0000-0000-0000B70B0000}"/>
    <cellStyle name="Moneda 3 8 5" xfId="1858" xr:uid="{00000000-0005-0000-0000-0000B80B0000}"/>
    <cellStyle name="Moneda 3 8 5 2" xfId="1859" xr:uid="{00000000-0005-0000-0000-0000B90B0000}"/>
    <cellStyle name="Moneda 3 8 6" xfId="1860" xr:uid="{00000000-0005-0000-0000-0000BA0B0000}"/>
    <cellStyle name="Moneda 3 9" xfId="1861" xr:uid="{00000000-0005-0000-0000-0000BB0B0000}"/>
    <cellStyle name="Moneda 3 9 2" xfId="1862" xr:uid="{00000000-0005-0000-0000-0000BC0B0000}"/>
    <cellStyle name="Moneda 3 9 2 2" xfId="2940" xr:uid="{00000000-0005-0000-0000-0000BD0B0000}"/>
    <cellStyle name="Moneda 3 9 3" xfId="2939" xr:uid="{00000000-0005-0000-0000-0000BE0B0000}"/>
    <cellStyle name="Moneda 30" xfId="1863" xr:uid="{00000000-0005-0000-0000-0000BF0B0000}"/>
    <cellStyle name="Moneda 30 2" xfId="1864" xr:uid="{00000000-0005-0000-0000-0000C00B0000}"/>
    <cellStyle name="Moneda 30 2 2" xfId="1865" xr:uid="{00000000-0005-0000-0000-0000C10B0000}"/>
    <cellStyle name="Moneda 30 3" xfId="1866" xr:uid="{00000000-0005-0000-0000-0000C20B0000}"/>
    <cellStyle name="Moneda 30 3 2" xfId="1867" xr:uid="{00000000-0005-0000-0000-0000C30B0000}"/>
    <cellStyle name="Moneda 30 4" xfId="1868" xr:uid="{00000000-0005-0000-0000-0000C40B0000}"/>
    <cellStyle name="Moneda 30 4 2" xfId="1869" xr:uid="{00000000-0005-0000-0000-0000C50B0000}"/>
    <cellStyle name="Moneda 30 5" xfId="1870" xr:uid="{00000000-0005-0000-0000-0000C60B0000}"/>
    <cellStyle name="Moneda 31" xfId="1871" xr:uid="{00000000-0005-0000-0000-0000C70B0000}"/>
    <cellStyle name="Moneda 31 2" xfId="1872" xr:uid="{00000000-0005-0000-0000-0000C80B0000}"/>
    <cellStyle name="Moneda 32" xfId="1873" xr:uid="{00000000-0005-0000-0000-0000C90B0000}"/>
    <cellStyle name="Moneda 32 2" xfId="1874" xr:uid="{00000000-0005-0000-0000-0000CA0B0000}"/>
    <cellStyle name="Moneda 33" xfId="1875" xr:uid="{00000000-0005-0000-0000-0000CB0B0000}"/>
    <cellStyle name="Moneda 33 2" xfId="1876" xr:uid="{00000000-0005-0000-0000-0000CC0B0000}"/>
    <cellStyle name="Moneda 34" xfId="1877" xr:uid="{00000000-0005-0000-0000-0000CD0B0000}"/>
    <cellStyle name="Moneda 34 2" xfId="1878" xr:uid="{00000000-0005-0000-0000-0000CE0B0000}"/>
    <cellStyle name="Moneda 35" xfId="1879" xr:uid="{00000000-0005-0000-0000-0000CF0B0000}"/>
    <cellStyle name="Moneda 35 2" xfId="1880" xr:uid="{00000000-0005-0000-0000-0000D00B0000}"/>
    <cellStyle name="Moneda 36" xfId="1881" xr:uid="{00000000-0005-0000-0000-0000D10B0000}"/>
    <cellStyle name="Moneda 36 2" xfId="1882" xr:uid="{00000000-0005-0000-0000-0000D20B0000}"/>
    <cellStyle name="Moneda 37" xfId="1883" xr:uid="{00000000-0005-0000-0000-0000D30B0000}"/>
    <cellStyle name="Moneda 37 2" xfId="1884" xr:uid="{00000000-0005-0000-0000-0000D40B0000}"/>
    <cellStyle name="Moneda 38" xfId="1885" xr:uid="{00000000-0005-0000-0000-0000D50B0000}"/>
    <cellStyle name="Moneda 38 2" xfId="1886" xr:uid="{00000000-0005-0000-0000-0000D60B0000}"/>
    <cellStyle name="Moneda 39" xfId="1887" xr:uid="{00000000-0005-0000-0000-0000D70B0000}"/>
    <cellStyle name="Moneda 39 2" xfId="1888" xr:uid="{00000000-0005-0000-0000-0000D80B0000}"/>
    <cellStyle name="Moneda 4" xfId="15" xr:uid="{00000000-0005-0000-0000-0000D90B0000}"/>
    <cellStyle name="Moneda 4 2" xfId="1889" xr:uid="{00000000-0005-0000-0000-0000DA0B0000}"/>
    <cellStyle name="Moneda 4 3" xfId="1890" xr:uid="{00000000-0005-0000-0000-0000DB0B0000}"/>
    <cellStyle name="Moneda 4 4" xfId="1891" xr:uid="{00000000-0005-0000-0000-0000DC0B0000}"/>
    <cellStyle name="Moneda 40" xfId="1892" xr:uid="{00000000-0005-0000-0000-0000DD0B0000}"/>
    <cellStyle name="Moneda 40 2" xfId="1893" xr:uid="{00000000-0005-0000-0000-0000DE0B0000}"/>
    <cellStyle name="Moneda 41" xfId="1894" xr:uid="{00000000-0005-0000-0000-0000DF0B0000}"/>
    <cellStyle name="Moneda 41 2" xfId="1895" xr:uid="{00000000-0005-0000-0000-0000E00B0000}"/>
    <cellStyle name="Moneda 42" xfId="1896" xr:uid="{00000000-0005-0000-0000-0000E10B0000}"/>
    <cellStyle name="Moneda 42 2" xfId="1897" xr:uid="{00000000-0005-0000-0000-0000E20B0000}"/>
    <cellStyle name="Moneda 43" xfId="1898" xr:uid="{00000000-0005-0000-0000-0000E30B0000}"/>
    <cellStyle name="Moneda 43 2" xfId="1899" xr:uid="{00000000-0005-0000-0000-0000E40B0000}"/>
    <cellStyle name="Moneda 44" xfId="1900" xr:uid="{00000000-0005-0000-0000-0000E50B0000}"/>
    <cellStyle name="Moneda 44 2" xfId="1901" xr:uid="{00000000-0005-0000-0000-0000E60B0000}"/>
    <cellStyle name="Moneda 45" xfId="1902" xr:uid="{00000000-0005-0000-0000-0000E70B0000}"/>
    <cellStyle name="Moneda 45 2" xfId="1903" xr:uid="{00000000-0005-0000-0000-0000E80B0000}"/>
    <cellStyle name="Moneda 46" xfId="1904" xr:uid="{00000000-0005-0000-0000-0000E90B0000}"/>
    <cellStyle name="Moneda 46 2" xfId="1905" xr:uid="{00000000-0005-0000-0000-0000EA0B0000}"/>
    <cellStyle name="Moneda 47" xfId="1906" xr:uid="{00000000-0005-0000-0000-0000EB0B0000}"/>
    <cellStyle name="Moneda 47 2" xfId="1907" xr:uid="{00000000-0005-0000-0000-0000EC0B0000}"/>
    <cellStyle name="Moneda 48" xfId="1908" xr:uid="{00000000-0005-0000-0000-0000ED0B0000}"/>
    <cellStyle name="Moneda 48 2" xfId="1909" xr:uid="{00000000-0005-0000-0000-0000EE0B0000}"/>
    <cellStyle name="Moneda 49" xfId="1910" xr:uid="{00000000-0005-0000-0000-0000EF0B0000}"/>
    <cellStyle name="Moneda 5" xfId="1911" xr:uid="{00000000-0005-0000-0000-0000F00B0000}"/>
    <cellStyle name="Moneda 5 2" xfId="1912" xr:uid="{00000000-0005-0000-0000-0000F10B0000}"/>
    <cellStyle name="Moneda 5 3" xfId="1913" xr:uid="{00000000-0005-0000-0000-0000F20B0000}"/>
    <cellStyle name="Moneda 5 4" xfId="1914" xr:uid="{00000000-0005-0000-0000-0000F30B0000}"/>
    <cellStyle name="Moneda 5 5" xfId="1915" xr:uid="{00000000-0005-0000-0000-0000F40B0000}"/>
    <cellStyle name="Moneda 50" xfId="1916" xr:uid="{00000000-0005-0000-0000-0000F50B0000}"/>
    <cellStyle name="Moneda 51" xfId="1917" xr:uid="{00000000-0005-0000-0000-0000F60B0000}"/>
    <cellStyle name="Moneda 52" xfId="1918" xr:uid="{00000000-0005-0000-0000-0000F70B0000}"/>
    <cellStyle name="Moneda 53" xfId="2870" xr:uid="{00000000-0005-0000-0000-0000F80B0000}"/>
    <cellStyle name="Moneda 54" xfId="2942" xr:uid="{00000000-0005-0000-0000-0000F90B0000}"/>
    <cellStyle name="Moneda 55" xfId="2946" xr:uid="{00000000-0005-0000-0000-0000FA0B0000}"/>
    <cellStyle name="Moneda 56" xfId="2999" xr:uid="{00000000-0005-0000-0000-0000FB0B0000}"/>
    <cellStyle name="Moneda 57" xfId="3049" xr:uid="{00000000-0005-0000-0000-0000FC0B0000}"/>
    <cellStyle name="Moneda 58" xfId="2996" xr:uid="{00000000-0005-0000-0000-0000FD0B0000}"/>
    <cellStyle name="Moneda 59" xfId="3053" xr:uid="{00000000-0005-0000-0000-0000FE0B0000}"/>
    <cellStyle name="Moneda 6" xfId="1919" xr:uid="{00000000-0005-0000-0000-0000FF0B0000}"/>
    <cellStyle name="Moneda 6 10" xfId="1920" xr:uid="{00000000-0005-0000-0000-0000000C0000}"/>
    <cellStyle name="Moneda 6 10 2" xfId="1921" xr:uid="{00000000-0005-0000-0000-0000010C0000}"/>
    <cellStyle name="Moneda 6 11" xfId="1922" xr:uid="{00000000-0005-0000-0000-0000020C0000}"/>
    <cellStyle name="Moneda 6 11 2" xfId="1923" xr:uid="{00000000-0005-0000-0000-0000030C0000}"/>
    <cellStyle name="Moneda 6 12" xfId="1924" xr:uid="{00000000-0005-0000-0000-0000040C0000}"/>
    <cellStyle name="Moneda 6 2" xfId="1925" xr:uid="{00000000-0005-0000-0000-0000050C0000}"/>
    <cellStyle name="Moneda 6 2 10" xfId="1926" xr:uid="{00000000-0005-0000-0000-0000060C0000}"/>
    <cellStyle name="Moneda 6 2 11" xfId="1927" xr:uid="{00000000-0005-0000-0000-0000070C0000}"/>
    <cellStyle name="Moneda 6 2 2" xfId="1928" xr:uid="{00000000-0005-0000-0000-0000080C0000}"/>
    <cellStyle name="Moneda 6 2 2 2" xfId="1929" xr:uid="{00000000-0005-0000-0000-0000090C0000}"/>
    <cellStyle name="Moneda 6 2 2 2 2" xfId="1930" xr:uid="{00000000-0005-0000-0000-00000A0C0000}"/>
    <cellStyle name="Moneda 6 2 2 2 2 2" xfId="1931" xr:uid="{00000000-0005-0000-0000-00000B0C0000}"/>
    <cellStyle name="Moneda 6 2 2 2 2 2 2" xfId="1932" xr:uid="{00000000-0005-0000-0000-00000C0C0000}"/>
    <cellStyle name="Moneda 6 2 2 2 2 3" xfId="1933" xr:uid="{00000000-0005-0000-0000-00000D0C0000}"/>
    <cellStyle name="Moneda 6 2 2 2 2 3 2" xfId="1934" xr:uid="{00000000-0005-0000-0000-00000E0C0000}"/>
    <cellStyle name="Moneda 6 2 2 2 2 4" xfId="1935" xr:uid="{00000000-0005-0000-0000-00000F0C0000}"/>
    <cellStyle name="Moneda 6 2 2 2 2 4 2" xfId="1936" xr:uid="{00000000-0005-0000-0000-0000100C0000}"/>
    <cellStyle name="Moneda 6 2 2 2 2 5" xfId="1937" xr:uid="{00000000-0005-0000-0000-0000110C0000}"/>
    <cellStyle name="Moneda 6 2 2 2 3" xfId="1938" xr:uid="{00000000-0005-0000-0000-0000120C0000}"/>
    <cellStyle name="Moneda 6 2 2 2 3 2" xfId="1939" xr:uid="{00000000-0005-0000-0000-0000130C0000}"/>
    <cellStyle name="Moneda 6 2 2 2 4" xfId="1940" xr:uid="{00000000-0005-0000-0000-0000140C0000}"/>
    <cellStyle name="Moneda 6 2 2 2 4 2" xfId="1941" xr:uid="{00000000-0005-0000-0000-0000150C0000}"/>
    <cellStyle name="Moneda 6 2 2 2 5" xfId="1942" xr:uid="{00000000-0005-0000-0000-0000160C0000}"/>
    <cellStyle name="Moneda 6 2 2 2 5 2" xfId="1943" xr:uid="{00000000-0005-0000-0000-0000170C0000}"/>
    <cellStyle name="Moneda 6 2 2 2 6" xfId="1944" xr:uid="{00000000-0005-0000-0000-0000180C0000}"/>
    <cellStyle name="Moneda 6 2 2 3" xfId="1945" xr:uid="{00000000-0005-0000-0000-0000190C0000}"/>
    <cellStyle name="Moneda 6 2 2 3 2" xfId="1946" xr:uid="{00000000-0005-0000-0000-00001A0C0000}"/>
    <cellStyle name="Moneda 6 2 2 3 2 2" xfId="1947" xr:uid="{00000000-0005-0000-0000-00001B0C0000}"/>
    <cellStyle name="Moneda 6 2 2 3 3" xfId="1948" xr:uid="{00000000-0005-0000-0000-00001C0C0000}"/>
    <cellStyle name="Moneda 6 2 2 3 3 2" xfId="1949" xr:uid="{00000000-0005-0000-0000-00001D0C0000}"/>
    <cellStyle name="Moneda 6 2 2 3 4" xfId="1950" xr:uid="{00000000-0005-0000-0000-00001E0C0000}"/>
    <cellStyle name="Moneda 6 2 2 3 4 2" xfId="1951" xr:uid="{00000000-0005-0000-0000-00001F0C0000}"/>
    <cellStyle name="Moneda 6 2 2 3 5" xfId="1952" xr:uid="{00000000-0005-0000-0000-0000200C0000}"/>
    <cellStyle name="Moneda 6 2 2 4" xfId="1953" xr:uid="{00000000-0005-0000-0000-0000210C0000}"/>
    <cellStyle name="Moneda 6 2 2 4 2" xfId="1954" xr:uid="{00000000-0005-0000-0000-0000220C0000}"/>
    <cellStyle name="Moneda 6 2 2 5" xfId="1955" xr:uid="{00000000-0005-0000-0000-0000230C0000}"/>
    <cellStyle name="Moneda 6 2 2 5 2" xfId="1956" xr:uid="{00000000-0005-0000-0000-0000240C0000}"/>
    <cellStyle name="Moneda 6 2 2 6" xfId="1957" xr:uid="{00000000-0005-0000-0000-0000250C0000}"/>
    <cellStyle name="Moneda 6 2 2 6 2" xfId="1958" xr:uid="{00000000-0005-0000-0000-0000260C0000}"/>
    <cellStyle name="Moneda 6 2 2 7" xfId="1959" xr:uid="{00000000-0005-0000-0000-0000270C0000}"/>
    <cellStyle name="Moneda 6 2 3" xfId="1960" xr:uid="{00000000-0005-0000-0000-0000280C0000}"/>
    <cellStyle name="Moneda 6 2 3 2" xfId="1961" xr:uid="{00000000-0005-0000-0000-0000290C0000}"/>
    <cellStyle name="Moneda 6 2 3 2 2" xfId="1962" xr:uid="{00000000-0005-0000-0000-00002A0C0000}"/>
    <cellStyle name="Moneda 6 2 3 2 2 2" xfId="1963" xr:uid="{00000000-0005-0000-0000-00002B0C0000}"/>
    <cellStyle name="Moneda 6 2 3 2 2 2 2" xfId="1964" xr:uid="{00000000-0005-0000-0000-00002C0C0000}"/>
    <cellStyle name="Moneda 6 2 3 2 2 3" xfId="1965" xr:uid="{00000000-0005-0000-0000-00002D0C0000}"/>
    <cellStyle name="Moneda 6 2 3 2 2 3 2" xfId="1966" xr:uid="{00000000-0005-0000-0000-00002E0C0000}"/>
    <cellStyle name="Moneda 6 2 3 2 2 4" xfId="1967" xr:uid="{00000000-0005-0000-0000-00002F0C0000}"/>
    <cellStyle name="Moneda 6 2 3 2 2 4 2" xfId="1968" xr:uid="{00000000-0005-0000-0000-0000300C0000}"/>
    <cellStyle name="Moneda 6 2 3 2 2 5" xfId="1969" xr:uid="{00000000-0005-0000-0000-0000310C0000}"/>
    <cellStyle name="Moneda 6 2 3 2 3" xfId="1970" xr:uid="{00000000-0005-0000-0000-0000320C0000}"/>
    <cellStyle name="Moneda 6 2 3 2 3 2" xfId="1971" xr:uid="{00000000-0005-0000-0000-0000330C0000}"/>
    <cellStyle name="Moneda 6 2 3 2 4" xfId="1972" xr:uid="{00000000-0005-0000-0000-0000340C0000}"/>
    <cellStyle name="Moneda 6 2 3 2 4 2" xfId="1973" xr:uid="{00000000-0005-0000-0000-0000350C0000}"/>
    <cellStyle name="Moneda 6 2 3 2 5" xfId="1974" xr:uid="{00000000-0005-0000-0000-0000360C0000}"/>
    <cellStyle name="Moneda 6 2 3 2 5 2" xfId="1975" xr:uid="{00000000-0005-0000-0000-0000370C0000}"/>
    <cellStyle name="Moneda 6 2 3 2 6" xfId="1976" xr:uid="{00000000-0005-0000-0000-0000380C0000}"/>
    <cellStyle name="Moneda 6 2 3 3" xfId="1977" xr:uid="{00000000-0005-0000-0000-0000390C0000}"/>
    <cellStyle name="Moneda 6 2 3 3 2" xfId="1978" xr:uid="{00000000-0005-0000-0000-00003A0C0000}"/>
    <cellStyle name="Moneda 6 2 3 3 2 2" xfId="1979" xr:uid="{00000000-0005-0000-0000-00003B0C0000}"/>
    <cellStyle name="Moneda 6 2 3 3 3" xfId="1980" xr:uid="{00000000-0005-0000-0000-00003C0C0000}"/>
    <cellStyle name="Moneda 6 2 3 3 3 2" xfId="1981" xr:uid="{00000000-0005-0000-0000-00003D0C0000}"/>
    <cellStyle name="Moneda 6 2 3 3 4" xfId="1982" xr:uid="{00000000-0005-0000-0000-00003E0C0000}"/>
    <cellStyle name="Moneda 6 2 3 3 4 2" xfId="1983" xr:uid="{00000000-0005-0000-0000-00003F0C0000}"/>
    <cellStyle name="Moneda 6 2 3 3 5" xfId="1984" xr:uid="{00000000-0005-0000-0000-0000400C0000}"/>
    <cellStyle name="Moneda 6 2 3 4" xfId="1985" xr:uid="{00000000-0005-0000-0000-0000410C0000}"/>
    <cellStyle name="Moneda 6 2 3 4 2" xfId="1986" xr:uid="{00000000-0005-0000-0000-0000420C0000}"/>
    <cellStyle name="Moneda 6 2 3 5" xfId="1987" xr:uid="{00000000-0005-0000-0000-0000430C0000}"/>
    <cellStyle name="Moneda 6 2 3 5 2" xfId="1988" xr:uid="{00000000-0005-0000-0000-0000440C0000}"/>
    <cellStyle name="Moneda 6 2 3 6" xfId="1989" xr:uid="{00000000-0005-0000-0000-0000450C0000}"/>
    <cellStyle name="Moneda 6 2 3 6 2" xfId="1990" xr:uid="{00000000-0005-0000-0000-0000460C0000}"/>
    <cellStyle name="Moneda 6 2 3 7" xfId="1991" xr:uid="{00000000-0005-0000-0000-0000470C0000}"/>
    <cellStyle name="Moneda 6 2 4" xfId="1992" xr:uid="{00000000-0005-0000-0000-0000480C0000}"/>
    <cellStyle name="Moneda 6 2 4 2" xfId="1993" xr:uid="{00000000-0005-0000-0000-0000490C0000}"/>
    <cellStyle name="Moneda 6 2 4 2 2" xfId="1994" xr:uid="{00000000-0005-0000-0000-00004A0C0000}"/>
    <cellStyle name="Moneda 6 2 4 2 2 2" xfId="1995" xr:uid="{00000000-0005-0000-0000-00004B0C0000}"/>
    <cellStyle name="Moneda 6 2 4 2 2 2 2" xfId="1996" xr:uid="{00000000-0005-0000-0000-00004C0C0000}"/>
    <cellStyle name="Moneda 6 2 4 2 2 3" xfId="1997" xr:uid="{00000000-0005-0000-0000-00004D0C0000}"/>
    <cellStyle name="Moneda 6 2 4 2 2 3 2" xfId="1998" xr:uid="{00000000-0005-0000-0000-00004E0C0000}"/>
    <cellStyle name="Moneda 6 2 4 2 2 4" xfId="1999" xr:uid="{00000000-0005-0000-0000-00004F0C0000}"/>
    <cellStyle name="Moneda 6 2 4 2 2 4 2" xfId="2000" xr:uid="{00000000-0005-0000-0000-0000500C0000}"/>
    <cellStyle name="Moneda 6 2 4 2 2 5" xfId="2001" xr:uid="{00000000-0005-0000-0000-0000510C0000}"/>
    <cellStyle name="Moneda 6 2 4 2 3" xfId="2002" xr:uid="{00000000-0005-0000-0000-0000520C0000}"/>
    <cellStyle name="Moneda 6 2 4 2 3 2" xfId="2003" xr:uid="{00000000-0005-0000-0000-0000530C0000}"/>
    <cellStyle name="Moneda 6 2 4 2 4" xfId="2004" xr:uid="{00000000-0005-0000-0000-0000540C0000}"/>
    <cellStyle name="Moneda 6 2 4 2 4 2" xfId="2005" xr:uid="{00000000-0005-0000-0000-0000550C0000}"/>
    <cellStyle name="Moneda 6 2 4 2 5" xfId="2006" xr:uid="{00000000-0005-0000-0000-0000560C0000}"/>
    <cellStyle name="Moneda 6 2 4 2 5 2" xfId="2007" xr:uid="{00000000-0005-0000-0000-0000570C0000}"/>
    <cellStyle name="Moneda 6 2 4 2 6" xfId="2008" xr:uid="{00000000-0005-0000-0000-0000580C0000}"/>
    <cellStyle name="Moneda 6 2 4 3" xfId="2009" xr:uid="{00000000-0005-0000-0000-0000590C0000}"/>
    <cellStyle name="Moneda 6 2 4 3 2" xfId="2010" xr:uid="{00000000-0005-0000-0000-00005A0C0000}"/>
    <cellStyle name="Moneda 6 2 4 3 2 2" xfId="2011" xr:uid="{00000000-0005-0000-0000-00005B0C0000}"/>
    <cellStyle name="Moneda 6 2 4 3 3" xfId="2012" xr:uid="{00000000-0005-0000-0000-00005C0C0000}"/>
    <cellStyle name="Moneda 6 2 4 3 3 2" xfId="2013" xr:uid="{00000000-0005-0000-0000-00005D0C0000}"/>
    <cellStyle name="Moneda 6 2 4 3 4" xfId="2014" xr:uid="{00000000-0005-0000-0000-00005E0C0000}"/>
    <cellStyle name="Moneda 6 2 4 3 4 2" xfId="2015" xr:uid="{00000000-0005-0000-0000-00005F0C0000}"/>
    <cellStyle name="Moneda 6 2 4 3 5" xfId="2016" xr:uid="{00000000-0005-0000-0000-0000600C0000}"/>
    <cellStyle name="Moneda 6 2 4 4" xfId="2017" xr:uid="{00000000-0005-0000-0000-0000610C0000}"/>
    <cellStyle name="Moneda 6 2 4 4 2" xfId="2018" xr:uid="{00000000-0005-0000-0000-0000620C0000}"/>
    <cellStyle name="Moneda 6 2 4 5" xfId="2019" xr:uid="{00000000-0005-0000-0000-0000630C0000}"/>
    <cellStyle name="Moneda 6 2 4 5 2" xfId="2020" xr:uid="{00000000-0005-0000-0000-0000640C0000}"/>
    <cellStyle name="Moneda 6 2 4 6" xfId="2021" xr:uid="{00000000-0005-0000-0000-0000650C0000}"/>
    <cellStyle name="Moneda 6 2 4 6 2" xfId="2022" xr:uid="{00000000-0005-0000-0000-0000660C0000}"/>
    <cellStyle name="Moneda 6 2 4 7" xfId="2023" xr:uid="{00000000-0005-0000-0000-0000670C0000}"/>
    <cellStyle name="Moneda 6 2 5" xfId="2024" xr:uid="{00000000-0005-0000-0000-0000680C0000}"/>
    <cellStyle name="Moneda 6 2 5 2" xfId="2025" xr:uid="{00000000-0005-0000-0000-0000690C0000}"/>
    <cellStyle name="Moneda 6 2 5 2 2" xfId="2026" xr:uid="{00000000-0005-0000-0000-00006A0C0000}"/>
    <cellStyle name="Moneda 6 2 5 2 2 2" xfId="2027" xr:uid="{00000000-0005-0000-0000-00006B0C0000}"/>
    <cellStyle name="Moneda 6 2 5 2 3" xfId="2028" xr:uid="{00000000-0005-0000-0000-00006C0C0000}"/>
    <cellStyle name="Moneda 6 2 5 2 3 2" xfId="2029" xr:uid="{00000000-0005-0000-0000-00006D0C0000}"/>
    <cellStyle name="Moneda 6 2 5 2 4" xfId="2030" xr:uid="{00000000-0005-0000-0000-00006E0C0000}"/>
    <cellStyle name="Moneda 6 2 5 2 4 2" xfId="2031" xr:uid="{00000000-0005-0000-0000-00006F0C0000}"/>
    <cellStyle name="Moneda 6 2 5 2 5" xfId="2032" xr:uid="{00000000-0005-0000-0000-0000700C0000}"/>
    <cellStyle name="Moneda 6 2 5 3" xfId="2033" xr:uid="{00000000-0005-0000-0000-0000710C0000}"/>
    <cellStyle name="Moneda 6 2 5 3 2" xfId="2034" xr:uid="{00000000-0005-0000-0000-0000720C0000}"/>
    <cellStyle name="Moneda 6 2 5 4" xfId="2035" xr:uid="{00000000-0005-0000-0000-0000730C0000}"/>
    <cellStyle name="Moneda 6 2 5 4 2" xfId="2036" xr:uid="{00000000-0005-0000-0000-0000740C0000}"/>
    <cellStyle name="Moneda 6 2 5 5" xfId="2037" xr:uid="{00000000-0005-0000-0000-0000750C0000}"/>
    <cellStyle name="Moneda 6 2 5 5 2" xfId="2038" xr:uid="{00000000-0005-0000-0000-0000760C0000}"/>
    <cellStyle name="Moneda 6 2 5 6" xfId="2039" xr:uid="{00000000-0005-0000-0000-0000770C0000}"/>
    <cellStyle name="Moneda 6 2 6" xfId="2040" xr:uid="{00000000-0005-0000-0000-0000780C0000}"/>
    <cellStyle name="Moneda 6 2 6 2" xfId="2041" xr:uid="{00000000-0005-0000-0000-0000790C0000}"/>
    <cellStyle name="Moneda 6 2 6 2 2" xfId="2042" xr:uid="{00000000-0005-0000-0000-00007A0C0000}"/>
    <cellStyle name="Moneda 6 2 6 3" xfId="2043" xr:uid="{00000000-0005-0000-0000-00007B0C0000}"/>
    <cellStyle name="Moneda 6 2 6 3 2" xfId="2044" xr:uid="{00000000-0005-0000-0000-00007C0C0000}"/>
    <cellStyle name="Moneda 6 2 6 4" xfId="2045" xr:uid="{00000000-0005-0000-0000-00007D0C0000}"/>
    <cellStyle name="Moneda 6 2 6 4 2" xfId="2046" xr:uid="{00000000-0005-0000-0000-00007E0C0000}"/>
    <cellStyle name="Moneda 6 2 6 5" xfId="2047" xr:uid="{00000000-0005-0000-0000-00007F0C0000}"/>
    <cellStyle name="Moneda 6 2 7" xfId="2048" xr:uid="{00000000-0005-0000-0000-0000800C0000}"/>
    <cellStyle name="Moneda 6 2 7 2" xfId="2049" xr:uid="{00000000-0005-0000-0000-0000810C0000}"/>
    <cellStyle name="Moneda 6 2 8" xfId="2050" xr:uid="{00000000-0005-0000-0000-0000820C0000}"/>
    <cellStyle name="Moneda 6 2 8 2" xfId="2051" xr:uid="{00000000-0005-0000-0000-0000830C0000}"/>
    <cellStyle name="Moneda 6 2 9" xfId="2052" xr:uid="{00000000-0005-0000-0000-0000840C0000}"/>
    <cellStyle name="Moneda 6 2 9 2" xfId="2053" xr:uid="{00000000-0005-0000-0000-0000850C0000}"/>
    <cellStyle name="Moneda 6 3" xfId="2054" xr:uid="{00000000-0005-0000-0000-0000860C0000}"/>
    <cellStyle name="Moneda 6 3 2" xfId="2055" xr:uid="{00000000-0005-0000-0000-0000870C0000}"/>
    <cellStyle name="Moneda 6 3 2 2" xfId="2056" xr:uid="{00000000-0005-0000-0000-0000880C0000}"/>
    <cellStyle name="Moneda 6 3 2 2 2" xfId="2057" xr:uid="{00000000-0005-0000-0000-0000890C0000}"/>
    <cellStyle name="Moneda 6 3 2 2 2 2" xfId="2058" xr:uid="{00000000-0005-0000-0000-00008A0C0000}"/>
    <cellStyle name="Moneda 6 3 2 2 3" xfId="2059" xr:uid="{00000000-0005-0000-0000-00008B0C0000}"/>
    <cellStyle name="Moneda 6 3 2 2 3 2" xfId="2060" xr:uid="{00000000-0005-0000-0000-00008C0C0000}"/>
    <cellStyle name="Moneda 6 3 2 2 4" xfId="2061" xr:uid="{00000000-0005-0000-0000-00008D0C0000}"/>
    <cellStyle name="Moneda 6 3 2 2 4 2" xfId="2062" xr:uid="{00000000-0005-0000-0000-00008E0C0000}"/>
    <cellStyle name="Moneda 6 3 2 2 5" xfId="2063" xr:uid="{00000000-0005-0000-0000-00008F0C0000}"/>
    <cellStyle name="Moneda 6 3 2 3" xfId="2064" xr:uid="{00000000-0005-0000-0000-0000900C0000}"/>
    <cellStyle name="Moneda 6 3 2 3 2" xfId="2065" xr:uid="{00000000-0005-0000-0000-0000910C0000}"/>
    <cellStyle name="Moneda 6 3 2 4" xfId="2066" xr:uid="{00000000-0005-0000-0000-0000920C0000}"/>
    <cellStyle name="Moneda 6 3 2 4 2" xfId="2067" xr:uid="{00000000-0005-0000-0000-0000930C0000}"/>
    <cellStyle name="Moneda 6 3 2 5" xfId="2068" xr:uid="{00000000-0005-0000-0000-0000940C0000}"/>
    <cellStyle name="Moneda 6 3 2 5 2" xfId="2069" xr:uid="{00000000-0005-0000-0000-0000950C0000}"/>
    <cellStyle name="Moneda 6 3 2 6" xfId="2070" xr:uid="{00000000-0005-0000-0000-0000960C0000}"/>
    <cellStyle name="Moneda 6 3 3" xfId="2071" xr:uid="{00000000-0005-0000-0000-0000970C0000}"/>
    <cellStyle name="Moneda 6 3 3 2" xfId="2072" xr:uid="{00000000-0005-0000-0000-0000980C0000}"/>
    <cellStyle name="Moneda 6 3 3 2 2" xfId="2073" xr:uid="{00000000-0005-0000-0000-0000990C0000}"/>
    <cellStyle name="Moneda 6 3 3 3" xfId="2074" xr:uid="{00000000-0005-0000-0000-00009A0C0000}"/>
    <cellStyle name="Moneda 6 3 3 3 2" xfId="2075" xr:uid="{00000000-0005-0000-0000-00009B0C0000}"/>
    <cellStyle name="Moneda 6 3 3 4" xfId="2076" xr:uid="{00000000-0005-0000-0000-00009C0C0000}"/>
    <cellStyle name="Moneda 6 3 3 4 2" xfId="2077" xr:uid="{00000000-0005-0000-0000-00009D0C0000}"/>
    <cellStyle name="Moneda 6 3 3 5" xfId="2078" xr:uid="{00000000-0005-0000-0000-00009E0C0000}"/>
    <cellStyle name="Moneda 6 3 4" xfId="2079" xr:uid="{00000000-0005-0000-0000-00009F0C0000}"/>
    <cellStyle name="Moneda 6 3 4 2" xfId="2080" xr:uid="{00000000-0005-0000-0000-0000A00C0000}"/>
    <cellStyle name="Moneda 6 3 5" xfId="2081" xr:uid="{00000000-0005-0000-0000-0000A10C0000}"/>
    <cellStyle name="Moneda 6 3 5 2" xfId="2082" xr:uid="{00000000-0005-0000-0000-0000A20C0000}"/>
    <cellStyle name="Moneda 6 3 6" xfId="2083" xr:uid="{00000000-0005-0000-0000-0000A30C0000}"/>
    <cellStyle name="Moneda 6 3 6 2" xfId="2084" xr:uid="{00000000-0005-0000-0000-0000A40C0000}"/>
    <cellStyle name="Moneda 6 3 7" xfId="2085" xr:uid="{00000000-0005-0000-0000-0000A50C0000}"/>
    <cellStyle name="Moneda 6 4" xfId="2086" xr:uid="{00000000-0005-0000-0000-0000A60C0000}"/>
    <cellStyle name="Moneda 6 4 2" xfId="2087" xr:uid="{00000000-0005-0000-0000-0000A70C0000}"/>
    <cellStyle name="Moneda 6 4 2 2" xfId="2088" xr:uid="{00000000-0005-0000-0000-0000A80C0000}"/>
    <cellStyle name="Moneda 6 4 2 2 2" xfId="2089" xr:uid="{00000000-0005-0000-0000-0000A90C0000}"/>
    <cellStyle name="Moneda 6 4 2 2 2 2" xfId="2090" xr:uid="{00000000-0005-0000-0000-0000AA0C0000}"/>
    <cellStyle name="Moneda 6 4 2 2 3" xfId="2091" xr:uid="{00000000-0005-0000-0000-0000AB0C0000}"/>
    <cellStyle name="Moneda 6 4 2 2 3 2" xfId="2092" xr:uid="{00000000-0005-0000-0000-0000AC0C0000}"/>
    <cellStyle name="Moneda 6 4 2 2 4" xfId="2093" xr:uid="{00000000-0005-0000-0000-0000AD0C0000}"/>
    <cellStyle name="Moneda 6 4 2 2 4 2" xfId="2094" xr:uid="{00000000-0005-0000-0000-0000AE0C0000}"/>
    <cellStyle name="Moneda 6 4 2 2 5" xfId="2095" xr:uid="{00000000-0005-0000-0000-0000AF0C0000}"/>
    <cellStyle name="Moneda 6 4 2 3" xfId="2096" xr:uid="{00000000-0005-0000-0000-0000B00C0000}"/>
    <cellStyle name="Moneda 6 4 2 3 2" xfId="2097" xr:uid="{00000000-0005-0000-0000-0000B10C0000}"/>
    <cellStyle name="Moneda 6 4 2 4" xfId="2098" xr:uid="{00000000-0005-0000-0000-0000B20C0000}"/>
    <cellStyle name="Moneda 6 4 2 4 2" xfId="2099" xr:uid="{00000000-0005-0000-0000-0000B30C0000}"/>
    <cellStyle name="Moneda 6 4 2 5" xfId="2100" xr:uid="{00000000-0005-0000-0000-0000B40C0000}"/>
    <cellStyle name="Moneda 6 4 2 5 2" xfId="2101" xr:uid="{00000000-0005-0000-0000-0000B50C0000}"/>
    <cellStyle name="Moneda 6 4 2 6" xfId="2102" xr:uid="{00000000-0005-0000-0000-0000B60C0000}"/>
    <cellStyle name="Moneda 6 4 3" xfId="2103" xr:uid="{00000000-0005-0000-0000-0000B70C0000}"/>
    <cellStyle name="Moneda 6 4 3 2" xfId="2104" xr:uid="{00000000-0005-0000-0000-0000B80C0000}"/>
    <cellStyle name="Moneda 6 4 3 2 2" xfId="2105" xr:uid="{00000000-0005-0000-0000-0000B90C0000}"/>
    <cellStyle name="Moneda 6 4 3 3" xfId="2106" xr:uid="{00000000-0005-0000-0000-0000BA0C0000}"/>
    <cellStyle name="Moneda 6 4 3 3 2" xfId="2107" xr:uid="{00000000-0005-0000-0000-0000BB0C0000}"/>
    <cellStyle name="Moneda 6 4 3 4" xfId="2108" xr:uid="{00000000-0005-0000-0000-0000BC0C0000}"/>
    <cellStyle name="Moneda 6 4 3 4 2" xfId="2109" xr:uid="{00000000-0005-0000-0000-0000BD0C0000}"/>
    <cellStyle name="Moneda 6 4 3 5" xfId="2110" xr:uid="{00000000-0005-0000-0000-0000BE0C0000}"/>
    <cellStyle name="Moneda 6 4 4" xfId="2111" xr:uid="{00000000-0005-0000-0000-0000BF0C0000}"/>
    <cellStyle name="Moneda 6 4 4 2" xfId="2112" xr:uid="{00000000-0005-0000-0000-0000C00C0000}"/>
    <cellStyle name="Moneda 6 4 5" xfId="2113" xr:uid="{00000000-0005-0000-0000-0000C10C0000}"/>
    <cellStyle name="Moneda 6 4 5 2" xfId="2114" xr:uid="{00000000-0005-0000-0000-0000C20C0000}"/>
    <cellStyle name="Moneda 6 4 6" xfId="2115" xr:uid="{00000000-0005-0000-0000-0000C30C0000}"/>
    <cellStyle name="Moneda 6 4 6 2" xfId="2116" xr:uid="{00000000-0005-0000-0000-0000C40C0000}"/>
    <cellStyle name="Moneda 6 4 7" xfId="2117" xr:uid="{00000000-0005-0000-0000-0000C50C0000}"/>
    <cellStyle name="Moneda 6 5" xfId="2118" xr:uid="{00000000-0005-0000-0000-0000C60C0000}"/>
    <cellStyle name="Moneda 6 5 2" xfId="2119" xr:uid="{00000000-0005-0000-0000-0000C70C0000}"/>
    <cellStyle name="Moneda 6 5 2 2" xfId="2120" xr:uid="{00000000-0005-0000-0000-0000C80C0000}"/>
    <cellStyle name="Moneda 6 5 2 2 2" xfId="2121" xr:uid="{00000000-0005-0000-0000-0000C90C0000}"/>
    <cellStyle name="Moneda 6 5 2 2 2 2" xfId="2122" xr:uid="{00000000-0005-0000-0000-0000CA0C0000}"/>
    <cellStyle name="Moneda 6 5 2 2 3" xfId="2123" xr:uid="{00000000-0005-0000-0000-0000CB0C0000}"/>
    <cellStyle name="Moneda 6 5 2 2 3 2" xfId="2124" xr:uid="{00000000-0005-0000-0000-0000CC0C0000}"/>
    <cellStyle name="Moneda 6 5 2 2 4" xfId="2125" xr:uid="{00000000-0005-0000-0000-0000CD0C0000}"/>
    <cellStyle name="Moneda 6 5 2 2 4 2" xfId="2126" xr:uid="{00000000-0005-0000-0000-0000CE0C0000}"/>
    <cellStyle name="Moneda 6 5 2 2 5" xfId="2127" xr:uid="{00000000-0005-0000-0000-0000CF0C0000}"/>
    <cellStyle name="Moneda 6 5 2 3" xfId="2128" xr:uid="{00000000-0005-0000-0000-0000D00C0000}"/>
    <cellStyle name="Moneda 6 5 2 3 2" xfId="2129" xr:uid="{00000000-0005-0000-0000-0000D10C0000}"/>
    <cellStyle name="Moneda 6 5 2 4" xfId="2130" xr:uid="{00000000-0005-0000-0000-0000D20C0000}"/>
    <cellStyle name="Moneda 6 5 2 4 2" xfId="2131" xr:uid="{00000000-0005-0000-0000-0000D30C0000}"/>
    <cellStyle name="Moneda 6 5 2 5" xfId="2132" xr:uid="{00000000-0005-0000-0000-0000D40C0000}"/>
    <cellStyle name="Moneda 6 5 2 5 2" xfId="2133" xr:uid="{00000000-0005-0000-0000-0000D50C0000}"/>
    <cellStyle name="Moneda 6 5 2 6" xfId="2134" xr:uid="{00000000-0005-0000-0000-0000D60C0000}"/>
    <cellStyle name="Moneda 6 5 3" xfId="2135" xr:uid="{00000000-0005-0000-0000-0000D70C0000}"/>
    <cellStyle name="Moneda 6 5 3 2" xfId="2136" xr:uid="{00000000-0005-0000-0000-0000D80C0000}"/>
    <cellStyle name="Moneda 6 5 3 2 2" xfId="2137" xr:uid="{00000000-0005-0000-0000-0000D90C0000}"/>
    <cellStyle name="Moneda 6 5 3 3" xfId="2138" xr:uid="{00000000-0005-0000-0000-0000DA0C0000}"/>
    <cellStyle name="Moneda 6 5 3 3 2" xfId="2139" xr:uid="{00000000-0005-0000-0000-0000DB0C0000}"/>
    <cellStyle name="Moneda 6 5 3 4" xfId="2140" xr:uid="{00000000-0005-0000-0000-0000DC0C0000}"/>
    <cellStyle name="Moneda 6 5 3 4 2" xfId="2141" xr:uid="{00000000-0005-0000-0000-0000DD0C0000}"/>
    <cellStyle name="Moneda 6 5 3 5" xfId="2142" xr:uid="{00000000-0005-0000-0000-0000DE0C0000}"/>
    <cellStyle name="Moneda 6 5 4" xfId="2143" xr:uid="{00000000-0005-0000-0000-0000DF0C0000}"/>
    <cellStyle name="Moneda 6 5 4 2" xfId="2144" xr:uid="{00000000-0005-0000-0000-0000E00C0000}"/>
    <cellStyle name="Moneda 6 5 5" xfId="2145" xr:uid="{00000000-0005-0000-0000-0000E10C0000}"/>
    <cellStyle name="Moneda 6 5 5 2" xfId="2146" xr:uid="{00000000-0005-0000-0000-0000E20C0000}"/>
    <cellStyle name="Moneda 6 5 6" xfId="2147" xr:uid="{00000000-0005-0000-0000-0000E30C0000}"/>
    <cellStyle name="Moneda 6 5 6 2" xfId="2148" xr:uid="{00000000-0005-0000-0000-0000E40C0000}"/>
    <cellStyle name="Moneda 6 5 7" xfId="2149" xr:uid="{00000000-0005-0000-0000-0000E50C0000}"/>
    <cellStyle name="Moneda 6 6" xfId="2150" xr:uid="{00000000-0005-0000-0000-0000E60C0000}"/>
    <cellStyle name="Moneda 6 6 2" xfId="2151" xr:uid="{00000000-0005-0000-0000-0000E70C0000}"/>
    <cellStyle name="Moneda 6 6 2 2" xfId="2152" xr:uid="{00000000-0005-0000-0000-0000E80C0000}"/>
    <cellStyle name="Moneda 6 6 2 2 2" xfId="2153" xr:uid="{00000000-0005-0000-0000-0000E90C0000}"/>
    <cellStyle name="Moneda 6 6 2 3" xfId="2154" xr:uid="{00000000-0005-0000-0000-0000EA0C0000}"/>
    <cellStyle name="Moneda 6 6 2 3 2" xfId="2155" xr:uid="{00000000-0005-0000-0000-0000EB0C0000}"/>
    <cellStyle name="Moneda 6 6 2 4" xfId="2156" xr:uid="{00000000-0005-0000-0000-0000EC0C0000}"/>
    <cellStyle name="Moneda 6 6 2 4 2" xfId="2157" xr:uid="{00000000-0005-0000-0000-0000ED0C0000}"/>
    <cellStyle name="Moneda 6 6 2 5" xfId="2158" xr:uid="{00000000-0005-0000-0000-0000EE0C0000}"/>
    <cellStyle name="Moneda 6 6 3" xfId="2159" xr:uid="{00000000-0005-0000-0000-0000EF0C0000}"/>
    <cellStyle name="Moneda 6 6 3 2" xfId="2160" xr:uid="{00000000-0005-0000-0000-0000F00C0000}"/>
    <cellStyle name="Moneda 6 6 4" xfId="2161" xr:uid="{00000000-0005-0000-0000-0000F10C0000}"/>
    <cellStyle name="Moneda 6 6 4 2" xfId="2162" xr:uid="{00000000-0005-0000-0000-0000F20C0000}"/>
    <cellStyle name="Moneda 6 6 5" xfId="2163" xr:uid="{00000000-0005-0000-0000-0000F30C0000}"/>
    <cellStyle name="Moneda 6 6 5 2" xfId="2164" xr:uid="{00000000-0005-0000-0000-0000F40C0000}"/>
    <cellStyle name="Moneda 6 6 6" xfId="2165" xr:uid="{00000000-0005-0000-0000-0000F50C0000}"/>
    <cellStyle name="Moneda 6 7" xfId="2166" xr:uid="{00000000-0005-0000-0000-0000F60C0000}"/>
    <cellStyle name="Moneda 6 7 2" xfId="2167" xr:uid="{00000000-0005-0000-0000-0000F70C0000}"/>
    <cellStyle name="Moneda 6 7 2 2" xfId="2168" xr:uid="{00000000-0005-0000-0000-0000F80C0000}"/>
    <cellStyle name="Moneda 6 7 3" xfId="2169" xr:uid="{00000000-0005-0000-0000-0000F90C0000}"/>
    <cellStyle name="Moneda 6 7 3 2" xfId="2170" xr:uid="{00000000-0005-0000-0000-0000FA0C0000}"/>
    <cellStyle name="Moneda 6 7 4" xfId="2171" xr:uid="{00000000-0005-0000-0000-0000FB0C0000}"/>
    <cellStyle name="Moneda 6 7 4 2" xfId="2172" xr:uid="{00000000-0005-0000-0000-0000FC0C0000}"/>
    <cellStyle name="Moneda 6 7 5" xfId="2173" xr:uid="{00000000-0005-0000-0000-0000FD0C0000}"/>
    <cellStyle name="Moneda 6 8" xfId="2174" xr:uid="{00000000-0005-0000-0000-0000FE0C0000}"/>
    <cellStyle name="Moneda 6 8 2" xfId="2175" xr:uid="{00000000-0005-0000-0000-0000FF0C0000}"/>
    <cellStyle name="Moneda 6 9" xfId="2176" xr:uid="{00000000-0005-0000-0000-0000000D0000}"/>
    <cellStyle name="Moneda 6 9 2" xfId="2177" xr:uid="{00000000-0005-0000-0000-0000010D0000}"/>
    <cellStyle name="Moneda 60" xfId="3251" xr:uid="{00000000-0005-0000-0000-0000020D0000}"/>
    <cellStyle name="Moneda 61" xfId="3644" xr:uid="{00000000-0005-0000-0000-0000030D0000}"/>
    <cellStyle name="Moneda 62" xfId="3694" xr:uid="{00000000-0005-0000-0000-0000040D0000}"/>
    <cellStyle name="Moneda 7" xfId="2178" xr:uid="{00000000-0005-0000-0000-0000050D0000}"/>
    <cellStyle name="Moneda 7 10" xfId="2179" xr:uid="{00000000-0005-0000-0000-0000060D0000}"/>
    <cellStyle name="Moneda 7 10 2" xfId="2180" xr:uid="{00000000-0005-0000-0000-0000070D0000}"/>
    <cellStyle name="Moneda 7 11" xfId="2181" xr:uid="{00000000-0005-0000-0000-0000080D0000}"/>
    <cellStyle name="Moneda 7 12" xfId="2182" xr:uid="{00000000-0005-0000-0000-0000090D0000}"/>
    <cellStyle name="Moneda 7 2" xfId="2183" xr:uid="{00000000-0005-0000-0000-00000A0D0000}"/>
    <cellStyle name="Moneda 7 2 10" xfId="2184" xr:uid="{00000000-0005-0000-0000-00000B0D0000}"/>
    <cellStyle name="Moneda 7 2 11" xfId="2185" xr:uid="{00000000-0005-0000-0000-00000C0D0000}"/>
    <cellStyle name="Moneda 7 2 2" xfId="2186" xr:uid="{00000000-0005-0000-0000-00000D0D0000}"/>
    <cellStyle name="Moneda 7 2 2 2" xfId="2187" xr:uid="{00000000-0005-0000-0000-00000E0D0000}"/>
    <cellStyle name="Moneda 7 2 2 2 2" xfId="2188" xr:uid="{00000000-0005-0000-0000-00000F0D0000}"/>
    <cellStyle name="Moneda 7 2 2 2 2 2" xfId="2189" xr:uid="{00000000-0005-0000-0000-0000100D0000}"/>
    <cellStyle name="Moneda 7 2 2 2 2 2 2" xfId="2190" xr:uid="{00000000-0005-0000-0000-0000110D0000}"/>
    <cellStyle name="Moneda 7 2 2 2 2 3" xfId="2191" xr:uid="{00000000-0005-0000-0000-0000120D0000}"/>
    <cellStyle name="Moneda 7 2 2 2 2 3 2" xfId="2192" xr:uid="{00000000-0005-0000-0000-0000130D0000}"/>
    <cellStyle name="Moneda 7 2 2 2 2 4" xfId="2193" xr:uid="{00000000-0005-0000-0000-0000140D0000}"/>
    <cellStyle name="Moneda 7 2 2 2 2 4 2" xfId="2194" xr:uid="{00000000-0005-0000-0000-0000150D0000}"/>
    <cellStyle name="Moneda 7 2 2 2 2 5" xfId="2195" xr:uid="{00000000-0005-0000-0000-0000160D0000}"/>
    <cellStyle name="Moneda 7 2 2 2 3" xfId="2196" xr:uid="{00000000-0005-0000-0000-0000170D0000}"/>
    <cellStyle name="Moneda 7 2 2 2 3 2" xfId="2197" xr:uid="{00000000-0005-0000-0000-0000180D0000}"/>
    <cellStyle name="Moneda 7 2 2 2 4" xfId="2198" xr:uid="{00000000-0005-0000-0000-0000190D0000}"/>
    <cellStyle name="Moneda 7 2 2 2 4 2" xfId="2199" xr:uid="{00000000-0005-0000-0000-00001A0D0000}"/>
    <cellStyle name="Moneda 7 2 2 2 5" xfId="2200" xr:uid="{00000000-0005-0000-0000-00001B0D0000}"/>
    <cellStyle name="Moneda 7 2 2 2 5 2" xfId="2201" xr:uid="{00000000-0005-0000-0000-00001C0D0000}"/>
    <cellStyle name="Moneda 7 2 2 2 6" xfId="2202" xr:uid="{00000000-0005-0000-0000-00001D0D0000}"/>
    <cellStyle name="Moneda 7 2 2 3" xfId="2203" xr:uid="{00000000-0005-0000-0000-00001E0D0000}"/>
    <cellStyle name="Moneda 7 2 2 3 2" xfId="2204" xr:uid="{00000000-0005-0000-0000-00001F0D0000}"/>
    <cellStyle name="Moneda 7 2 2 3 2 2" xfId="2205" xr:uid="{00000000-0005-0000-0000-0000200D0000}"/>
    <cellStyle name="Moneda 7 2 2 3 3" xfId="2206" xr:uid="{00000000-0005-0000-0000-0000210D0000}"/>
    <cellStyle name="Moneda 7 2 2 3 3 2" xfId="2207" xr:uid="{00000000-0005-0000-0000-0000220D0000}"/>
    <cellStyle name="Moneda 7 2 2 3 4" xfId="2208" xr:uid="{00000000-0005-0000-0000-0000230D0000}"/>
    <cellStyle name="Moneda 7 2 2 3 4 2" xfId="2209" xr:uid="{00000000-0005-0000-0000-0000240D0000}"/>
    <cellStyle name="Moneda 7 2 2 3 5" xfId="2210" xr:uid="{00000000-0005-0000-0000-0000250D0000}"/>
    <cellStyle name="Moneda 7 2 2 4" xfId="2211" xr:uid="{00000000-0005-0000-0000-0000260D0000}"/>
    <cellStyle name="Moneda 7 2 2 4 2" xfId="2212" xr:uid="{00000000-0005-0000-0000-0000270D0000}"/>
    <cellStyle name="Moneda 7 2 2 5" xfId="2213" xr:uid="{00000000-0005-0000-0000-0000280D0000}"/>
    <cellStyle name="Moneda 7 2 2 5 2" xfId="2214" xr:uid="{00000000-0005-0000-0000-0000290D0000}"/>
    <cellStyle name="Moneda 7 2 2 6" xfId="2215" xr:uid="{00000000-0005-0000-0000-00002A0D0000}"/>
    <cellStyle name="Moneda 7 2 2 6 2" xfId="2216" xr:uid="{00000000-0005-0000-0000-00002B0D0000}"/>
    <cellStyle name="Moneda 7 2 2 7" xfId="2217" xr:uid="{00000000-0005-0000-0000-00002C0D0000}"/>
    <cellStyle name="Moneda 7 2 3" xfId="2218" xr:uid="{00000000-0005-0000-0000-00002D0D0000}"/>
    <cellStyle name="Moneda 7 2 3 2" xfId="2219" xr:uid="{00000000-0005-0000-0000-00002E0D0000}"/>
    <cellStyle name="Moneda 7 2 3 2 2" xfId="2220" xr:uid="{00000000-0005-0000-0000-00002F0D0000}"/>
    <cellStyle name="Moneda 7 2 3 2 2 2" xfId="2221" xr:uid="{00000000-0005-0000-0000-0000300D0000}"/>
    <cellStyle name="Moneda 7 2 3 2 2 2 2" xfId="2222" xr:uid="{00000000-0005-0000-0000-0000310D0000}"/>
    <cellStyle name="Moneda 7 2 3 2 2 3" xfId="2223" xr:uid="{00000000-0005-0000-0000-0000320D0000}"/>
    <cellStyle name="Moneda 7 2 3 2 2 3 2" xfId="2224" xr:uid="{00000000-0005-0000-0000-0000330D0000}"/>
    <cellStyle name="Moneda 7 2 3 2 2 4" xfId="2225" xr:uid="{00000000-0005-0000-0000-0000340D0000}"/>
    <cellStyle name="Moneda 7 2 3 2 2 4 2" xfId="2226" xr:uid="{00000000-0005-0000-0000-0000350D0000}"/>
    <cellStyle name="Moneda 7 2 3 2 2 5" xfId="2227" xr:uid="{00000000-0005-0000-0000-0000360D0000}"/>
    <cellStyle name="Moneda 7 2 3 2 3" xfId="2228" xr:uid="{00000000-0005-0000-0000-0000370D0000}"/>
    <cellStyle name="Moneda 7 2 3 2 3 2" xfId="2229" xr:uid="{00000000-0005-0000-0000-0000380D0000}"/>
    <cellStyle name="Moneda 7 2 3 2 4" xfId="2230" xr:uid="{00000000-0005-0000-0000-0000390D0000}"/>
    <cellStyle name="Moneda 7 2 3 2 4 2" xfId="2231" xr:uid="{00000000-0005-0000-0000-00003A0D0000}"/>
    <cellStyle name="Moneda 7 2 3 2 5" xfId="2232" xr:uid="{00000000-0005-0000-0000-00003B0D0000}"/>
    <cellStyle name="Moneda 7 2 3 2 5 2" xfId="2233" xr:uid="{00000000-0005-0000-0000-00003C0D0000}"/>
    <cellStyle name="Moneda 7 2 3 2 6" xfId="2234" xr:uid="{00000000-0005-0000-0000-00003D0D0000}"/>
    <cellStyle name="Moneda 7 2 3 3" xfId="2235" xr:uid="{00000000-0005-0000-0000-00003E0D0000}"/>
    <cellStyle name="Moneda 7 2 3 3 2" xfId="2236" xr:uid="{00000000-0005-0000-0000-00003F0D0000}"/>
    <cellStyle name="Moneda 7 2 3 3 2 2" xfId="2237" xr:uid="{00000000-0005-0000-0000-0000400D0000}"/>
    <cellStyle name="Moneda 7 2 3 3 3" xfId="2238" xr:uid="{00000000-0005-0000-0000-0000410D0000}"/>
    <cellStyle name="Moneda 7 2 3 3 3 2" xfId="2239" xr:uid="{00000000-0005-0000-0000-0000420D0000}"/>
    <cellStyle name="Moneda 7 2 3 3 4" xfId="2240" xr:uid="{00000000-0005-0000-0000-0000430D0000}"/>
    <cellStyle name="Moneda 7 2 3 3 4 2" xfId="2241" xr:uid="{00000000-0005-0000-0000-0000440D0000}"/>
    <cellStyle name="Moneda 7 2 3 3 5" xfId="2242" xr:uid="{00000000-0005-0000-0000-0000450D0000}"/>
    <cellStyle name="Moneda 7 2 3 4" xfId="2243" xr:uid="{00000000-0005-0000-0000-0000460D0000}"/>
    <cellStyle name="Moneda 7 2 3 4 2" xfId="2244" xr:uid="{00000000-0005-0000-0000-0000470D0000}"/>
    <cellStyle name="Moneda 7 2 3 5" xfId="2245" xr:uid="{00000000-0005-0000-0000-0000480D0000}"/>
    <cellStyle name="Moneda 7 2 3 5 2" xfId="2246" xr:uid="{00000000-0005-0000-0000-0000490D0000}"/>
    <cellStyle name="Moneda 7 2 3 6" xfId="2247" xr:uid="{00000000-0005-0000-0000-00004A0D0000}"/>
    <cellStyle name="Moneda 7 2 3 6 2" xfId="2248" xr:uid="{00000000-0005-0000-0000-00004B0D0000}"/>
    <cellStyle name="Moneda 7 2 3 7" xfId="2249" xr:uid="{00000000-0005-0000-0000-00004C0D0000}"/>
    <cellStyle name="Moneda 7 2 4" xfId="2250" xr:uid="{00000000-0005-0000-0000-00004D0D0000}"/>
    <cellStyle name="Moneda 7 2 4 2" xfId="2251" xr:uid="{00000000-0005-0000-0000-00004E0D0000}"/>
    <cellStyle name="Moneda 7 2 4 2 2" xfId="2252" xr:uid="{00000000-0005-0000-0000-00004F0D0000}"/>
    <cellStyle name="Moneda 7 2 4 2 2 2" xfId="2253" xr:uid="{00000000-0005-0000-0000-0000500D0000}"/>
    <cellStyle name="Moneda 7 2 4 2 2 2 2" xfId="2254" xr:uid="{00000000-0005-0000-0000-0000510D0000}"/>
    <cellStyle name="Moneda 7 2 4 2 2 3" xfId="2255" xr:uid="{00000000-0005-0000-0000-0000520D0000}"/>
    <cellStyle name="Moneda 7 2 4 2 2 3 2" xfId="2256" xr:uid="{00000000-0005-0000-0000-0000530D0000}"/>
    <cellStyle name="Moneda 7 2 4 2 2 4" xfId="2257" xr:uid="{00000000-0005-0000-0000-0000540D0000}"/>
    <cellStyle name="Moneda 7 2 4 2 2 4 2" xfId="2258" xr:uid="{00000000-0005-0000-0000-0000550D0000}"/>
    <cellStyle name="Moneda 7 2 4 2 2 5" xfId="2259" xr:uid="{00000000-0005-0000-0000-0000560D0000}"/>
    <cellStyle name="Moneda 7 2 4 2 3" xfId="2260" xr:uid="{00000000-0005-0000-0000-0000570D0000}"/>
    <cellStyle name="Moneda 7 2 4 2 3 2" xfId="2261" xr:uid="{00000000-0005-0000-0000-0000580D0000}"/>
    <cellStyle name="Moneda 7 2 4 2 4" xfId="2262" xr:uid="{00000000-0005-0000-0000-0000590D0000}"/>
    <cellStyle name="Moneda 7 2 4 2 4 2" xfId="2263" xr:uid="{00000000-0005-0000-0000-00005A0D0000}"/>
    <cellStyle name="Moneda 7 2 4 2 5" xfId="2264" xr:uid="{00000000-0005-0000-0000-00005B0D0000}"/>
    <cellStyle name="Moneda 7 2 4 2 5 2" xfId="2265" xr:uid="{00000000-0005-0000-0000-00005C0D0000}"/>
    <cellStyle name="Moneda 7 2 4 2 6" xfId="2266" xr:uid="{00000000-0005-0000-0000-00005D0D0000}"/>
    <cellStyle name="Moneda 7 2 4 3" xfId="2267" xr:uid="{00000000-0005-0000-0000-00005E0D0000}"/>
    <cellStyle name="Moneda 7 2 4 3 2" xfId="2268" xr:uid="{00000000-0005-0000-0000-00005F0D0000}"/>
    <cellStyle name="Moneda 7 2 4 3 2 2" xfId="2269" xr:uid="{00000000-0005-0000-0000-0000600D0000}"/>
    <cellStyle name="Moneda 7 2 4 3 3" xfId="2270" xr:uid="{00000000-0005-0000-0000-0000610D0000}"/>
    <cellStyle name="Moneda 7 2 4 3 3 2" xfId="2271" xr:uid="{00000000-0005-0000-0000-0000620D0000}"/>
    <cellStyle name="Moneda 7 2 4 3 4" xfId="2272" xr:uid="{00000000-0005-0000-0000-0000630D0000}"/>
    <cellStyle name="Moneda 7 2 4 3 4 2" xfId="2273" xr:uid="{00000000-0005-0000-0000-0000640D0000}"/>
    <cellStyle name="Moneda 7 2 4 3 5" xfId="2274" xr:uid="{00000000-0005-0000-0000-0000650D0000}"/>
    <cellStyle name="Moneda 7 2 4 4" xfId="2275" xr:uid="{00000000-0005-0000-0000-0000660D0000}"/>
    <cellStyle name="Moneda 7 2 4 4 2" xfId="2276" xr:uid="{00000000-0005-0000-0000-0000670D0000}"/>
    <cellStyle name="Moneda 7 2 4 5" xfId="2277" xr:uid="{00000000-0005-0000-0000-0000680D0000}"/>
    <cellStyle name="Moneda 7 2 4 5 2" xfId="2278" xr:uid="{00000000-0005-0000-0000-0000690D0000}"/>
    <cellStyle name="Moneda 7 2 4 6" xfId="2279" xr:uid="{00000000-0005-0000-0000-00006A0D0000}"/>
    <cellStyle name="Moneda 7 2 4 6 2" xfId="2280" xr:uid="{00000000-0005-0000-0000-00006B0D0000}"/>
    <cellStyle name="Moneda 7 2 4 7" xfId="2281" xr:uid="{00000000-0005-0000-0000-00006C0D0000}"/>
    <cellStyle name="Moneda 7 2 5" xfId="2282" xr:uid="{00000000-0005-0000-0000-00006D0D0000}"/>
    <cellStyle name="Moneda 7 2 5 2" xfId="2283" xr:uid="{00000000-0005-0000-0000-00006E0D0000}"/>
    <cellStyle name="Moneda 7 2 5 2 2" xfId="2284" xr:uid="{00000000-0005-0000-0000-00006F0D0000}"/>
    <cellStyle name="Moneda 7 2 5 2 2 2" xfId="2285" xr:uid="{00000000-0005-0000-0000-0000700D0000}"/>
    <cellStyle name="Moneda 7 2 5 2 3" xfId="2286" xr:uid="{00000000-0005-0000-0000-0000710D0000}"/>
    <cellStyle name="Moneda 7 2 5 2 3 2" xfId="2287" xr:uid="{00000000-0005-0000-0000-0000720D0000}"/>
    <cellStyle name="Moneda 7 2 5 2 4" xfId="2288" xr:uid="{00000000-0005-0000-0000-0000730D0000}"/>
    <cellStyle name="Moneda 7 2 5 2 4 2" xfId="2289" xr:uid="{00000000-0005-0000-0000-0000740D0000}"/>
    <cellStyle name="Moneda 7 2 5 2 5" xfId="2290" xr:uid="{00000000-0005-0000-0000-0000750D0000}"/>
    <cellStyle name="Moneda 7 2 5 3" xfId="2291" xr:uid="{00000000-0005-0000-0000-0000760D0000}"/>
    <cellStyle name="Moneda 7 2 5 3 2" xfId="2292" xr:uid="{00000000-0005-0000-0000-0000770D0000}"/>
    <cellStyle name="Moneda 7 2 5 4" xfId="2293" xr:uid="{00000000-0005-0000-0000-0000780D0000}"/>
    <cellStyle name="Moneda 7 2 5 4 2" xfId="2294" xr:uid="{00000000-0005-0000-0000-0000790D0000}"/>
    <cellStyle name="Moneda 7 2 5 5" xfId="2295" xr:uid="{00000000-0005-0000-0000-00007A0D0000}"/>
    <cellStyle name="Moneda 7 2 5 5 2" xfId="2296" xr:uid="{00000000-0005-0000-0000-00007B0D0000}"/>
    <cellStyle name="Moneda 7 2 5 6" xfId="2297" xr:uid="{00000000-0005-0000-0000-00007C0D0000}"/>
    <cellStyle name="Moneda 7 2 6" xfId="2298" xr:uid="{00000000-0005-0000-0000-00007D0D0000}"/>
    <cellStyle name="Moneda 7 2 6 2" xfId="2299" xr:uid="{00000000-0005-0000-0000-00007E0D0000}"/>
    <cellStyle name="Moneda 7 2 6 2 2" xfId="2300" xr:uid="{00000000-0005-0000-0000-00007F0D0000}"/>
    <cellStyle name="Moneda 7 2 6 3" xfId="2301" xr:uid="{00000000-0005-0000-0000-0000800D0000}"/>
    <cellStyle name="Moneda 7 2 6 3 2" xfId="2302" xr:uid="{00000000-0005-0000-0000-0000810D0000}"/>
    <cellStyle name="Moneda 7 2 6 4" xfId="2303" xr:uid="{00000000-0005-0000-0000-0000820D0000}"/>
    <cellStyle name="Moneda 7 2 6 4 2" xfId="2304" xr:uid="{00000000-0005-0000-0000-0000830D0000}"/>
    <cellStyle name="Moneda 7 2 6 5" xfId="2305" xr:uid="{00000000-0005-0000-0000-0000840D0000}"/>
    <cellStyle name="Moneda 7 2 7" xfId="2306" xr:uid="{00000000-0005-0000-0000-0000850D0000}"/>
    <cellStyle name="Moneda 7 2 7 2" xfId="2307" xr:uid="{00000000-0005-0000-0000-0000860D0000}"/>
    <cellStyle name="Moneda 7 2 8" xfId="2308" xr:uid="{00000000-0005-0000-0000-0000870D0000}"/>
    <cellStyle name="Moneda 7 2 8 2" xfId="2309" xr:uid="{00000000-0005-0000-0000-0000880D0000}"/>
    <cellStyle name="Moneda 7 2 9" xfId="2310" xr:uid="{00000000-0005-0000-0000-0000890D0000}"/>
    <cellStyle name="Moneda 7 2 9 2" xfId="2311" xr:uid="{00000000-0005-0000-0000-00008A0D0000}"/>
    <cellStyle name="Moneda 7 3" xfId="2312" xr:uid="{00000000-0005-0000-0000-00008B0D0000}"/>
    <cellStyle name="Moneda 7 3 2" xfId="2313" xr:uid="{00000000-0005-0000-0000-00008C0D0000}"/>
    <cellStyle name="Moneda 7 3 2 2" xfId="2314" xr:uid="{00000000-0005-0000-0000-00008D0D0000}"/>
    <cellStyle name="Moneda 7 3 2 2 2" xfId="2315" xr:uid="{00000000-0005-0000-0000-00008E0D0000}"/>
    <cellStyle name="Moneda 7 3 2 2 2 2" xfId="2316" xr:uid="{00000000-0005-0000-0000-00008F0D0000}"/>
    <cellStyle name="Moneda 7 3 2 2 3" xfId="2317" xr:uid="{00000000-0005-0000-0000-0000900D0000}"/>
    <cellStyle name="Moneda 7 3 2 2 3 2" xfId="2318" xr:uid="{00000000-0005-0000-0000-0000910D0000}"/>
    <cellStyle name="Moneda 7 3 2 2 4" xfId="2319" xr:uid="{00000000-0005-0000-0000-0000920D0000}"/>
    <cellStyle name="Moneda 7 3 2 2 4 2" xfId="2320" xr:uid="{00000000-0005-0000-0000-0000930D0000}"/>
    <cellStyle name="Moneda 7 3 2 2 5" xfId="2321" xr:uid="{00000000-0005-0000-0000-0000940D0000}"/>
    <cellStyle name="Moneda 7 3 2 3" xfId="2322" xr:uid="{00000000-0005-0000-0000-0000950D0000}"/>
    <cellStyle name="Moneda 7 3 2 3 2" xfId="2323" xr:uid="{00000000-0005-0000-0000-0000960D0000}"/>
    <cellStyle name="Moneda 7 3 2 4" xfId="2324" xr:uid="{00000000-0005-0000-0000-0000970D0000}"/>
    <cellStyle name="Moneda 7 3 2 4 2" xfId="2325" xr:uid="{00000000-0005-0000-0000-0000980D0000}"/>
    <cellStyle name="Moneda 7 3 2 5" xfId="2326" xr:uid="{00000000-0005-0000-0000-0000990D0000}"/>
    <cellStyle name="Moneda 7 3 2 5 2" xfId="2327" xr:uid="{00000000-0005-0000-0000-00009A0D0000}"/>
    <cellStyle name="Moneda 7 3 2 6" xfId="2328" xr:uid="{00000000-0005-0000-0000-00009B0D0000}"/>
    <cellStyle name="Moneda 7 3 3" xfId="2329" xr:uid="{00000000-0005-0000-0000-00009C0D0000}"/>
    <cellStyle name="Moneda 7 3 3 2" xfId="2330" xr:uid="{00000000-0005-0000-0000-00009D0D0000}"/>
    <cellStyle name="Moneda 7 3 3 2 2" xfId="2331" xr:uid="{00000000-0005-0000-0000-00009E0D0000}"/>
    <cellStyle name="Moneda 7 3 3 3" xfId="2332" xr:uid="{00000000-0005-0000-0000-00009F0D0000}"/>
    <cellStyle name="Moneda 7 3 3 3 2" xfId="2333" xr:uid="{00000000-0005-0000-0000-0000A00D0000}"/>
    <cellStyle name="Moneda 7 3 3 4" xfId="2334" xr:uid="{00000000-0005-0000-0000-0000A10D0000}"/>
    <cellStyle name="Moneda 7 3 3 4 2" xfId="2335" xr:uid="{00000000-0005-0000-0000-0000A20D0000}"/>
    <cellStyle name="Moneda 7 3 3 5" xfId="2336" xr:uid="{00000000-0005-0000-0000-0000A30D0000}"/>
    <cellStyle name="Moneda 7 3 4" xfId="2337" xr:uid="{00000000-0005-0000-0000-0000A40D0000}"/>
    <cellStyle name="Moneda 7 3 4 2" xfId="2338" xr:uid="{00000000-0005-0000-0000-0000A50D0000}"/>
    <cellStyle name="Moneda 7 3 5" xfId="2339" xr:uid="{00000000-0005-0000-0000-0000A60D0000}"/>
    <cellStyle name="Moneda 7 3 5 2" xfId="2340" xr:uid="{00000000-0005-0000-0000-0000A70D0000}"/>
    <cellStyle name="Moneda 7 3 6" xfId="2341" xr:uid="{00000000-0005-0000-0000-0000A80D0000}"/>
    <cellStyle name="Moneda 7 3 6 2" xfId="2342" xr:uid="{00000000-0005-0000-0000-0000A90D0000}"/>
    <cellStyle name="Moneda 7 3 7" xfId="2343" xr:uid="{00000000-0005-0000-0000-0000AA0D0000}"/>
    <cellStyle name="Moneda 7 4" xfId="2344" xr:uid="{00000000-0005-0000-0000-0000AB0D0000}"/>
    <cellStyle name="Moneda 7 4 2" xfId="2345" xr:uid="{00000000-0005-0000-0000-0000AC0D0000}"/>
    <cellStyle name="Moneda 7 4 2 2" xfId="2346" xr:uid="{00000000-0005-0000-0000-0000AD0D0000}"/>
    <cellStyle name="Moneda 7 4 2 2 2" xfId="2347" xr:uid="{00000000-0005-0000-0000-0000AE0D0000}"/>
    <cellStyle name="Moneda 7 4 2 2 2 2" xfId="2348" xr:uid="{00000000-0005-0000-0000-0000AF0D0000}"/>
    <cellStyle name="Moneda 7 4 2 2 3" xfId="2349" xr:uid="{00000000-0005-0000-0000-0000B00D0000}"/>
    <cellStyle name="Moneda 7 4 2 2 3 2" xfId="2350" xr:uid="{00000000-0005-0000-0000-0000B10D0000}"/>
    <cellStyle name="Moneda 7 4 2 2 4" xfId="2351" xr:uid="{00000000-0005-0000-0000-0000B20D0000}"/>
    <cellStyle name="Moneda 7 4 2 2 4 2" xfId="2352" xr:uid="{00000000-0005-0000-0000-0000B30D0000}"/>
    <cellStyle name="Moneda 7 4 2 2 5" xfId="2353" xr:uid="{00000000-0005-0000-0000-0000B40D0000}"/>
    <cellStyle name="Moneda 7 4 2 3" xfId="2354" xr:uid="{00000000-0005-0000-0000-0000B50D0000}"/>
    <cellStyle name="Moneda 7 4 2 3 2" xfId="2355" xr:uid="{00000000-0005-0000-0000-0000B60D0000}"/>
    <cellStyle name="Moneda 7 4 2 4" xfId="2356" xr:uid="{00000000-0005-0000-0000-0000B70D0000}"/>
    <cellStyle name="Moneda 7 4 2 4 2" xfId="2357" xr:uid="{00000000-0005-0000-0000-0000B80D0000}"/>
    <cellStyle name="Moneda 7 4 2 5" xfId="2358" xr:uid="{00000000-0005-0000-0000-0000B90D0000}"/>
    <cellStyle name="Moneda 7 4 2 5 2" xfId="2359" xr:uid="{00000000-0005-0000-0000-0000BA0D0000}"/>
    <cellStyle name="Moneda 7 4 2 6" xfId="2360" xr:uid="{00000000-0005-0000-0000-0000BB0D0000}"/>
    <cellStyle name="Moneda 7 4 3" xfId="2361" xr:uid="{00000000-0005-0000-0000-0000BC0D0000}"/>
    <cellStyle name="Moneda 7 4 3 2" xfId="2362" xr:uid="{00000000-0005-0000-0000-0000BD0D0000}"/>
    <cellStyle name="Moneda 7 4 3 2 2" xfId="2363" xr:uid="{00000000-0005-0000-0000-0000BE0D0000}"/>
    <cellStyle name="Moneda 7 4 3 3" xfId="2364" xr:uid="{00000000-0005-0000-0000-0000BF0D0000}"/>
    <cellStyle name="Moneda 7 4 3 3 2" xfId="2365" xr:uid="{00000000-0005-0000-0000-0000C00D0000}"/>
    <cellStyle name="Moneda 7 4 3 4" xfId="2366" xr:uid="{00000000-0005-0000-0000-0000C10D0000}"/>
    <cellStyle name="Moneda 7 4 3 4 2" xfId="2367" xr:uid="{00000000-0005-0000-0000-0000C20D0000}"/>
    <cellStyle name="Moneda 7 4 3 5" xfId="2368" xr:uid="{00000000-0005-0000-0000-0000C30D0000}"/>
    <cellStyle name="Moneda 7 4 4" xfId="2369" xr:uid="{00000000-0005-0000-0000-0000C40D0000}"/>
    <cellStyle name="Moneda 7 4 4 2" xfId="2370" xr:uid="{00000000-0005-0000-0000-0000C50D0000}"/>
    <cellStyle name="Moneda 7 4 5" xfId="2371" xr:uid="{00000000-0005-0000-0000-0000C60D0000}"/>
    <cellStyle name="Moneda 7 4 5 2" xfId="2372" xr:uid="{00000000-0005-0000-0000-0000C70D0000}"/>
    <cellStyle name="Moneda 7 4 6" xfId="2373" xr:uid="{00000000-0005-0000-0000-0000C80D0000}"/>
    <cellStyle name="Moneda 7 4 6 2" xfId="2374" xr:uid="{00000000-0005-0000-0000-0000C90D0000}"/>
    <cellStyle name="Moneda 7 4 7" xfId="2375" xr:uid="{00000000-0005-0000-0000-0000CA0D0000}"/>
    <cellStyle name="Moneda 7 5" xfId="2376" xr:uid="{00000000-0005-0000-0000-0000CB0D0000}"/>
    <cellStyle name="Moneda 7 5 2" xfId="2377" xr:uid="{00000000-0005-0000-0000-0000CC0D0000}"/>
    <cellStyle name="Moneda 7 5 2 2" xfId="2378" xr:uid="{00000000-0005-0000-0000-0000CD0D0000}"/>
    <cellStyle name="Moneda 7 5 2 2 2" xfId="2379" xr:uid="{00000000-0005-0000-0000-0000CE0D0000}"/>
    <cellStyle name="Moneda 7 5 2 2 2 2" xfId="2380" xr:uid="{00000000-0005-0000-0000-0000CF0D0000}"/>
    <cellStyle name="Moneda 7 5 2 2 3" xfId="2381" xr:uid="{00000000-0005-0000-0000-0000D00D0000}"/>
    <cellStyle name="Moneda 7 5 2 2 3 2" xfId="2382" xr:uid="{00000000-0005-0000-0000-0000D10D0000}"/>
    <cellStyle name="Moneda 7 5 2 2 4" xfId="2383" xr:uid="{00000000-0005-0000-0000-0000D20D0000}"/>
    <cellStyle name="Moneda 7 5 2 2 4 2" xfId="2384" xr:uid="{00000000-0005-0000-0000-0000D30D0000}"/>
    <cellStyle name="Moneda 7 5 2 2 5" xfId="2385" xr:uid="{00000000-0005-0000-0000-0000D40D0000}"/>
    <cellStyle name="Moneda 7 5 2 3" xfId="2386" xr:uid="{00000000-0005-0000-0000-0000D50D0000}"/>
    <cellStyle name="Moneda 7 5 2 3 2" xfId="2387" xr:uid="{00000000-0005-0000-0000-0000D60D0000}"/>
    <cellStyle name="Moneda 7 5 2 4" xfId="2388" xr:uid="{00000000-0005-0000-0000-0000D70D0000}"/>
    <cellStyle name="Moneda 7 5 2 4 2" xfId="2389" xr:uid="{00000000-0005-0000-0000-0000D80D0000}"/>
    <cellStyle name="Moneda 7 5 2 5" xfId="2390" xr:uid="{00000000-0005-0000-0000-0000D90D0000}"/>
    <cellStyle name="Moneda 7 5 2 5 2" xfId="2391" xr:uid="{00000000-0005-0000-0000-0000DA0D0000}"/>
    <cellStyle name="Moneda 7 5 2 6" xfId="2392" xr:uid="{00000000-0005-0000-0000-0000DB0D0000}"/>
    <cellStyle name="Moneda 7 5 3" xfId="2393" xr:uid="{00000000-0005-0000-0000-0000DC0D0000}"/>
    <cellStyle name="Moneda 7 5 3 2" xfId="2394" xr:uid="{00000000-0005-0000-0000-0000DD0D0000}"/>
    <cellStyle name="Moneda 7 5 3 2 2" xfId="2395" xr:uid="{00000000-0005-0000-0000-0000DE0D0000}"/>
    <cellStyle name="Moneda 7 5 3 3" xfId="2396" xr:uid="{00000000-0005-0000-0000-0000DF0D0000}"/>
    <cellStyle name="Moneda 7 5 3 3 2" xfId="2397" xr:uid="{00000000-0005-0000-0000-0000E00D0000}"/>
    <cellStyle name="Moneda 7 5 3 4" xfId="2398" xr:uid="{00000000-0005-0000-0000-0000E10D0000}"/>
    <cellStyle name="Moneda 7 5 3 4 2" xfId="2399" xr:uid="{00000000-0005-0000-0000-0000E20D0000}"/>
    <cellStyle name="Moneda 7 5 3 5" xfId="2400" xr:uid="{00000000-0005-0000-0000-0000E30D0000}"/>
    <cellStyle name="Moneda 7 5 4" xfId="2401" xr:uid="{00000000-0005-0000-0000-0000E40D0000}"/>
    <cellStyle name="Moneda 7 5 4 2" xfId="2402" xr:uid="{00000000-0005-0000-0000-0000E50D0000}"/>
    <cellStyle name="Moneda 7 5 5" xfId="2403" xr:uid="{00000000-0005-0000-0000-0000E60D0000}"/>
    <cellStyle name="Moneda 7 5 5 2" xfId="2404" xr:uid="{00000000-0005-0000-0000-0000E70D0000}"/>
    <cellStyle name="Moneda 7 5 6" xfId="2405" xr:uid="{00000000-0005-0000-0000-0000E80D0000}"/>
    <cellStyle name="Moneda 7 5 6 2" xfId="2406" xr:uid="{00000000-0005-0000-0000-0000E90D0000}"/>
    <cellStyle name="Moneda 7 5 7" xfId="2407" xr:uid="{00000000-0005-0000-0000-0000EA0D0000}"/>
    <cellStyle name="Moneda 7 6" xfId="2408" xr:uid="{00000000-0005-0000-0000-0000EB0D0000}"/>
    <cellStyle name="Moneda 7 6 2" xfId="2409" xr:uid="{00000000-0005-0000-0000-0000EC0D0000}"/>
    <cellStyle name="Moneda 7 6 2 2" xfId="2410" xr:uid="{00000000-0005-0000-0000-0000ED0D0000}"/>
    <cellStyle name="Moneda 7 6 2 2 2" xfId="2411" xr:uid="{00000000-0005-0000-0000-0000EE0D0000}"/>
    <cellStyle name="Moneda 7 6 2 3" xfId="2412" xr:uid="{00000000-0005-0000-0000-0000EF0D0000}"/>
    <cellStyle name="Moneda 7 6 2 3 2" xfId="2413" xr:uid="{00000000-0005-0000-0000-0000F00D0000}"/>
    <cellStyle name="Moneda 7 6 2 4" xfId="2414" xr:uid="{00000000-0005-0000-0000-0000F10D0000}"/>
    <cellStyle name="Moneda 7 6 2 4 2" xfId="2415" xr:uid="{00000000-0005-0000-0000-0000F20D0000}"/>
    <cellStyle name="Moneda 7 6 2 5" xfId="2416" xr:uid="{00000000-0005-0000-0000-0000F30D0000}"/>
    <cellStyle name="Moneda 7 6 3" xfId="2417" xr:uid="{00000000-0005-0000-0000-0000F40D0000}"/>
    <cellStyle name="Moneda 7 6 3 2" xfId="2418" xr:uid="{00000000-0005-0000-0000-0000F50D0000}"/>
    <cellStyle name="Moneda 7 6 4" xfId="2419" xr:uid="{00000000-0005-0000-0000-0000F60D0000}"/>
    <cellStyle name="Moneda 7 6 4 2" xfId="2420" xr:uid="{00000000-0005-0000-0000-0000F70D0000}"/>
    <cellStyle name="Moneda 7 6 5" xfId="2421" xr:uid="{00000000-0005-0000-0000-0000F80D0000}"/>
    <cellStyle name="Moneda 7 6 5 2" xfId="2422" xr:uid="{00000000-0005-0000-0000-0000F90D0000}"/>
    <cellStyle name="Moneda 7 6 6" xfId="2423" xr:uid="{00000000-0005-0000-0000-0000FA0D0000}"/>
    <cellStyle name="Moneda 7 7" xfId="2424" xr:uid="{00000000-0005-0000-0000-0000FB0D0000}"/>
    <cellStyle name="Moneda 7 7 2" xfId="2425" xr:uid="{00000000-0005-0000-0000-0000FC0D0000}"/>
    <cellStyle name="Moneda 7 7 2 2" xfId="2426" xr:uid="{00000000-0005-0000-0000-0000FD0D0000}"/>
    <cellStyle name="Moneda 7 7 3" xfId="2427" xr:uid="{00000000-0005-0000-0000-0000FE0D0000}"/>
    <cellStyle name="Moneda 7 7 3 2" xfId="2428" xr:uid="{00000000-0005-0000-0000-0000FF0D0000}"/>
    <cellStyle name="Moneda 7 7 4" xfId="2429" xr:uid="{00000000-0005-0000-0000-0000000E0000}"/>
    <cellStyle name="Moneda 7 7 4 2" xfId="2430" xr:uid="{00000000-0005-0000-0000-0000010E0000}"/>
    <cellStyle name="Moneda 7 7 5" xfId="2431" xr:uid="{00000000-0005-0000-0000-0000020E0000}"/>
    <cellStyle name="Moneda 7 8" xfId="2432" xr:uid="{00000000-0005-0000-0000-0000030E0000}"/>
    <cellStyle name="Moneda 7 8 2" xfId="2433" xr:uid="{00000000-0005-0000-0000-0000040E0000}"/>
    <cellStyle name="Moneda 7 9" xfId="2434" xr:uid="{00000000-0005-0000-0000-0000050E0000}"/>
    <cellStyle name="Moneda 7 9 2" xfId="2435" xr:uid="{00000000-0005-0000-0000-0000060E0000}"/>
    <cellStyle name="Moneda 8" xfId="2436" xr:uid="{00000000-0005-0000-0000-0000070E0000}"/>
    <cellStyle name="Moneda 8 10" xfId="2437" xr:uid="{00000000-0005-0000-0000-0000080E0000}"/>
    <cellStyle name="Moneda 8 10 2" xfId="2438" xr:uid="{00000000-0005-0000-0000-0000090E0000}"/>
    <cellStyle name="Moneda 8 11" xfId="2439" xr:uid="{00000000-0005-0000-0000-00000A0E0000}"/>
    <cellStyle name="Moneda 8 11 2" xfId="2440" xr:uid="{00000000-0005-0000-0000-00000B0E0000}"/>
    <cellStyle name="Moneda 8 12" xfId="2441" xr:uid="{00000000-0005-0000-0000-00000C0E0000}"/>
    <cellStyle name="Moneda 8 13" xfId="2442" xr:uid="{00000000-0005-0000-0000-00000D0E0000}"/>
    <cellStyle name="Moneda 8 2" xfId="2443" xr:uid="{00000000-0005-0000-0000-00000E0E0000}"/>
    <cellStyle name="Moneda 8 2 10" xfId="2444" xr:uid="{00000000-0005-0000-0000-00000F0E0000}"/>
    <cellStyle name="Moneda 8 2 11" xfId="2445" xr:uid="{00000000-0005-0000-0000-0000100E0000}"/>
    <cellStyle name="Moneda 8 2 2" xfId="2446" xr:uid="{00000000-0005-0000-0000-0000110E0000}"/>
    <cellStyle name="Moneda 8 2 2 2" xfId="2447" xr:uid="{00000000-0005-0000-0000-0000120E0000}"/>
    <cellStyle name="Moneda 8 2 2 2 2" xfId="2448" xr:uid="{00000000-0005-0000-0000-0000130E0000}"/>
    <cellStyle name="Moneda 8 2 2 2 2 2" xfId="2449" xr:uid="{00000000-0005-0000-0000-0000140E0000}"/>
    <cellStyle name="Moneda 8 2 2 2 2 2 2" xfId="2450" xr:uid="{00000000-0005-0000-0000-0000150E0000}"/>
    <cellStyle name="Moneda 8 2 2 2 2 3" xfId="2451" xr:uid="{00000000-0005-0000-0000-0000160E0000}"/>
    <cellStyle name="Moneda 8 2 2 2 2 3 2" xfId="2452" xr:uid="{00000000-0005-0000-0000-0000170E0000}"/>
    <cellStyle name="Moneda 8 2 2 2 2 4" xfId="2453" xr:uid="{00000000-0005-0000-0000-0000180E0000}"/>
    <cellStyle name="Moneda 8 2 2 2 2 4 2" xfId="2454" xr:uid="{00000000-0005-0000-0000-0000190E0000}"/>
    <cellStyle name="Moneda 8 2 2 2 2 5" xfId="2455" xr:uid="{00000000-0005-0000-0000-00001A0E0000}"/>
    <cellStyle name="Moneda 8 2 2 2 3" xfId="2456" xr:uid="{00000000-0005-0000-0000-00001B0E0000}"/>
    <cellStyle name="Moneda 8 2 2 2 3 2" xfId="2457" xr:uid="{00000000-0005-0000-0000-00001C0E0000}"/>
    <cellStyle name="Moneda 8 2 2 2 4" xfId="2458" xr:uid="{00000000-0005-0000-0000-00001D0E0000}"/>
    <cellStyle name="Moneda 8 2 2 2 4 2" xfId="2459" xr:uid="{00000000-0005-0000-0000-00001E0E0000}"/>
    <cellStyle name="Moneda 8 2 2 2 5" xfId="2460" xr:uid="{00000000-0005-0000-0000-00001F0E0000}"/>
    <cellStyle name="Moneda 8 2 2 2 5 2" xfId="2461" xr:uid="{00000000-0005-0000-0000-0000200E0000}"/>
    <cellStyle name="Moneda 8 2 2 2 6" xfId="2462" xr:uid="{00000000-0005-0000-0000-0000210E0000}"/>
    <cellStyle name="Moneda 8 2 2 3" xfId="2463" xr:uid="{00000000-0005-0000-0000-0000220E0000}"/>
    <cellStyle name="Moneda 8 2 2 3 2" xfId="2464" xr:uid="{00000000-0005-0000-0000-0000230E0000}"/>
    <cellStyle name="Moneda 8 2 2 3 2 2" xfId="2465" xr:uid="{00000000-0005-0000-0000-0000240E0000}"/>
    <cellStyle name="Moneda 8 2 2 3 3" xfId="2466" xr:uid="{00000000-0005-0000-0000-0000250E0000}"/>
    <cellStyle name="Moneda 8 2 2 3 3 2" xfId="2467" xr:uid="{00000000-0005-0000-0000-0000260E0000}"/>
    <cellStyle name="Moneda 8 2 2 3 4" xfId="2468" xr:uid="{00000000-0005-0000-0000-0000270E0000}"/>
    <cellStyle name="Moneda 8 2 2 3 4 2" xfId="2469" xr:uid="{00000000-0005-0000-0000-0000280E0000}"/>
    <cellStyle name="Moneda 8 2 2 3 5" xfId="2470" xr:uid="{00000000-0005-0000-0000-0000290E0000}"/>
    <cellStyle name="Moneda 8 2 2 4" xfId="2471" xr:uid="{00000000-0005-0000-0000-00002A0E0000}"/>
    <cellStyle name="Moneda 8 2 2 4 2" xfId="2472" xr:uid="{00000000-0005-0000-0000-00002B0E0000}"/>
    <cellStyle name="Moneda 8 2 2 5" xfId="2473" xr:uid="{00000000-0005-0000-0000-00002C0E0000}"/>
    <cellStyle name="Moneda 8 2 2 5 2" xfId="2474" xr:uid="{00000000-0005-0000-0000-00002D0E0000}"/>
    <cellStyle name="Moneda 8 2 2 6" xfId="2475" xr:uid="{00000000-0005-0000-0000-00002E0E0000}"/>
    <cellStyle name="Moneda 8 2 2 6 2" xfId="2476" xr:uid="{00000000-0005-0000-0000-00002F0E0000}"/>
    <cellStyle name="Moneda 8 2 2 7" xfId="2477" xr:uid="{00000000-0005-0000-0000-0000300E0000}"/>
    <cellStyle name="Moneda 8 2 3" xfId="2478" xr:uid="{00000000-0005-0000-0000-0000310E0000}"/>
    <cellStyle name="Moneda 8 2 3 2" xfId="2479" xr:uid="{00000000-0005-0000-0000-0000320E0000}"/>
    <cellStyle name="Moneda 8 2 3 2 2" xfId="2480" xr:uid="{00000000-0005-0000-0000-0000330E0000}"/>
    <cellStyle name="Moneda 8 2 3 2 2 2" xfId="2481" xr:uid="{00000000-0005-0000-0000-0000340E0000}"/>
    <cellStyle name="Moneda 8 2 3 2 2 2 2" xfId="2482" xr:uid="{00000000-0005-0000-0000-0000350E0000}"/>
    <cellStyle name="Moneda 8 2 3 2 2 3" xfId="2483" xr:uid="{00000000-0005-0000-0000-0000360E0000}"/>
    <cellStyle name="Moneda 8 2 3 2 2 3 2" xfId="2484" xr:uid="{00000000-0005-0000-0000-0000370E0000}"/>
    <cellStyle name="Moneda 8 2 3 2 2 4" xfId="2485" xr:uid="{00000000-0005-0000-0000-0000380E0000}"/>
    <cellStyle name="Moneda 8 2 3 2 2 4 2" xfId="2486" xr:uid="{00000000-0005-0000-0000-0000390E0000}"/>
    <cellStyle name="Moneda 8 2 3 2 2 5" xfId="2487" xr:uid="{00000000-0005-0000-0000-00003A0E0000}"/>
    <cellStyle name="Moneda 8 2 3 2 3" xfId="2488" xr:uid="{00000000-0005-0000-0000-00003B0E0000}"/>
    <cellStyle name="Moneda 8 2 3 2 3 2" xfId="2489" xr:uid="{00000000-0005-0000-0000-00003C0E0000}"/>
    <cellStyle name="Moneda 8 2 3 2 4" xfId="2490" xr:uid="{00000000-0005-0000-0000-00003D0E0000}"/>
    <cellStyle name="Moneda 8 2 3 2 4 2" xfId="2491" xr:uid="{00000000-0005-0000-0000-00003E0E0000}"/>
    <cellStyle name="Moneda 8 2 3 2 5" xfId="2492" xr:uid="{00000000-0005-0000-0000-00003F0E0000}"/>
    <cellStyle name="Moneda 8 2 3 2 5 2" xfId="2493" xr:uid="{00000000-0005-0000-0000-0000400E0000}"/>
    <cellStyle name="Moneda 8 2 3 2 6" xfId="2494" xr:uid="{00000000-0005-0000-0000-0000410E0000}"/>
    <cellStyle name="Moneda 8 2 3 3" xfId="2495" xr:uid="{00000000-0005-0000-0000-0000420E0000}"/>
    <cellStyle name="Moneda 8 2 3 3 2" xfId="2496" xr:uid="{00000000-0005-0000-0000-0000430E0000}"/>
    <cellStyle name="Moneda 8 2 3 3 2 2" xfId="2497" xr:uid="{00000000-0005-0000-0000-0000440E0000}"/>
    <cellStyle name="Moneda 8 2 3 3 3" xfId="2498" xr:uid="{00000000-0005-0000-0000-0000450E0000}"/>
    <cellStyle name="Moneda 8 2 3 3 3 2" xfId="2499" xr:uid="{00000000-0005-0000-0000-0000460E0000}"/>
    <cellStyle name="Moneda 8 2 3 3 4" xfId="2500" xr:uid="{00000000-0005-0000-0000-0000470E0000}"/>
    <cellStyle name="Moneda 8 2 3 3 4 2" xfId="2501" xr:uid="{00000000-0005-0000-0000-0000480E0000}"/>
    <cellStyle name="Moneda 8 2 3 3 5" xfId="2502" xr:uid="{00000000-0005-0000-0000-0000490E0000}"/>
    <cellStyle name="Moneda 8 2 3 4" xfId="2503" xr:uid="{00000000-0005-0000-0000-00004A0E0000}"/>
    <cellStyle name="Moneda 8 2 3 4 2" xfId="2504" xr:uid="{00000000-0005-0000-0000-00004B0E0000}"/>
    <cellStyle name="Moneda 8 2 3 5" xfId="2505" xr:uid="{00000000-0005-0000-0000-00004C0E0000}"/>
    <cellStyle name="Moneda 8 2 3 5 2" xfId="2506" xr:uid="{00000000-0005-0000-0000-00004D0E0000}"/>
    <cellStyle name="Moneda 8 2 3 6" xfId="2507" xr:uid="{00000000-0005-0000-0000-00004E0E0000}"/>
    <cellStyle name="Moneda 8 2 3 6 2" xfId="2508" xr:uid="{00000000-0005-0000-0000-00004F0E0000}"/>
    <cellStyle name="Moneda 8 2 3 7" xfId="2509" xr:uid="{00000000-0005-0000-0000-0000500E0000}"/>
    <cellStyle name="Moneda 8 2 4" xfId="2510" xr:uid="{00000000-0005-0000-0000-0000510E0000}"/>
    <cellStyle name="Moneda 8 2 4 2" xfId="2511" xr:uid="{00000000-0005-0000-0000-0000520E0000}"/>
    <cellStyle name="Moneda 8 2 4 2 2" xfId="2512" xr:uid="{00000000-0005-0000-0000-0000530E0000}"/>
    <cellStyle name="Moneda 8 2 4 2 2 2" xfId="2513" xr:uid="{00000000-0005-0000-0000-0000540E0000}"/>
    <cellStyle name="Moneda 8 2 4 2 2 2 2" xfId="2514" xr:uid="{00000000-0005-0000-0000-0000550E0000}"/>
    <cellStyle name="Moneda 8 2 4 2 2 3" xfId="2515" xr:uid="{00000000-0005-0000-0000-0000560E0000}"/>
    <cellStyle name="Moneda 8 2 4 2 2 3 2" xfId="2516" xr:uid="{00000000-0005-0000-0000-0000570E0000}"/>
    <cellStyle name="Moneda 8 2 4 2 2 4" xfId="2517" xr:uid="{00000000-0005-0000-0000-0000580E0000}"/>
    <cellStyle name="Moneda 8 2 4 2 2 4 2" xfId="2518" xr:uid="{00000000-0005-0000-0000-0000590E0000}"/>
    <cellStyle name="Moneda 8 2 4 2 2 5" xfId="2519" xr:uid="{00000000-0005-0000-0000-00005A0E0000}"/>
    <cellStyle name="Moneda 8 2 4 2 3" xfId="2520" xr:uid="{00000000-0005-0000-0000-00005B0E0000}"/>
    <cellStyle name="Moneda 8 2 4 2 3 2" xfId="2521" xr:uid="{00000000-0005-0000-0000-00005C0E0000}"/>
    <cellStyle name="Moneda 8 2 4 2 4" xfId="2522" xr:uid="{00000000-0005-0000-0000-00005D0E0000}"/>
    <cellStyle name="Moneda 8 2 4 2 4 2" xfId="2523" xr:uid="{00000000-0005-0000-0000-00005E0E0000}"/>
    <cellStyle name="Moneda 8 2 4 2 5" xfId="2524" xr:uid="{00000000-0005-0000-0000-00005F0E0000}"/>
    <cellStyle name="Moneda 8 2 4 2 5 2" xfId="2525" xr:uid="{00000000-0005-0000-0000-0000600E0000}"/>
    <cellStyle name="Moneda 8 2 4 2 6" xfId="2526" xr:uid="{00000000-0005-0000-0000-0000610E0000}"/>
    <cellStyle name="Moneda 8 2 4 3" xfId="2527" xr:uid="{00000000-0005-0000-0000-0000620E0000}"/>
    <cellStyle name="Moneda 8 2 4 3 2" xfId="2528" xr:uid="{00000000-0005-0000-0000-0000630E0000}"/>
    <cellStyle name="Moneda 8 2 4 3 2 2" xfId="2529" xr:uid="{00000000-0005-0000-0000-0000640E0000}"/>
    <cellStyle name="Moneda 8 2 4 3 3" xfId="2530" xr:uid="{00000000-0005-0000-0000-0000650E0000}"/>
    <cellStyle name="Moneda 8 2 4 3 3 2" xfId="2531" xr:uid="{00000000-0005-0000-0000-0000660E0000}"/>
    <cellStyle name="Moneda 8 2 4 3 4" xfId="2532" xr:uid="{00000000-0005-0000-0000-0000670E0000}"/>
    <cellStyle name="Moneda 8 2 4 3 4 2" xfId="2533" xr:uid="{00000000-0005-0000-0000-0000680E0000}"/>
    <cellStyle name="Moneda 8 2 4 3 5" xfId="2534" xr:uid="{00000000-0005-0000-0000-0000690E0000}"/>
    <cellStyle name="Moneda 8 2 4 4" xfId="2535" xr:uid="{00000000-0005-0000-0000-00006A0E0000}"/>
    <cellStyle name="Moneda 8 2 4 4 2" xfId="2536" xr:uid="{00000000-0005-0000-0000-00006B0E0000}"/>
    <cellStyle name="Moneda 8 2 4 5" xfId="2537" xr:uid="{00000000-0005-0000-0000-00006C0E0000}"/>
    <cellStyle name="Moneda 8 2 4 5 2" xfId="2538" xr:uid="{00000000-0005-0000-0000-00006D0E0000}"/>
    <cellStyle name="Moneda 8 2 4 6" xfId="2539" xr:uid="{00000000-0005-0000-0000-00006E0E0000}"/>
    <cellStyle name="Moneda 8 2 4 6 2" xfId="2540" xr:uid="{00000000-0005-0000-0000-00006F0E0000}"/>
    <cellStyle name="Moneda 8 2 4 7" xfId="2541" xr:uid="{00000000-0005-0000-0000-0000700E0000}"/>
    <cellStyle name="Moneda 8 2 5" xfId="2542" xr:uid="{00000000-0005-0000-0000-0000710E0000}"/>
    <cellStyle name="Moneda 8 2 5 2" xfId="2543" xr:uid="{00000000-0005-0000-0000-0000720E0000}"/>
    <cellStyle name="Moneda 8 2 5 2 2" xfId="2544" xr:uid="{00000000-0005-0000-0000-0000730E0000}"/>
    <cellStyle name="Moneda 8 2 5 2 2 2" xfId="2545" xr:uid="{00000000-0005-0000-0000-0000740E0000}"/>
    <cellStyle name="Moneda 8 2 5 2 3" xfId="2546" xr:uid="{00000000-0005-0000-0000-0000750E0000}"/>
    <cellStyle name="Moneda 8 2 5 2 3 2" xfId="2547" xr:uid="{00000000-0005-0000-0000-0000760E0000}"/>
    <cellStyle name="Moneda 8 2 5 2 4" xfId="2548" xr:uid="{00000000-0005-0000-0000-0000770E0000}"/>
    <cellStyle name="Moneda 8 2 5 2 4 2" xfId="2549" xr:uid="{00000000-0005-0000-0000-0000780E0000}"/>
    <cellStyle name="Moneda 8 2 5 2 5" xfId="2550" xr:uid="{00000000-0005-0000-0000-0000790E0000}"/>
    <cellStyle name="Moneda 8 2 5 3" xfId="2551" xr:uid="{00000000-0005-0000-0000-00007A0E0000}"/>
    <cellStyle name="Moneda 8 2 5 3 2" xfId="2552" xr:uid="{00000000-0005-0000-0000-00007B0E0000}"/>
    <cellStyle name="Moneda 8 2 5 4" xfId="2553" xr:uid="{00000000-0005-0000-0000-00007C0E0000}"/>
    <cellStyle name="Moneda 8 2 5 4 2" xfId="2554" xr:uid="{00000000-0005-0000-0000-00007D0E0000}"/>
    <cellStyle name="Moneda 8 2 5 5" xfId="2555" xr:uid="{00000000-0005-0000-0000-00007E0E0000}"/>
    <cellStyle name="Moneda 8 2 5 5 2" xfId="2556" xr:uid="{00000000-0005-0000-0000-00007F0E0000}"/>
    <cellStyle name="Moneda 8 2 5 6" xfId="2557" xr:uid="{00000000-0005-0000-0000-0000800E0000}"/>
    <cellStyle name="Moneda 8 2 6" xfId="2558" xr:uid="{00000000-0005-0000-0000-0000810E0000}"/>
    <cellStyle name="Moneda 8 2 6 2" xfId="2559" xr:uid="{00000000-0005-0000-0000-0000820E0000}"/>
    <cellStyle name="Moneda 8 2 6 2 2" xfId="2560" xr:uid="{00000000-0005-0000-0000-0000830E0000}"/>
    <cellStyle name="Moneda 8 2 6 3" xfId="2561" xr:uid="{00000000-0005-0000-0000-0000840E0000}"/>
    <cellStyle name="Moneda 8 2 6 3 2" xfId="2562" xr:uid="{00000000-0005-0000-0000-0000850E0000}"/>
    <cellStyle name="Moneda 8 2 6 4" xfId="2563" xr:uid="{00000000-0005-0000-0000-0000860E0000}"/>
    <cellStyle name="Moneda 8 2 6 4 2" xfId="2564" xr:uid="{00000000-0005-0000-0000-0000870E0000}"/>
    <cellStyle name="Moneda 8 2 6 5" xfId="2565" xr:uid="{00000000-0005-0000-0000-0000880E0000}"/>
    <cellStyle name="Moneda 8 2 7" xfId="2566" xr:uid="{00000000-0005-0000-0000-0000890E0000}"/>
    <cellStyle name="Moneda 8 2 7 2" xfId="2567" xr:uid="{00000000-0005-0000-0000-00008A0E0000}"/>
    <cellStyle name="Moneda 8 2 8" xfId="2568" xr:uid="{00000000-0005-0000-0000-00008B0E0000}"/>
    <cellStyle name="Moneda 8 2 8 2" xfId="2569" xr:uid="{00000000-0005-0000-0000-00008C0E0000}"/>
    <cellStyle name="Moneda 8 2 9" xfId="2570" xr:uid="{00000000-0005-0000-0000-00008D0E0000}"/>
    <cellStyle name="Moneda 8 2 9 2" xfId="2571" xr:uid="{00000000-0005-0000-0000-00008E0E0000}"/>
    <cellStyle name="Moneda 8 3" xfId="2572" xr:uid="{00000000-0005-0000-0000-00008F0E0000}"/>
    <cellStyle name="Moneda 8 3 2" xfId="2573" xr:uid="{00000000-0005-0000-0000-0000900E0000}"/>
    <cellStyle name="Moneda 8 3 2 2" xfId="2574" xr:uid="{00000000-0005-0000-0000-0000910E0000}"/>
    <cellStyle name="Moneda 8 3 2 2 2" xfId="2575" xr:uid="{00000000-0005-0000-0000-0000920E0000}"/>
    <cellStyle name="Moneda 8 3 2 2 2 2" xfId="2576" xr:uid="{00000000-0005-0000-0000-0000930E0000}"/>
    <cellStyle name="Moneda 8 3 2 2 3" xfId="2577" xr:uid="{00000000-0005-0000-0000-0000940E0000}"/>
    <cellStyle name="Moneda 8 3 2 2 3 2" xfId="2578" xr:uid="{00000000-0005-0000-0000-0000950E0000}"/>
    <cellStyle name="Moneda 8 3 2 2 4" xfId="2579" xr:uid="{00000000-0005-0000-0000-0000960E0000}"/>
    <cellStyle name="Moneda 8 3 2 2 4 2" xfId="2580" xr:uid="{00000000-0005-0000-0000-0000970E0000}"/>
    <cellStyle name="Moneda 8 3 2 2 5" xfId="2581" xr:uid="{00000000-0005-0000-0000-0000980E0000}"/>
    <cellStyle name="Moneda 8 3 2 3" xfId="2582" xr:uid="{00000000-0005-0000-0000-0000990E0000}"/>
    <cellStyle name="Moneda 8 3 2 3 2" xfId="2583" xr:uid="{00000000-0005-0000-0000-00009A0E0000}"/>
    <cellStyle name="Moneda 8 3 2 4" xfId="2584" xr:uid="{00000000-0005-0000-0000-00009B0E0000}"/>
    <cellStyle name="Moneda 8 3 2 4 2" xfId="2585" xr:uid="{00000000-0005-0000-0000-00009C0E0000}"/>
    <cellStyle name="Moneda 8 3 2 5" xfId="2586" xr:uid="{00000000-0005-0000-0000-00009D0E0000}"/>
    <cellStyle name="Moneda 8 3 2 5 2" xfId="2587" xr:uid="{00000000-0005-0000-0000-00009E0E0000}"/>
    <cellStyle name="Moneda 8 3 2 6" xfId="2588" xr:uid="{00000000-0005-0000-0000-00009F0E0000}"/>
    <cellStyle name="Moneda 8 3 3" xfId="2589" xr:uid="{00000000-0005-0000-0000-0000A00E0000}"/>
    <cellStyle name="Moneda 8 3 3 2" xfId="2590" xr:uid="{00000000-0005-0000-0000-0000A10E0000}"/>
    <cellStyle name="Moneda 8 3 3 2 2" xfId="2591" xr:uid="{00000000-0005-0000-0000-0000A20E0000}"/>
    <cellStyle name="Moneda 8 3 3 3" xfId="2592" xr:uid="{00000000-0005-0000-0000-0000A30E0000}"/>
    <cellStyle name="Moneda 8 3 3 3 2" xfId="2593" xr:uid="{00000000-0005-0000-0000-0000A40E0000}"/>
    <cellStyle name="Moneda 8 3 3 4" xfId="2594" xr:uid="{00000000-0005-0000-0000-0000A50E0000}"/>
    <cellStyle name="Moneda 8 3 3 4 2" xfId="2595" xr:uid="{00000000-0005-0000-0000-0000A60E0000}"/>
    <cellStyle name="Moneda 8 3 3 5" xfId="2596" xr:uid="{00000000-0005-0000-0000-0000A70E0000}"/>
    <cellStyle name="Moneda 8 3 4" xfId="2597" xr:uid="{00000000-0005-0000-0000-0000A80E0000}"/>
    <cellStyle name="Moneda 8 3 4 2" xfId="2598" xr:uid="{00000000-0005-0000-0000-0000A90E0000}"/>
    <cellStyle name="Moneda 8 3 5" xfId="2599" xr:uid="{00000000-0005-0000-0000-0000AA0E0000}"/>
    <cellStyle name="Moneda 8 3 5 2" xfId="2600" xr:uid="{00000000-0005-0000-0000-0000AB0E0000}"/>
    <cellStyle name="Moneda 8 3 6" xfId="2601" xr:uid="{00000000-0005-0000-0000-0000AC0E0000}"/>
    <cellStyle name="Moneda 8 3 6 2" xfId="2602" xr:uid="{00000000-0005-0000-0000-0000AD0E0000}"/>
    <cellStyle name="Moneda 8 3 7" xfId="2603" xr:uid="{00000000-0005-0000-0000-0000AE0E0000}"/>
    <cellStyle name="Moneda 8 4" xfId="2604" xr:uid="{00000000-0005-0000-0000-0000AF0E0000}"/>
    <cellStyle name="Moneda 8 4 2" xfId="2605" xr:uid="{00000000-0005-0000-0000-0000B00E0000}"/>
    <cellStyle name="Moneda 8 4 2 2" xfId="2606" xr:uid="{00000000-0005-0000-0000-0000B10E0000}"/>
    <cellStyle name="Moneda 8 4 2 2 2" xfId="2607" xr:uid="{00000000-0005-0000-0000-0000B20E0000}"/>
    <cellStyle name="Moneda 8 4 2 2 2 2" xfId="2608" xr:uid="{00000000-0005-0000-0000-0000B30E0000}"/>
    <cellStyle name="Moneda 8 4 2 2 3" xfId="2609" xr:uid="{00000000-0005-0000-0000-0000B40E0000}"/>
    <cellStyle name="Moneda 8 4 2 2 3 2" xfId="2610" xr:uid="{00000000-0005-0000-0000-0000B50E0000}"/>
    <cellStyle name="Moneda 8 4 2 2 4" xfId="2611" xr:uid="{00000000-0005-0000-0000-0000B60E0000}"/>
    <cellStyle name="Moneda 8 4 2 2 4 2" xfId="2612" xr:uid="{00000000-0005-0000-0000-0000B70E0000}"/>
    <cellStyle name="Moneda 8 4 2 2 5" xfId="2613" xr:uid="{00000000-0005-0000-0000-0000B80E0000}"/>
    <cellStyle name="Moneda 8 4 2 3" xfId="2614" xr:uid="{00000000-0005-0000-0000-0000B90E0000}"/>
    <cellStyle name="Moneda 8 4 2 3 2" xfId="2615" xr:uid="{00000000-0005-0000-0000-0000BA0E0000}"/>
    <cellStyle name="Moneda 8 4 2 4" xfId="2616" xr:uid="{00000000-0005-0000-0000-0000BB0E0000}"/>
    <cellStyle name="Moneda 8 4 2 4 2" xfId="2617" xr:uid="{00000000-0005-0000-0000-0000BC0E0000}"/>
    <cellStyle name="Moneda 8 4 2 5" xfId="2618" xr:uid="{00000000-0005-0000-0000-0000BD0E0000}"/>
    <cellStyle name="Moneda 8 4 2 5 2" xfId="2619" xr:uid="{00000000-0005-0000-0000-0000BE0E0000}"/>
    <cellStyle name="Moneda 8 4 2 6" xfId="2620" xr:uid="{00000000-0005-0000-0000-0000BF0E0000}"/>
    <cellStyle name="Moneda 8 4 3" xfId="2621" xr:uid="{00000000-0005-0000-0000-0000C00E0000}"/>
    <cellStyle name="Moneda 8 4 3 2" xfId="2622" xr:uid="{00000000-0005-0000-0000-0000C10E0000}"/>
    <cellStyle name="Moneda 8 4 3 2 2" xfId="2623" xr:uid="{00000000-0005-0000-0000-0000C20E0000}"/>
    <cellStyle name="Moneda 8 4 3 3" xfId="2624" xr:uid="{00000000-0005-0000-0000-0000C30E0000}"/>
    <cellStyle name="Moneda 8 4 3 3 2" xfId="2625" xr:uid="{00000000-0005-0000-0000-0000C40E0000}"/>
    <cellStyle name="Moneda 8 4 3 4" xfId="2626" xr:uid="{00000000-0005-0000-0000-0000C50E0000}"/>
    <cellStyle name="Moneda 8 4 3 4 2" xfId="2627" xr:uid="{00000000-0005-0000-0000-0000C60E0000}"/>
    <cellStyle name="Moneda 8 4 3 5" xfId="2628" xr:uid="{00000000-0005-0000-0000-0000C70E0000}"/>
    <cellStyle name="Moneda 8 4 4" xfId="2629" xr:uid="{00000000-0005-0000-0000-0000C80E0000}"/>
    <cellStyle name="Moneda 8 4 4 2" xfId="2630" xr:uid="{00000000-0005-0000-0000-0000C90E0000}"/>
    <cellStyle name="Moneda 8 4 5" xfId="2631" xr:uid="{00000000-0005-0000-0000-0000CA0E0000}"/>
    <cellStyle name="Moneda 8 4 5 2" xfId="2632" xr:uid="{00000000-0005-0000-0000-0000CB0E0000}"/>
    <cellStyle name="Moneda 8 4 6" xfId="2633" xr:uid="{00000000-0005-0000-0000-0000CC0E0000}"/>
    <cellStyle name="Moneda 8 4 6 2" xfId="2634" xr:uid="{00000000-0005-0000-0000-0000CD0E0000}"/>
    <cellStyle name="Moneda 8 4 7" xfId="2635" xr:uid="{00000000-0005-0000-0000-0000CE0E0000}"/>
    <cellStyle name="Moneda 8 5" xfId="2636" xr:uid="{00000000-0005-0000-0000-0000CF0E0000}"/>
    <cellStyle name="Moneda 8 5 2" xfId="2637" xr:uid="{00000000-0005-0000-0000-0000D00E0000}"/>
    <cellStyle name="Moneda 8 5 2 2" xfId="2638" xr:uid="{00000000-0005-0000-0000-0000D10E0000}"/>
    <cellStyle name="Moneda 8 5 2 2 2" xfId="2639" xr:uid="{00000000-0005-0000-0000-0000D20E0000}"/>
    <cellStyle name="Moneda 8 5 2 2 2 2" xfId="2640" xr:uid="{00000000-0005-0000-0000-0000D30E0000}"/>
    <cellStyle name="Moneda 8 5 2 2 3" xfId="2641" xr:uid="{00000000-0005-0000-0000-0000D40E0000}"/>
    <cellStyle name="Moneda 8 5 2 2 3 2" xfId="2642" xr:uid="{00000000-0005-0000-0000-0000D50E0000}"/>
    <cellStyle name="Moneda 8 5 2 2 4" xfId="2643" xr:uid="{00000000-0005-0000-0000-0000D60E0000}"/>
    <cellStyle name="Moneda 8 5 2 2 4 2" xfId="2644" xr:uid="{00000000-0005-0000-0000-0000D70E0000}"/>
    <cellStyle name="Moneda 8 5 2 2 5" xfId="2645" xr:uid="{00000000-0005-0000-0000-0000D80E0000}"/>
    <cellStyle name="Moneda 8 5 2 3" xfId="2646" xr:uid="{00000000-0005-0000-0000-0000D90E0000}"/>
    <cellStyle name="Moneda 8 5 2 3 2" xfId="2647" xr:uid="{00000000-0005-0000-0000-0000DA0E0000}"/>
    <cellStyle name="Moneda 8 5 2 4" xfId="2648" xr:uid="{00000000-0005-0000-0000-0000DB0E0000}"/>
    <cellStyle name="Moneda 8 5 2 4 2" xfId="2649" xr:uid="{00000000-0005-0000-0000-0000DC0E0000}"/>
    <cellStyle name="Moneda 8 5 2 5" xfId="2650" xr:uid="{00000000-0005-0000-0000-0000DD0E0000}"/>
    <cellStyle name="Moneda 8 5 2 5 2" xfId="2651" xr:uid="{00000000-0005-0000-0000-0000DE0E0000}"/>
    <cellStyle name="Moneda 8 5 2 6" xfId="2652" xr:uid="{00000000-0005-0000-0000-0000DF0E0000}"/>
    <cellStyle name="Moneda 8 5 3" xfId="2653" xr:uid="{00000000-0005-0000-0000-0000E00E0000}"/>
    <cellStyle name="Moneda 8 5 3 2" xfId="2654" xr:uid="{00000000-0005-0000-0000-0000E10E0000}"/>
    <cellStyle name="Moneda 8 5 3 2 2" xfId="2655" xr:uid="{00000000-0005-0000-0000-0000E20E0000}"/>
    <cellStyle name="Moneda 8 5 3 3" xfId="2656" xr:uid="{00000000-0005-0000-0000-0000E30E0000}"/>
    <cellStyle name="Moneda 8 5 3 3 2" xfId="2657" xr:uid="{00000000-0005-0000-0000-0000E40E0000}"/>
    <cellStyle name="Moneda 8 5 3 4" xfId="2658" xr:uid="{00000000-0005-0000-0000-0000E50E0000}"/>
    <cellStyle name="Moneda 8 5 3 4 2" xfId="2659" xr:uid="{00000000-0005-0000-0000-0000E60E0000}"/>
    <cellStyle name="Moneda 8 5 3 5" xfId="2660" xr:uid="{00000000-0005-0000-0000-0000E70E0000}"/>
    <cellStyle name="Moneda 8 5 4" xfId="2661" xr:uid="{00000000-0005-0000-0000-0000E80E0000}"/>
    <cellStyle name="Moneda 8 5 4 2" xfId="2662" xr:uid="{00000000-0005-0000-0000-0000E90E0000}"/>
    <cellStyle name="Moneda 8 5 5" xfId="2663" xr:uid="{00000000-0005-0000-0000-0000EA0E0000}"/>
    <cellStyle name="Moneda 8 5 5 2" xfId="2664" xr:uid="{00000000-0005-0000-0000-0000EB0E0000}"/>
    <cellStyle name="Moneda 8 5 6" xfId="2665" xr:uid="{00000000-0005-0000-0000-0000EC0E0000}"/>
    <cellStyle name="Moneda 8 5 6 2" xfId="2666" xr:uid="{00000000-0005-0000-0000-0000ED0E0000}"/>
    <cellStyle name="Moneda 8 5 7" xfId="2667" xr:uid="{00000000-0005-0000-0000-0000EE0E0000}"/>
    <cellStyle name="Moneda 8 6" xfId="2668" xr:uid="{00000000-0005-0000-0000-0000EF0E0000}"/>
    <cellStyle name="Moneda 8 6 2" xfId="2669" xr:uid="{00000000-0005-0000-0000-0000F00E0000}"/>
    <cellStyle name="Moneda 8 6 2 2" xfId="2670" xr:uid="{00000000-0005-0000-0000-0000F10E0000}"/>
    <cellStyle name="Moneda 8 6 2 2 2" xfId="2671" xr:uid="{00000000-0005-0000-0000-0000F20E0000}"/>
    <cellStyle name="Moneda 8 6 2 3" xfId="2672" xr:uid="{00000000-0005-0000-0000-0000F30E0000}"/>
    <cellStyle name="Moneda 8 6 2 3 2" xfId="2673" xr:uid="{00000000-0005-0000-0000-0000F40E0000}"/>
    <cellStyle name="Moneda 8 6 2 4" xfId="2674" xr:uid="{00000000-0005-0000-0000-0000F50E0000}"/>
    <cellStyle name="Moneda 8 6 2 4 2" xfId="2675" xr:uid="{00000000-0005-0000-0000-0000F60E0000}"/>
    <cellStyle name="Moneda 8 6 2 5" xfId="2676" xr:uid="{00000000-0005-0000-0000-0000F70E0000}"/>
    <cellStyle name="Moneda 8 6 3" xfId="2677" xr:uid="{00000000-0005-0000-0000-0000F80E0000}"/>
    <cellStyle name="Moneda 8 6 3 2" xfId="2678" xr:uid="{00000000-0005-0000-0000-0000F90E0000}"/>
    <cellStyle name="Moneda 8 6 4" xfId="2679" xr:uid="{00000000-0005-0000-0000-0000FA0E0000}"/>
    <cellStyle name="Moneda 8 6 4 2" xfId="2680" xr:uid="{00000000-0005-0000-0000-0000FB0E0000}"/>
    <cellStyle name="Moneda 8 6 5" xfId="2681" xr:uid="{00000000-0005-0000-0000-0000FC0E0000}"/>
    <cellStyle name="Moneda 8 6 5 2" xfId="2682" xr:uid="{00000000-0005-0000-0000-0000FD0E0000}"/>
    <cellStyle name="Moneda 8 6 6" xfId="2683" xr:uid="{00000000-0005-0000-0000-0000FE0E0000}"/>
    <cellStyle name="Moneda 8 7" xfId="2684" xr:uid="{00000000-0005-0000-0000-0000FF0E0000}"/>
    <cellStyle name="Moneda 8 7 2" xfId="2685" xr:uid="{00000000-0005-0000-0000-0000000F0000}"/>
    <cellStyle name="Moneda 8 7 2 2" xfId="2686" xr:uid="{00000000-0005-0000-0000-0000010F0000}"/>
    <cellStyle name="Moneda 8 7 3" xfId="2687" xr:uid="{00000000-0005-0000-0000-0000020F0000}"/>
    <cellStyle name="Moneda 8 7 3 2" xfId="2688" xr:uid="{00000000-0005-0000-0000-0000030F0000}"/>
    <cellStyle name="Moneda 8 7 4" xfId="2689" xr:uid="{00000000-0005-0000-0000-0000040F0000}"/>
    <cellStyle name="Moneda 8 7 4 2" xfId="2690" xr:uid="{00000000-0005-0000-0000-0000050F0000}"/>
    <cellStyle name="Moneda 8 7 5" xfId="2691" xr:uid="{00000000-0005-0000-0000-0000060F0000}"/>
    <cellStyle name="Moneda 8 8" xfId="2692" xr:uid="{00000000-0005-0000-0000-0000070F0000}"/>
    <cellStyle name="Moneda 8 8 2" xfId="2693" xr:uid="{00000000-0005-0000-0000-0000080F0000}"/>
    <cellStyle name="Moneda 8 8 2 2" xfId="2694" xr:uid="{00000000-0005-0000-0000-0000090F0000}"/>
    <cellStyle name="Moneda 8 8 3" xfId="2695" xr:uid="{00000000-0005-0000-0000-00000A0F0000}"/>
    <cellStyle name="Moneda 8 8 3 2" xfId="2696" xr:uid="{00000000-0005-0000-0000-00000B0F0000}"/>
    <cellStyle name="Moneda 8 8 4" xfId="2697" xr:uid="{00000000-0005-0000-0000-00000C0F0000}"/>
    <cellStyle name="Moneda 8 8 4 2" xfId="2698" xr:uid="{00000000-0005-0000-0000-00000D0F0000}"/>
    <cellStyle name="Moneda 8 8 5" xfId="2699" xr:uid="{00000000-0005-0000-0000-00000E0F0000}"/>
    <cellStyle name="Moneda 8 9" xfId="2700" xr:uid="{00000000-0005-0000-0000-00000F0F0000}"/>
    <cellStyle name="Moneda 8 9 2" xfId="2701" xr:uid="{00000000-0005-0000-0000-0000100F0000}"/>
    <cellStyle name="Moneda 9" xfId="2702" xr:uid="{00000000-0005-0000-0000-0000110F0000}"/>
    <cellStyle name="Moneda 9 10" xfId="2703" xr:uid="{00000000-0005-0000-0000-0000120F0000}"/>
    <cellStyle name="Moneda 9 11" xfId="2704" xr:uid="{00000000-0005-0000-0000-0000130F0000}"/>
    <cellStyle name="Moneda 9 2" xfId="2705" xr:uid="{00000000-0005-0000-0000-0000140F0000}"/>
    <cellStyle name="Moneda 9 2 2" xfId="2706" xr:uid="{00000000-0005-0000-0000-0000150F0000}"/>
    <cellStyle name="Moneda 9 2 2 2" xfId="2707" xr:uid="{00000000-0005-0000-0000-0000160F0000}"/>
    <cellStyle name="Moneda 9 2 2 2 2" xfId="2708" xr:uid="{00000000-0005-0000-0000-0000170F0000}"/>
    <cellStyle name="Moneda 9 2 2 2 2 2" xfId="2709" xr:uid="{00000000-0005-0000-0000-0000180F0000}"/>
    <cellStyle name="Moneda 9 2 2 2 3" xfId="2710" xr:uid="{00000000-0005-0000-0000-0000190F0000}"/>
    <cellStyle name="Moneda 9 2 2 2 3 2" xfId="2711" xr:uid="{00000000-0005-0000-0000-00001A0F0000}"/>
    <cellStyle name="Moneda 9 2 2 2 4" xfId="2712" xr:uid="{00000000-0005-0000-0000-00001B0F0000}"/>
    <cellStyle name="Moneda 9 2 2 2 4 2" xfId="2713" xr:uid="{00000000-0005-0000-0000-00001C0F0000}"/>
    <cellStyle name="Moneda 9 2 2 2 5" xfId="2714" xr:uid="{00000000-0005-0000-0000-00001D0F0000}"/>
    <cellStyle name="Moneda 9 2 2 3" xfId="2715" xr:uid="{00000000-0005-0000-0000-00001E0F0000}"/>
    <cellStyle name="Moneda 9 2 2 3 2" xfId="2716" xr:uid="{00000000-0005-0000-0000-00001F0F0000}"/>
    <cellStyle name="Moneda 9 2 2 4" xfId="2717" xr:uid="{00000000-0005-0000-0000-0000200F0000}"/>
    <cellStyle name="Moneda 9 2 2 4 2" xfId="2718" xr:uid="{00000000-0005-0000-0000-0000210F0000}"/>
    <cellStyle name="Moneda 9 2 2 5" xfId="2719" xr:uid="{00000000-0005-0000-0000-0000220F0000}"/>
    <cellStyle name="Moneda 9 2 2 5 2" xfId="2720" xr:uid="{00000000-0005-0000-0000-0000230F0000}"/>
    <cellStyle name="Moneda 9 2 2 6" xfId="2721" xr:uid="{00000000-0005-0000-0000-0000240F0000}"/>
    <cellStyle name="Moneda 9 2 3" xfId="2722" xr:uid="{00000000-0005-0000-0000-0000250F0000}"/>
    <cellStyle name="Moneda 9 2 3 2" xfId="2723" xr:uid="{00000000-0005-0000-0000-0000260F0000}"/>
    <cellStyle name="Moneda 9 2 3 2 2" xfId="2724" xr:uid="{00000000-0005-0000-0000-0000270F0000}"/>
    <cellStyle name="Moneda 9 2 3 3" xfId="2725" xr:uid="{00000000-0005-0000-0000-0000280F0000}"/>
    <cellStyle name="Moneda 9 2 3 3 2" xfId="2726" xr:uid="{00000000-0005-0000-0000-0000290F0000}"/>
    <cellStyle name="Moneda 9 2 3 4" xfId="2727" xr:uid="{00000000-0005-0000-0000-00002A0F0000}"/>
    <cellStyle name="Moneda 9 2 3 4 2" xfId="2728" xr:uid="{00000000-0005-0000-0000-00002B0F0000}"/>
    <cellStyle name="Moneda 9 2 3 5" xfId="2729" xr:uid="{00000000-0005-0000-0000-00002C0F0000}"/>
    <cellStyle name="Moneda 9 2 4" xfId="2730" xr:uid="{00000000-0005-0000-0000-00002D0F0000}"/>
    <cellStyle name="Moneda 9 2 4 2" xfId="2731" xr:uid="{00000000-0005-0000-0000-00002E0F0000}"/>
    <cellStyle name="Moneda 9 2 5" xfId="2732" xr:uid="{00000000-0005-0000-0000-00002F0F0000}"/>
    <cellStyle name="Moneda 9 2 5 2" xfId="2733" xr:uid="{00000000-0005-0000-0000-0000300F0000}"/>
    <cellStyle name="Moneda 9 2 6" xfId="2734" xr:uid="{00000000-0005-0000-0000-0000310F0000}"/>
    <cellStyle name="Moneda 9 2 6 2" xfId="2735" xr:uid="{00000000-0005-0000-0000-0000320F0000}"/>
    <cellStyle name="Moneda 9 2 7" xfId="2736" xr:uid="{00000000-0005-0000-0000-0000330F0000}"/>
    <cellStyle name="Moneda 9 2 8" xfId="2737" xr:uid="{00000000-0005-0000-0000-0000340F0000}"/>
    <cellStyle name="Moneda 9 3" xfId="2738" xr:uid="{00000000-0005-0000-0000-0000350F0000}"/>
    <cellStyle name="Moneda 9 3 2" xfId="2739" xr:uid="{00000000-0005-0000-0000-0000360F0000}"/>
    <cellStyle name="Moneda 9 3 2 2" xfId="2740" xr:uid="{00000000-0005-0000-0000-0000370F0000}"/>
    <cellStyle name="Moneda 9 3 2 2 2" xfId="2741" xr:uid="{00000000-0005-0000-0000-0000380F0000}"/>
    <cellStyle name="Moneda 9 3 2 2 2 2" xfId="2742" xr:uid="{00000000-0005-0000-0000-0000390F0000}"/>
    <cellStyle name="Moneda 9 3 2 2 3" xfId="2743" xr:uid="{00000000-0005-0000-0000-00003A0F0000}"/>
    <cellStyle name="Moneda 9 3 2 2 3 2" xfId="2744" xr:uid="{00000000-0005-0000-0000-00003B0F0000}"/>
    <cellStyle name="Moneda 9 3 2 2 4" xfId="2745" xr:uid="{00000000-0005-0000-0000-00003C0F0000}"/>
    <cellStyle name="Moneda 9 3 2 2 4 2" xfId="2746" xr:uid="{00000000-0005-0000-0000-00003D0F0000}"/>
    <cellStyle name="Moneda 9 3 2 2 5" xfId="2747" xr:uid="{00000000-0005-0000-0000-00003E0F0000}"/>
    <cellStyle name="Moneda 9 3 2 3" xfId="2748" xr:uid="{00000000-0005-0000-0000-00003F0F0000}"/>
    <cellStyle name="Moneda 9 3 2 3 2" xfId="2749" xr:uid="{00000000-0005-0000-0000-0000400F0000}"/>
    <cellStyle name="Moneda 9 3 2 4" xfId="2750" xr:uid="{00000000-0005-0000-0000-0000410F0000}"/>
    <cellStyle name="Moneda 9 3 2 4 2" xfId="2751" xr:uid="{00000000-0005-0000-0000-0000420F0000}"/>
    <cellStyle name="Moneda 9 3 2 5" xfId="2752" xr:uid="{00000000-0005-0000-0000-0000430F0000}"/>
    <cellStyle name="Moneda 9 3 2 5 2" xfId="2753" xr:uid="{00000000-0005-0000-0000-0000440F0000}"/>
    <cellStyle name="Moneda 9 3 2 6" xfId="2754" xr:uid="{00000000-0005-0000-0000-0000450F0000}"/>
    <cellStyle name="Moneda 9 3 3" xfId="2755" xr:uid="{00000000-0005-0000-0000-0000460F0000}"/>
    <cellStyle name="Moneda 9 3 3 2" xfId="2756" xr:uid="{00000000-0005-0000-0000-0000470F0000}"/>
    <cellStyle name="Moneda 9 3 3 2 2" xfId="2757" xr:uid="{00000000-0005-0000-0000-0000480F0000}"/>
    <cellStyle name="Moneda 9 3 3 3" xfId="2758" xr:uid="{00000000-0005-0000-0000-0000490F0000}"/>
    <cellStyle name="Moneda 9 3 3 3 2" xfId="2759" xr:uid="{00000000-0005-0000-0000-00004A0F0000}"/>
    <cellStyle name="Moneda 9 3 3 4" xfId="2760" xr:uid="{00000000-0005-0000-0000-00004B0F0000}"/>
    <cellStyle name="Moneda 9 3 3 4 2" xfId="2761" xr:uid="{00000000-0005-0000-0000-00004C0F0000}"/>
    <cellStyle name="Moneda 9 3 3 5" xfId="2762" xr:uid="{00000000-0005-0000-0000-00004D0F0000}"/>
    <cellStyle name="Moneda 9 3 4" xfId="2763" xr:uid="{00000000-0005-0000-0000-00004E0F0000}"/>
    <cellStyle name="Moneda 9 3 4 2" xfId="2764" xr:uid="{00000000-0005-0000-0000-00004F0F0000}"/>
    <cellStyle name="Moneda 9 3 5" xfId="2765" xr:uid="{00000000-0005-0000-0000-0000500F0000}"/>
    <cellStyle name="Moneda 9 3 5 2" xfId="2766" xr:uid="{00000000-0005-0000-0000-0000510F0000}"/>
    <cellStyle name="Moneda 9 3 6" xfId="2767" xr:uid="{00000000-0005-0000-0000-0000520F0000}"/>
    <cellStyle name="Moneda 9 3 6 2" xfId="2768" xr:uid="{00000000-0005-0000-0000-0000530F0000}"/>
    <cellStyle name="Moneda 9 3 7" xfId="2769" xr:uid="{00000000-0005-0000-0000-0000540F0000}"/>
    <cellStyle name="Moneda 9 4" xfId="2770" xr:uid="{00000000-0005-0000-0000-0000550F0000}"/>
    <cellStyle name="Moneda 9 4 2" xfId="2771" xr:uid="{00000000-0005-0000-0000-0000560F0000}"/>
    <cellStyle name="Moneda 9 4 2 2" xfId="2772" xr:uid="{00000000-0005-0000-0000-0000570F0000}"/>
    <cellStyle name="Moneda 9 4 2 2 2" xfId="2773" xr:uid="{00000000-0005-0000-0000-0000580F0000}"/>
    <cellStyle name="Moneda 9 4 2 2 2 2" xfId="2774" xr:uid="{00000000-0005-0000-0000-0000590F0000}"/>
    <cellStyle name="Moneda 9 4 2 2 3" xfId="2775" xr:uid="{00000000-0005-0000-0000-00005A0F0000}"/>
    <cellStyle name="Moneda 9 4 2 2 3 2" xfId="2776" xr:uid="{00000000-0005-0000-0000-00005B0F0000}"/>
    <cellStyle name="Moneda 9 4 2 2 4" xfId="2777" xr:uid="{00000000-0005-0000-0000-00005C0F0000}"/>
    <cellStyle name="Moneda 9 4 2 2 4 2" xfId="2778" xr:uid="{00000000-0005-0000-0000-00005D0F0000}"/>
    <cellStyle name="Moneda 9 4 2 2 5" xfId="2779" xr:uid="{00000000-0005-0000-0000-00005E0F0000}"/>
    <cellStyle name="Moneda 9 4 2 3" xfId="2780" xr:uid="{00000000-0005-0000-0000-00005F0F0000}"/>
    <cellStyle name="Moneda 9 4 2 3 2" xfId="2781" xr:uid="{00000000-0005-0000-0000-0000600F0000}"/>
    <cellStyle name="Moneda 9 4 2 4" xfId="2782" xr:uid="{00000000-0005-0000-0000-0000610F0000}"/>
    <cellStyle name="Moneda 9 4 2 4 2" xfId="2783" xr:uid="{00000000-0005-0000-0000-0000620F0000}"/>
    <cellStyle name="Moneda 9 4 2 5" xfId="2784" xr:uid="{00000000-0005-0000-0000-0000630F0000}"/>
    <cellStyle name="Moneda 9 4 2 5 2" xfId="2785" xr:uid="{00000000-0005-0000-0000-0000640F0000}"/>
    <cellStyle name="Moneda 9 4 2 6" xfId="2786" xr:uid="{00000000-0005-0000-0000-0000650F0000}"/>
    <cellStyle name="Moneda 9 4 3" xfId="2787" xr:uid="{00000000-0005-0000-0000-0000660F0000}"/>
    <cellStyle name="Moneda 9 4 3 2" xfId="2788" xr:uid="{00000000-0005-0000-0000-0000670F0000}"/>
    <cellStyle name="Moneda 9 4 3 2 2" xfId="2789" xr:uid="{00000000-0005-0000-0000-0000680F0000}"/>
    <cellStyle name="Moneda 9 4 3 3" xfId="2790" xr:uid="{00000000-0005-0000-0000-0000690F0000}"/>
    <cellStyle name="Moneda 9 4 3 3 2" xfId="2791" xr:uid="{00000000-0005-0000-0000-00006A0F0000}"/>
    <cellStyle name="Moneda 9 4 3 4" xfId="2792" xr:uid="{00000000-0005-0000-0000-00006B0F0000}"/>
    <cellStyle name="Moneda 9 4 3 4 2" xfId="2793" xr:uid="{00000000-0005-0000-0000-00006C0F0000}"/>
    <cellStyle name="Moneda 9 4 3 5" xfId="2794" xr:uid="{00000000-0005-0000-0000-00006D0F0000}"/>
    <cellStyle name="Moneda 9 4 4" xfId="2795" xr:uid="{00000000-0005-0000-0000-00006E0F0000}"/>
    <cellStyle name="Moneda 9 4 4 2" xfId="2796" xr:uid="{00000000-0005-0000-0000-00006F0F0000}"/>
    <cellStyle name="Moneda 9 4 5" xfId="2797" xr:uid="{00000000-0005-0000-0000-0000700F0000}"/>
    <cellStyle name="Moneda 9 4 5 2" xfId="2798" xr:uid="{00000000-0005-0000-0000-0000710F0000}"/>
    <cellStyle name="Moneda 9 4 6" xfId="2799" xr:uid="{00000000-0005-0000-0000-0000720F0000}"/>
    <cellStyle name="Moneda 9 4 6 2" xfId="2800" xr:uid="{00000000-0005-0000-0000-0000730F0000}"/>
    <cellStyle name="Moneda 9 4 7" xfId="2801" xr:uid="{00000000-0005-0000-0000-0000740F0000}"/>
    <cellStyle name="Moneda 9 5" xfId="2802" xr:uid="{00000000-0005-0000-0000-0000750F0000}"/>
    <cellStyle name="Moneda 9 5 2" xfId="2803" xr:uid="{00000000-0005-0000-0000-0000760F0000}"/>
    <cellStyle name="Moneda 9 5 2 2" xfId="2804" xr:uid="{00000000-0005-0000-0000-0000770F0000}"/>
    <cellStyle name="Moneda 9 5 2 2 2" xfId="2805" xr:uid="{00000000-0005-0000-0000-0000780F0000}"/>
    <cellStyle name="Moneda 9 5 2 3" xfId="2806" xr:uid="{00000000-0005-0000-0000-0000790F0000}"/>
    <cellStyle name="Moneda 9 5 2 3 2" xfId="2807" xr:uid="{00000000-0005-0000-0000-00007A0F0000}"/>
    <cellStyle name="Moneda 9 5 2 4" xfId="2808" xr:uid="{00000000-0005-0000-0000-00007B0F0000}"/>
    <cellStyle name="Moneda 9 5 2 4 2" xfId="2809" xr:uid="{00000000-0005-0000-0000-00007C0F0000}"/>
    <cellStyle name="Moneda 9 5 2 5" xfId="2810" xr:uid="{00000000-0005-0000-0000-00007D0F0000}"/>
    <cellStyle name="Moneda 9 5 3" xfId="2811" xr:uid="{00000000-0005-0000-0000-00007E0F0000}"/>
    <cellStyle name="Moneda 9 5 3 2" xfId="2812" xr:uid="{00000000-0005-0000-0000-00007F0F0000}"/>
    <cellStyle name="Moneda 9 5 4" xfId="2813" xr:uid="{00000000-0005-0000-0000-0000800F0000}"/>
    <cellStyle name="Moneda 9 5 4 2" xfId="2814" xr:uid="{00000000-0005-0000-0000-0000810F0000}"/>
    <cellStyle name="Moneda 9 5 5" xfId="2815" xr:uid="{00000000-0005-0000-0000-0000820F0000}"/>
    <cellStyle name="Moneda 9 5 5 2" xfId="2816" xr:uid="{00000000-0005-0000-0000-0000830F0000}"/>
    <cellStyle name="Moneda 9 5 6" xfId="2817" xr:uid="{00000000-0005-0000-0000-0000840F0000}"/>
    <cellStyle name="Moneda 9 6" xfId="2818" xr:uid="{00000000-0005-0000-0000-0000850F0000}"/>
    <cellStyle name="Moneda 9 6 2" xfId="2819" xr:uid="{00000000-0005-0000-0000-0000860F0000}"/>
    <cellStyle name="Moneda 9 6 2 2" xfId="2820" xr:uid="{00000000-0005-0000-0000-0000870F0000}"/>
    <cellStyle name="Moneda 9 6 3" xfId="2821" xr:uid="{00000000-0005-0000-0000-0000880F0000}"/>
    <cellStyle name="Moneda 9 6 3 2" xfId="2822" xr:uid="{00000000-0005-0000-0000-0000890F0000}"/>
    <cellStyle name="Moneda 9 6 4" xfId="2823" xr:uid="{00000000-0005-0000-0000-00008A0F0000}"/>
    <cellStyle name="Moneda 9 6 4 2" xfId="2824" xr:uid="{00000000-0005-0000-0000-00008B0F0000}"/>
    <cellStyle name="Moneda 9 6 5" xfId="2825" xr:uid="{00000000-0005-0000-0000-00008C0F0000}"/>
    <cellStyle name="Moneda 9 7" xfId="2826" xr:uid="{00000000-0005-0000-0000-00008D0F0000}"/>
    <cellStyle name="Moneda 9 7 2" xfId="2827" xr:uid="{00000000-0005-0000-0000-00008E0F0000}"/>
    <cellStyle name="Moneda 9 8" xfId="2828" xr:uid="{00000000-0005-0000-0000-00008F0F0000}"/>
    <cellStyle name="Moneda 9 8 2" xfId="2829" xr:uid="{00000000-0005-0000-0000-0000900F0000}"/>
    <cellStyle name="Moneda 9 9" xfId="2830" xr:uid="{00000000-0005-0000-0000-0000910F0000}"/>
    <cellStyle name="Moneda 9 9 2" xfId="2831" xr:uid="{00000000-0005-0000-0000-0000920F0000}"/>
    <cellStyle name="Moneda_Hoja1 2" xfId="3296" xr:uid="{00000000-0005-0000-0000-0000930F0000}"/>
    <cellStyle name="Neutral 2" xfId="2832" xr:uid="{00000000-0005-0000-0000-0000940F0000}"/>
    <cellStyle name="Normal" xfId="0" builtinId="0"/>
    <cellStyle name="Normal 2" xfId="16" xr:uid="{00000000-0005-0000-0000-0000960F0000}"/>
    <cellStyle name="Normal 2 10" xfId="17" xr:uid="{00000000-0005-0000-0000-0000970F0000}"/>
    <cellStyle name="Normal 2 2" xfId="2833" xr:uid="{00000000-0005-0000-0000-0000980F0000}"/>
    <cellStyle name="Normal 2 2 2" xfId="2834" xr:uid="{00000000-0005-0000-0000-0000990F0000}"/>
    <cellStyle name="Normal 2 3" xfId="2835" xr:uid="{00000000-0005-0000-0000-00009A0F0000}"/>
    <cellStyle name="Normal 2 3 2" xfId="2836" xr:uid="{00000000-0005-0000-0000-00009B0F0000}"/>
    <cellStyle name="Normal 2 4" xfId="2837" xr:uid="{00000000-0005-0000-0000-00009C0F0000}"/>
    <cellStyle name="Normal 3" xfId="18" xr:uid="{00000000-0005-0000-0000-00009D0F0000}"/>
    <cellStyle name="Normal 3 2" xfId="19" xr:uid="{00000000-0005-0000-0000-00009E0F0000}"/>
    <cellStyle name="Normal 3 2 2" xfId="2838" xr:uid="{00000000-0005-0000-0000-00009F0F0000}"/>
    <cellStyle name="Normal 3 2 2 2" xfId="2839" xr:uid="{00000000-0005-0000-0000-0000A00F0000}"/>
    <cellStyle name="Normal 3 2 3" xfId="2840" xr:uid="{00000000-0005-0000-0000-0000A10F0000}"/>
    <cellStyle name="Normal 3 3" xfId="2841" xr:uid="{00000000-0005-0000-0000-0000A20F0000}"/>
    <cellStyle name="Normal 3 4" xfId="2842" xr:uid="{00000000-0005-0000-0000-0000A30F0000}"/>
    <cellStyle name="Normal 3 5" xfId="2843" xr:uid="{00000000-0005-0000-0000-0000A40F0000}"/>
    <cellStyle name="Normal 3_CADENA DE VALOR" xfId="27" xr:uid="{00000000-0005-0000-0000-0000A50F0000}"/>
    <cellStyle name="Normal 4" xfId="2844" xr:uid="{00000000-0005-0000-0000-0000A60F0000}"/>
    <cellStyle name="Normal 4 2" xfId="20" xr:uid="{00000000-0005-0000-0000-0000A70F0000}"/>
    <cellStyle name="Normal 5" xfId="2845" xr:uid="{00000000-0005-0000-0000-0000A80F0000}"/>
    <cellStyle name="Normal 6 2" xfId="2846" xr:uid="{00000000-0005-0000-0000-0000A90F0000}"/>
    <cellStyle name="Normal 7" xfId="2869" xr:uid="{00000000-0005-0000-0000-0000AA0F0000}"/>
    <cellStyle name="Normal_CADENA DE VALOR" xfId="2867" xr:uid="{00000000-0005-0000-0000-0000AB0F0000}"/>
    <cellStyle name="Numeric" xfId="2847" xr:uid="{00000000-0005-0000-0000-0000AC0F0000}"/>
    <cellStyle name="NumericWithBorder" xfId="2848" xr:uid="{00000000-0005-0000-0000-0000AD0F0000}"/>
    <cellStyle name="NumericWithBorder 2" xfId="2849" xr:uid="{00000000-0005-0000-0000-0000AE0F0000}"/>
    <cellStyle name="NumericWithBorder 2 2" xfId="2850" xr:uid="{00000000-0005-0000-0000-0000AF0F0000}"/>
    <cellStyle name="NumericWithBorder 2 3" xfId="2851" xr:uid="{00000000-0005-0000-0000-0000B00F0000}"/>
    <cellStyle name="NumericWithBorder 2 4" xfId="2852" xr:uid="{00000000-0005-0000-0000-0000B10F0000}"/>
    <cellStyle name="NumericWithBorder 3" xfId="2853" xr:uid="{00000000-0005-0000-0000-0000B20F0000}"/>
    <cellStyle name="NumericWithBorder 4" xfId="2854" xr:uid="{00000000-0005-0000-0000-0000B30F0000}"/>
    <cellStyle name="NumericWithBorder 5" xfId="2855" xr:uid="{00000000-0005-0000-0000-0000B40F0000}"/>
    <cellStyle name="Percent" xfId="2856" xr:uid="{00000000-0005-0000-0000-0000B50F0000}"/>
    <cellStyle name="Percent 2" xfId="2857" xr:uid="{00000000-0005-0000-0000-0000B60F0000}"/>
    <cellStyle name="Percent 2 2" xfId="2858" xr:uid="{00000000-0005-0000-0000-0000B70F0000}"/>
    <cellStyle name="Porcentaje" xfId="21" builtinId="5"/>
    <cellStyle name="Porcentaje 2" xfId="24" xr:uid="{00000000-0005-0000-0000-0000B90F0000}"/>
    <cellStyle name="Porcentaje 2 2" xfId="2859" xr:uid="{00000000-0005-0000-0000-0000BA0F0000}"/>
    <cellStyle name="Porcentaje 3" xfId="25" xr:uid="{00000000-0005-0000-0000-0000BB0F0000}"/>
    <cellStyle name="Porcentaje 3 2" xfId="2860" xr:uid="{00000000-0005-0000-0000-0000BC0F0000}"/>
    <cellStyle name="Porcentaje 4" xfId="26" xr:uid="{00000000-0005-0000-0000-0000BD0F0000}"/>
    <cellStyle name="Porcentual 2" xfId="22" xr:uid="{00000000-0005-0000-0000-0000BE0F0000}"/>
    <cellStyle name="Porcentual 2 2" xfId="23" xr:uid="{00000000-0005-0000-0000-0000BF0F0000}"/>
    <cellStyle name="Porcentual 2 2 2" xfId="2861" xr:uid="{00000000-0005-0000-0000-0000C00F0000}"/>
    <cellStyle name="Porcentual 2 3" xfId="2862" xr:uid="{00000000-0005-0000-0000-0000C10F0000}"/>
    <cellStyle name="Porcentual 2 3 2" xfId="2863" xr:uid="{00000000-0005-0000-0000-0000C20F0000}"/>
    <cellStyle name="Porcentual 3" xfId="2864" xr:uid="{00000000-0005-0000-0000-0000C30F0000}"/>
  </cellStyles>
  <dxfs count="0"/>
  <tableStyles count="0" defaultTableStyle="TableStyleMedium9" defaultPivotStyle="PivotStyleLight16"/>
  <colors>
    <mruColors>
      <color rgb="FF00FFFF"/>
      <color rgb="FFFF00FF"/>
      <color rgb="FF00FF00"/>
      <color rgb="FF00CCFF"/>
      <color rgb="FF75DBFF"/>
      <color rgb="FFFFCCCC"/>
      <color rgb="FFFF3300"/>
      <color rgb="FFFF33CC"/>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377516</xdr:rowOff>
    </xdr:from>
    <xdr:to>
      <xdr:col>5</xdr:col>
      <xdr:colOff>377642</xdr:colOff>
      <xdr:row>2</xdr:row>
      <xdr:rowOff>743572</xdr:rowOff>
    </xdr:to>
    <xdr:pic>
      <xdr:nvPicPr>
        <xdr:cNvPr id="2" name="Imagen 1">
          <a:extLst>
            <a:ext uri="{FF2B5EF4-FFF2-40B4-BE49-F238E27FC236}">
              <a16:creationId xmlns:a16="http://schemas.microsoft.com/office/drawing/2014/main" id="{29E6B642-57CE-4230-A228-8675A62A6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7541"/>
          <a:ext cx="4035242" cy="842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337450</xdr:colOff>
      <xdr:row>0</xdr:row>
      <xdr:rowOff>432955</xdr:rowOff>
    </xdr:from>
    <xdr:to>
      <xdr:col>4</xdr:col>
      <xdr:colOff>216477</xdr:colOff>
      <xdr:row>2</xdr:row>
      <xdr:rowOff>414642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7450" y="432955"/>
          <a:ext cx="3883857" cy="11073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776908</xdr:colOff>
      <xdr:row>0</xdr:row>
      <xdr:rowOff>167265</xdr:rowOff>
    </xdr:from>
    <xdr:to>
      <xdr:col>2</xdr:col>
      <xdr:colOff>1351232</xdr:colOff>
      <xdr:row>2</xdr:row>
      <xdr:rowOff>432200</xdr:rowOff>
    </xdr:to>
    <xdr:pic>
      <xdr:nvPicPr>
        <xdr:cNvPr id="2" name="Imagen 1">
          <a:extLst>
            <a:ext uri="{FF2B5EF4-FFF2-40B4-BE49-F238E27FC236}">
              <a16:creationId xmlns:a16="http://schemas.microsoft.com/office/drawing/2014/main" id="{BB9F29F3-E804-4013-B7E4-CBDE7EE18DC8}"/>
            </a:ext>
          </a:extLst>
        </xdr:cNvPr>
        <xdr:cNvPicPr>
          <a:picLocks noChangeAspect="1"/>
        </xdr:cNvPicPr>
      </xdr:nvPicPr>
      <xdr:blipFill>
        <a:blip xmlns:r="http://schemas.openxmlformats.org/officeDocument/2006/relationships" r:embed="rId1"/>
        <a:stretch>
          <a:fillRect/>
        </a:stretch>
      </xdr:blipFill>
      <xdr:spPr>
        <a:xfrm>
          <a:off x="776908" y="167265"/>
          <a:ext cx="3069874" cy="1674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161745</xdr:rowOff>
    </xdr:from>
    <xdr:to>
      <xdr:col>3</xdr:col>
      <xdr:colOff>269575</xdr:colOff>
      <xdr:row>2</xdr:row>
      <xdr:rowOff>53915</xdr:rowOff>
    </xdr:to>
    <xdr:pic>
      <xdr:nvPicPr>
        <xdr:cNvPr id="2" name="Imagen 1">
          <a:extLst>
            <a:ext uri="{FF2B5EF4-FFF2-40B4-BE49-F238E27FC236}">
              <a16:creationId xmlns:a16="http://schemas.microsoft.com/office/drawing/2014/main" id="{63F99C4E-78E3-A45B-67BA-B1EC05D505B7}"/>
            </a:ext>
          </a:extLst>
        </xdr:cNvPr>
        <xdr:cNvPicPr>
          <a:picLocks noChangeAspect="1"/>
        </xdr:cNvPicPr>
      </xdr:nvPicPr>
      <xdr:blipFill>
        <a:blip xmlns:r="http://schemas.openxmlformats.org/officeDocument/2006/relationships" r:embed="rId1"/>
        <a:stretch>
          <a:fillRect/>
        </a:stretch>
      </xdr:blipFill>
      <xdr:spPr>
        <a:xfrm>
          <a:off x="0" y="161745"/>
          <a:ext cx="2647015" cy="638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B7BFEE7E-C142-419F-A313-96BD684D01F2}"/>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rolinanino\Documents\SDA-2020\Plan%20de%20Acci&#243;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KWGHJozevCeNbGCl6AJ5XGI6ZJiGBbaW?usp=share_link"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M28"/>
  <sheetViews>
    <sheetView tabSelected="1" zoomScale="44" zoomScaleNormal="44" zoomScaleSheetLayoutView="70" zoomScalePageLayoutView="60" workbookViewId="0">
      <selection activeCell="H14" sqref="H14"/>
    </sheetView>
  </sheetViews>
  <sheetFormatPr baseColWidth="10" defaultColWidth="10.7109375" defaultRowHeight="15" x14ac:dyDescent="0.25"/>
  <cols>
    <col min="1" max="1" width="8.42578125" customWidth="1"/>
    <col min="2" max="2" width="11" customWidth="1"/>
    <col min="3" max="3" width="8.7109375" customWidth="1"/>
    <col min="4" max="4" width="19.28515625" customWidth="1"/>
    <col min="5" max="5" width="7.42578125" customWidth="1"/>
    <col min="6" max="6" width="24.42578125" customWidth="1"/>
    <col min="7" max="7" width="20" customWidth="1"/>
    <col min="8" max="8" width="23.42578125" customWidth="1"/>
    <col min="9" max="9" width="22" style="624" customWidth="1"/>
    <col min="10" max="10" width="19.7109375" style="624" hidden="1" customWidth="1"/>
    <col min="11" max="11" width="17" style="624" hidden="1" customWidth="1"/>
    <col min="12" max="23" width="22.7109375" style="624" hidden="1" customWidth="1"/>
    <col min="24" max="24" width="16.42578125" style="624" hidden="1" customWidth="1"/>
    <col min="25" max="25" width="20.42578125" style="624" hidden="1" customWidth="1"/>
    <col min="26" max="26" width="20.140625" style="624" customWidth="1"/>
    <col min="27" max="27" width="22.28515625" style="624" customWidth="1"/>
    <col min="28" max="36" width="19.42578125" style="624" hidden="1" customWidth="1"/>
    <col min="37" max="37" width="14.140625" style="624" hidden="1" customWidth="1"/>
    <col min="38" max="38" width="21" style="624" hidden="1" customWidth="1"/>
    <col min="39" max="39" width="14.140625" style="624" hidden="1" customWidth="1"/>
    <col min="40" max="40" width="22.42578125" style="624" hidden="1" customWidth="1"/>
    <col min="41" max="41" width="14.140625" style="624" hidden="1" customWidth="1"/>
    <col min="42" max="42" width="17.42578125" style="624" hidden="1" customWidth="1"/>
    <col min="43" max="43" width="14.140625" style="624" hidden="1" customWidth="1"/>
    <col min="44" max="44" width="17.7109375" style="624" hidden="1" customWidth="1"/>
    <col min="45" max="45" width="14.140625" style="624" hidden="1" customWidth="1"/>
    <col min="46" max="46" width="17.7109375" style="624" hidden="1" customWidth="1"/>
    <col min="47" max="47" width="14.140625" style="624" hidden="1" customWidth="1"/>
    <col min="48" max="48" width="23.7109375" style="624" hidden="1" customWidth="1"/>
    <col min="49" max="49" width="14.42578125" style="624" hidden="1" customWidth="1"/>
    <col min="50" max="50" width="16.7109375" style="624" hidden="1" customWidth="1"/>
    <col min="51" max="51" width="13.140625" style="624" hidden="1" customWidth="1"/>
    <col min="52" max="52" width="17.7109375" style="624" hidden="1" customWidth="1"/>
    <col min="53" max="53" width="27.7109375" style="624" hidden="1" customWidth="1"/>
    <col min="54" max="54" width="24" style="624" hidden="1" customWidth="1"/>
    <col min="55" max="55" width="22.7109375" style="624" hidden="1" customWidth="1"/>
    <col min="56" max="56" width="19.7109375" style="624" customWidth="1"/>
    <col min="57" max="57" width="22.42578125" style="624" customWidth="1"/>
    <col min="58" max="58" width="26.42578125" style="624" hidden="1" customWidth="1"/>
    <col min="59" max="59" width="17.42578125" style="624" hidden="1" customWidth="1"/>
    <col min="60" max="60" width="18" style="624" hidden="1" customWidth="1"/>
    <col min="61" max="61" width="15.7109375" style="624" hidden="1" customWidth="1"/>
    <col min="62" max="62" width="20.140625" style="624" hidden="1" customWidth="1"/>
    <col min="63" max="64" width="23" style="624" hidden="1" customWidth="1"/>
    <col min="65" max="65" width="24.42578125" style="624" hidden="1" customWidth="1"/>
    <col min="66" max="66" width="17.7109375" style="624" hidden="1" customWidth="1"/>
    <col min="67" max="67" width="20.7109375" style="624" hidden="1" customWidth="1"/>
    <col min="68" max="68" width="24.42578125" style="624" hidden="1" customWidth="1"/>
    <col min="69" max="69" width="22.140625" style="624" hidden="1" customWidth="1"/>
    <col min="70" max="70" width="19.7109375" style="624" hidden="1" customWidth="1"/>
    <col min="71" max="71" width="25.28515625" style="624" hidden="1" customWidth="1"/>
    <col min="72" max="72" width="19.7109375" style="624" hidden="1" customWidth="1"/>
    <col min="73" max="73" width="26.7109375" style="624" hidden="1" customWidth="1"/>
    <col min="74" max="74" width="20.42578125" style="624" hidden="1" customWidth="1"/>
    <col min="75" max="75" width="27.28515625" style="624" hidden="1" customWidth="1"/>
    <col min="76" max="76" width="18.7109375" style="624" hidden="1" customWidth="1"/>
    <col min="77" max="77" width="20.7109375" style="624" hidden="1" customWidth="1"/>
    <col min="78" max="78" width="23.7109375" style="624" hidden="1" customWidth="1"/>
    <col min="79" max="79" width="23.140625" style="624" hidden="1" customWidth="1"/>
    <col min="80" max="80" width="17.7109375" style="624" hidden="1" customWidth="1"/>
    <col min="81" max="81" width="13.7109375" style="624" hidden="1" customWidth="1"/>
    <col min="82" max="82" width="17" style="624" hidden="1" customWidth="1"/>
    <col min="83" max="83" width="19.42578125" style="624" hidden="1" customWidth="1"/>
    <col min="84" max="84" width="25" style="624" hidden="1" customWidth="1"/>
    <col min="85" max="85" width="21.7109375" style="624" hidden="1" customWidth="1"/>
    <col min="86" max="87" width="21.42578125" style="624" customWidth="1"/>
    <col min="88" max="88" width="20.7109375" style="624" customWidth="1"/>
    <col min="89" max="90" width="13" style="624" customWidth="1"/>
    <col min="91" max="92" width="15.28515625" style="624" customWidth="1"/>
    <col min="93" max="104" width="17.42578125" style="624" customWidth="1"/>
    <col min="105" max="105" width="13" style="624" customWidth="1"/>
    <col min="106" max="106" width="14.42578125" style="624" bestFit="1" customWidth="1"/>
    <col min="107" max="112" width="13" style="624" customWidth="1"/>
    <col min="113" max="114" width="20.7109375" style="624" customWidth="1"/>
    <col min="115" max="115" width="25.7109375" style="624" customWidth="1"/>
    <col min="116" max="116" width="24.42578125" style="624" customWidth="1"/>
    <col min="117" max="117" width="20.7109375" style="624" customWidth="1"/>
    <col min="118" max="118" width="27.42578125" style="624" customWidth="1"/>
    <col min="119" max="127" width="10.7109375" style="624" hidden="1" customWidth="1"/>
    <col min="128" max="147" width="15.42578125" style="624" hidden="1" customWidth="1"/>
    <col min="148" max="148" width="23.7109375" customWidth="1"/>
    <col min="149" max="149" width="20.7109375" customWidth="1"/>
    <col min="150" max="150" width="24.28515625" customWidth="1"/>
    <col min="151" max="151" width="21.42578125" customWidth="1"/>
    <col min="152" max="152" width="18.42578125" customWidth="1"/>
    <col min="153" max="153" width="105.28515625" customWidth="1"/>
    <col min="154" max="154" width="17.140625" customWidth="1"/>
    <col min="155" max="155" width="13.140625" customWidth="1"/>
    <col min="156" max="156" width="68.42578125" customWidth="1"/>
    <col min="157" max="157" width="63" customWidth="1"/>
    <col min="158" max="158" width="16.42578125" bestFit="1" customWidth="1"/>
    <col min="159" max="159" width="23" bestFit="1" customWidth="1"/>
    <col min="160" max="160" width="21.7109375" customWidth="1"/>
    <col min="161" max="161" width="26.7109375" customWidth="1"/>
    <col min="162" max="162" width="11.42578125" bestFit="1" customWidth="1"/>
    <col min="163" max="163" width="12.42578125" bestFit="1" customWidth="1"/>
    <col min="164" max="164" width="13.28515625" bestFit="1" customWidth="1"/>
    <col min="166" max="166" width="14" bestFit="1" customWidth="1"/>
    <col min="168" max="168" width="14" bestFit="1" customWidth="1"/>
  </cols>
  <sheetData>
    <row r="1" spans="1:169"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2"/>
      <c r="ES1" s="2"/>
      <c r="ET1" s="2"/>
      <c r="EU1" s="2"/>
      <c r="EV1" s="2"/>
      <c r="EW1" s="2"/>
      <c r="EX1" s="2"/>
      <c r="EY1" s="2"/>
      <c r="EZ1" s="2"/>
      <c r="FA1" s="2"/>
    </row>
    <row r="2" spans="1:169" s="18" customFormat="1" ht="37.5" x14ac:dyDescent="0.5">
      <c r="A2" s="800"/>
      <c r="B2" s="801"/>
      <c r="C2" s="801"/>
      <c r="D2" s="801"/>
      <c r="E2" s="801"/>
      <c r="F2" s="802"/>
      <c r="G2" s="809" t="s">
        <v>39</v>
      </c>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AW2" s="809"/>
      <c r="AX2" s="809"/>
      <c r="AY2" s="809"/>
      <c r="AZ2" s="809"/>
      <c r="BA2" s="809"/>
      <c r="BB2" s="809"/>
      <c r="BC2" s="809"/>
      <c r="BD2" s="809"/>
      <c r="BE2" s="809"/>
      <c r="BF2" s="809"/>
      <c r="BG2" s="809"/>
      <c r="BH2" s="809"/>
      <c r="BI2" s="809"/>
      <c r="BJ2" s="809"/>
      <c r="BK2" s="809"/>
      <c r="BL2" s="809"/>
      <c r="BM2" s="809"/>
      <c r="BN2" s="809"/>
      <c r="BO2" s="809"/>
      <c r="BP2" s="809"/>
      <c r="BQ2" s="809"/>
      <c r="BR2" s="809"/>
      <c r="BS2" s="809"/>
      <c r="BT2" s="809"/>
      <c r="BU2" s="809"/>
      <c r="BV2" s="809"/>
      <c r="BW2" s="809"/>
      <c r="BX2" s="809"/>
      <c r="BY2" s="809"/>
      <c r="BZ2" s="809"/>
      <c r="CA2" s="809"/>
      <c r="CB2" s="809"/>
      <c r="CC2" s="809"/>
      <c r="CD2" s="809"/>
      <c r="CE2" s="809"/>
      <c r="CF2" s="809"/>
      <c r="CG2" s="809"/>
      <c r="CH2" s="809"/>
      <c r="CI2" s="809"/>
      <c r="CJ2" s="809"/>
      <c r="CK2" s="809"/>
      <c r="CL2" s="809"/>
      <c r="CM2" s="809"/>
      <c r="CN2" s="809"/>
      <c r="CO2" s="809"/>
      <c r="CP2" s="809"/>
      <c r="CQ2" s="809"/>
      <c r="CR2" s="809"/>
      <c r="CS2" s="809"/>
      <c r="CT2" s="809"/>
      <c r="CU2" s="809"/>
      <c r="CV2" s="809"/>
      <c r="CW2" s="809"/>
      <c r="CX2" s="809"/>
      <c r="CY2" s="809"/>
      <c r="CZ2" s="809"/>
      <c r="DA2" s="809"/>
      <c r="DB2" s="809"/>
      <c r="DC2" s="809"/>
      <c r="DD2" s="809"/>
      <c r="DE2" s="809"/>
      <c r="DF2" s="809"/>
      <c r="DG2" s="809"/>
      <c r="DH2" s="809"/>
      <c r="DI2" s="809"/>
      <c r="DJ2" s="809"/>
      <c r="DK2" s="809"/>
      <c r="DL2" s="809"/>
      <c r="DM2" s="809"/>
      <c r="DN2" s="809"/>
      <c r="DO2" s="809"/>
      <c r="DP2" s="809"/>
      <c r="DQ2" s="809"/>
      <c r="DR2" s="809"/>
      <c r="DS2" s="809"/>
      <c r="DT2" s="809"/>
      <c r="DU2" s="809"/>
      <c r="DV2" s="809"/>
      <c r="DW2" s="809"/>
      <c r="DX2" s="809"/>
      <c r="DY2" s="809"/>
      <c r="DZ2" s="809"/>
      <c r="EA2" s="809"/>
      <c r="EB2" s="809"/>
      <c r="EC2" s="809"/>
      <c r="ED2" s="809"/>
      <c r="EE2" s="809"/>
      <c r="EF2" s="809"/>
      <c r="EG2" s="809"/>
      <c r="EH2" s="809"/>
      <c r="EI2" s="809"/>
      <c r="EJ2" s="809"/>
      <c r="EK2" s="809"/>
      <c r="EL2" s="809"/>
      <c r="EM2" s="809"/>
      <c r="EN2" s="809"/>
      <c r="EO2" s="809"/>
      <c r="EP2" s="809"/>
      <c r="EQ2" s="809"/>
      <c r="ER2" s="809"/>
      <c r="ES2" s="809"/>
      <c r="ET2" s="809"/>
      <c r="EU2" s="809"/>
      <c r="EV2" s="809"/>
      <c r="EW2" s="809"/>
      <c r="EX2" s="809"/>
      <c r="EY2" s="809"/>
      <c r="EZ2" s="809"/>
      <c r="FA2" s="810"/>
    </row>
    <row r="3" spans="1:169" s="18" customFormat="1" ht="60" customHeight="1" thickBot="1" x14ac:dyDescent="0.65">
      <c r="A3" s="803"/>
      <c r="B3" s="804"/>
      <c r="C3" s="804"/>
      <c r="D3" s="804"/>
      <c r="E3" s="804"/>
      <c r="F3" s="805"/>
      <c r="G3" s="811" t="s">
        <v>360</v>
      </c>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c r="AM3" s="811"/>
      <c r="AN3" s="811"/>
      <c r="AO3" s="811"/>
      <c r="AP3" s="811"/>
      <c r="AQ3" s="811"/>
      <c r="AR3" s="811"/>
      <c r="AS3" s="811"/>
      <c r="AT3" s="811"/>
      <c r="AU3" s="811"/>
      <c r="AV3" s="811"/>
      <c r="AW3" s="811"/>
      <c r="AX3" s="811"/>
      <c r="AY3" s="811"/>
      <c r="AZ3" s="811"/>
      <c r="BA3" s="811"/>
      <c r="BB3" s="811"/>
      <c r="BC3" s="811"/>
      <c r="BD3" s="811"/>
      <c r="BE3" s="811"/>
      <c r="BF3" s="811"/>
      <c r="BG3" s="811"/>
      <c r="BH3" s="811"/>
      <c r="BI3" s="811"/>
      <c r="BJ3" s="811"/>
      <c r="BK3" s="811"/>
      <c r="BL3" s="811"/>
      <c r="BM3" s="811"/>
      <c r="BN3" s="811"/>
      <c r="BO3" s="811"/>
      <c r="BP3" s="811"/>
      <c r="BQ3" s="811"/>
      <c r="BR3" s="811"/>
      <c r="BS3" s="811"/>
      <c r="BT3" s="811"/>
      <c r="BU3" s="811"/>
      <c r="BV3" s="811"/>
      <c r="BW3" s="811"/>
      <c r="BX3" s="811"/>
      <c r="BY3" s="811"/>
      <c r="BZ3" s="811"/>
      <c r="CA3" s="811"/>
      <c r="CB3" s="811"/>
      <c r="CC3" s="811"/>
      <c r="CD3" s="811"/>
      <c r="CE3" s="811"/>
      <c r="CF3" s="811"/>
      <c r="CG3" s="811"/>
      <c r="CH3" s="811"/>
      <c r="CI3" s="811"/>
      <c r="CJ3" s="811"/>
      <c r="CK3" s="811"/>
      <c r="CL3" s="811"/>
      <c r="CM3" s="811"/>
      <c r="CN3" s="811"/>
      <c r="CO3" s="811"/>
      <c r="CP3" s="811"/>
      <c r="CQ3" s="811"/>
      <c r="CR3" s="811"/>
      <c r="CS3" s="811"/>
      <c r="CT3" s="811"/>
      <c r="CU3" s="811"/>
      <c r="CV3" s="811"/>
      <c r="CW3" s="811"/>
      <c r="CX3" s="811"/>
      <c r="CY3" s="811"/>
      <c r="CZ3" s="811"/>
      <c r="DA3" s="811"/>
      <c r="DB3" s="811"/>
      <c r="DC3" s="811"/>
      <c r="DD3" s="811"/>
      <c r="DE3" s="811"/>
      <c r="DF3" s="811"/>
      <c r="DG3" s="811"/>
      <c r="DH3" s="811"/>
      <c r="DI3" s="811"/>
      <c r="DJ3" s="811"/>
      <c r="DK3" s="811"/>
      <c r="DL3" s="811"/>
      <c r="DM3" s="811"/>
      <c r="DN3" s="811"/>
      <c r="DO3" s="811"/>
      <c r="DP3" s="811"/>
      <c r="DQ3" s="811"/>
      <c r="DR3" s="811"/>
      <c r="DS3" s="811"/>
      <c r="DT3" s="811"/>
      <c r="DU3" s="811"/>
      <c r="DV3" s="811"/>
      <c r="DW3" s="811"/>
      <c r="DX3" s="811"/>
      <c r="DY3" s="811"/>
      <c r="DZ3" s="811"/>
      <c r="EA3" s="811"/>
      <c r="EB3" s="811"/>
      <c r="EC3" s="811"/>
      <c r="ED3" s="811"/>
      <c r="EE3" s="811"/>
      <c r="EF3" s="811"/>
      <c r="EG3" s="811"/>
      <c r="EH3" s="811"/>
      <c r="EI3" s="811"/>
      <c r="EJ3" s="811"/>
      <c r="EK3" s="811"/>
      <c r="EL3" s="811"/>
      <c r="EM3" s="811"/>
      <c r="EN3" s="811"/>
      <c r="EO3" s="811"/>
      <c r="EP3" s="811"/>
      <c r="EQ3" s="811"/>
      <c r="ER3" s="811"/>
      <c r="ES3" s="811"/>
      <c r="ET3" s="811"/>
      <c r="EU3" s="811"/>
      <c r="EV3" s="811"/>
      <c r="EW3" s="811"/>
      <c r="EX3" s="811"/>
      <c r="EY3" s="811"/>
      <c r="EZ3" s="811"/>
      <c r="FA3" s="811"/>
    </row>
    <row r="4" spans="1:169" s="17" customFormat="1" ht="27" thickBot="1" x14ac:dyDescent="0.45">
      <c r="A4" s="806"/>
      <c r="B4" s="807"/>
      <c r="C4" s="807"/>
      <c r="D4" s="807"/>
      <c r="E4" s="807"/>
      <c r="F4" s="808"/>
      <c r="G4" s="812" t="s">
        <v>48</v>
      </c>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812"/>
      <c r="AN4" s="812"/>
      <c r="AO4" s="812"/>
      <c r="AP4" s="812"/>
      <c r="AQ4" s="812"/>
      <c r="AR4" s="812"/>
      <c r="AS4" s="812"/>
      <c r="AT4" s="812"/>
      <c r="AU4" s="812"/>
      <c r="AV4" s="812"/>
      <c r="AW4" s="812"/>
      <c r="AX4" s="812"/>
      <c r="AY4" s="812"/>
      <c r="AZ4" s="812"/>
      <c r="BA4" s="812"/>
      <c r="BB4" s="812"/>
      <c r="BC4" s="812"/>
      <c r="BD4" s="812"/>
      <c r="BE4" s="812"/>
      <c r="BF4" s="812"/>
      <c r="BG4" s="812"/>
      <c r="BH4" s="812"/>
      <c r="BI4" s="812"/>
      <c r="BJ4" s="812"/>
      <c r="BK4" s="812"/>
      <c r="BL4" s="812"/>
      <c r="BM4" s="812"/>
      <c r="BN4" s="812"/>
      <c r="BO4" s="812"/>
      <c r="BP4" s="812"/>
      <c r="BQ4" s="812"/>
      <c r="BR4" s="812"/>
      <c r="BS4" s="812"/>
      <c r="BT4" s="812"/>
      <c r="BU4" s="812"/>
      <c r="BV4" s="812"/>
      <c r="BW4" s="812"/>
      <c r="BX4" s="812"/>
      <c r="BY4" s="812"/>
      <c r="BZ4" s="812"/>
      <c r="CA4" s="812"/>
      <c r="CB4" s="812"/>
      <c r="CC4" s="812"/>
      <c r="CD4" s="812"/>
      <c r="CE4" s="812"/>
      <c r="CF4" s="812"/>
      <c r="CG4" s="812"/>
      <c r="CH4" s="812"/>
      <c r="CI4" s="812"/>
      <c r="CJ4" s="812"/>
      <c r="CK4" s="812"/>
      <c r="CL4" s="812"/>
      <c r="CM4" s="812"/>
      <c r="CN4" s="812"/>
      <c r="CO4" s="812"/>
      <c r="CP4" s="812"/>
      <c r="CQ4" s="812"/>
      <c r="CR4" s="812"/>
      <c r="CS4" s="812"/>
      <c r="CT4" s="812"/>
      <c r="CU4" s="812"/>
      <c r="CV4" s="812"/>
      <c r="CW4" s="812"/>
      <c r="CX4" s="812"/>
      <c r="CY4" s="812"/>
      <c r="CZ4" s="812"/>
      <c r="DA4" s="812"/>
      <c r="DB4" s="812"/>
      <c r="DC4" s="812"/>
      <c r="DD4" s="812"/>
      <c r="DE4" s="812"/>
      <c r="DF4" s="812"/>
      <c r="DG4" s="812"/>
      <c r="DH4" s="812"/>
      <c r="DI4" s="812"/>
      <c r="DJ4" s="812"/>
      <c r="DK4" s="812"/>
      <c r="DL4" s="812"/>
      <c r="DM4" s="812"/>
      <c r="DN4" s="812"/>
      <c r="DO4" s="812"/>
      <c r="DP4" s="812"/>
      <c r="DQ4" s="812"/>
      <c r="DR4" s="812"/>
      <c r="DS4" s="812"/>
      <c r="DT4" s="812"/>
      <c r="DU4" s="812"/>
      <c r="DV4" s="812"/>
      <c r="DW4" s="812"/>
      <c r="DX4" s="812"/>
      <c r="DY4" s="812"/>
      <c r="DZ4" s="812"/>
      <c r="EA4" s="812"/>
      <c r="EB4" s="812"/>
      <c r="EC4" s="812"/>
      <c r="ED4" s="812"/>
      <c r="EE4" s="812"/>
      <c r="EF4" s="812"/>
      <c r="EG4" s="812"/>
      <c r="EH4" s="812"/>
      <c r="EI4" s="812"/>
      <c r="EJ4" s="812"/>
      <c r="EK4" s="812"/>
      <c r="EL4" s="812"/>
      <c r="EM4" s="812"/>
      <c r="EN4" s="812"/>
      <c r="EO4" s="812"/>
      <c r="EP4" s="812"/>
      <c r="EQ4" s="812"/>
      <c r="ER4" s="813" t="s">
        <v>343</v>
      </c>
      <c r="ES4" s="814"/>
      <c r="ET4" s="814"/>
      <c r="EU4" s="814"/>
      <c r="EV4" s="814"/>
      <c r="EW4" s="814"/>
      <c r="EX4" s="814"/>
      <c r="EY4" s="814"/>
      <c r="EZ4" s="814"/>
      <c r="FA4" s="815"/>
    </row>
    <row r="5" spans="1:169" ht="40.5" customHeight="1" thickBot="1" x14ac:dyDescent="0.3">
      <c r="A5" s="795" t="s">
        <v>0</v>
      </c>
      <c r="B5" s="796"/>
      <c r="C5" s="796"/>
      <c r="D5" s="796"/>
      <c r="E5" s="796"/>
      <c r="F5" s="796"/>
      <c r="G5" s="797" t="s">
        <v>369</v>
      </c>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c r="AT5" s="798"/>
      <c r="AU5" s="798"/>
      <c r="AV5" s="798"/>
      <c r="AW5" s="798"/>
      <c r="AX5" s="798"/>
      <c r="AY5" s="798"/>
      <c r="AZ5" s="798"/>
      <c r="BA5" s="798"/>
      <c r="BB5" s="798"/>
      <c r="BC5" s="798"/>
      <c r="BD5" s="798"/>
      <c r="BE5" s="798"/>
      <c r="BF5" s="798"/>
      <c r="BG5" s="798"/>
      <c r="BH5" s="798"/>
      <c r="BI5" s="798"/>
      <c r="BJ5" s="798"/>
      <c r="BK5" s="798"/>
      <c r="BL5" s="798"/>
      <c r="BM5" s="798"/>
      <c r="BN5" s="798"/>
      <c r="BO5" s="798"/>
      <c r="BP5" s="798"/>
      <c r="BQ5" s="798"/>
      <c r="BR5" s="798"/>
      <c r="BS5" s="798"/>
      <c r="BT5" s="798"/>
      <c r="BU5" s="798"/>
      <c r="BV5" s="798"/>
      <c r="BW5" s="798"/>
      <c r="BX5" s="798"/>
      <c r="BY5" s="798"/>
      <c r="BZ5" s="798"/>
      <c r="CA5" s="798"/>
      <c r="CB5" s="798"/>
      <c r="CC5" s="798"/>
      <c r="CD5" s="798"/>
      <c r="CE5" s="798"/>
      <c r="CF5" s="798"/>
      <c r="CG5" s="798"/>
      <c r="CH5" s="798"/>
      <c r="CI5" s="798"/>
      <c r="CJ5" s="798"/>
      <c r="CK5" s="798"/>
      <c r="CL5" s="798"/>
      <c r="CM5" s="798"/>
      <c r="CN5" s="798"/>
      <c r="CO5" s="798"/>
      <c r="CP5" s="798"/>
      <c r="CQ5" s="798"/>
      <c r="CR5" s="798"/>
      <c r="CS5" s="798"/>
      <c r="CT5" s="798"/>
      <c r="CU5" s="798"/>
      <c r="CV5" s="798"/>
      <c r="CW5" s="798"/>
      <c r="CX5" s="798"/>
      <c r="CY5" s="798"/>
      <c r="CZ5" s="798"/>
      <c r="DA5" s="798"/>
      <c r="DB5" s="798"/>
      <c r="DC5" s="798"/>
      <c r="DD5" s="798"/>
      <c r="DE5" s="798"/>
      <c r="DF5" s="798"/>
      <c r="DG5" s="798"/>
      <c r="DH5" s="798"/>
      <c r="DI5" s="798"/>
      <c r="DJ5" s="798"/>
      <c r="DK5" s="798"/>
      <c r="DL5" s="798"/>
      <c r="DM5" s="798"/>
      <c r="DN5" s="798"/>
      <c r="DO5" s="798"/>
      <c r="DP5" s="798"/>
      <c r="DQ5" s="798"/>
      <c r="DR5" s="798"/>
      <c r="DS5" s="798"/>
      <c r="DT5" s="798"/>
      <c r="DU5" s="798"/>
      <c r="DV5" s="798"/>
      <c r="DW5" s="798"/>
      <c r="DX5" s="798"/>
      <c r="DY5" s="798"/>
      <c r="DZ5" s="798"/>
      <c r="EA5" s="798"/>
      <c r="EB5" s="798"/>
      <c r="EC5" s="798"/>
      <c r="ED5" s="798"/>
      <c r="EE5" s="798"/>
      <c r="EF5" s="798"/>
      <c r="EG5" s="798"/>
      <c r="EH5" s="798"/>
      <c r="EI5" s="798"/>
      <c r="EJ5" s="798"/>
      <c r="EK5" s="798"/>
      <c r="EL5" s="798"/>
      <c r="EM5" s="798"/>
      <c r="EN5" s="798"/>
      <c r="EO5" s="798"/>
      <c r="EP5" s="798"/>
      <c r="EQ5" s="798"/>
      <c r="ER5" s="798"/>
      <c r="ES5" s="798"/>
      <c r="ET5" s="798"/>
      <c r="EU5" s="798"/>
      <c r="EV5" s="798"/>
      <c r="EW5" s="798"/>
      <c r="EX5" s="798"/>
      <c r="EY5" s="798"/>
      <c r="EZ5" s="798"/>
      <c r="FA5" s="799"/>
    </row>
    <row r="6" spans="1:169" ht="33" customHeight="1" thickBot="1" x14ac:dyDescent="0.3">
      <c r="A6" s="795" t="s">
        <v>2</v>
      </c>
      <c r="B6" s="796"/>
      <c r="C6" s="796"/>
      <c r="D6" s="796"/>
      <c r="E6" s="796"/>
      <c r="F6" s="796"/>
      <c r="G6" s="797" t="s">
        <v>370</v>
      </c>
      <c r="H6" s="798"/>
      <c r="I6" s="798"/>
      <c r="J6" s="798"/>
      <c r="K6" s="798"/>
      <c r="L6" s="798"/>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c r="AT6" s="798"/>
      <c r="AU6" s="798"/>
      <c r="AV6" s="798"/>
      <c r="AW6" s="798"/>
      <c r="AX6" s="798"/>
      <c r="AY6" s="798"/>
      <c r="AZ6" s="798"/>
      <c r="BA6" s="798"/>
      <c r="BB6" s="798"/>
      <c r="BC6" s="798"/>
      <c r="BD6" s="798"/>
      <c r="BE6" s="798"/>
      <c r="BF6" s="798"/>
      <c r="BG6" s="798"/>
      <c r="BH6" s="798"/>
      <c r="BI6" s="798"/>
      <c r="BJ6" s="798"/>
      <c r="BK6" s="798"/>
      <c r="BL6" s="798"/>
      <c r="BM6" s="798"/>
      <c r="BN6" s="798"/>
      <c r="BO6" s="798"/>
      <c r="BP6" s="798"/>
      <c r="BQ6" s="798"/>
      <c r="BR6" s="798"/>
      <c r="BS6" s="798"/>
      <c r="BT6" s="798"/>
      <c r="BU6" s="798"/>
      <c r="BV6" s="798"/>
      <c r="BW6" s="798"/>
      <c r="BX6" s="798"/>
      <c r="BY6" s="798"/>
      <c r="BZ6" s="798"/>
      <c r="CA6" s="798"/>
      <c r="CB6" s="798"/>
      <c r="CC6" s="798"/>
      <c r="CD6" s="798"/>
      <c r="CE6" s="798"/>
      <c r="CF6" s="798"/>
      <c r="CG6" s="798"/>
      <c r="CH6" s="798"/>
      <c r="CI6" s="798"/>
      <c r="CJ6" s="798"/>
      <c r="CK6" s="798"/>
      <c r="CL6" s="798"/>
      <c r="CM6" s="798"/>
      <c r="CN6" s="798"/>
      <c r="CO6" s="798"/>
      <c r="CP6" s="798"/>
      <c r="CQ6" s="798"/>
      <c r="CR6" s="798"/>
      <c r="CS6" s="798"/>
      <c r="CT6" s="798"/>
      <c r="CU6" s="798"/>
      <c r="CV6" s="798"/>
      <c r="CW6" s="798"/>
      <c r="CX6" s="798"/>
      <c r="CY6" s="798"/>
      <c r="CZ6" s="798"/>
      <c r="DA6" s="798"/>
      <c r="DB6" s="798"/>
      <c r="DC6" s="798"/>
      <c r="DD6" s="798"/>
      <c r="DE6" s="798"/>
      <c r="DF6" s="798"/>
      <c r="DG6" s="798"/>
      <c r="DH6" s="798"/>
      <c r="DI6" s="798"/>
      <c r="DJ6" s="798"/>
      <c r="DK6" s="798"/>
      <c r="DL6" s="798"/>
      <c r="DM6" s="798"/>
      <c r="DN6" s="798"/>
      <c r="DO6" s="798"/>
      <c r="DP6" s="798"/>
      <c r="DQ6" s="798"/>
      <c r="DR6" s="798"/>
      <c r="DS6" s="798"/>
      <c r="DT6" s="798"/>
      <c r="DU6" s="798"/>
      <c r="DV6" s="798"/>
      <c r="DW6" s="798"/>
      <c r="DX6" s="798"/>
      <c r="DY6" s="798"/>
      <c r="DZ6" s="798"/>
      <c r="EA6" s="798"/>
      <c r="EB6" s="798"/>
      <c r="EC6" s="798"/>
      <c r="ED6" s="798"/>
      <c r="EE6" s="798"/>
      <c r="EF6" s="798"/>
      <c r="EG6" s="798"/>
      <c r="EH6" s="798"/>
      <c r="EI6" s="798"/>
      <c r="EJ6" s="798"/>
      <c r="EK6" s="798"/>
      <c r="EL6" s="798"/>
      <c r="EM6" s="798"/>
      <c r="EN6" s="798"/>
      <c r="EO6" s="798"/>
      <c r="EP6" s="798"/>
      <c r="EQ6" s="798"/>
      <c r="ER6" s="798"/>
      <c r="ES6" s="798"/>
      <c r="ET6" s="798"/>
      <c r="EU6" s="798"/>
      <c r="EV6" s="798"/>
      <c r="EW6" s="798"/>
      <c r="EX6" s="798"/>
      <c r="EY6" s="798"/>
      <c r="EZ6" s="798"/>
      <c r="FA6" s="799"/>
    </row>
    <row r="7" spans="1:169" ht="28.5" customHeight="1" thickBot="1" x14ac:dyDescent="0.3">
      <c r="A7" s="795" t="s">
        <v>56</v>
      </c>
      <c r="B7" s="796"/>
      <c r="C7" s="796"/>
      <c r="D7" s="796"/>
      <c r="E7" s="796"/>
      <c r="F7" s="796"/>
      <c r="G7" s="797" t="s">
        <v>371</v>
      </c>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8"/>
      <c r="AU7" s="798"/>
      <c r="AV7" s="798"/>
      <c r="AW7" s="798"/>
      <c r="AX7" s="798"/>
      <c r="AY7" s="798"/>
      <c r="AZ7" s="798"/>
      <c r="BA7" s="798"/>
      <c r="BB7" s="798"/>
      <c r="BC7" s="798"/>
      <c r="BD7" s="798"/>
      <c r="BE7" s="798"/>
      <c r="BF7" s="798"/>
      <c r="BG7" s="798"/>
      <c r="BH7" s="798"/>
      <c r="BI7" s="798"/>
      <c r="BJ7" s="798"/>
      <c r="BK7" s="798"/>
      <c r="BL7" s="798"/>
      <c r="BM7" s="798"/>
      <c r="BN7" s="798"/>
      <c r="BO7" s="798"/>
      <c r="BP7" s="798"/>
      <c r="BQ7" s="798"/>
      <c r="BR7" s="798"/>
      <c r="BS7" s="798"/>
      <c r="BT7" s="798"/>
      <c r="BU7" s="798"/>
      <c r="BV7" s="798"/>
      <c r="BW7" s="798"/>
      <c r="BX7" s="798"/>
      <c r="BY7" s="798"/>
      <c r="BZ7" s="798"/>
      <c r="CA7" s="798"/>
      <c r="CB7" s="798"/>
      <c r="CC7" s="798"/>
      <c r="CD7" s="798"/>
      <c r="CE7" s="798"/>
      <c r="CF7" s="798"/>
      <c r="CG7" s="798"/>
      <c r="CH7" s="798"/>
      <c r="CI7" s="798"/>
      <c r="CJ7" s="798"/>
      <c r="CK7" s="798"/>
      <c r="CL7" s="798"/>
      <c r="CM7" s="798"/>
      <c r="CN7" s="798"/>
      <c r="CO7" s="798"/>
      <c r="CP7" s="798"/>
      <c r="CQ7" s="798"/>
      <c r="CR7" s="798"/>
      <c r="CS7" s="798"/>
      <c r="CT7" s="798"/>
      <c r="CU7" s="798"/>
      <c r="CV7" s="798"/>
      <c r="CW7" s="798"/>
      <c r="CX7" s="798"/>
      <c r="CY7" s="798"/>
      <c r="CZ7" s="798"/>
      <c r="DA7" s="798"/>
      <c r="DB7" s="798"/>
      <c r="DC7" s="798"/>
      <c r="DD7" s="798"/>
      <c r="DE7" s="798"/>
      <c r="DF7" s="798"/>
      <c r="DG7" s="798"/>
      <c r="DH7" s="798"/>
      <c r="DI7" s="798"/>
      <c r="DJ7" s="798"/>
      <c r="DK7" s="798"/>
      <c r="DL7" s="798"/>
      <c r="DM7" s="798"/>
      <c r="DN7" s="798"/>
      <c r="DO7" s="798"/>
      <c r="DP7" s="798"/>
      <c r="DQ7" s="798"/>
      <c r="DR7" s="798"/>
      <c r="DS7" s="798"/>
      <c r="DT7" s="798"/>
      <c r="DU7" s="798"/>
      <c r="DV7" s="798"/>
      <c r="DW7" s="798"/>
      <c r="DX7" s="798"/>
      <c r="DY7" s="798"/>
      <c r="DZ7" s="798"/>
      <c r="EA7" s="798"/>
      <c r="EB7" s="798"/>
      <c r="EC7" s="798"/>
      <c r="ED7" s="798"/>
      <c r="EE7" s="798"/>
      <c r="EF7" s="798"/>
      <c r="EG7" s="798"/>
      <c r="EH7" s="798"/>
      <c r="EI7" s="798"/>
      <c r="EJ7" s="798"/>
      <c r="EK7" s="798"/>
      <c r="EL7" s="798"/>
      <c r="EM7" s="798"/>
      <c r="EN7" s="798"/>
      <c r="EO7" s="798"/>
      <c r="EP7" s="798"/>
      <c r="EQ7" s="798"/>
      <c r="ER7" s="798"/>
      <c r="ES7" s="798"/>
      <c r="ET7" s="798"/>
      <c r="EU7" s="798"/>
      <c r="EV7" s="798"/>
      <c r="EW7" s="798"/>
      <c r="EX7" s="798"/>
      <c r="EY7" s="798"/>
      <c r="EZ7" s="798"/>
      <c r="FA7" s="799"/>
    </row>
    <row r="8" spans="1:169" ht="36" customHeight="1" thickBot="1" x14ac:dyDescent="0.3">
      <c r="A8" s="795" t="s">
        <v>1</v>
      </c>
      <c r="B8" s="796"/>
      <c r="C8" s="796"/>
      <c r="D8" s="796"/>
      <c r="E8" s="796"/>
      <c r="F8" s="796"/>
      <c r="G8" s="816" t="s">
        <v>372</v>
      </c>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817"/>
      <c r="AY8" s="817"/>
      <c r="AZ8" s="817"/>
      <c r="BA8" s="817"/>
      <c r="BB8" s="817"/>
      <c r="BC8" s="817"/>
      <c r="BD8" s="817"/>
      <c r="BE8" s="817"/>
      <c r="BF8" s="817"/>
      <c r="BG8" s="817"/>
      <c r="BH8" s="817"/>
      <c r="BI8" s="817"/>
      <c r="BJ8" s="817"/>
      <c r="BK8" s="817"/>
      <c r="BL8" s="817"/>
      <c r="BM8" s="817"/>
      <c r="BN8" s="817"/>
      <c r="BO8" s="817"/>
      <c r="BP8" s="817"/>
      <c r="BQ8" s="817"/>
      <c r="BR8" s="817"/>
      <c r="BS8" s="817"/>
      <c r="BT8" s="817"/>
      <c r="BU8" s="817"/>
      <c r="BV8" s="817"/>
      <c r="BW8" s="817"/>
      <c r="BX8" s="817"/>
      <c r="BY8" s="817"/>
      <c r="BZ8" s="817"/>
      <c r="CA8" s="817"/>
      <c r="CB8" s="817"/>
      <c r="CC8" s="817"/>
      <c r="CD8" s="817"/>
      <c r="CE8" s="817"/>
      <c r="CF8" s="817"/>
      <c r="CG8" s="817"/>
      <c r="CH8" s="817"/>
      <c r="CI8" s="817"/>
      <c r="CJ8" s="817"/>
      <c r="CK8" s="817"/>
      <c r="CL8" s="817"/>
      <c r="CM8" s="817"/>
      <c r="CN8" s="817"/>
      <c r="CO8" s="817"/>
      <c r="CP8" s="817"/>
      <c r="CQ8" s="817"/>
      <c r="CR8" s="817"/>
      <c r="CS8" s="817"/>
      <c r="CT8" s="817"/>
      <c r="CU8" s="817"/>
      <c r="CV8" s="817"/>
      <c r="CW8" s="817"/>
      <c r="CX8" s="817"/>
      <c r="CY8" s="817"/>
      <c r="CZ8" s="817"/>
      <c r="DA8" s="817"/>
      <c r="DB8" s="817"/>
      <c r="DC8" s="817"/>
      <c r="DD8" s="817"/>
      <c r="DE8" s="817"/>
      <c r="DF8" s="817"/>
      <c r="DG8" s="817"/>
      <c r="DH8" s="817"/>
      <c r="DI8" s="817"/>
      <c r="DJ8" s="817"/>
      <c r="DK8" s="817"/>
      <c r="DL8" s="817"/>
      <c r="DM8" s="817"/>
      <c r="DN8" s="817"/>
      <c r="DO8" s="817"/>
      <c r="DP8" s="817"/>
      <c r="DQ8" s="817"/>
      <c r="DR8" s="817"/>
      <c r="DS8" s="817"/>
      <c r="DT8" s="817"/>
      <c r="DU8" s="817"/>
      <c r="DV8" s="817"/>
      <c r="DW8" s="817"/>
      <c r="DX8" s="817"/>
      <c r="DY8" s="817"/>
      <c r="DZ8" s="817"/>
      <c r="EA8" s="817"/>
      <c r="EB8" s="817"/>
      <c r="EC8" s="817"/>
      <c r="ED8" s="817"/>
      <c r="EE8" s="817"/>
      <c r="EF8" s="817"/>
      <c r="EG8" s="817"/>
      <c r="EH8" s="817"/>
      <c r="EI8" s="817"/>
      <c r="EJ8" s="817"/>
      <c r="EK8" s="817"/>
      <c r="EL8" s="817"/>
      <c r="EM8" s="817"/>
      <c r="EN8" s="817"/>
      <c r="EO8" s="817"/>
      <c r="EP8" s="817"/>
      <c r="EQ8" s="817"/>
      <c r="ER8" s="817"/>
      <c r="ES8" s="817"/>
      <c r="ET8" s="817"/>
      <c r="EU8" s="817"/>
      <c r="EV8" s="817"/>
      <c r="EW8" s="817"/>
      <c r="EX8" s="817"/>
      <c r="EY8" s="817"/>
      <c r="EZ8" s="817"/>
      <c r="FA8" s="818"/>
    </row>
    <row r="9" spans="1:169" ht="18.75" thickBot="1" x14ac:dyDescent="0.3">
      <c r="A9" s="327"/>
      <c r="B9" s="328"/>
      <c r="C9" s="328"/>
      <c r="D9" s="328"/>
      <c r="E9" s="328"/>
      <c r="F9" s="328"/>
      <c r="G9" s="621"/>
      <c r="H9" s="621"/>
      <c r="I9" s="621"/>
      <c r="J9" s="621"/>
      <c r="K9" s="621"/>
      <c r="L9" s="621"/>
      <c r="M9" s="621"/>
      <c r="N9" s="621"/>
      <c r="O9" s="621"/>
      <c r="P9" s="621"/>
      <c r="Q9" s="621"/>
      <c r="R9" s="621"/>
      <c r="S9" s="329"/>
      <c r="T9" s="621"/>
      <c r="U9" s="621"/>
      <c r="V9" s="621"/>
      <c r="W9" s="329"/>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328"/>
      <c r="BG9" s="328"/>
      <c r="BH9" s="328"/>
      <c r="BI9" s="328"/>
      <c r="BJ9" s="328"/>
      <c r="BK9" s="328"/>
      <c r="BL9" s="328"/>
      <c r="BM9" s="328"/>
      <c r="BN9" s="328"/>
      <c r="BO9" s="328"/>
      <c r="BP9" s="328"/>
      <c r="BQ9" s="328"/>
      <c r="BR9" s="328"/>
      <c r="BS9" s="328"/>
      <c r="BT9" s="328"/>
      <c r="BU9" s="328"/>
      <c r="BV9" s="328"/>
      <c r="BW9" s="328"/>
      <c r="BX9" s="328"/>
      <c r="BY9" s="328"/>
      <c r="BZ9" s="328"/>
      <c r="CA9" s="328"/>
      <c r="CB9" s="328"/>
      <c r="CC9" s="328"/>
      <c r="CD9" s="328"/>
      <c r="CE9" s="328"/>
      <c r="CF9" s="328"/>
      <c r="CG9" s="328"/>
      <c r="CH9" s="328"/>
      <c r="CI9" s="328"/>
      <c r="CJ9" s="328"/>
      <c r="CK9" s="328"/>
      <c r="CL9" s="328"/>
      <c r="CM9" s="328"/>
      <c r="CN9" s="328"/>
      <c r="CO9" s="328"/>
      <c r="CP9" s="328"/>
      <c r="CQ9" s="328"/>
      <c r="CR9" s="328"/>
      <c r="CS9" s="328"/>
      <c r="CT9" s="328"/>
      <c r="CU9" s="328"/>
      <c r="CV9" s="328"/>
      <c r="CW9" s="328"/>
      <c r="CX9" s="328"/>
      <c r="CY9" s="328"/>
      <c r="CZ9" s="328"/>
      <c r="DA9" s="328"/>
      <c r="DB9" s="328"/>
      <c r="DC9" s="328"/>
      <c r="DD9" s="328"/>
      <c r="DE9" s="328"/>
      <c r="DF9" s="328"/>
      <c r="DG9" s="328"/>
      <c r="DH9" s="328"/>
      <c r="DI9" s="328"/>
      <c r="DJ9" s="328"/>
      <c r="DK9" s="328"/>
      <c r="DL9" s="328"/>
      <c r="DM9" s="328"/>
      <c r="DN9" s="328"/>
      <c r="DO9" s="328"/>
      <c r="DP9" s="328"/>
      <c r="DQ9" s="328"/>
      <c r="DR9" s="328"/>
      <c r="DS9" s="328"/>
      <c r="DT9" s="328"/>
      <c r="DU9" s="328"/>
      <c r="DV9" s="328"/>
      <c r="DW9" s="328"/>
      <c r="DX9" s="328"/>
      <c r="DY9" s="328"/>
      <c r="DZ9" s="328"/>
      <c r="EA9" s="328"/>
      <c r="EB9" s="328"/>
      <c r="EC9" s="328"/>
      <c r="ED9" s="328"/>
      <c r="EE9" s="328"/>
      <c r="EF9" s="328"/>
      <c r="EG9" s="328"/>
      <c r="EH9" s="328"/>
      <c r="EI9" s="328"/>
      <c r="EJ9" s="328"/>
      <c r="EK9" s="328"/>
      <c r="EL9" s="328"/>
      <c r="EM9" s="328"/>
      <c r="EN9" s="328"/>
      <c r="EO9" s="328"/>
      <c r="EP9" s="328"/>
      <c r="EQ9" s="328"/>
      <c r="ER9" s="328"/>
      <c r="ES9" s="328"/>
      <c r="ET9" s="328"/>
      <c r="EU9" s="328"/>
      <c r="EV9" s="328"/>
      <c r="EW9" s="330"/>
      <c r="EX9" s="328"/>
      <c r="EY9" s="328"/>
      <c r="EZ9" s="328"/>
      <c r="FA9" s="328"/>
    </row>
    <row r="10" spans="1:169" s="1" customFormat="1" ht="36" customHeight="1" thickBot="1" x14ac:dyDescent="0.25">
      <c r="A10" s="822" t="s">
        <v>73</v>
      </c>
      <c r="B10" s="823"/>
      <c r="C10" s="823"/>
      <c r="D10" s="823"/>
      <c r="E10" s="823"/>
      <c r="F10" s="823"/>
      <c r="G10" s="823"/>
      <c r="H10" s="823"/>
      <c r="I10" s="824"/>
      <c r="J10" s="823" t="s">
        <v>308</v>
      </c>
      <c r="K10" s="823"/>
      <c r="L10" s="823"/>
      <c r="M10" s="823"/>
      <c r="N10" s="823"/>
      <c r="O10" s="823"/>
      <c r="P10" s="823"/>
      <c r="Q10" s="823"/>
      <c r="R10" s="823"/>
      <c r="S10" s="823"/>
      <c r="T10" s="823"/>
      <c r="U10" s="823"/>
      <c r="V10" s="823"/>
      <c r="W10" s="823"/>
      <c r="X10" s="823"/>
      <c r="Y10" s="823"/>
      <c r="Z10" s="823"/>
      <c r="AA10" s="823"/>
      <c r="AB10" s="823"/>
      <c r="AC10" s="823"/>
      <c r="AD10" s="823"/>
      <c r="AE10" s="823"/>
      <c r="AF10" s="823"/>
      <c r="AG10" s="823"/>
      <c r="AH10" s="823"/>
      <c r="AI10" s="823"/>
      <c r="AJ10" s="823"/>
      <c r="AK10" s="823"/>
      <c r="AL10" s="823"/>
      <c r="AM10" s="823"/>
      <c r="AN10" s="823"/>
      <c r="AO10" s="823"/>
      <c r="AP10" s="823"/>
      <c r="AQ10" s="823"/>
      <c r="AR10" s="823"/>
      <c r="AS10" s="823"/>
      <c r="AT10" s="823"/>
      <c r="AU10" s="823"/>
      <c r="AV10" s="823"/>
      <c r="AW10" s="823"/>
      <c r="AX10" s="823"/>
      <c r="AY10" s="823"/>
      <c r="AZ10" s="823"/>
      <c r="BA10" s="823"/>
      <c r="BB10" s="823"/>
      <c r="BC10" s="823"/>
      <c r="BD10" s="823"/>
      <c r="BE10" s="823"/>
      <c r="BF10" s="825"/>
      <c r="BG10" s="825"/>
      <c r="BH10" s="825"/>
      <c r="BI10" s="825"/>
      <c r="BJ10" s="825"/>
      <c r="BK10" s="825"/>
      <c r="BL10" s="825"/>
      <c r="BM10" s="825"/>
      <c r="BN10" s="825"/>
      <c r="BO10" s="825"/>
      <c r="BP10" s="825"/>
      <c r="BQ10" s="825"/>
      <c r="BR10" s="825"/>
      <c r="BS10" s="825"/>
      <c r="BT10" s="825"/>
      <c r="BU10" s="825"/>
      <c r="BV10" s="825"/>
      <c r="BW10" s="825"/>
      <c r="BX10" s="825"/>
      <c r="BY10" s="825"/>
      <c r="BZ10" s="825"/>
      <c r="CA10" s="825"/>
      <c r="CB10" s="825"/>
      <c r="CC10" s="825"/>
      <c r="CD10" s="825"/>
      <c r="CE10" s="825"/>
      <c r="CF10" s="825"/>
      <c r="CG10" s="825"/>
      <c r="CH10" s="825"/>
      <c r="CI10" s="825"/>
      <c r="CJ10" s="823"/>
      <c r="CK10" s="823"/>
      <c r="CL10" s="823"/>
      <c r="CM10" s="823"/>
      <c r="CN10" s="823"/>
      <c r="CO10" s="823"/>
      <c r="CP10" s="823"/>
      <c r="CQ10" s="823"/>
      <c r="CR10" s="823"/>
      <c r="CS10" s="823"/>
      <c r="CT10" s="823"/>
      <c r="CU10" s="823"/>
      <c r="CV10" s="823"/>
      <c r="CW10" s="823"/>
      <c r="CX10" s="823"/>
      <c r="CY10" s="823"/>
      <c r="CZ10" s="823"/>
      <c r="DA10" s="823"/>
      <c r="DB10" s="823"/>
      <c r="DC10" s="823"/>
      <c r="DD10" s="823"/>
      <c r="DE10" s="823"/>
      <c r="DF10" s="823"/>
      <c r="DG10" s="823"/>
      <c r="DH10" s="823"/>
      <c r="DI10" s="823"/>
      <c r="DJ10" s="823"/>
      <c r="DK10" s="823"/>
      <c r="DL10" s="823"/>
      <c r="DM10" s="823"/>
      <c r="DN10" s="823"/>
      <c r="DO10" s="823"/>
      <c r="DP10" s="823"/>
      <c r="DQ10" s="823"/>
      <c r="DR10" s="823"/>
      <c r="DS10" s="823"/>
      <c r="DT10" s="823"/>
      <c r="DU10" s="823"/>
      <c r="DV10" s="823"/>
      <c r="DW10" s="823"/>
      <c r="DX10" s="823"/>
      <c r="DY10" s="823"/>
      <c r="DZ10" s="823"/>
      <c r="EA10" s="823"/>
      <c r="EB10" s="823"/>
      <c r="EC10" s="823"/>
      <c r="ED10" s="823"/>
      <c r="EE10" s="823"/>
      <c r="EF10" s="823"/>
      <c r="EG10" s="823"/>
      <c r="EH10" s="823"/>
      <c r="EI10" s="823"/>
      <c r="EJ10" s="823"/>
      <c r="EK10" s="823"/>
      <c r="EL10" s="823"/>
      <c r="EM10" s="823"/>
      <c r="EN10" s="823"/>
      <c r="EO10" s="823"/>
      <c r="EP10" s="823"/>
      <c r="EQ10" s="824"/>
      <c r="ER10" s="826" t="s">
        <v>302</v>
      </c>
      <c r="ES10" s="826" t="s">
        <v>303</v>
      </c>
      <c r="ET10" s="828" t="s">
        <v>304</v>
      </c>
      <c r="EU10" s="830" t="s">
        <v>355</v>
      </c>
      <c r="EV10" s="828" t="s">
        <v>349</v>
      </c>
      <c r="EW10" s="835" t="s">
        <v>350</v>
      </c>
      <c r="EX10" s="838" t="s">
        <v>351</v>
      </c>
      <c r="EY10" s="838" t="s">
        <v>352</v>
      </c>
      <c r="EZ10" s="838" t="s">
        <v>354</v>
      </c>
      <c r="FA10" s="819" t="s">
        <v>353</v>
      </c>
    </row>
    <row r="11" spans="1:169" s="1" customFormat="1" ht="24.75" customHeight="1" thickBot="1" x14ac:dyDescent="0.25">
      <c r="A11" s="822" t="s">
        <v>83</v>
      </c>
      <c r="B11" s="823"/>
      <c r="C11" s="823"/>
      <c r="D11" s="823"/>
      <c r="E11" s="823"/>
      <c r="F11" s="823"/>
      <c r="G11" s="823"/>
      <c r="H11" s="823"/>
      <c r="I11" s="824"/>
      <c r="J11" s="832" t="s">
        <v>49</v>
      </c>
      <c r="K11" s="833"/>
      <c r="L11" s="833"/>
      <c r="M11" s="833"/>
      <c r="N11" s="833"/>
      <c r="O11" s="833"/>
      <c r="P11" s="833"/>
      <c r="Q11" s="833"/>
      <c r="R11" s="833"/>
      <c r="S11" s="833"/>
      <c r="T11" s="833"/>
      <c r="U11" s="833"/>
      <c r="V11" s="833"/>
      <c r="W11" s="833"/>
      <c r="X11" s="833"/>
      <c r="Y11" s="833"/>
      <c r="Z11" s="833"/>
      <c r="AA11" s="834"/>
      <c r="AB11" s="832" t="s">
        <v>50</v>
      </c>
      <c r="AC11" s="833"/>
      <c r="AD11" s="833"/>
      <c r="AE11" s="833"/>
      <c r="AF11" s="833"/>
      <c r="AG11" s="833"/>
      <c r="AH11" s="833"/>
      <c r="AI11" s="833"/>
      <c r="AJ11" s="833"/>
      <c r="AK11" s="833"/>
      <c r="AL11" s="833"/>
      <c r="AM11" s="833"/>
      <c r="AN11" s="833"/>
      <c r="AO11" s="833"/>
      <c r="AP11" s="833"/>
      <c r="AQ11" s="833"/>
      <c r="AR11" s="833"/>
      <c r="AS11" s="833"/>
      <c r="AT11" s="833"/>
      <c r="AU11" s="833"/>
      <c r="AV11" s="833"/>
      <c r="AW11" s="833"/>
      <c r="AX11" s="833"/>
      <c r="AY11" s="833"/>
      <c r="AZ11" s="833"/>
      <c r="BA11" s="833"/>
      <c r="BB11" s="833"/>
      <c r="BC11" s="833"/>
      <c r="BD11" s="833"/>
      <c r="BE11" s="833"/>
      <c r="BF11" s="832" t="s">
        <v>62</v>
      </c>
      <c r="BG11" s="833"/>
      <c r="BH11" s="833"/>
      <c r="BI11" s="833"/>
      <c r="BJ11" s="833"/>
      <c r="BK11" s="833"/>
      <c r="BL11" s="833"/>
      <c r="BM11" s="833"/>
      <c r="BN11" s="833"/>
      <c r="BO11" s="833"/>
      <c r="BP11" s="833"/>
      <c r="BQ11" s="833"/>
      <c r="BR11" s="833"/>
      <c r="BS11" s="833"/>
      <c r="BT11" s="833"/>
      <c r="BU11" s="833"/>
      <c r="BV11" s="833"/>
      <c r="BW11" s="833"/>
      <c r="BX11" s="833"/>
      <c r="BY11" s="833"/>
      <c r="BZ11" s="833"/>
      <c r="CA11" s="833"/>
      <c r="CB11" s="833"/>
      <c r="CC11" s="833"/>
      <c r="CD11" s="833"/>
      <c r="CE11" s="833"/>
      <c r="CF11" s="833"/>
      <c r="CG11" s="833"/>
      <c r="CH11" s="833"/>
      <c r="CI11" s="833"/>
      <c r="CJ11" s="833" t="s">
        <v>63</v>
      </c>
      <c r="CK11" s="833"/>
      <c r="CL11" s="833"/>
      <c r="CM11" s="833"/>
      <c r="CN11" s="833"/>
      <c r="CO11" s="833"/>
      <c r="CP11" s="833"/>
      <c r="CQ11" s="833"/>
      <c r="CR11" s="833"/>
      <c r="CS11" s="833"/>
      <c r="CT11" s="833"/>
      <c r="CU11" s="833"/>
      <c r="CV11" s="833"/>
      <c r="CW11" s="833"/>
      <c r="CX11" s="833"/>
      <c r="CY11" s="833"/>
      <c r="CZ11" s="833"/>
      <c r="DA11" s="833"/>
      <c r="DB11" s="833"/>
      <c r="DC11" s="833"/>
      <c r="DD11" s="833"/>
      <c r="DE11" s="833"/>
      <c r="DF11" s="833"/>
      <c r="DG11" s="833"/>
      <c r="DH11" s="833"/>
      <c r="DI11" s="833"/>
      <c r="DJ11" s="833"/>
      <c r="DK11" s="833"/>
      <c r="DL11" s="833"/>
      <c r="DM11" s="833"/>
      <c r="DN11" s="832" t="s">
        <v>64</v>
      </c>
      <c r="DO11" s="833"/>
      <c r="DP11" s="833"/>
      <c r="DQ11" s="833"/>
      <c r="DR11" s="833"/>
      <c r="DS11" s="833"/>
      <c r="DT11" s="833"/>
      <c r="DU11" s="833"/>
      <c r="DV11" s="833"/>
      <c r="DW11" s="833"/>
      <c r="DX11" s="833"/>
      <c r="DY11" s="833"/>
      <c r="DZ11" s="833"/>
      <c r="EA11" s="833"/>
      <c r="EB11" s="833"/>
      <c r="EC11" s="833"/>
      <c r="ED11" s="833"/>
      <c r="EE11" s="833"/>
      <c r="EF11" s="833"/>
      <c r="EG11" s="833"/>
      <c r="EH11" s="833"/>
      <c r="EI11" s="833"/>
      <c r="EJ11" s="833"/>
      <c r="EK11" s="833"/>
      <c r="EL11" s="833"/>
      <c r="EM11" s="833"/>
      <c r="EN11" s="833"/>
      <c r="EO11" s="833"/>
      <c r="EP11" s="833"/>
      <c r="EQ11" s="833"/>
      <c r="ER11" s="827"/>
      <c r="ES11" s="827"/>
      <c r="ET11" s="829"/>
      <c r="EU11" s="831"/>
      <c r="EV11" s="829"/>
      <c r="EW11" s="836"/>
      <c r="EX11" s="839"/>
      <c r="EY11" s="839"/>
      <c r="EZ11" s="839"/>
      <c r="FA11" s="820"/>
    </row>
    <row r="12" spans="1:169" s="1" customFormat="1" ht="92.25" customHeight="1" x14ac:dyDescent="0.2">
      <c r="A12" s="466" t="s">
        <v>74</v>
      </c>
      <c r="B12" s="466" t="s">
        <v>75</v>
      </c>
      <c r="C12" s="467" t="s">
        <v>76</v>
      </c>
      <c r="D12" s="467" t="s">
        <v>77</v>
      </c>
      <c r="E12" s="467" t="s">
        <v>78</v>
      </c>
      <c r="F12" s="467" t="s">
        <v>79</v>
      </c>
      <c r="G12" s="467" t="s">
        <v>80</v>
      </c>
      <c r="H12" s="467" t="s">
        <v>81</v>
      </c>
      <c r="I12" s="468" t="s">
        <v>82</v>
      </c>
      <c r="J12" s="231" t="s">
        <v>317</v>
      </c>
      <c r="K12" s="207" t="s">
        <v>293</v>
      </c>
      <c r="L12" s="208" t="s">
        <v>58</v>
      </c>
      <c r="M12" s="207" t="s">
        <v>294</v>
      </c>
      <c r="N12" s="208" t="s">
        <v>59</v>
      </c>
      <c r="O12" s="207" t="s">
        <v>295</v>
      </c>
      <c r="P12" s="208" t="s">
        <v>60</v>
      </c>
      <c r="Q12" s="207" t="s">
        <v>296</v>
      </c>
      <c r="R12" s="208" t="s">
        <v>61</v>
      </c>
      <c r="S12" s="207" t="s">
        <v>297</v>
      </c>
      <c r="T12" s="208" t="s">
        <v>51</v>
      </c>
      <c r="U12" s="207" t="s">
        <v>298</v>
      </c>
      <c r="V12" s="209" t="s">
        <v>301</v>
      </c>
      <c r="W12" s="622" t="s">
        <v>299</v>
      </c>
      <c r="X12" s="469" t="s">
        <v>356</v>
      </c>
      <c r="Y12" s="202" t="s">
        <v>357</v>
      </c>
      <c r="Z12" s="203" t="s">
        <v>358</v>
      </c>
      <c r="AA12" s="202" t="s">
        <v>359</v>
      </c>
      <c r="AB12" s="231" t="s">
        <v>317</v>
      </c>
      <c r="AC12" s="207" t="s">
        <v>287</v>
      </c>
      <c r="AD12" s="208" t="s">
        <v>52</v>
      </c>
      <c r="AE12" s="207" t="s">
        <v>288</v>
      </c>
      <c r="AF12" s="208" t="s">
        <v>53</v>
      </c>
      <c r="AG12" s="207" t="s">
        <v>289</v>
      </c>
      <c r="AH12" s="208" t="s">
        <v>54</v>
      </c>
      <c r="AI12" s="207" t="s">
        <v>290</v>
      </c>
      <c r="AJ12" s="208" t="s">
        <v>55</v>
      </c>
      <c r="AK12" s="207" t="s">
        <v>291</v>
      </c>
      <c r="AL12" s="208" t="s">
        <v>57</v>
      </c>
      <c r="AM12" s="207" t="s">
        <v>292</v>
      </c>
      <c r="AN12" s="208" t="s">
        <v>300</v>
      </c>
      <c r="AO12" s="207" t="s">
        <v>293</v>
      </c>
      <c r="AP12" s="208" t="s">
        <v>58</v>
      </c>
      <c r="AQ12" s="207" t="s">
        <v>294</v>
      </c>
      <c r="AR12" s="208" t="s">
        <v>59</v>
      </c>
      <c r="AS12" s="207" t="s">
        <v>295</v>
      </c>
      <c r="AT12" s="208" t="s">
        <v>60</v>
      </c>
      <c r="AU12" s="207" t="s">
        <v>296</v>
      </c>
      <c r="AV12" s="208" t="s">
        <v>61</v>
      </c>
      <c r="AW12" s="207" t="s">
        <v>297</v>
      </c>
      <c r="AX12" s="208" t="s">
        <v>51</v>
      </c>
      <c r="AY12" s="207" t="s">
        <v>298</v>
      </c>
      <c r="AZ12" s="209" t="s">
        <v>301</v>
      </c>
      <c r="BA12" s="622" t="s">
        <v>299</v>
      </c>
      <c r="BB12" s="201" t="s">
        <v>347</v>
      </c>
      <c r="BC12" s="202" t="s">
        <v>346</v>
      </c>
      <c r="BD12" s="203" t="s">
        <v>345</v>
      </c>
      <c r="BE12" s="202" t="s">
        <v>344</v>
      </c>
      <c r="BF12" s="366" t="s">
        <v>317</v>
      </c>
      <c r="BG12" s="367" t="s">
        <v>287</v>
      </c>
      <c r="BH12" s="368" t="s">
        <v>52</v>
      </c>
      <c r="BI12" s="367" t="s">
        <v>288</v>
      </c>
      <c r="BJ12" s="368" t="s">
        <v>53</v>
      </c>
      <c r="BK12" s="367" t="s">
        <v>289</v>
      </c>
      <c r="BL12" s="368" t="s">
        <v>54</v>
      </c>
      <c r="BM12" s="367" t="s">
        <v>290</v>
      </c>
      <c r="BN12" s="368" t="s">
        <v>55</v>
      </c>
      <c r="BO12" s="367" t="s">
        <v>291</v>
      </c>
      <c r="BP12" s="368" t="s">
        <v>57</v>
      </c>
      <c r="BQ12" s="367" t="s">
        <v>292</v>
      </c>
      <c r="BR12" s="368" t="s">
        <v>300</v>
      </c>
      <c r="BS12" s="367" t="s">
        <v>293</v>
      </c>
      <c r="BT12" s="368" t="s">
        <v>58</v>
      </c>
      <c r="BU12" s="367" t="s">
        <v>294</v>
      </c>
      <c r="BV12" s="368" t="s">
        <v>59</v>
      </c>
      <c r="BW12" s="367" t="s">
        <v>295</v>
      </c>
      <c r="BX12" s="368" t="s">
        <v>60</v>
      </c>
      <c r="BY12" s="367" t="s">
        <v>296</v>
      </c>
      <c r="BZ12" s="368" t="s">
        <v>61</v>
      </c>
      <c r="CA12" s="367" t="s">
        <v>297</v>
      </c>
      <c r="CB12" s="368" t="s">
        <v>51</v>
      </c>
      <c r="CC12" s="367" t="s">
        <v>298</v>
      </c>
      <c r="CD12" s="369" t="s">
        <v>301</v>
      </c>
      <c r="CE12" s="623" t="s">
        <v>299</v>
      </c>
      <c r="CF12" s="370" t="s">
        <v>305</v>
      </c>
      <c r="CG12" s="371" t="s">
        <v>428</v>
      </c>
      <c r="CH12" s="370" t="s">
        <v>306</v>
      </c>
      <c r="CI12" s="371" t="s">
        <v>427</v>
      </c>
      <c r="CJ12" s="470" t="s">
        <v>317</v>
      </c>
      <c r="CK12" s="207" t="s">
        <v>287</v>
      </c>
      <c r="CL12" s="208" t="s">
        <v>52</v>
      </c>
      <c r="CM12" s="207" t="s">
        <v>288</v>
      </c>
      <c r="CN12" s="208" t="s">
        <v>53</v>
      </c>
      <c r="CO12" s="207" t="s">
        <v>289</v>
      </c>
      <c r="CP12" s="208" t="s">
        <v>54</v>
      </c>
      <c r="CQ12" s="207" t="s">
        <v>290</v>
      </c>
      <c r="CR12" s="208" t="s">
        <v>55</v>
      </c>
      <c r="CS12" s="207" t="s">
        <v>291</v>
      </c>
      <c r="CT12" s="208" t="s">
        <v>57</v>
      </c>
      <c r="CU12" s="207" t="s">
        <v>292</v>
      </c>
      <c r="CV12" s="208" t="s">
        <v>300</v>
      </c>
      <c r="CW12" s="207" t="s">
        <v>293</v>
      </c>
      <c r="CX12" s="208" t="s">
        <v>58</v>
      </c>
      <c r="CY12" s="207" t="s">
        <v>294</v>
      </c>
      <c r="CZ12" s="208" t="s">
        <v>59</v>
      </c>
      <c r="DA12" s="207" t="s">
        <v>295</v>
      </c>
      <c r="DB12" s="208" t="s">
        <v>60</v>
      </c>
      <c r="DC12" s="207" t="s">
        <v>296</v>
      </c>
      <c r="DD12" s="208" t="s">
        <v>61</v>
      </c>
      <c r="DE12" s="207" t="s">
        <v>297</v>
      </c>
      <c r="DF12" s="208" t="s">
        <v>51</v>
      </c>
      <c r="DG12" s="207" t="s">
        <v>298</v>
      </c>
      <c r="DH12" s="209" t="s">
        <v>301</v>
      </c>
      <c r="DI12" s="622" t="s">
        <v>299</v>
      </c>
      <c r="DJ12" s="197" t="s">
        <v>309</v>
      </c>
      <c r="DK12" s="198" t="s">
        <v>310</v>
      </c>
      <c r="DL12" s="199" t="s">
        <v>311</v>
      </c>
      <c r="DM12" s="198" t="s">
        <v>312</v>
      </c>
      <c r="DN12" s="470" t="s">
        <v>317</v>
      </c>
      <c r="DO12" s="207" t="s">
        <v>287</v>
      </c>
      <c r="DP12" s="208" t="s">
        <v>52</v>
      </c>
      <c r="DQ12" s="207" t="s">
        <v>288</v>
      </c>
      <c r="DR12" s="208" t="s">
        <v>53</v>
      </c>
      <c r="DS12" s="207" t="s">
        <v>289</v>
      </c>
      <c r="DT12" s="208" t="s">
        <v>54</v>
      </c>
      <c r="DU12" s="207" t="s">
        <v>290</v>
      </c>
      <c r="DV12" s="208" t="s">
        <v>55</v>
      </c>
      <c r="DW12" s="207" t="s">
        <v>291</v>
      </c>
      <c r="DX12" s="208" t="s">
        <v>57</v>
      </c>
      <c r="DY12" s="207" t="s">
        <v>292</v>
      </c>
      <c r="DZ12" s="208" t="s">
        <v>300</v>
      </c>
      <c r="EA12" s="207" t="s">
        <v>293</v>
      </c>
      <c r="EB12" s="208" t="s">
        <v>58</v>
      </c>
      <c r="EC12" s="207" t="s">
        <v>294</v>
      </c>
      <c r="ED12" s="208" t="s">
        <v>59</v>
      </c>
      <c r="EE12" s="207" t="s">
        <v>295</v>
      </c>
      <c r="EF12" s="208" t="s">
        <v>60</v>
      </c>
      <c r="EG12" s="207" t="s">
        <v>296</v>
      </c>
      <c r="EH12" s="208" t="s">
        <v>61</v>
      </c>
      <c r="EI12" s="207" t="s">
        <v>297</v>
      </c>
      <c r="EJ12" s="208" t="s">
        <v>51</v>
      </c>
      <c r="EK12" s="207" t="s">
        <v>298</v>
      </c>
      <c r="EL12" s="209" t="s">
        <v>301</v>
      </c>
      <c r="EM12" s="622" t="s">
        <v>299</v>
      </c>
      <c r="EN12" s="197" t="s">
        <v>313</v>
      </c>
      <c r="EO12" s="198" t="s">
        <v>314</v>
      </c>
      <c r="EP12" s="199" t="s">
        <v>315</v>
      </c>
      <c r="EQ12" s="471" t="s">
        <v>316</v>
      </c>
      <c r="ER12" s="827"/>
      <c r="ES12" s="827"/>
      <c r="ET12" s="829"/>
      <c r="EU12" s="831"/>
      <c r="EV12" s="829"/>
      <c r="EW12" s="837"/>
      <c r="EX12" s="782"/>
      <c r="EY12" s="782"/>
      <c r="EZ12" s="782"/>
      <c r="FA12" s="821"/>
      <c r="FD12" s="331"/>
      <c r="FE12" s="331"/>
      <c r="FF12" s="332"/>
      <c r="FH12" s="333"/>
      <c r="FJ12" s="331"/>
    </row>
    <row r="13" spans="1:169" s="334" customFormat="1" ht="181.5" customHeight="1" x14ac:dyDescent="0.2">
      <c r="A13" s="840">
        <v>2</v>
      </c>
      <c r="B13" s="840">
        <v>38</v>
      </c>
      <c r="C13" s="840">
        <v>290</v>
      </c>
      <c r="D13" s="841" t="s">
        <v>364</v>
      </c>
      <c r="E13" s="711">
        <v>307</v>
      </c>
      <c r="F13" s="648" t="s">
        <v>365</v>
      </c>
      <c r="G13" s="711" t="s">
        <v>367</v>
      </c>
      <c r="H13" s="711" t="s">
        <v>368</v>
      </c>
      <c r="I13" s="712">
        <f>AA13+BE13+CI13+CJ13+DN13</f>
        <v>43000000.000000007</v>
      </c>
      <c r="J13" s="713">
        <v>4250000</v>
      </c>
      <c r="K13" s="714">
        <f>J13</f>
        <v>4250000</v>
      </c>
      <c r="L13" s="714">
        <v>0</v>
      </c>
      <c r="M13" s="714">
        <f>J13</f>
        <v>4250000</v>
      </c>
      <c r="N13" s="714">
        <v>195298.78</v>
      </c>
      <c r="O13" s="714">
        <f>J13</f>
        <v>4250000</v>
      </c>
      <c r="P13" s="712">
        <v>1138224.07</v>
      </c>
      <c r="Q13" s="714">
        <f>J13</f>
        <v>4250000</v>
      </c>
      <c r="R13" s="714">
        <v>2532795</v>
      </c>
      <c r="S13" s="714">
        <v>4250000</v>
      </c>
      <c r="T13" s="712">
        <f>3616026.55+4465.05</f>
        <v>3620491.5999999996</v>
      </c>
      <c r="U13" s="714">
        <v>4365906.53</v>
      </c>
      <c r="V13" s="712">
        <v>4365906.53</v>
      </c>
      <c r="W13" s="712">
        <v>4365906.53</v>
      </c>
      <c r="X13" s="712">
        <v>4365906.53</v>
      </c>
      <c r="Y13" s="715">
        <v>4365906.53</v>
      </c>
      <c r="Z13" s="712">
        <v>4365906.53</v>
      </c>
      <c r="AA13" s="712">
        <v>4365906.53</v>
      </c>
      <c r="AB13" s="712">
        <v>8400000</v>
      </c>
      <c r="AC13" s="712"/>
      <c r="AD13" s="712">
        <v>0</v>
      </c>
      <c r="AE13" s="716">
        <v>1447134.15</v>
      </c>
      <c r="AF13" s="712">
        <v>1447134.15</v>
      </c>
      <c r="AG13" s="716">
        <v>780000</v>
      </c>
      <c r="AH13" s="712">
        <f>1848562.81-AF13</f>
        <v>401428.66000000015</v>
      </c>
      <c r="AI13" s="716">
        <v>444000</v>
      </c>
      <c r="AJ13" s="712">
        <v>591858.14</v>
      </c>
      <c r="AK13" s="716">
        <v>780000</v>
      </c>
      <c r="AL13" s="712">
        <v>997088.87972000032</v>
      </c>
      <c r="AM13" s="716">
        <v>780000</v>
      </c>
      <c r="AN13" s="712">
        <v>718443.85027999943</v>
      </c>
      <c r="AO13" s="716">
        <v>780000</v>
      </c>
      <c r="AP13" s="714">
        <v>601656.99</v>
      </c>
      <c r="AQ13" s="716">
        <v>780000</v>
      </c>
      <c r="AR13" s="714">
        <v>698998.95000000019</v>
      </c>
      <c r="AS13" s="716">
        <v>780000</v>
      </c>
      <c r="AT13" s="714">
        <v>999023.46999999974</v>
      </c>
      <c r="AU13" s="716">
        <v>612000</v>
      </c>
      <c r="AV13" s="712">
        <v>683158.63999999897</v>
      </c>
      <c r="AW13" s="716">
        <v>612000</v>
      </c>
      <c r="AX13" s="717">
        <v>940540.25000000186</v>
      </c>
      <c r="AY13" s="716">
        <v>604865.85</v>
      </c>
      <c r="AZ13" s="717">
        <v>387617.4299999997</v>
      </c>
      <c r="BA13" s="648">
        <f>AY13+AW13+AU13+AS13+AQ13+AO13+AM13+AK13+AI13+AG13+AE13</f>
        <v>8400000</v>
      </c>
      <c r="BB13" s="648">
        <f>AC13+AE13+AG13+AI13+AK13+AM13+AO13+AQ13+AS13+AU13+AW13+AY13</f>
        <v>8400000</v>
      </c>
      <c r="BC13" s="649">
        <f>AD13+AF13+AH13+AJ13+AL13+AN13+AP13+AR13+AT13+AV13+AX13+AZ13</f>
        <v>8466949.4100000001</v>
      </c>
      <c r="BD13" s="648">
        <f>AY13+AW13+AU13+AS13+AQ13+AO13+AM13+AK13+AI13+AG13+AE13</f>
        <v>8400000</v>
      </c>
      <c r="BE13" s="649">
        <f>AD13+AF13+AH13+AJ13+AL13+AN13+AP13+AR13+AT13+AV13+AX13+AZ13</f>
        <v>8466949.4100000001</v>
      </c>
      <c r="BF13" s="718">
        <f>CH13</f>
        <v>13651068.640000004</v>
      </c>
      <c r="BG13" s="649">
        <v>0</v>
      </c>
      <c r="BH13" s="649">
        <v>0</v>
      </c>
      <c r="BI13" s="649">
        <v>702043</v>
      </c>
      <c r="BJ13" s="649">
        <v>567695.46</v>
      </c>
      <c r="BK13" s="719">
        <v>1334980</v>
      </c>
      <c r="BL13" s="719">
        <v>1562431.48</v>
      </c>
      <c r="BM13" s="649">
        <v>1334480</v>
      </c>
      <c r="BN13" s="649">
        <v>1496249.87</v>
      </c>
      <c r="BO13" s="649">
        <v>1454480</v>
      </c>
      <c r="BP13" s="649">
        <v>1391895.1300000004</v>
      </c>
      <c r="BQ13" s="649">
        <v>1459408.04</v>
      </c>
      <c r="BR13" s="649">
        <v>1387490.1899999995</v>
      </c>
      <c r="BS13" s="649">
        <v>1454980</v>
      </c>
      <c r="BT13" s="649">
        <v>1387831.9800000004</v>
      </c>
      <c r="BU13" s="649">
        <v>1333820</v>
      </c>
      <c r="BV13" s="649">
        <v>1388281.21</v>
      </c>
      <c r="BW13" s="649">
        <v>1333320</v>
      </c>
      <c r="BX13" s="649">
        <v>1386246.28</v>
      </c>
      <c r="BY13" s="649">
        <v>1333320</v>
      </c>
      <c r="BZ13" s="649">
        <v>1598505.120000001</v>
      </c>
      <c r="CA13" s="649">
        <v>1332820</v>
      </c>
      <c r="CB13" s="649">
        <v>1175807.6099999994</v>
      </c>
      <c r="CC13" s="648">
        <v>577417.60000000522</v>
      </c>
      <c r="CD13" s="648">
        <v>308634.31000000052</v>
      </c>
      <c r="CE13" s="648">
        <f>BI13+BK13+BM13+BO13+BQ13+BS13+BU13+BW13+BY13+CA13+CC13</f>
        <v>13651068.640000004</v>
      </c>
      <c r="CF13" s="649">
        <f>BG13+BI13+BK13+BM13+BO13+BQ13+BS13+BU13+BW13+BY13+CA13+CC13</f>
        <v>13651068.640000004</v>
      </c>
      <c r="CG13" s="649">
        <f>BH13+BJ13+BL13+BN13+BP13+BR13+BT13+BV13+BX13+BZ13+CB13+CD13</f>
        <v>13651068.640000001</v>
      </c>
      <c r="CH13" s="649">
        <f>CC13+CA13+BY13+BW13+BU13+BS13+BQ13+BO13+BM13+BK13+BI13</f>
        <v>13651068.640000004</v>
      </c>
      <c r="CI13" s="649">
        <f>CD13+CB13+BZ13+BX13+BV13+BT13+BR13+BP13+BN13+BL13+BJ13</f>
        <v>13651068.640000004</v>
      </c>
      <c r="CJ13" s="712">
        <v>12000000</v>
      </c>
      <c r="CK13" s="649">
        <v>16409.77</v>
      </c>
      <c r="CL13" s="649">
        <v>16409.77</v>
      </c>
      <c r="CM13" s="649">
        <v>394482.64</v>
      </c>
      <c r="CN13" s="649">
        <v>394482.64</v>
      </c>
      <c r="CO13" s="649">
        <v>1140826.2799999998</v>
      </c>
      <c r="CP13" s="649">
        <v>1140826.2799999998</v>
      </c>
      <c r="CQ13" s="649">
        <v>1320000</v>
      </c>
      <c r="CR13" s="649">
        <v>1209347.0500000003</v>
      </c>
      <c r="CS13" s="649">
        <v>1320000</v>
      </c>
      <c r="CT13" s="649">
        <v>1200352.32</v>
      </c>
      <c r="CU13" s="649">
        <v>1320000</v>
      </c>
      <c r="CV13" s="652">
        <v>1164376.17</v>
      </c>
      <c r="CW13" s="649">
        <v>1320000</v>
      </c>
      <c r="CX13" s="649">
        <v>1283557.7699999996</v>
      </c>
      <c r="CY13" s="649">
        <v>1200000</v>
      </c>
      <c r="CZ13" s="649">
        <v>1148990.51</v>
      </c>
      <c r="DA13" s="648">
        <v>1200000</v>
      </c>
      <c r="DB13" s="649">
        <v>1149894.4921999995</v>
      </c>
      <c r="DC13" s="648">
        <v>1200000</v>
      </c>
      <c r="DD13" s="648">
        <v>0</v>
      </c>
      <c r="DE13" s="648">
        <v>1020000</v>
      </c>
      <c r="DF13" s="648">
        <v>0</v>
      </c>
      <c r="DG13" s="648">
        <f>548281+0.31</f>
        <v>548281.31000000006</v>
      </c>
      <c r="DH13" s="648">
        <v>0</v>
      </c>
      <c r="DI13" s="648">
        <f>CK13+CM13+CO13+CQ13+CS13+CU13+CW13+CY13+DA13+DC13+DE13+DG13</f>
        <v>12000000</v>
      </c>
      <c r="DJ13" s="652">
        <f>CK13+CM13+CO13+CQ13+CS13+CU13+CW13+CY13+DA13</f>
        <v>9231718.6899999995</v>
      </c>
      <c r="DK13" s="652">
        <f>CL13+CN13+CP13+CR13+CT13+CV13+CX13+CZ13+DB13</f>
        <v>8708237.0022</v>
      </c>
      <c r="DL13" s="649">
        <f>CK13+CM13+CO13+CQ13+CS13+CU13+CW13+CY13+DA13+DC13+DE13+DG13</f>
        <v>12000000</v>
      </c>
      <c r="DM13" s="649">
        <f>CL13+CN13+CP13+CR13+CT13+CV13+CX13+CZ13+DB13+DD13+DF13+DH13</f>
        <v>8708237.0022</v>
      </c>
      <c r="DN13" s="715">
        <v>4516075.42</v>
      </c>
      <c r="DO13" s="648"/>
      <c r="DP13" s="648"/>
      <c r="DQ13" s="648"/>
      <c r="DR13" s="648"/>
      <c r="DS13" s="648"/>
      <c r="DT13" s="648"/>
      <c r="DU13" s="648"/>
      <c r="DV13" s="648"/>
      <c r="DW13" s="648"/>
      <c r="DX13" s="648"/>
      <c r="DY13" s="648"/>
      <c r="DZ13" s="648"/>
      <c r="EA13" s="648"/>
      <c r="EB13" s="648"/>
      <c r="EC13" s="648"/>
      <c r="ED13" s="648"/>
      <c r="EE13" s="648"/>
      <c r="EF13" s="648"/>
      <c r="EG13" s="648"/>
      <c r="EH13" s="648"/>
      <c r="EI13" s="648"/>
      <c r="EJ13" s="648"/>
      <c r="EK13" s="648"/>
      <c r="EL13" s="648"/>
      <c r="EM13" s="648"/>
      <c r="EN13" s="648"/>
      <c r="EO13" s="648"/>
      <c r="EP13" s="648"/>
      <c r="EQ13" s="648"/>
      <c r="ER13" s="720">
        <f>DB13/DA13</f>
        <v>0.95824541016666631</v>
      </c>
      <c r="ES13" s="721">
        <f>DK13/DJ13</f>
        <v>0.94329531635674224</v>
      </c>
      <c r="ET13" s="722">
        <f>DM13/DL13</f>
        <v>0.72568641685000002</v>
      </c>
      <c r="EU13" s="722">
        <f>(AA13+BE13+CI13+DK13)/(Z13+BD13+CH13+DJ13)</f>
        <v>0.98719357630344329</v>
      </c>
      <c r="EV13" s="722">
        <f>(AA13+BE13+CI13+DM13)/I13</f>
        <v>0.81842236237674415</v>
      </c>
      <c r="EW13" s="723" t="s">
        <v>681</v>
      </c>
      <c r="EX13" s="724" t="s">
        <v>71</v>
      </c>
      <c r="EY13" s="724" t="s">
        <v>71</v>
      </c>
      <c r="EZ13" s="725" t="s">
        <v>429</v>
      </c>
      <c r="FA13" s="725" t="s">
        <v>652</v>
      </c>
      <c r="FC13" s="375"/>
      <c r="FD13" s="331"/>
      <c r="FE13" s="331"/>
      <c r="FF13" s="335"/>
      <c r="FH13" s="336"/>
    </row>
    <row r="14" spans="1:169" s="1" customFormat="1" ht="174" customHeight="1" x14ac:dyDescent="0.2">
      <c r="A14" s="840"/>
      <c r="B14" s="840"/>
      <c r="C14" s="840"/>
      <c r="D14" s="841"/>
      <c r="E14" s="696">
        <v>603</v>
      </c>
      <c r="F14" s="726" t="s">
        <v>366</v>
      </c>
      <c r="G14" s="696" t="s">
        <v>367</v>
      </c>
      <c r="H14" s="696" t="s">
        <v>368</v>
      </c>
      <c r="I14" s="712">
        <v>11000000</v>
      </c>
      <c r="J14" s="727">
        <v>750000</v>
      </c>
      <c r="K14" s="728">
        <f>J14</f>
        <v>750000</v>
      </c>
      <c r="L14" s="728">
        <v>0</v>
      </c>
      <c r="M14" s="728">
        <f>J14</f>
        <v>750000</v>
      </c>
      <c r="N14" s="728">
        <f>90847.4405+252.49</f>
        <v>91099.930500000002</v>
      </c>
      <c r="O14" s="728">
        <v>750000</v>
      </c>
      <c r="P14" s="729">
        <v>280044.96000000002</v>
      </c>
      <c r="Q14" s="728">
        <v>750000</v>
      </c>
      <c r="R14" s="728">
        <v>542266</v>
      </c>
      <c r="S14" s="728">
        <v>750000</v>
      </c>
      <c r="T14" s="729">
        <f>791910+661.4</f>
        <v>792571.4</v>
      </c>
      <c r="U14" s="730">
        <v>1019665.43</v>
      </c>
      <c r="V14" s="731">
        <v>1019665.43</v>
      </c>
      <c r="W14" s="731">
        <v>1019665.43</v>
      </c>
      <c r="X14" s="729">
        <v>1019665.43</v>
      </c>
      <c r="Y14" s="731">
        <v>1019665.43</v>
      </c>
      <c r="Z14" s="731">
        <v>1019665.43</v>
      </c>
      <c r="AA14" s="731">
        <v>1019665.43</v>
      </c>
      <c r="AB14" s="731">
        <v>2100000</v>
      </c>
      <c r="AC14" s="729"/>
      <c r="AD14" s="731">
        <v>0</v>
      </c>
      <c r="AE14" s="732">
        <v>276540.05</v>
      </c>
      <c r="AF14" s="731">
        <v>276540.05</v>
      </c>
      <c r="AG14" s="716">
        <v>210000</v>
      </c>
      <c r="AH14" s="729">
        <f>360455.95-AF14</f>
        <v>83915.900000000023</v>
      </c>
      <c r="AI14" s="732">
        <v>126000</v>
      </c>
      <c r="AJ14" s="729">
        <f>551395.12-AF14-AH14</f>
        <v>190939.16999999998</v>
      </c>
      <c r="AK14" s="732">
        <v>210000</v>
      </c>
      <c r="AL14" s="729">
        <v>266394</v>
      </c>
      <c r="AM14" s="732">
        <v>210000</v>
      </c>
      <c r="AN14" s="729">
        <v>236732.41</v>
      </c>
      <c r="AO14" s="732">
        <v>210000</v>
      </c>
      <c r="AP14" s="728">
        <v>156752.34</v>
      </c>
      <c r="AQ14" s="732">
        <v>210000</v>
      </c>
      <c r="AR14" s="730">
        <v>157389.94</v>
      </c>
      <c r="AS14" s="732">
        <v>210000</v>
      </c>
      <c r="AT14" s="728">
        <v>238192.55000000016</v>
      </c>
      <c r="AU14" s="732">
        <v>168000</v>
      </c>
      <c r="AV14" s="731">
        <v>94941.019999999553</v>
      </c>
      <c r="AW14" s="732">
        <v>134729.95000000001</v>
      </c>
      <c r="AX14" s="733">
        <v>133076.29000000004</v>
      </c>
      <c r="AY14" s="732">
        <v>134730</v>
      </c>
      <c r="AZ14" s="733">
        <v>300999.08000000007</v>
      </c>
      <c r="BA14" s="734">
        <f>AY14+AW14+AU14+AS14+AQ14+AO14+AM14+AK14+AI14+AG14+AE14</f>
        <v>2100000</v>
      </c>
      <c r="BB14" s="649">
        <f>AC14+AE14+AG14+AI14+AK14+AM14+AO14+AQ14+AS14+AU14+AW14+AY14</f>
        <v>2100000</v>
      </c>
      <c r="BC14" s="649">
        <f>AD14+AF14+AH14+AJ14+AL14+AN14+AP14+AR14+AT14+AV14+AX14+AZ14</f>
        <v>2135872.75</v>
      </c>
      <c r="BD14" s="734">
        <f>AY14+AW14+AU14+AS14+AQ14+AO14+AM14+AK14+AI14+AG14+AE14</f>
        <v>2100000</v>
      </c>
      <c r="BE14" s="649">
        <f>AD14+AF14+AH14+AJ14+AL14+AN14+AP14+AR14+AT14+AV14+AX14+AZ14</f>
        <v>2135872.75</v>
      </c>
      <c r="BF14" s="733">
        <v>2800000</v>
      </c>
      <c r="BG14" s="649">
        <v>0</v>
      </c>
      <c r="BH14" s="649">
        <v>0</v>
      </c>
      <c r="BI14" s="649">
        <v>118000</v>
      </c>
      <c r="BJ14" s="719">
        <v>154062.98000000001</v>
      </c>
      <c r="BK14" s="649">
        <v>286325</v>
      </c>
      <c r="BL14" s="649">
        <v>240087.00000000003</v>
      </c>
      <c r="BM14" s="649">
        <v>286425</v>
      </c>
      <c r="BN14" s="649">
        <v>292473.99999999994</v>
      </c>
      <c r="BO14" s="649">
        <v>286425</v>
      </c>
      <c r="BP14" s="649">
        <v>296042.33799999999</v>
      </c>
      <c r="BQ14" s="649">
        <v>286430</v>
      </c>
      <c r="BR14" s="649">
        <v>292798.75199999986</v>
      </c>
      <c r="BS14" s="649">
        <v>286415</v>
      </c>
      <c r="BT14" s="649">
        <v>296623.62000000034</v>
      </c>
      <c r="BU14" s="649">
        <v>286275</v>
      </c>
      <c r="BV14" s="649">
        <v>241346.41400000011</v>
      </c>
      <c r="BW14" s="649">
        <v>286275</v>
      </c>
      <c r="BX14" s="649">
        <v>289158.72754999995</v>
      </c>
      <c r="BY14" s="649">
        <v>286275</v>
      </c>
      <c r="BZ14" s="649">
        <v>222779.35044999979</v>
      </c>
      <c r="CA14" s="649">
        <v>286275</v>
      </c>
      <c r="CB14" s="649">
        <v>157297.57459999993</v>
      </c>
      <c r="CC14" s="734">
        <v>104880</v>
      </c>
      <c r="CD14" s="734">
        <v>626736.57340000011</v>
      </c>
      <c r="CE14" s="648">
        <f>BI14+BK14+BM14+BO14+BQ14+BS14+BU14+BW14+BY14+CA14+CC14</f>
        <v>2800000</v>
      </c>
      <c r="CF14" s="649">
        <f>BG14+BI14+BK14+BM14+BO14+BQ14+BS14+BU14+BW14+BY14+CA14+CC14</f>
        <v>2800000</v>
      </c>
      <c r="CG14" s="649">
        <f>BH14+BJ14+BL14+BN14+BP14+BR14+BT14+BV14+BX14+BZ14+CB14+CD14</f>
        <v>3109407.33</v>
      </c>
      <c r="CH14" s="649">
        <f>CC14+CA14+BY14+BW14+BU14+BS14+BQ14+BO14+BM14+BK14+BI14</f>
        <v>2800000</v>
      </c>
      <c r="CI14" s="649">
        <f>CD14+CB14+BZ14+BX14+BV14+BT14+BR14+BP14+BN14+BL14+BJ14</f>
        <v>3109407.33</v>
      </c>
      <c r="CJ14" s="712">
        <v>3500000</v>
      </c>
      <c r="CK14" s="649">
        <v>0</v>
      </c>
      <c r="CL14" s="649">
        <v>0</v>
      </c>
      <c r="CM14" s="649">
        <v>121316.655</v>
      </c>
      <c r="CN14" s="649">
        <v>121316.655</v>
      </c>
      <c r="CO14" s="649">
        <v>325484.78500000003</v>
      </c>
      <c r="CP14" s="649">
        <v>325484.78500000003</v>
      </c>
      <c r="CQ14" s="649">
        <v>350000</v>
      </c>
      <c r="CR14" s="649">
        <v>356868.71299999999</v>
      </c>
      <c r="CS14" s="649">
        <v>385000</v>
      </c>
      <c r="CT14" s="649">
        <v>256662.788</v>
      </c>
      <c r="CU14" s="649">
        <v>350000</v>
      </c>
      <c r="CV14" s="652">
        <v>343833.19899999979</v>
      </c>
      <c r="CW14" s="649">
        <v>350000</v>
      </c>
      <c r="CX14" s="652">
        <v>364131.63</v>
      </c>
      <c r="CY14" s="649">
        <v>350000</v>
      </c>
      <c r="CZ14" s="649">
        <v>651811.78000000026</v>
      </c>
      <c r="DA14" s="648">
        <v>350000</v>
      </c>
      <c r="DB14" s="649">
        <v>463161.6725499999</v>
      </c>
      <c r="DC14" s="648">
        <v>350000</v>
      </c>
      <c r="DD14" s="648">
        <v>0</v>
      </c>
      <c r="DE14" s="648">
        <v>350000</v>
      </c>
      <c r="DF14" s="648">
        <v>0</v>
      </c>
      <c r="DG14" s="648">
        <v>218198.56025000001</v>
      </c>
      <c r="DH14" s="648">
        <v>0</v>
      </c>
      <c r="DI14" s="648">
        <f>CK14+CM14+CO14+CQ14+CS14+CU14+CW14+CY14+DA14+DC14+DE14+DG14</f>
        <v>3500000.00025</v>
      </c>
      <c r="DJ14" s="652">
        <f>CK14+CM14+CO14+CQ14+CS14+CU14+CW14+CY14+DA14</f>
        <v>2581801.44</v>
      </c>
      <c r="DK14" s="652">
        <f>CL14+CN14+CP14+CR14+CT14+CV14+CX14+CZ14+DB14</f>
        <v>2883271.2225500001</v>
      </c>
      <c r="DL14" s="649">
        <f>CK14+CM14+CO14+CQ14+CS14+CU14+CW14+CY14+DA14+DC14+DE14+DG14</f>
        <v>3500000.00025</v>
      </c>
      <c r="DM14" s="649">
        <f>CL14+CN14+CP14+CR14+CT14+CV14+CX14+CZ14+DB14+DD14+DF14+DH14</f>
        <v>2883271.2225500001</v>
      </c>
      <c r="DN14" s="715">
        <v>4516076.42</v>
      </c>
      <c r="DO14" s="648"/>
      <c r="DP14" s="648"/>
      <c r="DQ14" s="648"/>
      <c r="DR14" s="648"/>
      <c r="DS14" s="648"/>
      <c r="DT14" s="648"/>
      <c r="DU14" s="648"/>
      <c r="DV14" s="648"/>
      <c r="DW14" s="648"/>
      <c r="DX14" s="648"/>
      <c r="DY14" s="648"/>
      <c r="DZ14" s="648"/>
      <c r="EA14" s="648"/>
      <c r="EB14" s="648"/>
      <c r="EC14" s="648"/>
      <c r="ED14" s="648"/>
      <c r="EE14" s="648"/>
      <c r="EF14" s="648"/>
      <c r="EG14" s="648"/>
      <c r="EH14" s="648"/>
      <c r="EI14" s="648"/>
      <c r="EJ14" s="648"/>
      <c r="EK14" s="648"/>
      <c r="EL14" s="648"/>
      <c r="EM14" s="648"/>
      <c r="EN14" s="648"/>
      <c r="EO14" s="648"/>
      <c r="EP14" s="648"/>
      <c r="EQ14" s="648"/>
      <c r="ER14" s="720">
        <f>DB14/DA14</f>
        <v>1.3233190644285711</v>
      </c>
      <c r="ES14" s="721">
        <f>DK14/DJ14</f>
        <v>1.1167672222500582</v>
      </c>
      <c r="ET14" s="722">
        <f>DM14/DL14</f>
        <v>0.82379177781258628</v>
      </c>
      <c r="EU14" s="722">
        <f>(AA14+BE14+CI14+DK14)/(Z14+BD14+CH14+DJ14)</f>
        <v>1.0760750906213905</v>
      </c>
      <c r="EV14" s="722">
        <f>(AA14+BE14+CI14+DM14)/I14</f>
        <v>0.83165606659545444</v>
      </c>
      <c r="EW14" s="723" t="s">
        <v>682</v>
      </c>
      <c r="EX14" s="724" t="s">
        <v>71</v>
      </c>
      <c r="EY14" s="724" t="s">
        <v>71</v>
      </c>
      <c r="EZ14" s="735" t="s">
        <v>430</v>
      </c>
      <c r="FA14" s="735" t="s">
        <v>652</v>
      </c>
      <c r="FB14" s="334"/>
      <c r="FC14" s="337"/>
      <c r="FD14" s="331"/>
      <c r="FE14" s="331"/>
      <c r="FF14" s="338"/>
      <c r="FH14" s="333"/>
      <c r="FJ14" s="331"/>
      <c r="FL14" s="331"/>
      <c r="FM14" s="331"/>
    </row>
    <row r="15" spans="1:169" s="342" customFormat="1" ht="66.75" customHeight="1" x14ac:dyDescent="0.25">
      <c r="A15" s="339"/>
      <c r="B15" s="339"/>
      <c r="C15" s="340"/>
      <c r="D15" s="341"/>
      <c r="F15" s="343"/>
      <c r="G15" s="344"/>
      <c r="H15" s="345"/>
      <c r="I15" s="347">
        <f>I14-11000000</f>
        <v>0</v>
      </c>
      <c r="J15" s="340"/>
      <c r="K15" s="340"/>
      <c r="L15" s="340"/>
      <c r="M15" s="340"/>
      <c r="N15" s="340"/>
      <c r="O15" s="340"/>
      <c r="P15" s="340"/>
      <c r="Q15" s="340"/>
      <c r="R15" s="340"/>
      <c r="S15" s="340"/>
      <c r="T15" s="346"/>
      <c r="U15" s="340"/>
      <c r="V15" s="346"/>
      <c r="W15" s="340"/>
      <c r="X15" s="340"/>
      <c r="Y15" s="340"/>
      <c r="Z15" s="340"/>
      <c r="AA15" s="346"/>
      <c r="AB15" s="346"/>
      <c r="AC15" s="340"/>
      <c r="AD15" s="340"/>
      <c r="AE15" s="340"/>
      <c r="AF15" s="340"/>
      <c r="AG15" s="340"/>
      <c r="AH15" s="340"/>
      <c r="AI15" s="340"/>
      <c r="AJ15" s="347"/>
      <c r="AK15" s="340"/>
      <c r="AL15" s="340"/>
      <c r="AM15" s="340"/>
      <c r="AN15" s="340"/>
      <c r="AO15" s="340"/>
      <c r="AP15" s="340"/>
      <c r="AQ15" s="340"/>
      <c r="AR15" s="340"/>
      <c r="AS15" s="340"/>
      <c r="AT15" s="340"/>
      <c r="AU15" s="340"/>
      <c r="AV15" s="340"/>
      <c r="AW15" s="340"/>
      <c r="AX15" s="340"/>
      <c r="AY15" s="340"/>
      <c r="AZ15" s="340"/>
      <c r="BA15" s="348"/>
      <c r="BB15" s="348"/>
      <c r="BC15" s="349"/>
      <c r="BD15" s="348"/>
      <c r="BE15" s="296"/>
      <c r="BF15" s="350"/>
      <c r="BG15" s="350"/>
      <c r="BH15" s="350"/>
      <c r="BI15" s="350"/>
      <c r="BJ15" s="350"/>
      <c r="BK15" s="350"/>
      <c r="BL15" s="350"/>
      <c r="BM15" s="350"/>
      <c r="BN15" s="351"/>
      <c r="BO15" s="350"/>
      <c r="BP15" s="350"/>
      <c r="BQ15" s="350"/>
      <c r="BR15" s="350"/>
      <c r="BS15" s="350"/>
      <c r="BT15" s="350"/>
      <c r="BU15" s="350"/>
      <c r="BV15" s="350"/>
      <c r="BW15" s="350"/>
      <c r="BX15" s="350"/>
      <c r="BY15" s="350"/>
      <c r="BZ15" s="350"/>
      <c r="CA15" s="350"/>
      <c r="CB15" s="350"/>
      <c r="CC15" s="350"/>
      <c r="CD15" s="350"/>
      <c r="CE15" s="350"/>
      <c r="CF15" s="350"/>
      <c r="CG15" s="350"/>
      <c r="CH15" s="350"/>
      <c r="CI15" s="324"/>
      <c r="CJ15" s="308"/>
      <c r="CK15" s="350"/>
      <c r="CL15" s="350"/>
      <c r="CM15" s="350"/>
      <c r="CN15" s="350"/>
      <c r="CO15" s="350"/>
      <c r="CP15" s="350"/>
      <c r="CQ15" s="350"/>
      <c r="CR15" s="350"/>
      <c r="CS15" s="350"/>
      <c r="CT15" s="350"/>
      <c r="CU15" s="350"/>
      <c r="CV15" s="350"/>
      <c r="CW15" s="350"/>
      <c r="CX15" s="350"/>
      <c r="CY15" s="350"/>
      <c r="CZ15" s="350"/>
      <c r="DA15" s="350"/>
      <c r="DB15" s="350"/>
      <c r="DC15" s="350"/>
      <c r="DD15" s="372"/>
      <c r="DE15" s="350"/>
      <c r="DF15" s="350"/>
      <c r="DG15" s="350"/>
      <c r="DH15" s="350"/>
      <c r="DI15" s="350"/>
      <c r="DJ15" s="350"/>
      <c r="DK15" s="372"/>
      <c r="DL15" s="350"/>
      <c r="DM15" s="350"/>
      <c r="DN15" s="372"/>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c r="EP15" s="352"/>
      <c r="EQ15" s="352"/>
      <c r="ER15" s="353"/>
      <c r="ES15" s="354"/>
      <c r="ET15" s="355"/>
      <c r="EU15" s="355"/>
      <c r="EV15" s="355"/>
      <c r="EW15" s="373"/>
      <c r="EX15" s="356"/>
      <c r="EY15" s="356"/>
      <c r="EZ15" s="357"/>
      <c r="FA15" s="358"/>
      <c r="FD15" s="331"/>
      <c r="FE15" s="331"/>
      <c r="FF15" s="287"/>
      <c r="FH15" s="359"/>
    </row>
    <row r="16" spans="1:169" ht="26.25" x14ac:dyDescent="0.4">
      <c r="D16" s="21" t="s">
        <v>35</v>
      </c>
      <c r="W16" s="360"/>
      <c r="X16" s="149"/>
      <c r="Y16" s="361"/>
      <c r="AA16" s="149"/>
      <c r="AB16" s="275"/>
      <c r="AC16" s="275"/>
      <c r="AT16" s="268"/>
      <c r="AU16" s="268"/>
      <c r="AV16" s="268"/>
      <c r="AW16" s="268"/>
      <c r="AX16" s="268"/>
      <c r="AY16" s="268"/>
      <c r="AZ16" s="268"/>
      <c r="BA16" s="268"/>
      <c r="BB16" s="268"/>
      <c r="BC16" s="268"/>
      <c r="BD16" s="268"/>
      <c r="BE16" s="296"/>
      <c r="BF16" s="11"/>
      <c r="BG16" s="297"/>
      <c r="BH16" s="11"/>
      <c r="BI16" s="11"/>
      <c r="BJ16" s="11"/>
      <c r="BK16" s="11"/>
      <c r="BL16" s="11"/>
      <c r="BM16" s="11"/>
      <c r="BN16" s="308"/>
      <c r="BO16" s="11"/>
      <c r="BP16" s="11"/>
      <c r="BQ16" s="11"/>
      <c r="BR16" s="11"/>
      <c r="BS16" s="11"/>
      <c r="BT16" s="299"/>
      <c r="BU16" s="11"/>
      <c r="BV16" s="11"/>
      <c r="BW16" s="11"/>
      <c r="BX16" s="11"/>
      <c r="BY16" s="11"/>
      <c r="BZ16" s="11"/>
      <c r="CA16" s="11"/>
      <c r="CB16" s="308"/>
      <c r="CC16" s="11"/>
      <c r="CD16" s="11"/>
      <c r="CE16" s="11"/>
      <c r="CF16" s="11"/>
      <c r="CG16" s="300"/>
      <c r="CH16" s="325"/>
      <c r="CI16" s="324"/>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297"/>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2"/>
      <c r="ES16" s="2"/>
      <c r="ET16" s="2"/>
      <c r="EU16" s="298"/>
      <c r="EV16" s="269"/>
      <c r="FB16" s="269"/>
      <c r="FC16" s="1"/>
      <c r="FD16" s="331"/>
      <c r="FE16" s="331"/>
      <c r="FF16" s="1"/>
      <c r="FH16" s="359"/>
    </row>
    <row r="17" spans="4:160" ht="15.75" x14ac:dyDescent="0.25">
      <c r="D17" s="29" t="s">
        <v>36</v>
      </c>
      <c r="E17" s="842" t="s">
        <v>37</v>
      </c>
      <c r="F17" s="843"/>
      <c r="G17" s="844"/>
      <c r="H17" s="845" t="s">
        <v>38</v>
      </c>
      <c r="I17" s="846"/>
      <c r="J17" s="846"/>
      <c r="K17" s="846"/>
      <c r="L17" s="846"/>
      <c r="M17" s="846"/>
      <c r="N17" s="846"/>
      <c r="O17" s="846"/>
      <c r="P17" s="846"/>
      <c r="Q17" s="846"/>
      <c r="AT17" s="149"/>
      <c r="AU17" s="149"/>
      <c r="AV17" s="149"/>
      <c r="AW17" s="149"/>
      <c r="AX17" s="275"/>
      <c r="AY17" s="149"/>
      <c r="AZ17" s="149"/>
      <c r="BA17" s="149"/>
      <c r="BB17" s="149"/>
      <c r="BC17" s="149"/>
      <c r="BD17" s="149"/>
      <c r="BE17" s="268"/>
      <c r="DJ17" s="275"/>
      <c r="DK17" s="323"/>
      <c r="ER17" s="269"/>
      <c r="EW17" s="362"/>
      <c r="FC17" s="1"/>
      <c r="FD17" s="276"/>
    </row>
    <row r="18" spans="4:160" ht="15.75" x14ac:dyDescent="0.25">
      <c r="D18" s="101">
        <v>13</v>
      </c>
      <c r="E18" s="847" t="s">
        <v>95</v>
      </c>
      <c r="F18" s="848"/>
      <c r="G18" s="849"/>
      <c r="H18" s="850" t="s">
        <v>86</v>
      </c>
      <c r="I18" s="851"/>
      <c r="J18" s="851"/>
      <c r="K18" s="851"/>
      <c r="L18" s="851"/>
      <c r="M18" s="851"/>
      <c r="N18" s="851"/>
      <c r="O18" s="851"/>
      <c r="P18" s="851"/>
      <c r="Q18" s="851"/>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4"/>
      <c r="BG18" s="363"/>
      <c r="BH18" s="363"/>
      <c r="BI18" s="363"/>
      <c r="CG18" s="275"/>
      <c r="CI18" s="275"/>
      <c r="DJ18" s="275"/>
      <c r="DK18" s="323"/>
      <c r="EU18" s="269"/>
      <c r="EV18" s="269"/>
      <c r="EW18" s="269"/>
      <c r="FC18" s="1"/>
    </row>
    <row r="19" spans="4:160" ht="15.75" x14ac:dyDescent="0.25">
      <c r="D19" s="101">
        <v>14</v>
      </c>
      <c r="E19" s="847" t="s">
        <v>617</v>
      </c>
      <c r="F19" s="848"/>
      <c r="G19" s="849"/>
      <c r="H19" s="850" t="s">
        <v>618</v>
      </c>
      <c r="I19" s="851"/>
      <c r="J19" s="851"/>
      <c r="K19" s="851"/>
      <c r="L19" s="851"/>
      <c r="M19" s="851"/>
      <c r="N19" s="851"/>
      <c r="O19" s="851"/>
      <c r="P19" s="851"/>
      <c r="Q19" s="851"/>
      <c r="BD19" s="275"/>
      <c r="BE19" s="275"/>
      <c r="BF19" s="275"/>
      <c r="BG19" s="323"/>
      <c r="BH19" s="323"/>
      <c r="BI19" s="323"/>
      <c r="CF19" s="323"/>
      <c r="CG19" s="275"/>
      <c r="DJ19" s="275"/>
      <c r="ER19" s="269"/>
      <c r="EU19" s="269"/>
      <c r="EW19" s="269"/>
      <c r="FC19" s="1"/>
    </row>
    <row r="20" spans="4:160" ht="15.75" x14ac:dyDescent="0.25">
      <c r="AA20" s="268"/>
      <c r="BD20" s="275"/>
      <c r="BE20" s="275"/>
      <c r="BF20" s="275"/>
      <c r="BG20" s="323"/>
      <c r="BH20" s="323"/>
      <c r="BI20" s="323"/>
      <c r="CF20" s="374"/>
      <c r="CG20" s="275"/>
      <c r="DJ20" s="275"/>
      <c r="DK20" s="275"/>
      <c r="EW20" s="269"/>
      <c r="FC20" s="1"/>
    </row>
    <row r="21" spans="4:160" x14ac:dyDescent="0.25">
      <c r="BD21" s="275"/>
      <c r="BE21" s="275"/>
      <c r="BF21" s="275"/>
      <c r="BG21" s="275"/>
      <c r="BH21" s="275"/>
      <c r="BI21" s="275"/>
      <c r="CG21" s="275"/>
      <c r="DH21" s="275"/>
      <c r="DJ21" s="275"/>
      <c r="ER21" s="269"/>
      <c r="EW21" s="269"/>
    </row>
    <row r="22" spans="4:160" x14ac:dyDescent="0.25">
      <c r="DJ22" s="275"/>
      <c r="DK22" s="275"/>
    </row>
    <row r="23" spans="4:160" x14ac:dyDescent="0.25">
      <c r="DJ23" s="275"/>
    </row>
    <row r="24" spans="4:160" x14ac:dyDescent="0.25">
      <c r="DH24" s="275"/>
      <c r="DJ24" s="275">
        <v>8708237.0084000006</v>
      </c>
    </row>
    <row r="25" spans="4:160" x14ac:dyDescent="0.25">
      <c r="DJ25" s="275">
        <v>2883271.2225500001</v>
      </c>
      <c r="DK25" s="275"/>
    </row>
    <row r="26" spans="4:160" x14ac:dyDescent="0.25">
      <c r="DJ26" s="275"/>
    </row>
    <row r="27" spans="4:160" x14ac:dyDescent="0.25">
      <c r="DJ27" s="275"/>
    </row>
    <row r="28" spans="4:160" x14ac:dyDescent="0.25">
      <c r="DJ28" s="275">
        <f>DJ25+DK25</f>
        <v>2883271.2225500001</v>
      </c>
    </row>
  </sheetData>
  <sheetProtection formatCells="0" formatColumns="0" formatRows="0" insertHyperlinks="0" sort="0" autoFilter="0" pivotTables="0"/>
  <mergeCells count="41">
    <mergeCell ref="E17:G17"/>
    <mergeCell ref="H17:Q17"/>
    <mergeCell ref="E18:G18"/>
    <mergeCell ref="H18:Q18"/>
    <mergeCell ref="E19:G19"/>
    <mergeCell ref="H19:Q19"/>
    <mergeCell ref="CJ11:DM11"/>
    <mergeCell ref="DN11:EQ11"/>
    <mergeCell ref="A13:A14"/>
    <mergeCell ref="B13:B14"/>
    <mergeCell ref="C13:C14"/>
    <mergeCell ref="D13:D14"/>
    <mergeCell ref="FA10:FA12"/>
    <mergeCell ref="A10:I10"/>
    <mergeCell ref="J10:EQ10"/>
    <mergeCell ref="ER10:ER12"/>
    <mergeCell ref="ES10:ES12"/>
    <mergeCell ref="ET10:ET12"/>
    <mergeCell ref="EU10:EU12"/>
    <mergeCell ref="A11:I11"/>
    <mergeCell ref="J11:AA11"/>
    <mergeCell ref="AB11:BE11"/>
    <mergeCell ref="BF11:CI11"/>
    <mergeCell ref="EV10:EV12"/>
    <mergeCell ref="EW10:EW12"/>
    <mergeCell ref="EX10:EX12"/>
    <mergeCell ref="EY10:EY12"/>
    <mergeCell ref="EZ10:EZ12"/>
    <mergeCell ref="A6:F6"/>
    <mergeCell ref="G6:FA6"/>
    <mergeCell ref="A7:F7"/>
    <mergeCell ref="G7:FA7"/>
    <mergeCell ref="A8:F8"/>
    <mergeCell ref="G8:FA8"/>
    <mergeCell ref="A5:F5"/>
    <mergeCell ref="G5:FA5"/>
    <mergeCell ref="A2:F4"/>
    <mergeCell ref="G2:FA2"/>
    <mergeCell ref="G3:FA3"/>
    <mergeCell ref="G4:EQ4"/>
    <mergeCell ref="ER4:FA4"/>
  </mergeCells>
  <dataValidations count="1">
    <dataValidation type="list" allowBlank="1" showInputMessage="1" showErrorMessage="1" sqref="H13:H14" xr:uid="{00000000-0002-0000-01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Z42"/>
  <sheetViews>
    <sheetView zoomScale="44" zoomScaleNormal="44" zoomScaleSheetLayoutView="40" zoomScalePageLayoutView="75" workbookViewId="0">
      <pane xSplit="6" ySplit="9" topLeftCell="CW10" activePane="bottomRight" state="frozen"/>
      <selection pane="topRight" activeCell="G1" sqref="G1"/>
      <selection pane="bottomLeft" activeCell="A10" sqref="A10"/>
      <selection pane="bottomRight" activeCell="DL31" sqref="DL31:DM32"/>
    </sheetView>
  </sheetViews>
  <sheetFormatPr baseColWidth="10" defaultColWidth="10.7109375" defaultRowHeight="39" customHeight="1" x14ac:dyDescent="0.25"/>
  <cols>
    <col min="1" max="1" width="9.42578125" customWidth="1"/>
    <col min="2" max="2" width="13.28515625" customWidth="1"/>
    <col min="3" max="3" width="23.140625" customWidth="1"/>
    <col min="4" max="4" width="14.42578125" style="4" customWidth="1"/>
    <col min="5" max="5" width="15.7109375" style="4" customWidth="1"/>
    <col min="6" max="6" width="13.140625" style="14" customWidth="1"/>
    <col min="7" max="7" width="30.42578125" style="5" customWidth="1"/>
    <col min="8" max="8" width="29.7109375" style="210" hidden="1" customWidth="1"/>
    <col min="9" max="10" width="15.7109375" style="5" hidden="1" customWidth="1"/>
    <col min="11" max="11" width="27.7109375" style="5" hidden="1" customWidth="1"/>
    <col min="12" max="12" width="23.42578125" style="5" hidden="1" customWidth="1"/>
    <col min="13" max="20" width="31.140625" style="5" hidden="1" customWidth="1"/>
    <col min="21" max="22" width="23.7109375" style="5" hidden="1" customWidth="1"/>
    <col min="23" max="23" width="19.28515625" style="5" hidden="1" customWidth="1"/>
    <col min="24" max="24" width="22.140625" style="5" hidden="1" customWidth="1"/>
    <col min="25" max="25" width="19.140625" style="5" hidden="1" customWidth="1"/>
    <col min="26" max="26" width="28.140625" style="5" customWidth="1"/>
    <col min="27" max="27" width="27" style="5" customWidth="1"/>
    <col min="28" max="33" width="27.140625" style="5" hidden="1" customWidth="1"/>
    <col min="34" max="34" width="33.140625" style="5" hidden="1" customWidth="1"/>
    <col min="35" max="36" width="27.140625" style="5" hidden="1" customWidth="1"/>
    <col min="37" max="37" width="27" style="5" hidden="1" customWidth="1"/>
    <col min="38" max="38" width="25.28515625" style="5" hidden="1" customWidth="1"/>
    <col min="39" max="39" width="23.42578125" style="5" hidden="1" customWidth="1"/>
    <col min="40" max="40" width="24.7109375" style="5" hidden="1" customWidth="1"/>
    <col min="41" max="41" width="27.42578125" style="5" hidden="1" customWidth="1"/>
    <col min="42" max="42" width="23.7109375" style="5" hidden="1" customWidth="1"/>
    <col min="43" max="43" width="22.42578125" style="5" hidden="1" customWidth="1"/>
    <col min="44" max="44" width="25.7109375" style="5" hidden="1" customWidth="1"/>
    <col min="45" max="45" width="24.7109375" style="5" hidden="1" customWidth="1"/>
    <col min="46" max="46" width="28.28515625" style="5" hidden="1" customWidth="1"/>
    <col min="47" max="47" width="26.140625" style="23" hidden="1" customWidth="1"/>
    <col min="48" max="48" width="24.140625" style="23" hidden="1" customWidth="1"/>
    <col min="49" max="49" width="26.7109375" style="5" hidden="1" customWidth="1"/>
    <col min="50" max="50" width="25.42578125" style="5" hidden="1" customWidth="1"/>
    <col min="51" max="51" width="27.7109375" style="5" hidden="1" customWidth="1"/>
    <col min="52" max="52" width="25.7109375" style="5" hidden="1" customWidth="1"/>
    <col min="53" max="53" width="26" style="5" hidden="1" customWidth="1"/>
    <col min="54" max="54" width="25.7109375" style="5" hidden="1" customWidth="1"/>
    <col min="55" max="55" width="24" style="5" hidden="1" customWidth="1"/>
    <col min="56" max="56" width="24.42578125" style="5" customWidth="1"/>
    <col min="57" max="57" width="24.28515625" style="5" customWidth="1"/>
    <col min="58" max="58" width="26.28515625" style="301" hidden="1" customWidth="1"/>
    <col min="59" max="63" width="22.42578125" style="5" hidden="1" customWidth="1"/>
    <col min="64" max="81" width="23.42578125" style="5" hidden="1" customWidth="1"/>
    <col min="82" max="82" width="24.28515625" style="5" hidden="1" customWidth="1"/>
    <col min="83" max="83" width="21.7109375" style="5" hidden="1" customWidth="1"/>
    <col min="84" max="84" width="24.7109375" style="5" hidden="1" customWidth="1"/>
    <col min="85" max="85" width="25.7109375" style="5" hidden="1" customWidth="1"/>
    <col min="86" max="86" width="24.7109375" style="5" customWidth="1"/>
    <col min="87" max="87" width="25.140625" style="5" customWidth="1"/>
    <col min="88" max="88" width="26.140625" style="5" customWidth="1"/>
    <col min="89" max="89" width="24.42578125" style="5" customWidth="1"/>
    <col min="90" max="95" width="24.140625" style="5" customWidth="1"/>
    <col min="96" max="97" width="20" style="5" customWidth="1"/>
    <col min="98" max="98" width="22.7109375" style="5" customWidth="1"/>
    <col min="99" max="101" width="20" style="5" customWidth="1"/>
    <col min="102" max="102" width="26.28515625" style="5" customWidth="1"/>
    <col min="103" max="103" width="23.28515625" style="5" customWidth="1"/>
    <col min="104" max="104" width="24.7109375" style="5" bestFit="1" customWidth="1"/>
    <col min="105" max="106" width="21.28515625" style="5" customWidth="1"/>
    <col min="107" max="107" width="21.28515625" style="5" hidden="1" customWidth="1"/>
    <col min="108" max="108" width="21.7109375" style="5" hidden="1" customWidth="1"/>
    <col min="109" max="109" width="20.42578125" style="5" hidden="1" customWidth="1"/>
    <col min="110" max="110" width="15.7109375" style="5" hidden="1" customWidth="1"/>
    <col min="111" max="111" width="26.28515625" style="5" hidden="1" customWidth="1"/>
    <col min="112" max="112" width="15.7109375" style="5" hidden="1" customWidth="1"/>
    <col min="113" max="113" width="26.7109375" style="5" customWidth="1"/>
    <col min="114" max="115" width="28.7109375" style="5" customWidth="1"/>
    <col min="116" max="116" width="25.42578125" style="5" customWidth="1"/>
    <col min="117" max="117" width="26.140625" style="5" customWidth="1"/>
    <col min="118" max="118" width="23.7109375" style="5" customWidth="1"/>
    <col min="119" max="145" width="15.7109375" style="5" hidden="1" customWidth="1"/>
    <col min="146" max="146" width="23.42578125" style="5" hidden="1" customWidth="1"/>
    <col min="147" max="147" width="17.28515625" style="5" hidden="1" customWidth="1"/>
    <col min="148" max="148" width="25.28515625" style="15" customWidth="1"/>
    <col min="149" max="149" width="26" style="15" customWidth="1"/>
    <col min="150" max="150" width="27.140625" customWidth="1"/>
    <col min="151" max="151" width="26.7109375" customWidth="1"/>
    <col min="152" max="152" width="26.42578125" customWidth="1"/>
    <col min="153" max="153" width="78.5703125" customWidth="1"/>
    <col min="154" max="154" width="22.42578125" customWidth="1"/>
    <col min="155" max="155" width="24" customWidth="1"/>
    <col min="156" max="156" width="24.42578125" customWidth="1"/>
    <col min="157" max="157" width="35.5703125" customWidth="1"/>
    <col min="158" max="158" width="11.28515625" bestFit="1" customWidth="1"/>
  </cols>
  <sheetData>
    <row r="1" spans="1:208" s="18" customFormat="1" ht="54.75" customHeight="1" x14ac:dyDescent="0.5">
      <c r="A1" s="777"/>
      <c r="B1" s="778"/>
      <c r="C1" s="778"/>
      <c r="D1" s="778"/>
      <c r="E1" s="880"/>
      <c r="F1" s="809" t="s">
        <v>39</v>
      </c>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09"/>
      <c r="AK1" s="809"/>
      <c r="AL1" s="809"/>
      <c r="AM1" s="809"/>
      <c r="AN1" s="809"/>
      <c r="AO1" s="809"/>
      <c r="AP1" s="809"/>
      <c r="AQ1" s="809"/>
      <c r="AR1" s="809"/>
      <c r="AS1" s="809"/>
      <c r="AT1" s="809"/>
      <c r="AU1" s="809"/>
      <c r="AV1" s="809"/>
      <c r="AW1" s="809"/>
      <c r="AX1" s="809"/>
      <c r="AY1" s="809"/>
      <c r="AZ1" s="809"/>
      <c r="BA1" s="809"/>
      <c r="BB1" s="809"/>
      <c r="BC1" s="809"/>
      <c r="BD1" s="809"/>
      <c r="BE1" s="809"/>
      <c r="BF1" s="809"/>
      <c r="BG1" s="809"/>
      <c r="BH1" s="809"/>
      <c r="BI1" s="809"/>
      <c r="BJ1" s="809"/>
      <c r="BK1" s="809"/>
      <c r="BL1" s="809"/>
      <c r="BM1" s="809"/>
      <c r="BN1" s="809"/>
      <c r="BO1" s="809"/>
      <c r="BP1" s="809"/>
      <c r="BQ1" s="809"/>
      <c r="BR1" s="809"/>
      <c r="BS1" s="809"/>
      <c r="BT1" s="809"/>
      <c r="BU1" s="809"/>
      <c r="BV1" s="809"/>
      <c r="BW1" s="809"/>
      <c r="BX1" s="809"/>
      <c r="BY1" s="809"/>
      <c r="BZ1" s="809"/>
      <c r="CA1" s="809"/>
      <c r="CB1" s="809"/>
      <c r="CC1" s="809"/>
      <c r="CD1" s="809"/>
      <c r="CE1" s="809"/>
      <c r="CF1" s="809"/>
      <c r="CG1" s="809"/>
      <c r="CH1" s="809"/>
      <c r="CI1" s="809"/>
      <c r="CJ1" s="809"/>
      <c r="CK1" s="809"/>
      <c r="CL1" s="809"/>
      <c r="CM1" s="809"/>
      <c r="CN1" s="809"/>
      <c r="CO1" s="809"/>
      <c r="CP1" s="809"/>
      <c r="CQ1" s="809"/>
      <c r="CR1" s="809"/>
      <c r="CS1" s="809"/>
      <c r="CT1" s="809"/>
      <c r="CU1" s="809"/>
      <c r="CV1" s="809"/>
      <c r="CW1" s="809"/>
      <c r="CX1" s="809"/>
      <c r="CY1" s="809"/>
      <c r="CZ1" s="809"/>
      <c r="DA1" s="809"/>
      <c r="DB1" s="809"/>
      <c r="DC1" s="809"/>
      <c r="DD1" s="809"/>
      <c r="DE1" s="809"/>
      <c r="DF1" s="809"/>
      <c r="DG1" s="809"/>
      <c r="DH1" s="809"/>
      <c r="DI1" s="809"/>
      <c r="DJ1" s="809"/>
      <c r="DK1" s="809"/>
      <c r="DL1" s="809"/>
      <c r="DM1" s="809"/>
      <c r="DN1" s="809"/>
      <c r="DO1" s="809"/>
      <c r="DP1" s="809"/>
      <c r="DQ1" s="809"/>
      <c r="DR1" s="809"/>
      <c r="DS1" s="809"/>
      <c r="DT1" s="809"/>
      <c r="DU1" s="809"/>
      <c r="DV1" s="809"/>
      <c r="DW1" s="809"/>
      <c r="DX1" s="809"/>
      <c r="DY1" s="809"/>
      <c r="DZ1" s="809"/>
      <c r="EA1" s="809"/>
      <c r="EB1" s="809"/>
      <c r="EC1" s="809"/>
      <c r="ED1" s="809"/>
      <c r="EE1" s="809"/>
      <c r="EF1" s="809"/>
      <c r="EG1" s="809"/>
      <c r="EH1" s="809"/>
      <c r="EI1" s="809"/>
      <c r="EJ1" s="809"/>
      <c r="EK1" s="809"/>
      <c r="EL1" s="809"/>
      <c r="EM1" s="809"/>
      <c r="EN1" s="809"/>
      <c r="EO1" s="809"/>
      <c r="EP1" s="809"/>
      <c r="EQ1" s="809"/>
      <c r="ER1" s="809"/>
      <c r="ES1" s="809"/>
      <c r="ET1" s="809"/>
      <c r="EU1" s="809"/>
      <c r="EV1" s="809"/>
      <c r="EW1" s="809"/>
      <c r="EX1" s="809"/>
      <c r="EY1" s="809"/>
      <c r="EZ1" s="809"/>
      <c r="FA1" s="810"/>
    </row>
    <row r="2" spans="1:208" s="18" customFormat="1" ht="33.75" customHeight="1" thickBot="1" x14ac:dyDescent="0.55000000000000004">
      <c r="A2" s="779"/>
      <c r="B2" s="780"/>
      <c r="C2" s="780"/>
      <c r="D2" s="780"/>
      <c r="E2" s="881"/>
      <c r="F2" s="893" t="s">
        <v>361</v>
      </c>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c r="BA2" s="893"/>
      <c r="BB2" s="893"/>
      <c r="BC2" s="893"/>
      <c r="BD2" s="893"/>
      <c r="BE2" s="893"/>
      <c r="BF2" s="893"/>
      <c r="BG2" s="893"/>
      <c r="BH2" s="893"/>
      <c r="BI2" s="893"/>
      <c r="BJ2" s="893"/>
      <c r="BK2" s="893"/>
      <c r="BL2" s="893"/>
      <c r="BM2" s="893"/>
      <c r="BN2" s="893"/>
      <c r="BO2" s="893"/>
      <c r="BP2" s="893"/>
      <c r="BQ2" s="893"/>
      <c r="BR2" s="893"/>
      <c r="BS2" s="893"/>
      <c r="BT2" s="893"/>
      <c r="BU2" s="893"/>
      <c r="BV2" s="893"/>
      <c r="BW2" s="893"/>
      <c r="BX2" s="893"/>
      <c r="BY2" s="893"/>
      <c r="BZ2" s="893"/>
      <c r="CA2" s="893"/>
      <c r="CB2" s="893"/>
      <c r="CC2" s="893"/>
      <c r="CD2" s="893"/>
      <c r="CE2" s="893"/>
      <c r="CF2" s="893"/>
      <c r="CG2" s="893"/>
      <c r="CH2" s="893"/>
      <c r="CI2" s="893"/>
      <c r="CJ2" s="893"/>
      <c r="CK2" s="893"/>
      <c r="CL2" s="893"/>
      <c r="CM2" s="893"/>
      <c r="CN2" s="893"/>
      <c r="CO2" s="893"/>
      <c r="CP2" s="893"/>
      <c r="CQ2" s="893"/>
      <c r="CR2" s="893"/>
      <c r="CS2" s="893"/>
      <c r="CT2" s="893"/>
      <c r="CU2" s="893"/>
      <c r="CV2" s="893"/>
      <c r="CW2" s="893"/>
      <c r="CX2" s="893"/>
      <c r="CY2" s="893"/>
      <c r="CZ2" s="893"/>
      <c r="DA2" s="893"/>
      <c r="DB2" s="893"/>
      <c r="DC2" s="893"/>
      <c r="DD2" s="893"/>
      <c r="DE2" s="893"/>
      <c r="DF2" s="893"/>
      <c r="DG2" s="893"/>
      <c r="DH2" s="893"/>
      <c r="DI2" s="893"/>
      <c r="DJ2" s="893"/>
      <c r="DK2" s="893"/>
      <c r="DL2" s="893"/>
      <c r="DM2" s="893"/>
      <c r="DN2" s="893"/>
      <c r="DO2" s="893"/>
      <c r="DP2" s="893"/>
      <c r="DQ2" s="893"/>
      <c r="DR2" s="893"/>
      <c r="DS2" s="893"/>
      <c r="DT2" s="893"/>
      <c r="DU2" s="893"/>
      <c r="DV2" s="893"/>
      <c r="DW2" s="893"/>
      <c r="DX2" s="893"/>
      <c r="DY2" s="893"/>
      <c r="DZ2" s="893"/>
      <c r="EA2" s="893"/>
      <c r="EB2" s="893"/>
      <c r="EC2" s="893"/>
      <c r="ED2" s="893"/>
      <c r="EE2" s="893"/>
      <c r="EF2" s="893"/>
      <c r="EG2" s="893"/>
      <c r="EH2" s="893"/>
      <c r="EI2" s="893"/>
      <c r="EJ2" s="893"/>
      <c r="EK2" s="893"/>
      <c r="EL2" s="893"/>
      <c r="EM2" s="893"/>
      <c r="EN2" s="893"/>
      <c r="EO2" s="893"/>
      <c r="EP2" s="893"/>
      <c r="EQ2" s="893"/>
      <c r="ER2" s="894"/>
      <c r="ES2" s="894"/>
      <c r="ET2" s="894"/>
      <c r="EU2" s="894"/>
      <c r="EV2" s="894"/>
      <c r="EW2" s="894"/>
      <c r="EX2" s="894"/>
      <c r="EY2" s="894"/>
      <c r="EZ2" s="894"/>
      <c r="FA2" s="895"/>
    </row>
    <row r="3" spans="1:208" s="17" customFormat="1" ht="45.75" customHeight="1" thickBot="1" x14ac:dyDescent="0.45">
      <c r="A3" s="882"/>
      <c r="B3" s="883"/>
      <c r="C3" s="883"/>
      <c r="D3" s="883"/>
      <c r="E3" s="884"/>
      <c r="F3" s="896" t="s">
        <v>48</v>
      </c>
      <c r="G3" s="897"/>
      <c r="H3" s="897"/>
      <c r="I3" s="897"/>
      <c r="J3" s="897"/>
      <c r="K3" s="897"/>
      <c r="L3" s="897"/>
      <c r="M3" s="897"/>
      <c r="N3" s="897"/>
      <c r="O3" s="897"/>
      <c r="P3" s="897"/>
      <c r="Q3" s="897"/>
      <c r="R3" s="897"/>
      <c r="S3" s="897"/>
      <c r="T3" s="897"/>
      <c r="U3" s="897"/>
      <c r="V3" s="897"/>
      <c r="W3" s="897"/>
      <c r="X3" s="897"/>
      <c r="Y3" s="897"/>
      <c r="Z3" s="897"/>
      <c r="AA3" s="897"/>
      <c r="AB3" s="897"/>
      <c r="AC3" s="897"/>
      <c r="AD3" s="897"/>
      <c r="AE3" s="897"/>
      <c r="AF3" s="897"/>
      <c r="AG3" s="897"/>
      <c r="AH3" s="897"/>
      <c r="AI3" s="897"/>
      <c r="AJ3" s="897"/>
      <c r="AK3" s="897"/>
      <c r="AL3" s="897"/>
      <c r="AM3" s="897"/>
      <c r="AN3" s="897"/>
      <c r="AO3" s="897"/>
      <c r="AP3" s="897"/>
      <c r="AQ3" s="897"/>
      <c r="AR3" s="897"/>
      <c r="AS3" s="897"/>
      <c r="AT3" s="897"/>
      <c r="AU3" s="897"/>
      <c r="AV3" s="897"/>
      <c r="AW3" s="897"/>
      <c r="AX3" s="897"/>
      <c r="AY3" s="897"/>
      <c r="AZ3" s="897"/>
      <c r="BA3" s="897"/>
      <c r="BB3" s="897"/>
      <c r="BC3" s="897"/>
      <c r="BD3" s="897"/>
      <c r="BE3" s="897"/>
      <c r="BF3" s="897"/>
      <c r="BG3" s="897"/>
      <c r="BH3" s="897"/>
      <c r="BI3" s="897"/>
      <c r="BJ3" s="897"/>
      <c r="BK3" s="897"/>
      <c r="BL3" s="897"/>
      <c r="BM3" s="897"/>
      <c r="BN3" s="897"/>
      <c r="BO3" s="897"/>
      <c r="BP3" s="897"/>
      <c r="BQ3" s="897"/>
      <c r="BR3" s="897"/>
      <c r="BS3" s="897"/>
      <c r="BT3" s="897"/>
      <c r="BU3" s="897"/>
      <c r="BV3" s="897"/>
      <c r="BW3" s="897"/>
      <c r="BX3" s="897"/>
      <c r="BY3" s="897"/>
      <c r="BZ3" s="897"/>
      <c r="CA3" s="897"/>
      <c r="CB3" s="897"/>
      <c r="CC3" s="897"/>
      <c r="CD3" s="897"/>
      <c r="CE3" s="897"/>
      <c r="CF3" s="897"/>
      <c r="CG3" s="897"/>
      <c r="CH3" s="897"/>
      <c r="CI3" s="897"/>
      <c r="CJ3" s="897"/>
      <c r="CK3" s="897"/>
      <c r="CL3" s="897"/>
      <c r="CM3" s="897"/>
      <c r="CN3" s="897"/>
      <c r="CO3" s="897"/>
      <c r="CP3" s="897"/>
      <c r="CQ3" s="897"/>
      <c r="CR3" s="897"/>
      <c r="CS3" s="897"/>
      <c r="CT3" s="897"/>
      <c r="CU3" s="897"/>
      <c r="CV3" s="897"/>
      <c r="CW3" s="897"/>
      <c r="CX3" s="897"/>
      <c r="CY3" s="897"/>
      <c r="CZ3" s="897"/>
      <c r="DA3" s="897"/>
      <c r="DB3" s="897"/>
      <c r="DC3" s="897"/>
      <c r="DD3" s="897"/>
      <c r="DE3" s="897"/>
      <c r="DF3" s="897"/>
      <c r="DG3" s="897"/>
      <c r="DH3" s="897"/>
      <c r="DI3" s="897"/>
      <c r="DJ3" s="897"/>
      <c r="DK3" s="897"/>
      <c r="DL3" s="897"/>
      <c r="DM3" s="897"/>
      <c r="DN3" s="897"/>
      <c r="DO3" s="897"/>
      <c r="DP3" s="897"/>
      <c r="DQ3" s="897"/>
      <c r="DR3" s="897"/>
      <c r="DS3" s="897"/>
      <c r="DT3" s="897"/>
      <c r="DU3" s="897"/>
      <c r="DV3" s="897"/>
      <c r="DW3" s="897"/>
      <c r="DX3" s="897"/>
      <c r="DY3" s="897"/>
      <c r="DZ3" s="897"/>
      <c r="EA3" s="897"/>
      <c r="EB3" s="897"/>
      <c r="EC3" s="897"/>
      <c r="ED3" s="897"/>
      <c r="EE3" s="897"/>
      <c r="EF3" s="897"/>
      <c r="EG3" s="897"/>
      <c r="EH3" s="897"/>
      <c r="EI3" s="897"/>
      <c r="EJ3" s="897"/>
      <c r="EK3" s="897"/>
      <c r="EL3" s="897"/>
      <c r="EM3" s="897"/>
      <c r="EN3" s="897"/>
      <c r="EO3" s="897"/>
      <c r="EP3" s="897"/>
      <c r="EQ3" s="897"/>
      <c r="ER3" s="897" t="s">
        <v>342</v>
      </c>
      <c r="ES3" s="897"/>
      <c r="ET3" s="897"/>
      <c r="EU3" s="897"/>
      <c r="EV3" s="897"/>
      <c r="EW3" s="897"/>
      <c r="EX3" s="897"/>
      <c r="EY3" s="897"/>
      <c r="EZ3" s="897"/>
      <c r="FA3" s="900"/>
    </row>
    <row r="4" spans="1:208" ht="44.25" customHeight="1" thickBot="1" x14ac:dyDescent="0.3">
      <c r="A4" s="885" t="s">
        <v>0</v>
      </c>
      <c r="B4" s="886"/>
      <c r="C4" s="886"/>
      <c r="D4" s="886"/>
      <c r="E4" s="887"/>
      <c r="F4" s="797" t="s">
        <v>369</v>
      </c>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c r="AV4" s="798"/>
      <c r="AW4" s="798"/>
      <c r="AX4" s="798"/>
      <c r="AY4" s="798"/>
      <c r="AZ4" s="798"/>
      <c r="BA4" s="798"/>
      <c r="BB4" s="798"/>
      <c r="BC4" s="798"/>
      <c r="BD4" s="798"/>
      <c r="BE4" s="798"/>
      <c r="BF4" s="798"/>
      <c r="BG4" s="798"/>
      <c r="BH4" s="798"/>
      <c r="BI4" s="798"/>
      <c r="BJ4" s="798"/>
      <c r="BK4" s="798"/>
      <c r="BL4" s="798"/>
      <c r="BM4" s="798"/>
      <c r="BN4" s="798"/>
      <c r="BO4" s="798"/>
      <c r="BP4" s="798"/>
      <c r="BQ4" s="798"/>
      <c r="BR4" s="798"/>
      <c r="BS4" s="798"/>
      <c r="BT4" s="798"/>
      <c r="BU4" s="798"/>
      <c r="BV4" s="798"/>
      <c r="BW4" s="798"/>
      <c r="BX4" s="798"/>
      <c r="BY4" s="798"/>
      <c r="BZ4" s="798"/>
      <c r="CA4" s="798"/>
      <c r="CB4" s="798"/>
      <c r="CC4" s="798"/>
      <c r="CD4" s="798"/>
      <c r="CE4" s="798"/>
      <c r="CF4" s="798"/>
      <c r="CG4" s="798"/>
      <c r="CH4" s="798"/>
      <c r="CI4" s="798"/>
      <c r="CJ4" s="798"/>
      <c r="CK4" s="798"/>
      <c r="CL4" s="798"/>
      <c r="CM4" s="798"/>
      <c r="CN4" s="798"/>
      <c r="CO4" s="798"/>
      <c r="CP4" s="798"/>
      <c r="CQ4" s="798"/>
      <c r="CR4" s="798"/>
      <c r="CS4" s="798"/>
      <c r="CT4" s="798"/>
      <c r="CU4" s="798"/>
      <c r="CV4" s="798"/>
      <c r="CW4" s="798"/>
      <c r="CX4" s="798"/>
      <c r="CY4" s="798"/>
      <c r="CZ4" s="798"/>
      <c r="DA4" s="798"/>
      <c r="DB4" s="798"/>
      <c r="DC4" s="798"/>
      <c r="DD4" s="798"/>
      <c r="DE4" s="798"/>
      <c r="DF4" s="798"/>
      <c r="DG4" s="798"/>
      <c r="DH4" s="798"/>
      <c r="DI4" s="798"/>
      <c r="DJ4" s="798"/>
      <c r="DK4" s="798"/>
      <c r="DL4" s="798"/>
      <c r="DM4" s="798"/>
      <c r="DN4" s="798"/>
      <c r="DO4" s="798"/>
      <c r="DP4" s="798"/>
      <c r="DQ4" s="798"/>
      <c r="DR4" s="798"/>
      <c r="DS4" s="798"/>
      <c r="DT4" s="798"/>
      <c r="DU4" s="798"/>
      <c r="DV4" s="798"/>
      <c r="DW4" s="798"/>
      <c r="DX4" s="798"/>
      <c r="DY4" s="798"/>
      <c r="DZ4" s="798"/>
      <c r="EA4" s="798"/>
      <c r="EB4" s="798"/>
      <c r="EC4" s="798"/>
      <c r="ED4" s="798"/>
      <c r="EE4" s="798"/>
      <c r="EF4" s="798"/>
      <c r="EG4" s="798"/>
      <c r="EH4" s="798"/>
      <c r="EI4" s="798"/>
      <c r="EJ4" s="798"/>
      <c r="EK4" s="798"/>
      <c r="EL4" s="798"/>
      <c r="EM4" s="798"/>
      <c r="EN4" s="798"/>
      <c r="EO4" s="798"/>
      <c r="EP4" s="798"/>
      <c r="EQ4" s="798"/>
      <c r="ER4" s="798"/>
      <c r="ES4" s="798"/>
      <c r="ET4" s="798"/>
      <c r="EU4" s="798"/>
      <c r="EV4" s="798"/>
      <c r="EW4" s="798"/>
      <c r="EX4" s="798"/>
      <c r="EY4" s="798"/>
      <c r="EZ4" s="798"/>
      <c r="FA4" s="799"/>
    </row>
    <row r="5" spans="1:208" ht="27" customHeight="1" thickBot="1" x14ac:dyDescent="0.3">
      <c r="A5" s="885" t="s">
        <v>2</v>
      </c>
      <c r="B5" s="886"/>
      <c r="C5" s="886"/>
      <c r="D5" s="886"/>
      <c r="E5" s="887"/>
      <c r="F5" s="797" t="s">
        <v>370</v>
      </c>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c r="AT5" s="798"/>
      <c r="AU5" s="798"/>
      <c r="AV5" s="798"/>
      <c r="AW5" s="798"/>
      <c r="AX5" s="798"/>
      <c r="AY5" s="798"/>
      <c r="AZ5" s="798"/>
      <c r="BA5" s="798"/>
      <c r="BB5" s="798"/>
      <c r="BC5" s="798"/>
      <c r="BD5" s="798"/>
      <c r="BE5" s="798"/>
      <c r="BF5" s="798"/>
      <c r="BG5" s="798"/>
      <c r="BH5" s="798"/>
      <c r="BI5" s="798"/>
      <c r="BJ5" s="798"/>
      <c r="BK5" s="798"/>
      <c r="BL5" s="798"/>
      <c r="BM5" s="798"/>
      <c r="BN5" s="798"/>
      <c r="BO5" s="798"/>
      <c r="BP5" s="798"/>
      <c r="BQ5" s="798"/>
      <c r="BR5" s="798"/>
      <c r="BS5" s="798"/>
      <c r="BT5" s="798"/>
      <c r="BU5" s="798"/>
      <c r="BV5" s="798"/>
      <c r="BW5" s="798"/>
      <c r="BX5" s="798"/>
      <c r="BY5" s="798"/>
      <c r="BZ5" s="798"/>
      <c r="CA5" s="798"/>
      <c r="CB5" s="798"/>
      <c r="CC5" s="798"/>
      <c r="CD5" s="798"/>
      <c r="CE5" s="798"/>
      <c r="CF5" s="798"/>
      <c r="CG5" s="798"/>
      <c r="CH5" s="798"/>
      <c r="CI5" s="798"/>
      <c r="CJ5" s="798"/>
      <c r="CK5" s="798"/>
      <c r="CL5" s="798"/>
      <c r="CM5" s="798"/>
      <c r="CN5" s="798"/>
      <c r="CO5" s="798"/>
      <c r="CP5" s="798"/>
      <c r="CQ5" s="798"/>
      <c r="CR5" s="798"/>
      <c r="CS5" s="798"/>
      <c r="CT5" s="798"/>
      <c r="CU5" s="798"/>
      <c r="CV5" s="798"/>
      <c r="CW5" s="798"/>
      <c r="CX5" s="798"/>
      <c r="CY5" s="798"/>
      <c r="CZ5" s="798"/>
      <c r="DA5" s="798"/>
      <c r="DB5" s="798"/>
      <c r="DC5" s="798"/>
      <c r="DD5" s="798"/>
      <c r="DE5" s="798"/>
      <c r="DF5" s="798"/>
      <c r="DG5" s="798"/>
      <c r="DH5" s="798"/>
      <c r="DI5" s="798"/>
      <c r="DJ5" s="798"/>
      <c r="DK5" s="798"/>
      <c r="DL5" s="798"/>
      <c r="DM5" s="798"/>
      <c r="DN5" s="798"/>
      <c r="DO5" s="798"/>
      <c r="DP5" s="798"/>
      <c r="DQ5" s="798"/>
      <c r="DR5" s="798"/>
      <c r="DS5" s="798"/>
      <c r="DT5" s="798"/>
      <c r="DU5" s="798"/>
      <c r="DV5" s="798"/>
      <c r="DW5" s="798"/>
      <c r="DX5" s="798"/>
      <c r="DY5" s="798"/>
      <c r="DZ5" s="798"/>
      <c r="EA5" s="798"/>
      <c r="EB5" s="798"/>
      <c r="EC5" s="798"/>
      <c r="ED5" s="798"/>
      <c r="EE5" s="798"/>
      <c r="EF5" s="798"/>
      <c r="EG5" s="798"/>
      <c r="EH5" s="798"/>
      <c r="EI5" s="798"/>
      <c r="EJ5" s="798"/>
      <c r="EK5" s="798"/>
      <c r="EL5" s="798"/>
      <c r="EM5" s="798"/>
      <c r="EN5" s="798"/>
      <c r="EO5" s="798"/>
      <c r="EP5" s="798"/>
      <c r="EQ5" s="798"/>
      <c r="ER5" s="798"/>
      <c r="ES5" s="798"/>
      <c r="ET5" s="798"/>
      <c r="EU5" s="798"/>
      <c r="EV5" s="798"/>
      <c r="EW5" s="798"/>
      <c r="EX5" s="798"/>
      <c r="EY5" s="798"/>
      <c r="EZ5" s="798"/>
      <c r="FA5" s="799"/>
    </row>
    <row r="6" spans="1:208" ht="44.25" customHeight="1" thickBot="1" x14ac:dyDescent="0.3">
      <c r="A6" s="2"/>
      <c r="B6" s="2"/>
      <c r="C6" s="2"/>
      <c r="D6" s="22"/>
      <c r="E6" s="278"/>
      <c r="F6" s="852"/>
      <c r="G6" s="852"/>
      <c r="H6" s="852"/>
      <c r="I6" s="852"/>
      <c r="J6" s="852"/>
      <c r="K6" s="852"/>
      <c r="L6" s="852"/>
      <c r="M6" s="852"/>
      <c r="N6" s="852"/>
      <c r="O6" s="852"/>
      <c r="P6" s="852"/>
      <c r="Q6" s="852"/>
      <c r="R6" s="852"/>
      <c r="S6" s="852"/>
      <c r="T6" s="852"/>
      <c r="U6" s="852"/>
      <c r="V6" s="852"/>
      <c r="W6" s="852"/>
      <c r="X6" s="852"/>
      <c r="Y6" s="852"/>
      <c r="Z6" s="852"/>
      <c r="AA6" s="852"/>
      <c r="AB6" s="852"/>
      <c r="AC6" s="852"/>
      <c r="AD6" s="852"/>
      <c r="AE6" s="852"/>
      <c r="AF6" s="852"/>
      <c r="AG6" s="852"/>
      <c r="AH6" s="852"/>
      <c r="AI6" s="852"/>
      <c r="AJ6" s="852"/>
      <c r="AK6" s="852"/>
      <c r="AL6" s="852"/>
      <c r="AM6" s="852"/>
      <c r="AN6" s="852"/>
      <c r="AO6" s="852"/>
      <c r="AP6" s="852"/>
      <c r="AQ6" s="852"/>
      <c r="AR6" s="852"/>
      <c r="AS6" s="852"/>
      <c r="AT6" s="852"/>
      <c r="AU6" s="852"/>
      <c r="AV6" s="852"/>
      <c r="AW6" s="852"/>
      <c r="AX6" s="852"/>
      <c r="AY6" s="852"/>
      <c r="AZ6" s="852"/>
      <c r="BA6" s="852"/>
      <c r="BB6" s="852"/>
      <c r="BC6" s="852"/>
      <c r="BD6" s="852"/>
      <c r="BE6" s="852"/>
      <c r="BF6" s="852"/>
      <c r="BG6" s="852"/>
      <c r="BH6" s="852"/>
      <c r="BI6" s="852"/>
      <c r="BJ6" s="852"/>
      <c r="BK6" s="852"/>
      <c r="BL6" s="852"/>
      <c r="BM6" s="852"/>
      <c r="BN6" s="852"/>
      <c r="BO6" s="852"/>
      <c r="BP6" s="852"/>
      <c r="BQ6" s="852"/>
      <c r="BR6" s="852"/>
      <c r="BS6" s="852"/>
      <c r="BT6" s="852"/>
      <c r="BU6" s="852"/>
      <c r="BV6" s="852"/>
      <c r="BW6" s="852"/>
      <c r="BX6" s="852"/>
      <c r="BY6" s="852"/>
      <c r="BZ6" s="852"/>
      <c r="CA6" s="852"/>
      <c r="CB6" s="852"/>
      <c r="CC6" s="852"/>
      <c r="CD6" s="852"/>
      <c r="CE6" s="852"/>
      <c r="CF6" s="852"/>
      <c r="CG6" s="852"/>
      <c r="CH6" s="852"/>
      <c r="CI6" s="852"/>
      <c r="CJ6" s="852"/>
      <c r="CK6" s="852"/>
      <c r="CL6" s="852"/>
      <c r="CM6" s="852"/>
      <c r="CN6" s="852"/>
      <c r="CO6" s="852"/>
      <c r="CP6" s="852"/>
      <c r="CQ6" s="852"/>
      <c r="CR6" s="852"/>
      <c r="CS6" s="852"/>
      <c r="CT6" s="852"/>
      <c r="CU6" s="852"/>
      <c r="CV6" s="852"/>
      <c r="CW6" s="852"/>
      <c r="CX6" s="852"/>
      <c r="CY6" s="852"/>
      <c r="CZ6" s="852"/>
      <c r="DA6" s="852"/>
      <c r="DB6" s="852"/>
      <c r="DC6" s="852"/>
      <c r="DD6" s="852"/>
      <c r="DE6" s="852"/>
      <c r="DF6" s="852"/>
      <c r="DG6" s="852"/>
      <c r="DH6" s="852"/>
      <c r="DI6" s="852"/>
      <c r="DJ6" s="852"/>
      <c r="DK6" s="852"/>
      <c r="DL6" s="852"/>
      <c r="DM6" s="852"/>
      <c r="DN6" s="852"/>
      <c r="DO6" s="852"/>
      <c r="DP6" s="852"/>
      <c r="DQ6" s="852"/>
      <c r="DR6" s="852"/>
      <c r="DS6" s="852"/>
      <c r="DT6" s="852"/>
      <c r="DU6" s="852"/>
      <c r="DV6" s="852"/>
      <c r="DW6" s="852"/>
      <c r="DX6" s="852"/>
      <c r="DY6" s="852"/>
      <c r="DZ6" s="852"/>
      <c r="EA6" s="852"/>
      <c r="EB6" s="852"/>
      <c r="EC6" s="852"/>
      <c r="ED6" s="852"/>
      <c r="EE6" s="852"/>
      <c r="EF6" s="852"/>
      <c r="EG6" s="852"/>
      <c r="EH6" s="852"/>
      <c r="EI6" s="852"/>
      <c r="EJ6" s="852"/>
      <c r="EK6" s="852"/>
      <c r="EL6" s="852"/>
      <c r="EM6" s="852"/>
      <c r="EN6" s="852"/>
      <c r="EO6" s="852"/>
      <c r="EP6" s="852"/>
      <c r="EQ6" s="852"/>
      <c r="ER6" s="852"/>
      <c r="ES6" s="852"/>
      <c r="ET6" s="852"/>
      <c r="EU6" s="852"/>
      <c r="EV6" s="852"/>
      <c r="EW6" s="852"/>
      <c r="EX6" s="852"/>
      <c r="EY6" s="852"/>
      <c r="EZ6" s="852"/>
      <c r="FA6" s="853"/>
    </row>
    <row r="7" spans="1:208" s="16" customFormat="1" ht="39" customHeight="1" thickBot="1" x14ac:dyDescent="0.3">
      <c r="A7" s="888" t="s">
        <v>94</v>
      </c>
      <c r="B7" s="825"/>
      <c r="C7" s="825"/>
      <c r="D7" s="825"/>
      <c r="E7" s="825"/>
      <c r="F7" s="825"/>
      <c r="G7" s="889"/>
      <c r="H7" s="898" t="s">
        <v>307</v>
      </c>
      <c r="I7" s="898"/>
      <c r="J7" s="898"/>
      <c r="K7" s="898"/>
      <c r="L7" s="898"/>
      <c r="M7" s="898"/>
      <c r="N7" s="898"/>
      <c r="O7" s="898"/>
      <c r="P7" s="898"/>
      <c r="Q7" s="898"/>
      <c r="R7" s="898"/>
      <c r="S7" s="898"/>
      <c r="T7" s="898"/>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c r="BY7" s="899"/>
      <c r="BZ7" s="899"/>
      <c r="CA7" s="899"/>
      <c r="CB7" s="899"/>
      <c r="CC7" s="899"/>
      <c r="CD7" s="899"/>
      <c r="CE7" s="899"/>
      <c r="CF7" s="899"/>
      <c r="CG7" s="899"/>
      <c r="CH7" s="899"/>
      <c r="CI7" s="899"/>
      <c r="CJ7" s="899"/>
      <c r="CK7" s="899"/>
      <c r="CL7" s="899"/>
      <c r="CM7" s="899"/>
      <c r="CN7" s="899"/>
      <c r="CO7" s="899"/>
      <c r="CP7" s="899"/>
      <c r="CQ7" s="899"/>
      <c r="CR7" s="899"/>
      <c r="CS7" s="899"/>
      <c r="CT7" s="899"/>
      <c r="CU7" s="899"/>
      <c r="CV7" s="899"/>
      <c r="CW7" s="899"/>
      <c r="CX7" s="899"/>
      <c r="CY7" s="899"/>
      <c r="CZ7" s="899"/>
      <c r="DA7" s="899"/>
      <c r="DB7" s="899"/>
      <c r="DC7" s="899"/>
      <c r="DD7" s="899"/>
      <c r="DE7" s="899"/>
      <c r="DF7" s="899"/>
      <c r="DG7" s="899"/>
      <c r="DH7" s="899"/>
      <c r="DI7" s="899"/>
      <c r="DJ7" s="899"/>
      <c r="DK7" s="899"/>
      <c r="DL7" s="899"/>
      <c r="DM7" s="899"/>
      <c r="DN7" s="899"/>
      <c r="DO7" s="899"/>
      <c r="DP7" s="899"/>
      <c r="DQ7" s="899"/>
      <c r="DR7" s="899"/>
      <c r="DS7" s="899"/>
      <c r="DT7" s="899"/>
      <c r="DU7" s="899"/>
      <c r="DV7" s="899"/>
      <c r="DW7" s="899"/>
      <c r="DX7" s="899"/>
      <c r="DY7" s="899"/>
      <c r="DZ7" s="899"/>
      <c r="EA7" s="899"/>
      <c r="EB7" s="899"/>
      <c r="EC7" s="899"/>
      <c r="ED7" s="899"/>
      <c r="EE7" s="899"/>
      <c r="EF7" s="899"/>
      <c r="EG7" s="899"/>
      <c r="EH7" s="899"/>
      <c r="EI7" s="899"/>
      <c r="EJ7" s="899"/>
      <c r="EK7" s="899"/>
      <c r="EL7" s="899"/>
      <c r="EM7" s="899"/>
      <c r="EN7" s="899"/>
      <c r="EO7" s="899"/>
      <c r="EP7" s="899"/>
      <c r="EQ7" s="899"/>
      <c r="ER7" s="826" t="s">
        <v>302</v>
      </c>
      <c r="ES7" s="826" t="s">
        <v>303</v>
      </c>
      <c r="ET7" s="877" t="s">
        <v>304</v>
      </c>
      <c r="EU7" s="830" t="s">
        <v>348</v>
      </c>
      <c r="EV7" s="872" t="s">
        <v>349</v>
      </c>
      <c r="EW7" s="874" t="s">
        <v>350</v>
      </c>
      <c r="EX7" s="838" t="s">
        <v>351</v>
      </c>
      <c r="EY7" s="838" t="s">
        <v>352</v>
      </c>
      <c r="EZ7" s="838" t="s">
        <v>354</v>
      </c>
      <c r="FA7" s="819" t="s">
        <v>353</v>
      </c>
    </row>
    <row r="8" spans="1:208" s="16" customFormat="1" ht="39" customHeight="1" thickBot="1" x14ac:dyDescent="0.3">
      <c r="A8" s="890"/>
      <c r="B8" s="891"/>
      <c r="C8" s="891"/>
      <c r="D8" s="891"/>
      <c r="E8" s="891"/>
      <c r="F8" s="891"/>
      <c r="G8" s="892"/>
      <c r="H8" s="833" t="s">
        <v>65</v>
      </c>
      <c r="I8" s="833"/>
      <c r="J8" s="833"/>
      <c r="K8" s="833"/>
      <c r="L8" s="833"/>
      <c r="M8" s="833"/>
      <c r="N8" s="833"/>
      <c r="O8" s="833"/>
      <c r="P8" s="833"/>
      <c r="Q8" s="833"/>
      <c r="R8" s="833"/>
      <c r="S8" s="833"/>
      <c r="T8" s="833"/>
      <c r="U8" s="833"/>
      <c r="V8" s="833"/>
      <c r="W8" s="833"/>
      <c r="X8" s="833"/>
      <c r="Y8" s="833"/>
      <c r="Z8" s="833"/>
      <c r="AA8" s="834"/>
      <c r="AB8" s="832" t="s">
        <v>362</v>
      </c>
      <c r="AC8" s="833"/>
      <c r="AD8" s="833"/>
      <c r="AE8" s="833"/>
      <c r="AF8" s="833"/>
      <c r="AG8" s="833"/>
      <c r="AH8" s="833"/>
      <c r="AI8" s="833"/>
      <c r="AJ8" s="833"/>
      <c r="AK8" s="833"/>
      <c r="AL8" s="833"/>
      <c r="AM8" s="833"/>
      <c r="AN8" s="833"/>
      <c r="AO8" s="833"/>
      <c r="AP8" s="833"/>
      <c r="AQ8" s="833"/>
      <c r="AR8" s="833"/>
      <c r="AS8" s="833"/>
      <c r="AT8" s="833"/>
      <c r="AU8" s="833"/>
      <c r="AV8" s="833"/>
      <c r="AW8" s="833"/>
      <c r="AX8" s="833"/>
      <c r="AY8" s="833"/>
      <c r="AZ8" s="833"/>
      <c r="BA8" s="833"/>
      <c r="BB8" s="833"/>
      <c r="BC8" s="833"/>
      <c r="BD8" s="833"/>
      <c r="BE8" s="834"/>
      <c r="BF8" s="832" t="s">
        <v>62</v>
      </c>
      <c r="BG8" s="833"/>
      <c r="BH8" s="833"/>
      <c r="BI8" s="833"/>
      <c r="BJ8" s="833"/>
      <c r="BK8" s="833"/>
      <c r="BL8" s="833"/>
      <c r="BM8" s="833"/>
      <c r="BN8" s="833"/>
      <c r="BO8" s="833"/>
      <c r="BP8" s="833"/>
      <c r="BQ8" s="833"/>
      <c r="BR8" s="833"/>
      <c r="BS8" s="833"/>
      <c r="BT8" s="833"/>
      <c r="BU8" s="833"/>
      <c r="BV8" s="833"/>
      <c r="BW8" s="833"/>
      <c r="BX8" s="833"/>
      <c r="BY8" s="833"/>
      <c r="BZ8" s="833"/>
      <c r="CA8" s="833"/>
      <c r="CB8" s="833"/>
      <c r="CC8" s="833"/>
      <c r="CD8" s="833"/>
      <c r="CE8" s="833"/>
      <c r="CF8" s="833"/>
      <c r="CG8" s="833"/>
      <c r="CH8" s="833"/>
      <c r="CI8" s="834"/>
      <c r="CJ8" s="870" t="s">
        <v>63</v>
      </c>
      <c r="CK8" s="871"/>
      <c r="CL8" s="871"/>
      <c r="CM8" s="871"/>
      <c r="CN8" s="871"/>
      <c r="CO8" s="871"/>
      <c r="CP8" s="871"/>
      <c r="CQ8" s="871"/>
      <c r="CR8" s="871"/>
      <c r="CS8" s="871"/>
      <c r="CT8" s="871"/>
      <c r="CU8" s="871"/>
      <c r="CV8" s="871"/>
      <c r="CW8" s="871"/>
      <c r="CX8" s="871"/>
      <c r="CY8" s="871"/>
      <c r="CZ8" s="871"/>
      <c r="DA8" s="871"/>
      <c r="DB8" s="871"/>
      <c r="DC8" s="871"/>
      <c r="DD8" s="871"/>
      <c r="DE8" s="871"/>
      <c r="DF8" s="871"/>
      <c r="DG8" s="871"/>
      <c r="DH8" s="871"/>
      <c r="DI8" s="871"/>
      <c r="DJ8" s="871"/>
      <c r="DK8" s="871"/>
      <c r="DL8" s="871"/>
      <c r="DM8" s="871"/>
      <c r="DN8" s="867" t="s">
        <v>64</v>
      </c>
      <c r="DO8" s="868"/>
      <c r="DP8" s="868"/>
      <c r="DQ8" s="868"/>
      <c r="DR8" s="868"/>
      <c r="DS8" s="868"/>
      <c r="DT8" s="868"/>
      <c r="DU8" s="868"/>
      <c r="DV8" s="868"/>
      <c r="DW8" s="868"/>
      <c r="DX8" s="868"/>
      <c r="DY8" s="868"/>
      <c r="DZ8" s="868"/>
      <c r="EA8" s="868"/>
      <c r="EB8" s="868"/>
      <c r="EC8" s="868"/>
      <c r="ED8" s="868"/>
      <c r="EE8" s="868"/>
      <c r="EF8" s="868"/>
      <c r="EG8" s="869"/>
      <c r="EH8" s="869"/>
      <c r="EI8" s="869"/>
      <c r="EJ8" s="869"/>
      <c r="EK8" s="869"/>
      <c r="EL8" s="869"/>
      <c r="EM8" s="869"/>
      <c r="EN8" s="869"/>
      <c r="EO8" s="869"/>
      <c r="EP8" s="869"/>
      <c r="EQ8" s="869"/>
      <c r="ER8" s="827"/>
      <c r="ES8" s="827"/>
      <c r="ET8" s="878"/>
      <c r="EU8" s="831"/>
      <c r="EV8" s="873"/>
      <c r="EW8" s="875"/>
      <c r="EX8" s="839"/>
      <c r="EY8" s="839"/>
      <c r="EZ8" s="839"/>
      <c r="FA8" s="820"/>
    </row>
    <row r="9" spans="1:208" s="16" customFormat="1" ht="96" customHeight="1" thickBot="1" x14ac:dyDescent="0.3">
      <c r="A9" s="200" t="s">
        <v>87</v>
      </c>
      <c r="B9" s="204" t="s">
        <v>88</v>
      </c>
      <c r="C9" s="205" t="s">
        <v>89</v>
      </c>
      <c r="D9" s="205" t="s">
        <v>90</v>
      </c>
      <c r="E9" s="206" t="s">
        <v>91</v>
      </c>
      <c r="F9" s="206" t="s">
        <v>92</v>
      </c>
      <c r="G9" s="285" t="s">
        <v>93</v>
      </c>
      <c r="H9" s="231" t="s">
        <v>317</v>
      </c>
      <c r="I9" s="207" t="s">
        <v>292</v>
      </c>
      <c r="J9" s="208" t="s">
        <v>300</v>
      </c>
      <c r="K9" s="207" t="s">
        <v>293</v>
      </c>
      <c r="L9" s="208" t="s">
        <v>58</v>
      </c>
      <c r="M9" s="207" t="s">
        <v>294</v>
      </c>
      <c r="N9" s="208" t="s">
        <v>59</v>
      </c>
      <c r="O9" s="207" t="s">
        <v>295</v>
      </c>
      <c r="P9" s="208" t="s">
        <v>60</v>
      </c>
      <c r="Q9" s="207" t="s">
        <v>296</v>
      </c>
      <c r="R9" s="208" t="s">
        <v>61</v>
      </c>
      <c r="S9" s="207" t="s">
        <v>297</v>
      </c>
      <c r="T9" s="208" t="s">
        <v>51</v>
      </c>
      <c r="U9" s="207" t="s">
        <v>298</v>
      </c>
      <c r="V9" s="209" t="s">
        <v>301</v>
      </c>
      <c r="W9" s="224" t="s">
        <v>299</v>
      </c>
      <c r="X9" s="201" t="s">
        <v>356</v>
      </c>
      <c r="Y9" s="202" t="s">
        <v>357</v>
      </c>
      <c r="Z9" s="203" t="s">
        <v>358</v>
      </c>
      <c r="AA9" s="202" t="s">
        <v>359</v>
      </c>
      <c r="AB9" s="231" t="s">
        <v>317</v>
      </c>
      <c r="AC9" s="207" t="s">
        <v>287</v>
      </c>
      <c r="AD9" s="208" t="s">
        <v>52</v>
      </c>
      <c r="AE9" s="207" t="s">
        <v>288</v>
      </c>
      <c r="AF9" s="208" t="s">
        <v>53</v>
      </c>
      <c r="AG9" s="207" t="s">
        <v>289</v>
      </c>
      <c r="AH9" s="208" t="s">
        <v>54</v>
      </c>
      <c r="AI9" s="207" t="s">
        <v>290</v>
      </c>
      <c r="AJ9" s="208" t="s">
        <v>55</v>
      </c>
      <c r="AK9" s="207" t="s">
        <v>291</v>
      </c>
      <c r="AL9" s="208" t="s">
        <v>57</v>
      </c>
      <c r="AM9" s="207" t="s">
        <v>292</v>
      </c>
      <c r="AN9" s="208" t="s">
        <v>300</v>
      </c>
      <c r="AO9" s="207" t="s">
        <v>293</v>
      </c>
      <c r="AP9" s="208" t="s">
        <v>58</v>
      </c>
      <c r="AQ9" s="207" t="s">
        <v>294</v>
      </c>
      <c r="AR9" s="208" t="s">
        <v>59</v>
      </c>
      <c r="AS9" s="207" t="s">
        <v>295</v>
      </c>
      <c r="AT9" s="208" t="s">
        <v>60</v>
      </c>
      <c r="AU9" s="207" t="s">
        <v>296</v>
      </c>
      <c r="AV9" s="208" t="s">
        <v>61</v>
      </c>
      <c r="AW9" s="207" t="s">
        <v>297</v>
      </c>
      <c r="AX9" s="208" t="s">
        <v>51</v>
      </c>
      <c r="AY9" s="207" t="s">
        <v>298</v>
      </c>
      <c r="AZ9" s="208" t="s">
        <v>301</v>
      </c>
      <c r="BA9" s="224" t="s">
        <v>299</v>
      </c>
      <c r="BB9" s="201" t="s">
        <v>347</v>
      </c>
      <c r="BC9" s="202" t="s">
        <v>412</v>
      </c>
      <c r="BD9" s="203" t="s">
        <v>345</v>
      </c>
      <c r="BE9" s="202" t="s">
        <v>344</v>
      </c>
      <c r="BF9" s="231" t="s">
        <v>549</v>
      </c>
      <c r="BG9" s="232" t="s">
        <v>525</v>
      </c>
      <c r="BH9" s="233" t="s">
        <v>526</v>
      </c>
      <c r="BI9" s="232" t="s">
        <v>527</v>
      </c>
      <c r="BJ9" s="233" t="s">
        <v>528</v>
      </c>
      <c r="BK9" s="232" t="s">
        <v>529</v>
      </c>
      <c r="BL9" s="233" t="s">
        <v>530</v>
      </c>
      <c r="BM9" s="232" t="s">
        <v>531</v>
      </c>
      <c r="BN9" s="233" t="s">
        <v>532</v>
      </c>
      <c r="BO9" s="232" t="s">
        <v>533</v>
      </c>
      <c r="BP9" s="233" t="s">
        <v>534</v>
      </c>
      <c r="BQ9" s="232" t="s">
        <v>535</v>
      </c>
      <c r="BR9" s="233" t="s">
        <v>536</v>
      </c>
      <c r="BS9" s="232" t="s">
        <v>537</v>
      </c>
      <c r="BT9" s="233" t="s">
        <v>538</v>
      </c>
      <c r="BU9" s="232" t="s">
        <v>539</v>
      </c>
      <c r="BV9" s="233" t="s">
        <v>540</v>
      </c>
      <c r="BW9" s="232" t="s">
        <v>541</v>
      </c>
      <c r="BX9" s="233" t="s">
        <v>542</v>
      </c>
      <c r="BY9" s="232" t="s">
        <v>543</v>
      </c>
      <c r="BZ9" s="233" t="s">
        <v>544</v>
      </c>
      <c r="CA9" s="232" t="s">
        <v>545</v>
      </c>
      <c r="CB9" s="233" t="s">
        <v>546</v>
      </c>
      <c r="CC9" s="232" t="s">
        <v>547</v>
      </c>
      <c r="CD9" s="234" t="s">
        <v>548</v>
      </c>
      <c r="CE9" s="224" t="s">
        <v>299</v>
      </c>
      <c r="CF9" s="201" t="s">
        <v>305</v>
      </c>
      <c r="CG9" s="202" t="s">
        <v>428</v>
      </c>
      <c r="CH9" s="203" t="s">
        <v>306</v>
      </c>
      <c r="CI9" s="202" t="s">
        <v>427</v>
      </c>
      <c r="CJ9" s="231" t="s">
        <v>523</v>
      </c>
      <c r="CK9" s="232" t="s">
        <v>318</v>
      </c>
      <c r="CL9" s="233" t="s">
        <v>319</v>
      </c>
      <c r="CM9" s="232" t="s">
        <v>320</v>
      </c>
      <c r="CN9" s="233" t="s">
        <v>321</v>
      </c>
      <c r="CO9" s="232" t="s">
        <v>322</v>
      </c>
      <c r="CP9" s="233" t="s">
        <v>323</v>
      </c>
      <c r="CQ9" s="232" t="s">
        <v>340</v>
      </c>
      <c r="CR9" s="233" t="s">
        <v>341</v>
      </c>
      <c r="CS9" s="232" t="s">
        <v>324</v>
      </c>
      <c r="CT9" s="233" t="s">
        <v>325</v>
      </c>
      <c r="CU9" s="232" t="s">
        <v>326</v>
      </c>
      <c r="CV9" s="233" t="s">
        <v>327</v>
      </c>
      <c r="CW9" s="232" t="s">
        <v>328</v>
      </c>
      <c r="CX9" s="233" t="s">
        <v>329</v>
      </c>
      <c r="CY9" s="232" t="s">
        <v>330</v>
      </c>
      <c r="CZ9" s="233" t="s">
        <v>331</v>
      </c>
      <c r="DA9" s="232" t="s">
        <v>332</v>
      </c>
      <c r="DB9" s="233" t="s">
        <v>333</v>
      </c>
      <c r="DC9" s="232" t="s">
        <v>334</v>
      </c>
      <c r="DD9" s="233" t="s">
        <v>335</v>
      </c>
      <c r="DE9" s="232" t="s">
        <v>336</v>
      </c>
      <c r="DF9" s="233" t="s">
        <v>337</v>
      </c>
      <c r="DG9" s="232" t="s">
        <v>338</v>
      </c>
      <c r="DH9" s="233" t="s">
        <v>339</v>
      </c>
      <c r="DI9" s="235" t="s">
        <v>299</v>
      </c>
      <c r="DJ9" s="197" t="s">
        <v>309</v>
      </c>
      <c r="DK9" s="198" t="s">
        <v>310</v>
      </c>
      <c r="DL9" s="199" t="s">
        <v>311</v>
      </c>
      <c r="DM9" s="198" t="s">
        <v>522</v>
      </c>
      <c r="DN9" s="231" t="s">
        <v>317</v>
      </c>
      <c r="DO9" s="207" t="s">
        <v>287</v>
      </c>
      <c r="DP9" s="208" t="s">
        <v>52</v>
      </c>
      <c r="DQ9" s="207" t="s">
        <v>288</v>
      </c>
      <c r="DR9" s="208" t="s">
        <v>53</v>
      </c>
      <c r="DS9" s="207" t="s">
        <v>289</v>
      </c>
      <c r="DT9" s="208" t="s">
        <v>54</v>
      </c>
      <c r="DU9" s="207" t="s">
        <v>290</v>
      </c>
      <c r="DV9" s="208" t="s">
        <v>55</v>
      </c>
      <c r="DW9" s="207" t="s">
        <v>291</v>
      </c>
      <c r="DX9" s="208" t="s">
        <v>57</v>
      </c>
      <c r="DY9" s="207" t="s">
        <v>292</v>
      </c>
      <c r="DZ9" s="208" t="s">
        <v>300</v>
      </c>
      <c r="EA9" s="207" t="s">
        <v>293</v>
      </c>
      <c r="EB9" s="208" t="s">
        <v>58</v>
      </c>
      <c r="EC9" s="207" t="s">
        <v>294</v>
      </c>
      <c r="ED9" s="208" t="s">
        <v>59</v>
      </c>
      <c r="EE9" s="207" t="s">
        <v>295</v>
      </c>
      <c r="EF9" s="208" t="s">
        <v>60</v>
      </c>
      <c r="EG9" s="207" t="s">
        <v>296</v>
      </c>
      <c r="EH9" s="208" t="s">
        <v>61</v>
      </c>
      <c r="EI9" s="207" t="s">
        <v>297</v>
      </c>
      <c r="EJ9" s="208" t="s">
        <v>51</v>
      </c>
      <c r="EK9" s="207" t="s">
        <v>298</v>
      </c>
      <c r="EL9" s="208" t="s">
        <v>301</v>
      </c>
      <c r="EM9" s="235" t="s">
        <v>299</v>
      </c>
      <c r="EN9" s="197" t="s">
        <v>313</v>
      </c>
      <c r="EO9" s="198" t="s">
        <v>314</v>
      </c>
      <c r="EP9" s="199" t="s">
        <v>315</v>
      </c>
      <c r="EQ9" s="198" t="s">
        <v>316</v>
      </c>
      <c r="ER9" s="827"/>
      <c r="ES9" s="827"/>
      <c r="ET9" s="878"/>
      <c r="EU9" s="831"/>
      <c r="EV9" s="873"/>
      <c r="EW9" s="876"/>
      <c r="EX9" s="782"/>
      <c r="EY9" s="782"/>
      <c r="EZ9" s="782"/>
      <c r="FA9" s="821"/>
    </row>
    <row r="10" spans="1:208" s="228" customFormat="1" ht="44.25" customHeight="1" x14ac:dyDescent="0.25">
      <c r="A10" s="901" t="s">
        <v>374</v>
      </c>
      <c r="B10" s="902">
        <v>1</v>
      </c>
      <c r="C10" s="905" t="s">
        <v>375</v>
      </c>
      <c r="D10" s="908" t="s">
        <v>376</v>
      </c>
      <c r="E10" s="909">
        <v>290</v>
      </c>
      <c r="F10" s="250" t="s">
        <v>41</v>
      </c>
      <c r="G10" s="501">
        <v>1</v>
      </c>
      <c r="H10" s="648">
        <v>1</v>
      </c>
      <c r="I10" s="503"/>
      <c r="J10" s="504"/>
      <c r="K10" s="503">
        <v>1</v>
      </c>
      <c r="L10" s="649">
        <v>0</v>
      </c>
      <c r="M10" s="503">
        <v>1</v>
      </c>
      <c r="N10" s="649">
        <v>0.25</v>
      </c>
      <c r="O10" s="503">
        <v>1</v>
      </c>
      <c r="P10" s="649">
        <v>0.46</v>
      </c>
      <c r="Q10" s="503">
        <v>1</v>
      </c>
      <c r="R10" s="649">
        <v>0.65</v>
      </c>
      <c r="S10" s="649">
        <v>1</v>
      </c>
      <c r="T10" s="649">
        <v>0.85</v>
      </c>
      <c r="U10" s="649">
        <v>1</v>
      </c>
      <c r="V10" s="649">
        <v>1</v>
      </c>
      <c r="W10" s="649">
        <f>K10</f>
        <v>1</v>
      </c>
      <c r="X10" s="649">
        <f>U10</f>
        <v>1</v>
      </c>
      <c r="Y10" s="649">
        <f>V10</f>
        <v>1</v>
      </c>
      <c r="Z10" s="649">
        <v>1</v>
      </c>
      <c r="AA10" s="649">
        <v>1</v>
      </c>
      <c r="AB10" s="648">
        <v>1</v>
      </c>
      <c r="AC10" s="649">
        <v>9.1999999999999998E-2</v>
      </c>
      <c r="AD10" s="649">
        <v>9.1999999999999998E-2</v>
      </c>
      <c r="AE10" s="649">
        <f>0.19-AC10</f>
        <v>9.8000000000000004E-2</v>
      </c>
      <c r="AF10" s="649">
        <f>0.17-AD10</f>
        <v>7.8000000000000014E-2</v>
      </c>
      <c r="AG10" s="649">
        <f>0.28-AE10-AC10</f>
        <v>9.0000000000000024E-2</v>
      </c>
      <c r="AH10" s="649">
        <f>0.2103-AF10-AD10</f>
        <v>4.0299999999999975E-2</v>
      </c>
      <c r="AI10" s="649">
        <f>0.334-AG10-AE10-AC10</f>
        <v>5.3999999999999992E-2</v>
      </c>
      <c r="AJ10" s="649">
        <f>0.316-AH10-AF10-AD10</f>
        <v>0.10570000000000004</v>
      </c>
      <c r="AK10" s="649">
        <f>0.424-AI10-AG10-AE10-AC10</f>
        <v>8.9999999999999969E-2</v>
      </c>
      <c r="AL10" s="649">
        <f>0.42-AJ10-AH10-AF10-AD10</f>
        <v>0.1039999999999999</v>
      </c>
      <c r="AM10" s="649">
        <f>0.514-AK10-AI10-AG10-AE10-AC10</f>
        <v>9.0000000000000024E-2</v>
      </c>
      <c r="AN10" s="649">
        <f>0.514-AL10-AJ10-AH10-AF10-AD10</f>
        <v>9.4000000000000111E-2</v>
      </c>
      <c r="AO10" s="649">
        <f>0.6-AM10-AK10-AI10-AG10-AE10-AC10</f>
        <v>8.6000000000000021E-2</v>
      </c>
      <c r="AP10" s="649">
        <v>0.08</v>
      </c>
      <c r="AQ10" s="649">
        <v>0.09</v>
      </c>
      <c r="AR10" s="649">
        <v>0.08</v>
      </c>
      <c r="AS10" s="649">
        <f>0.78-AQ10-AO10-AM10-AK10-AI10-AG10-AE10-AC10</f>
        <v>9.0000000000000024E-2</v>
      </c>
      <c r="AT10" s="650">
        <v>9.7000000000000003E-2</v>
      </c>
      <c r="AU10" s="649">
        <f>0.86-AS10-AQ10-AO10-AM10-AK10-AI10-AG10-AE10-AC10</f>
        <v>8.0000000000000016E-2</v>
      </c>
      <c r="AV10" s="649">
        <v>8.3199999999999996E-2</v>
      </c>
      <c r="AW10" s="649">
        <f>0.93-AU10-AS10-AQ10-AO10-AM10-AK10-AI10-AG10-AE10-AC10</f>
        <v>7.0000000000000062E-2</v>
      </c>
      <c r="AX10" s="649">
        <v>9.06E-2</v>
      </c>
      <c r="AY10" s="649">
        <f>1-AW10-AU10-AS10-AQ10-AO10-AM10-AK10-AI10-AG10-AE10-AC10</f>
        <v>6.999999999999984E-2</v>
      </c>
      <c r="AZ10" s="649">
        <v>0.06</v>
      </c>
      <c r="BA10" s="649">
        <f>AC10+AE10+AG10+AI10+AK10+AM10+AO10+AQ10+AS10+AU10+AW10+AY10</f>
        <v>1</v>
      </c>
      <c r="BB10" s="649">
        <f>AC10+AE10+AG10+AI10+AK10+AM10+AO10+AQ10+AS10+AU10+AW10+AY10</f>
        <v>1</v>
      </c>
      <c r="BC10" s="649">
        <f>AD10+AF10+AH10+AJ10+AL10+AN10+AP10+AR10+AT10+AV10+AX10+AZ10</f>
        <v>1.0047999999999999</v>
      </c>
      <c r="BD10" s="649">
        <f>AC10+AE10+AG10+AI10+AK10+AM10+AO10+AQ10+AS10+AU10+AW10+AY10</f>
        <v>1</v>
      </c>
      <c r="BE10" s="649">
        <f>AD10+AF10+AH10+AJ10+AL10+AN10+AP10+AR10+AT10+AV10+AX10+AZ10</f>
        <v>1.0047999999999999</v>
      </c>
      <c r="BF10" s="648">
        <v>1</v>
      </c>
      <c r="BG10" s="649">
        <v>1.4999999999999999E-2</v>
      </c>
      <c r="BH10" s="649">
        <v>0.02</v>
      </c>
      <c r="BI10" s="649">
        <v>0.08</v>
      </c>
      <c r="BJ10" s="497">
        <v>0.13</v>
      </c>
      <c r="BK10" s="649">
        <v>0.09</v>
      </c>
      <c r="BL10" s="649">
        <v>8.1000000000000003E-2</v>
      </c>
      <c r="BM10" s="649">
        <v>0.09</v>
      </c>
      <c r="BN10" s="649">
        <v>8.1000000000000003E-2</v>
      </c>
      <c r="BO10" s="649">
        <v>0.09</v>
      </c>
      <c r="BP10" s="649">
        <v>0.08</v>
      </c>
      <c r="BQ10" s="649">
        <v>0.09</v>
      </c>
      <c r="BR10" s="649">
        <v>0.11</v>
      </c>
      <c r="BS10" s="649">
        <v>0.09</v>
      </c>
      <c r="BT10" s="649">
        <v>8.0299999999999996E-2</v>
      </c>
      <c r="BU10" s="649">
        <v>0.09</v>
      </c>
      <c r="BV10" s="649">
        <v>7.8755999999999826E-2</v>
      </c>
      <c r="BW10" s="649">
        <v>0.09</v>
      </c>
      <c r="BX10" s="649">
        <v>0.1</v>
      </c>
      <c r="BY10" s="649">
        <v>0.09</v>
      </c>
      <c r="BZ10" s="649">
        <v>8.2199999999999995E-2</v>
      </c>
      <c r="CA10" s="649">
        <v>0.09</v>
      </c>
      <c r="CB10" s="649">
        <v>0.08</v>
      </c>
      <c r="CC10" s="649">
        <v>9.5000000000000001E-2</v>
      </c>
      <c r="CD10" s="649">
        <v>7.6700000000000004E-2</v>
      </c>
      <c r="CE10" s="649">
        <f>BG10+BI10+BK10+BM10+BO10+BQ10+BS10+BU10+BW10+BY10+CA10+CC10</f>
        <v>0.99999999999999978</v>
      </c>
      <c r="CF10" s="649">
        <f>BG10+BI10+BK10+BM10+BO10+BQ10+BS10+BU10+BW10+BY10+CA10+CC10</f>
        <v>0.99999999999999978</v>
      </c>
      <c r="CG10" s="649">
        <f>BH10+BJ10+BL10+BN10+BP10+BR10+BT10+BV10+BX10+BZ10+CB10+CD10</f>
        <v>0.99995599999999973</v>
      </c>
      <c r="CH10" s="649">
        <f>BG10+BI10+BK10+BM10+BO10+BQ10+BS10+BU10+BW10+BY10+CA10+CC10</f>
        <v>0.99999999999999978</v>
      </c>
      <c r="CI10" s="649">
        <f>BH10+BJ10+BL10+BN10+BP10+BR10+BT10+BV10+BX10+BZ10+CB10+CD10</f>
        <v>0.99995599999999973</v>
      </c>
      <c r="CJ10" s="648">
        <v>1</v>
      </c>
      <c r="CK10" s="650">
        <v>0.03</v>
      </c>
      <c r="CL10" s="650">
        <v>0.03</v>
      </c>
      <c r="CM10" s="650">
        <v>0.14000000000000001</v>
      </c>
      <c r="CN10" s="651">
        <v>0.14599999999999999</v>
      </c>
      <c r="CO10" s="650">
        <v>0.08</v>
      </c>
      <c r="CP10" s="650">
        <v>0.08</v>
      </c>
      <c r="CQ10" s="650">
        <v>0.1</v>
      </c>
      <c r="CR10" s="650">
        <v>7.0000000000000007E-2</v>
      </c>
      <c r="CS10" s="649">
        <v>0.1</v>
      </c>
      <c r="CT10" s="650">
        <v>7.4999999999999997E-2</v>
      </c>
      <c r="CU10" s="652">
        <v>0.1</v>
      </c>
      <c r="CV10" s="653">
        <v>0.105</v>
      </c>
      <c r="CW10" s="649">
        <v>0.1</v>
      </c>
      <c r="CX10" s="650">
        <v>0.08</v>
      </c>
      <c r="CY10" s="649">
        <v>0.09</v>
      </c>
      <c r="CZ10" s="650">
        <v>8.6999999999999994E-2</v>
      </c>
      <c r="DA10" s="649">
        <v>0.08</v>
      </c>
      <c r="DB10" s="650">
        <v>0.11</v>
      </c>
      <c r="DC10" s="649">
        <v>7.0000000000000007E-2</v>
      </c>
      <c r="DD10" s="650"/>
      <c r="DE10" s="649">
        <v>0.06</v>
      </c>
      <c r="DF10" s="650"/>
      <c r="DG10" s="649">
        <v>0.05</v>
      </c>
      <c r="DH10" s="649"/>
      <c r="DI10" s="649">
        <f>DG10+DE10+DC10+DA10+CW10+CY10+CU10+CS10+CQ10+CO10+CM10+CK10</f>
        <v>0.99999999999999989</v>
      </c>
      <c r="DJ10" s="652">
        <f>CK10+CM10+CO10+CQ10+CS10+CU10+CW10+CY10+DA10</f>
        <v>0.81999999999999984</v>
      </c>
      <c r="DK10" s="649">
        <f>CL10+CN10+CP10+CR10+CT10+CV10+CX10+CZ10+DB10+DD10+DF10+DH10</f>
        <v>0.78299999999999992</v>
      </c>
      <c r="DL10" s="649">
        <f>DI10</f>
        <v>0.99999999999999989</v>
      </c>
      <c r="DM10" s="649">
        <f>DK10</f>
        <v>0.78299999999999992</v>
      </c>
      <c r="DN10" s="648">
        <v>1</v>
      </c>
      <c r="DO10" s="649"/>
      <c r="DP10" s="649"/>
      <c r="DQ10" s="649"/>
      <c r="DR10" s="649"/>
      <c r="DS10" s="649"/>
      <c r="DT10" s="649"/>
      <c r="DU10" s="649"/>
      <c r="DV10" s="649"/>
      <c r="DW10" s="649"/>
      <c r="DX10" s="649"/>
      <c r="DY10" s="649"/>
      <c r="DZ10" s="649"/>
      <c r="EA10" s="649"/>
      <c r="EB10" s="649"/>
      <c r="EC10" s="649"/>
      <c r="ED10" s="649"/>
      <c r="EE10" s="649"/>
      <c r="EF10" s="649"/>
      <c r="EG10" s="649"/>
      <c r="EH10" s="649"/>
      <c r="EI10" s="649"/>
      <c r="EJ10" s="649"/>
      <c r="EK10" s="649"/>
      <c r="EL10" s="649"/>
      <c r="EM10" s="649"/>
      <c r="EN10" s="649"/>
      <c r="EO10" s="649"/>
      <c r="EP10" s="649"/>
      <c r="EQ10" s="649"/>
      <c r="ER10" s="654">
        <f>DB10/DA10</f>
        <v>1.375</v>
      </c>
      <c r="ES10" s="655">
        <f>IFERROR(DK10/DJ10,0)</f>
        <v>0.95487804878048788</v>
      </c>
      <c r="ET10" s="656">
        <f>IFERROR(DM10/DL10,0)</f>
        <v>0.78300000000000003</v>
      </c>
      <c r="EU10" s="657">
        <f t="shared" ref="EU10:EU15" si="0">IFERROR((AA10+BE10+CI10+DK10)/(Z10+BD10+CH10+DJ10),0)</f>
        <v>0.99155916230366481</v>
      </c>
      <c r="EV10" s="658">
        <f>(AA10+BE10+CI10+DM10)/5</f>
        <v>0.75755119999999987</v>
      </c>
      <c r="EW10" s="854" t="s">
        <v>687</v>
      </c>
      <c r="EX10" s="858" t="s">
        <v>551</v>
      </c>
      <c r="EY10" s="858" t="s">
        <v>551</v>
      </c>
      <c r="EZ10" s="858" t="s">
        <v>373</v>
      </c>
      <c r="FA10" s="858" t="s">
        <v>653</v>
      </c>
      <c r="FB10" s="257"/>
      <c r="FC10" s="257"/>
      <c r="FD10" s="257"/>
      <c r="FE10" s="257"/>
      <c r="FF10" s="257"/>
      <c r="FG10" s="257"/>
      <c r="FH10" s="257"/>
      <c r="FI10" s="257"/>
      <c r="FJ10" s="257"/>
      <c r="FK10" s="257"/>
      <c r="FL10" s="257"/>
      <c r="FM10" s="257"/>
      <c r="FN10" s="257"/>
      <c r="FO10" s="257"/>
      <c r="FP10" s="257"/>
      <c r="FQ10" s="257"/>
      <c r="FR10" s="257"/>
      <c r="FS10" s="257"/>
      <c r="FT10" s="257"/>
      <c r="FU10" s="257"/>
      <c r="FV10" s="257"/>
      <c r="FW10" s="257"/>
      <c r="FX10" s="257"/>
      <c r="FY10" s="257"/>
      <c r="FZ10" s="257"/>
      <c r="GA10" s="257"/>
      <c r="GB10" s="257"/>
      <c r="GC10" s="257"/>
      <c r="GD10" s="257"/>
      <c r="GE10" s="257"/>
      <c r="GF10" s="257"/>
      <c r="GG10" s="257"/>
      <c r="GH10" s="257"/>
      <c r="GI10" s="257"/>
      <c r="GJ10" s="257"/>
      <c r="GK10" s="257"/>
      <c r="GL10" s="257"/>
      <c r="GM10" s="257"/>
      <c r="GN10" s="257"/>
      <c r="GO10" s="257"/>
      <c r="GP10" s="257"/>
      <c r="GQ10" s="257"/>
      <c r="GR10" s="257"/>
      <c r="GS10" s="257"/>
      <c r="GT10" s="257"/>
      <c r="GU10" s="257"/>
      <c r="GV10" s="257"/>
      <c r="GW10" s="257"/>
      <c r="GX10" s="257"/>
      <c r="GY10" s="257"/>
      <c r="GZ10" s="257"/>
    </row>
    <row r="11" spans="1:208" s="219" customFormat="1" ht="63" customHeight="1" x14ac:dyDescent="0.25">
      <c r="A11" s="901"/>
      <c r="B11" s="903"/>
      <c r="C11" s="906"/>
      <c r="D11" s="906"/>
      <c r="E11" s="910"/>
      <c r="F11" s="280" t="s">
        <v>3</v>
      </c>
      <c r="G11" s="239">
        <f>AA11+BE11+CI11+DL11+DN11</f>
        <v>20142782834</v>
      </c>
      <c r="H11" s="249">
        <v>2729118190</v>
      </c>
      <c r="I11" s="238"/>
      <c r="J11" s="238"/>
      <c r="K11" s="238">
        <v>2729118190</v>
      </c>
      <c r="L11" s="239">
        <v>61765000</v>
      </c>
      <c r="M11" s="238">
        <v>2729118190</v>
      </c>
      <c r="N11" s="238">
        <v>1624576000</v>
      </c>
      <c r="O11" s="238">
        <v>2729118190</v>
      </c>
      <c r="P11" s="239">
        <v>1781560000</v>
      </c>
      <c r="Q11" s="238">
        <v>2729118190</v>
      </c>
      <c r="R11" s="239">
        <v>1796256255</v>
      </c>
      <c r="S11" s="238">
        <v>2729118190</v>
      </c>
      <c r="T11" s="238">
        <v>2025564031</v>
      </c>
      <c r="U11" s="238">
        <v>2729118190</v>
      </c>
      <c r="V11" s="239">
        <v>2693651241</v>
      </c>
      <c r="W11" s="659">
        <f>K11</f>
        <v>2729118190</v>
      </c>
      <c r="X11" s="659">
        <f t="shared" ref="X11:Y15" si="1">U11</f>
        <v>2729118190</v>
      </c>
      <c r="Y11" s="659">
        <f t="shared" si="1"/>
        <v>2693651241</v>
      </c>
      <c r="Z11" s="239">
        <v>2729118190</v>
      </c>
      <c r="AA11" s="239">
        <v>2693651241</v>
      </c>
      <c r="AB11" s="239">
        <v>3782244731</v>
      </c>
      <c r="AC11" s="239">
        <v>0</v>
      </c>
      <c r="AD11" s="239">
        <v>0</v>
      </c>
      <c r="AE11" s="239">
        <v>3339446000</v>
      </c>
      <c r="AF11" s="239">
        <v>1042039000</v>
      </c>
      <c r="AG11" s="239">
        <v>229188200</v>
      </c>
      <c r="AH11" s="239">
        <f>3151409000-AF11</f>
        <v>2109370000</v>
      </c>
      <c r="AI11" s="239">
        <v>0</v>
      </c>
      <c r="AJ11" s="239">
        <f>3390620000-AH11-AF11</f>
        <v>239211000</v>
      </c>
      <c r="AK11" s="239">
        <v>10850000</v>
      </c>
      <c r="AL11" s="239">
        <f>3397664550-AJ11-AH11-AF11-AD11</f>
        <v>7044550</v>
      </c>
      <c r="AM11" s="239">
        <v>0</v>
      </c>
      <c r="AN11" s="239">
        <v>161532180</v>
      </c>
      <c r="AO11" s="239">
        <v>43822800</v>
      </c>
      <c r="AP11" s="239">
        <v>0</v>
      </c>
      <c r="AQ11" s="239"/>
      <c r="AR11" s="239">
        <v>11804000</v>
      </c>
      <c r="AS11" s="239">
        <v>0</v>
      </c>
      <c r="AT11" s="239">
        <v>54613000</v>
      </c>
      <c r="AU11" s="239">
        <v>24324000</v>
      </c>
      <c r="AV11" s="239">
        <f>30510934 - 6314267</f>
        <v>24196667</v>
      </c>
      <c r="AW11" s="239">
        <v>57295200</v>
      </c>
      <c r="AX11" s="239">
        <v>66592701</v>
      </c>
      <c r="AY11" s="239">
        <v>77318531</v>
      </c>
      <c r="AZ11" s="239">
        <v>61799866</v>
      </c>
      <c r="BA11" s="239">
        <f t="shared" ref="BA11:BA28" si="2">AC11+AE11+AG11+AI11+AK11+AM11+AO11+AQ11+AS11+AU11+AW11+AY11</f>
        <v>3782244731</v>
      </c>
      <c r="BB11" s="239">
        <f t="shared" ref="BB11:BB28" si="3">AC11+AE11+AG11+AI11+AK11+AM11+AO11+AQ11+AS11+AU11+AW11+AY11</f>
        <v>3782244731</v>
      </c>
      <c r="BC11" s="239">
        <f t="shared" ref="BC11:BC28" si="4">AD11+AF11+AH11+AJ11+AL11+AN11+AP11+AR11+AT11+AV11+AX11+AZ11</f>
        <v>3778202964</v>
      </c>
      <c r="BD11" s="239">
        <f t="shared" ref="BD11:BD28" si="5">AC11+AE11+AG11+AI11+AK11+AM11+AO11+AQ11+AS11+AU11+AW11+AY11</f>
        <v>3782244731</v>
      </c>
      <c r="BE11" s="239">
        <f t="shared" ref="BE11:BE28" si="6">AD11+AF11+AH11+AJ11+AL11+AN11+AP11+AR11+AT11+AV11+AX11+AZ11</f>
        <v>3778202964</v>
      </c>
      <c r="BF11" s="239">
        <v>5896434000</v>
      </c>
      <c r="BG11" s="239">
        <f>5852055000-192340000</f>
        <v>5659715000</v>
      </c>
      <c r="BH11" s="239">
        <v>5594980000</v>
      </c>
      <c r="BI11" s="239">
        <v>22628000</v>
      </c>
      <c r="BJ11" s="239">
        <v>50780000</v>
      </c>
      <c r="BK11" s="239">
        <v>23316000</v>
      </c>
      <c r="BL11" s="239">
        <v>18709000</v>
      </c>
      <c r="BM11" s="239">
        <v>0</v>
      </c>
      <c r="BN11" s="239">
        <v>0</v>
      </c>
      <c r="BO11" s="239">
        <v>0</v>
      </c>
      <c r="BP11" s="239">
        <v>0</v>
      </c>
      <c r="BQ11" s="239">
        <v>12677000</v>
      </c>
      <c r="BR11" s="239">
        <f>31044000+2926000</f>
        <v>33970000</v>
      </c>
      <c r="BS11" s="239">
        <v>154634000</v>
      </c>
      <c r="BT11" s="239">
        <v>2909400</v>
      </c>
      <c r="BU11" s="239">
        <v>10674000</v>
      </c>
      <c r="BV11" s="239">
        <v>51152500</v>
      </c>
      <c r="BW11" s="239">
        <v>0</v>
      </c>
      <c r="BX11" s="239">
        <v>9093000</v>
      </c>
      <c r="BY11" s="239">
        <v>8982800</v>
      </c>
      <c r="BZ11" s="239">
        <v>8271767</v>
      </c>
      <c r="CA11" s="239">
        <v>453944268</v>
      </c>
      <c r="CB11" s="239">
        <v>484885996</v>
      </c>
      <c r="CC11" s="239">
        <v>44436998</v>
      </c>
      <c r="CD11" s="239">
        <v>121784966</v>
      </c>
      <c r="CE11" s="239">
        <f t="shared" ref="CE11:CE28" si="7">BG11+BI11+BK11+BM11+BO11+BQ11+BS11+BU11+BW11+BY11+CA11+CC11</f>
        <v>6391008066</v>
      </c>
      <c r="CF11" s="239">
        <f t="shared" ref="CF11:CG28" si="8">BG11+BI11+BK11+BM11+BO11+BQ11+BS11+BU11+BW11+BY11+CA11+CC11</f>
        <v>6391008066</v>
      </c>
      <c r="CG11" s="239">
        <f t="shared" si="8"/>
        <v>6376536629</v>
      </c>
      <c r="CH11" s="239">
        <f t="shared" ref="CH11:CI28" si="9">BG11+BI11+BK11+BM11+BO11+BQ11+BS11+BU11+BW11+BY11+CA11+CC11</f>
        <v>6391008066</v>
      </c>
      <c r="CI11" s="239">
        <f t="shared" si="9"/>
        <v>6376536629</v>
      </c>
      <c r="CJ11" s="239">
        <v>4481764000</v>
      </c>
      <c r="CK11" s="239">
        <v>1369056000</v>
      </c>
      <c r="CL11" s="239">
        <v>1369056000</v>
      </c>
      <c r="CM11" s="239">
        <v>2039584000</v>
      </c>
      <c r="CN11" s="239">
        <v>2039584000</v>
      </c>
      <c r="CO11" s="239">
        <v>824607000</v>
      </c>
      <c r="CP11" s="239">
        <v>824607000</v>
      </c>
      <c r="CQ11" s="239">
        <v>133098000</v>
      </c>
      <c r="CR11" s="239">
        <v>48590000</v>
      </c>
      <c r="CS11" s="588">
        <v>60833000</v>
      </c>
      <c r="CT11" s="588">
        <v>92737000</v>
      </c>
      <c r="CU11" s="608">
        <v>0</v>
      </c>
      <c r="CV11" s="608">
        <v>0</v>
      </c>
      <c r="CW11" s="239">
        <v>54586000</v>
      </c>
      <c r="CX11" s="239">
        <v>0</v>
      </c>
      <c r="CY11" s="239">
        <v>0</v>
      </c>
      <c r="CZ11" s="239">
        <v>5000000</v>
      </c>
      <c r="DA11" s="239">
        <v>0</v>
      </c>
      <c r="DB11" s="239">
        <v>0</v>
      </c>
      <c r="DC11" s="239">
        <v>0</v>
      </c>
      <c r="DD11" s="239"/>
      <c r="DE11" s="239">
        <v>0</v>
      </c>
      <c r="DF11" s="239"/>
      <c r="DG11" s="239">
        <v>0</v>
      </c>
      <c r="DH11" s="239"/>
      <c r="DI11" s="239">
        <f>DG11+DE11+DC11+DA11+CW11+CY11+CU11+CS11+CQ11+CO11+CM11+CK11</f>
        <v>4481764000</v>
      </c>
      <c r="DJ11" s="652">
        <f t="shared" ref="DJ11:DJ29" si="10">CK11+CM11+CO11+CQ11+CS11+CU11+CW11+CY11+DA11</f>
        <v>4481764000</v>
      </c>
      <c r="DK11" s="649">
        <f>CL11+CN11+CP11+CR11+CT11+CV11+CX11+CZ11+DB11+DD11+DF11+DH11</f>
        <v>4379574000</v>
      </c>
      <c r="DL11" s="239">
        <f>DI11</f>
        <v>4481764000</v>
      </c>
      <c r="DM11" s="239">
        <f>DK11</f>
        <v>4379574000</v>
      </c>
      <c r="DN11" s="239">
        <v>2812628000</v>
      </c>
      <c r="DO11" s="649"/>
      <c r="DP11" s="649"/>
      <c r="DQ11" s="649"/>
      <c r="DR11" s="649"/>
      <c r="DS11" s="649"/>
      <c r="DT11" s="649"/>
      <c r="DU11" s="649"/>
      <c r="DV11" s="649"/>
      <c r="DW11" s="649"/>
      <c r="DX11" s="649"/>
      <c r="DY11" s="649"/>
      <c r="DZ11" s="649"/>
      <c r="EA11" s="649"/>
      <c r="EB11" s="649"/>
      <c r="EC11" s="649"/>
      <c r="ED11" s="649"/>
      <c r="EE11" s="649"/>
      <c r="EF11" s="649"/>
      <c r="EG11" s="649"/>
      <c r="EH11" s="649"/>
      <c r="EI11" s="649"/>
      <c r="EJ11" s="649"/>
      <c r="EK11" s="649"/>
      <c r="EL11" s="649"/>
      <c r="EM11" s="649"/>
      <c r="EN11" s="649"/>
      <c r="EO11" s="649"/>
      <c r="EP11" s="649"/>
      <c r="EQ11" s="649"/>
      <c r="ER11" s="654">
        <f>IFERROR(DB11/DA11,0)</f>
        <v>0</v>
      </c>
      <c r="ES11" s="655">
        <f>IFERROR(DK11/DJ11,0)</f>
        <v>0.97719871015073534</v>
      </c>
      <c r="ET11" s="656">
        <f t="shared" ref="ET11:ET28" si="11">IFERROR(DM11/DL11,0)</f>
        <v>0.97719871015073534</v>
      </c>
      <c r="EU11" s="657">
        <f t="shared" si="0"/>
        <v>0.99101651286550729</v>
      </c>
      <c r="EV11" s="658">
        <f>(AA11+BE11+CI11+DM11)/G11</f>
        <v>0.85529218956380082</v>
      </c>
      <c r="EW11" s="854"/>
      <c r="EX11" s="858"/>
      <c r="EY11" s="858"/>
      <c r="EZ11" s="858"/>
      <c r="FA11" s="858"/>
    </row>
    <row r="12" spans="1:208" s="219" customFormat="1" ht="62.85" customHeight="1" x14ac:dyDescent="0.25">
      <c r="A12" s="901"/>
      <c r="B12" s="903"/>
      <c r="C12" s="906"/>
      <c r="D12" s="906"/>
      <c r="E12" s="910"/>
      <c r="F12" s="281" t="s">
        <v>390</v>
      </c>
      <c r="G12" s="501">
        <v>0</v>
      </c>
      <c r="H12" s="249"/>
      <c r="I12" s="238"/>
      <c r="J12" s="238"/>
      <c r="K12" s="238"/>
      <c r="L12" s="239"/>
      <c r="M12" s="238"/>
      <c r="N12" s="238"/>
      <c r="O12" s="238"/>
      <c r="P12" s="239"/>
      <c r="Q12" s="238"/>
      <c r="R12" s="239"/>
      <c r="S12" s="238"/>
      <c r="T12" s="238"/>
      <c r="U12" s="238"/>
      <c r="V12" s="239"/>
      <c r="W12" s="659"/>
      <c r="X12" s="659"/>
      <c r="Y12" s="659"/>
      <c r="Z12" s="239">
        <v>0</v>
      </c>
      <c r="AA12" s="239">
        <v>0</v>
      </c>
      <c r="AB12" s="239"/>
      <c r="AC12" s="239">
        <v>0</v>
      </c>
      <c r="AD12" s="239">
        <v>0</v>
      </c>
      <c r="AE12" s="239">
        <v>0</v>
      </c>
      <c r="AF12" s="239">
        <v>0</v>
      </c>
      <c r="AG12" s="239">
        <v>15124067</v>
      </c>
      <c r="AH12" s="239">
        <v>8038933</v>
      </c>
      <c r="AI12" s="239">
        <v>234239897</v>
      </c>
      <c r="AJ12" s="239">
        <v>204935067</v>
      </c>
      <c r="AK12" s="239">
        <v>364182617</v>
      </c>
      <c r="AL12" s="239">
        <v>346936434</v>
      </c>
      <c r="AM12" s="239">
        <v>386326089</v>
      </c>
      <c r="AN12" s="239">
        <v>393176707</v>
      </c>
      <c r="AO12" s="239">
        <v>391052508</v>
      </c>
      <c r="AP12" s="239">
        <v>382790234</v>
      </c>
      <c r="AQ12" s="239">
        <v>422171554</v>
      </c>
      <c r="AR12" s="239">
        <v>401864858</v>
      </c>
      <c r="AS12" s="239">
        <v>421906087</v>
      </c>
      <c r="AT12" s="239">
        <v>406416219</v>
      </c>
      <c r="AU12" s="239">
        <v>415614787</v>
      </c>
      <c r="AV12" s="239">
        <v>386002443</v>
      </c>
      <c r="AW12" s="239">
        <v>405220754</v>
      </c>
      <c r="AX12" s="239">
        <v>395590776</v>
      </c>
      <c r="AY12" s="239">
        <v>726406371</v>
      </c>
      <c r="AZ12" s="239">
        <v>486445185</v>
      </c>
      <c r="BA12" s="239">
        <f>AC12+AE12+AG12+AI12+AK12+AM12+AO12+AQ12+AS12+AU12+AW12+AY12</f>
        <v>3782244731</v>
      </c>
      <c r="BB12" s="239">
        <f>AC12+AE12+AG12+AI12+AK12+AM12+AO12+AQ12+AS12+AU12+AW12+AY12</f>
        <v>3782244731</v>
      </c>
      <c r="BC12" s="239">
        <f>AD12+AF12+AH12+AJ12+AL12+AN12+AP12+AR12+AT12+AV12+AX12+AZ12</f>
        <v>3412196856</v>
      </c>
      <c r="BD12" s="239">
        <f t="shared" si="5"/>
        <v>3782244731</v>
      </c>
      <c r="BE12" s="239">
        <f t="shared" si="6"/>
        <v>3412196856</v>
      </c>
      <c r="BF12" s="239">
        <v>5896390000</v>
      </c>
      <c r="BG12" s="239">
        <v>0</v>
      </c>
      <c r="BH12" s="239">
        <v>0</v>
      </c>
      <c r="BI12" s="239">
        <v>83751000</v>
      </c>
      <c r="BJ12" s="239">
        <v>48250334</v>
      </c>
      <c r="BK12" s="239">
        <v>585838583</v>
      </c>
      <c r="BL12" s="239">
        <v>458483434</v>
      </c>
      <c r="BM12" s="239">
        <v>588101383</v>
      </c>
      <c r="BN12" s="239">
        <v>529968266</v>
      </c>
      <c r="BO12" s="239">
        <v>590266316</v>
      </c>
      <c r="BP12" s="239">
        <v>578167882</v>
      </c>
      <c r="BQ12" s="239">
        <v>590266316</v>
      </c>
      <c r="BR12" s="239">
        <v>537824500</v>
      </c>
      <c r="BS12" s="239">
        <v>590266316</v>
      </c>
      <c r="BT12" s="239">
        <v>618330400</v>
      </c>
      <c r="BU12" s="239">
        <v>590222316</v>
      </c>
      <c r="BV12" s="239">
        <v>545843369</v>
      </c>
      <c r="BW12" s="239">
        <v>590266316</v>
      </c>
      <c r="BX12" s="239">
        <v>591740056</v>
      </c>
      <c r="BY12" s="239">
        <v>590310316</v>
      </c>
      <c r="BZ12" s="239">
        <v>654840482</v>
      </c>
      <c r="CA12" s="239">
        <v>590266316</v>
      </c>
      <c r="CB12" s="239">
        <v>555135997</v>
      </c>
      <c r="CC12" s="239">
        <f>506878822+494574066</f>
        <v>1001452888</v>
      </c>
      <c r="CD12" s="239">
        <v>806784202</v>
      </c>
      <c r="CE12" s="239">
        <f t="shared" si="7"/>
        <v>6391008066</v>
      </c>
      <c r="CF12" s="239">
        <f t="shared" si="8"/>
        <v>6391008066</v>
      </c>
      <c r="CG12" s="239">
        <f t="shared" si="8"/>
        <v>5925368922</v>
      </c>
      <c r="CH12" s="239">
        <f t="shared" si="9"/>
        <v>6391008066</v>
      </c>
      <c r="CI12" s="239">
        <f t="shared" si="9"/>
        <v>5925368922</v>
      </c>
      <c r="CJ12" s="239">
        <v>4481764000</v>
      </c>
      <c r="CK12" s="239">
        <v>0</v>
      </c>
      <c r="CL12" s="239">
        <v>0</v>
      </c>
      <c r="CM12" s="239">
        <v>5613267</v>
      </c>
      <c r="CN12" s="239">
        <v>5613267</v>
      </c>
      <c r="CO12" s="239">
        <v>119220334</v>
      </c>
      <c r="CP12" s="239">
        <v>119220334</v>
      </c>
      <c r="CQ12" s="239">
        <v>405382000</v>
      </c>
      <c r="CR12" s="239">
        <v>339350066</v>
      </c>
      <c r="CS12" s="588">
        <v>405382000</v>
      </c>
      <c r="CT12" s="588">
        <v>412626401</v>
      </c>
      <c r="CU12" s="608">
        <v>412396000</v>
      </c>
      <c r="CV12" s="608">
        <v>435280375</v>
      </c>
      <c r="CW12" s="239">
        <v>412396000</v>
      </c>
      <c r="CX12" s="239">
        <v>464837434</v>
      </c>
      <c r="CY12" s="239">
        <v>469962985</v>
      </c>
      <c r="CZ12" s="239">
        <v>462293935</v>
      </c>
      <c r="DA12" s="239">
        <v>558146151</v>
      </c>
      <c r="DB12" s="239">
        <v>454781132</v>
      </c>
      <c r="DC12" s="239">
        <v>558146151</v>
      </c>
      <c r="DD12" s="239"/>
      <c r="DE12" s="239">
        <v>558146151</v>
      </c>
      <c r="DF12" s="239"/>
      <c r="DG12" s="239">
        <v>576972960</v>
      </c>
      <c r="DH12" s="239"/>
      <c r="DI12" s="239">
        <f>DG12+DE12+DC12+DA12+CW12+CY12+CU12+CS12+CQ12+CO12+CM12+CK12</f>
        <v>4481763999</v>
      </c>
      <c r="DJ12" s="652">
        <f>CK12+CM12+CO12+CQ12+CS12+CU12+CW12+CY12+DA12</f>
        <v>2788498737</v>
      </c>
      <c r="DK12" s="649">
        <f>CL12+CN12+CP12+CR12+CT12+CV12+CX12+CZ12+DB12+DD12+DF12+DH12</f>
        <v>2694002944</v>
      </c>
      <c r="DL12" s="239">
        <f t="shared" ref="DL12:DL29" si="12">DI12</f>
        <v>4481763999</v>
      </c>
      <c r="DM12" s="239">
        <f t="shared" ref="DM12:DM29" si="13">DK12</f>
        <v>2694002944</v>
      </c>
      <c r="DN12" s="239"/>
      <c r="DO12" s="649"/>
      <c r="DP12" s="649"/>
      <c r="DQ12" s="649"/>
      <c r="DR12" s="649"/>
      <c r="DS12" s="649"/>
      <c r="DT12" s="649"/>
      <c r="DU12" s="649"/>
      <c r="DV12" s="649"/>
      <c r="DW12" s="649"/>
      <c r="DX12" s="649"/>
      <c r="DY12" s="649"/>
      <c r="DZ12" s="649"/>
      <c r="EA12" s="649"/>
      <c r="EB12" s="649"/>
      <c r="EC12" s="649"/>
      <c r="ED12" s="649"/>
      <c r="EE12" s="649"/>
      <c r="EF12" s="649"/>
      <c r="EG12" s="649"/>
      <c r="EH12" s="649"/>
      <c r="EI12" s="649"/>
      <c r="EJ12" s="649"/>
      <c r="EK12" s="649"/>
      <c r="EL12" s="649"/>
      <c r="EM12" s="649"/>
      <c r="EN12" s="649"/>
      <c r="EO12" s="649"/>
      <c r="EP12" s="649"/>
      <c r="EQ12" s="649"/>
      <c r="ER12" s="654">
        <f t="shared" ref="ER12:ER30" si="14">IFERROR(DB12/DA12,0)</f>
        <v>0.81480653621850385</v>
      </c>
      <c r="ES12" s="655">
        <f>IFERROR(DK12/DJ12,0)</f>
        <v>0.96611230561227968</v>
      </c>
      <c r="ET12" s="656">
        <f t="shared" si="11"/>
        <v>0.60110325858325053</v>
      </c>
      <c r="EU12" s="657">
        <f t="shared" si="0"/>
        <v>0.92823633368067304</v>
      </c>
      <c r="EV12" s="658">
        <f>IFERROR((AA12+BE12+CI12+DM12)/G12,0)</f>
        <v>0</v>
      </c>
      <c r="EW12" s="854"/>
      <c r="EX12" s="858"/>
      <c r="EY12" s="858"/>
      <c r="EZ12" s="858"/>
      <c r="FA12" s="858"/>
    </row>
    <row r="13" spans="1:208" s="220" customFormat="1" ht="54.75" customHeight="1" x14ac:dyDescent="0.25">
      <c r="A13" s="901"/>
      <c r="B13" s="903"/>
      <c r="C13" s="906"/>
      <c r="D13" s="906"/>
      <c r="E13" s="910"/>
      <c r="F13" s="282" t="s">
        <v>42</v>
      </c>
      <c r="G13" s="501">
        <f>AA13+BE13+CI13+DL13+DN13</f>
        <v>0</v>
      </c>
      <c r="H13" s="660"/>
      <c r="I13" s="240"/>
      <c r="J13" s="240"/>
      <c r="K13" s="240"/>
      <c r="L13" s="241"/>
      <c r="M13" s="240"/>
      <c r="N13" s="240"/>
      <c r="O13" s="240"/>
      <c r="P13" s="241"/>
      <c r="Q13" s="240"/>
      <c r="R13" s="241"/>
      <c r="S13" s="240"/>
      <c r="T13" s="240"/>
      <c r="U13" s="240"/>
      <c r="V13" s="241"/>
      <c r="W13" s="661">
        <f>K13</f>
        <v>0</v>
      </c>
      <c r="X13" s="661">
        <f t="shared" si="1"/>
        <v>0</v>
      </c>
      <c r="Y13" s="661">
        <f t="shared" si="1"/>
        <v>0</v>
      </c>
      <c r="Z13" s="241">
        <v>0</v>
      </c>
      <c r="AA13" s="241">
        <v>0</v>
      </c>
      <c r="AB13" s="660">
        <v>0</v>
      </c>
      <c r="AC13" s="241">
        <v>0</v>
      </c>
      <c r="AD13" s="241">
        <v>0</v>
      </c>
      <c r="AE13" s="241">
        <v>0</v>
      </c>
      <c r="AF13" s="241">
        <v>0</v>
      </c>
      <c r="AG13" s="241">
        <v>0</v>
      </c>
      <c r="AH13" s="241">
        <v>0</v>
      </c>
      <c r="AI13" s="241">
        <v>0</v>
      </c>
      <c r="AJ13" s="241">
        <v>0</v>
      </c>
      <c r="AK13" s="241"/>
      <c r="AL13" s="241"/>
      <c r="AM13" s="241"/>
      <c r="AN13" s="241">
        <v>0</v>
      </c>
      <c r="AO13" s="241"/>
      <c r="AP13" s="241"/>
      <c r="AQ13" s="241"/>
      <c r="AR13" s="241"/>
      <c r="AS13" s="241"/>
      <c r="AT13" s="241"/>
      <c r="AU13" s="241"/>
      <c r="AV13" s="241"/>
      <c r="AW13" s="241">
        <v>0</v>
      </c>
      <c r="AX13" s="241">
        <v>0</v>
      </c>
      <c r="AY13" s="241">
        <v>0</v>
      </c>
      <c r="AZ13" s="241">
        <v>0</v>
      </c>
      <c r="BA13" s="649">
        <f t="shared" si="2"/>
        <v>0</v>
      </c>
      <c r="BB13" s="649">
        <f t="shared" si="3"/>
        <v>0</v>
      </c>
      <c r="BC13" s="649">
        <f t="shared" si="4"/>
        <v>0</v>
      </c>
      <c r="BD13" s="649">
        <f t="shared" si="5"/>
        <v>0</v>
      </c>
      <c r="BE13" s="649">
        <f t="shared" si="6"/>
        <v>0</v>
      </c>
      <c r="BF13" s="648">
        <v>0</v>
      </c>
      <c r="BG13" s="649">
        <v>0</v>
      </c>
      <c r="BH13" s="649">
        <v>0</v>
      </c>
      <c r="BI13" s="649">
        <v>0</v>
      </c>
      <c r="BJ13" s="497">
        <v>0</v>
      </c>
      <c r="BK13" s="649">
        <v>0</v>
      </c>
      <c r="BL13" s="649">
        <v>0</v>
      </c>
      <c r="BM13" s="649">
        <v>0</v>
      </c>
      <c r="BN13" s="649">
        <v>0</v>
      </c>
      <c r="BO13" s="649">
        <v>0</v>
      </c>
      <c r="BP13" s="649">
        <v>0</v>
      </c>
      <c r="BQ13" s="649">
        <v>0</v>
      </c>
      <c r="BR13" s="649">
        <v>0</v>
      </c>
      <c r="BS13" s="649">
        <v>0</v>
      </c>
      <c r="BT13" s="649">
        <v>0</v>
      </c>
      <c r="BU13" s="649">
        <v>0</v>
      </c>
      <c r="BV13" s="649">
        <v>0</v>
      </c>
      <c r="BW13" s="649">
        <v>0</v>
      </c>
      <c r="BX13" s="649">
        <v>0</v>
      </c>
      <c r="BY13" s="649">
        <v>0</v>
      </c>
      <c r="BZ13" s="649">
        <v>0</v>
      </c>
      <c r="CA13" s="649">
        <v>0</v>
      </c>
      <c r="CB13" s="649">
        <v>0</v>
      </c>
      <c r="CC13" s="649">
        <v>0</v>
      </c>
      <c r="CD13" s="649">
        <v>0</v>
      </c>
      <c r="CE13" s="649">
        <f t="shared" si="7"/>
        <v>0</v>
      </c>
      <c r="CF13" s="649">
        <f t="shared" si="8"/>
        <v>0</v>
      </c>
      <c r="CG13" s="649">
        <f t="shared" si="8"/>
        <v>0</v>
      </c>
      <c r="CH13" s="649">
        <f t="shared" si="9"/>
        <v>0</v>
      </c>
      <c r="CI13" s="649">
        <f t="shared" si="9"/>
        <v>0</v>
      </c>
      <c r="CJ13" s="648">
        <v>0</v>
      </c>
      <c r="CK13" s="649">
        <v>0</v>
      </c>
      <c r="CL13" s="649">
        <v>0</v>
      </c>
      <c r="CM13" s="649">
        <v>0</v>
      </c>
      <c r="CN13" s="649">
        <v>0</v>
      </c>
      <c r="CO13" s="649">
        <v>0</v>
      </c>
      <c r="CP13" s="649">
        <v>0</v>
      </c>
      <c r="CQ13" s="649">
        <v>0</v>
      </c>
      <c r="CR13" s="649">
        <v>0</v>
      </c>
      <c r="CS13" s="649">
        <v>0</v>
      </c>
      <c r="CT13" s="649">
        <v>0</v>
      </c>
      <c r="CU13" s="652">
        <v>0</v>
      </c>
      <c r="CV13" s="652">
        <v>0</v>
      </c>
      <c r="CW13" s="649">
        <v>0</v>
      </c>
      <c r="CX13" s="649">
        <v>0</v>
      </c>
      <c r="CY13" s="649">
        <v>0</v>
      </c>
      <c r="CZ13" s="649">
        <v>0</v>
      </c>
      <c r="DA13" s="649">
        <v>0</v>
      </c>
      <c r="DB13" s="649">
        <v>0</v>
      </c>
      <c r="DC13" s="649">
        <v>0</v>
      </c>
      <c r="DD13" s="649"/>
      <c r="DE13" s="649">
        <v>0</v>
      </c>
      <c r="DF13" s="649"/>
      <c r="DG13" s="649">
        <v>0</v>
      </c>
      <c r="DH13" s="649"/>
      <c r="DI13" s="649">
        <f t="shared" ref="DI13:DI29" si="15">DG13+DE13+DC13+DA13+CW13+CY13+CU13+CS13+CQ13+CO13+CM13+CK13</f>
        <v>0</v>
      </c>
      <c r="DJ13" s="652">
        <f t="shared" si="10"/>
        <v>0</v>
      </c>
      <c r="DK13" s="649">
        <f t="shared" ref="DK13:DK15" si="16">CL13+CN13+CP13+CR13+CT13+CV13+CX13+CZ13+DB13+DD13+DF13+DH13</f>
        <v>0</v>
      </c>
      <c r="DL13" s="649">
        <f t="shared" si="12"/>
        <v>0</v>
      </c>
      <c r="DM13" s="649">
        <f>DK13</f>
        <v>0</v>
      </c>
      <c r="DN13" s="648"/>
      <c r="DO13" s="649"/>
      <c r="DP13" s="649"/>
      <c r="DQ13" s="649"/>
      <c r="DR13" s="649"/>
      <c r="DS13" s="649"/>
      <c r="DT13" s="649"/>
      <c r="DU13" s="649"/>
      <c r="DV13" s="649"/>
      <c r="DW13" s="649"/>
      <c r="DX13" s="649"/>
      <c r="DY13" s="649"/>
      <c r="DZ13" s="649"/>
      <c r="EA13" s="649"/>
      <c r="EB13" s="649"/>
      <c r="EC13" s="649"/>
      <c r="ED13" s="649"/>
      <c r="EE13" s="649"/>
      <c r="EF13" s="649"/>
      <c r="EG13" s="649"/>
      <c r="EH13" s="649"/>
      <c r="EI13" s="649"/>
      <c r="EJ13" s="649"/>
      <c r="EK13" s="649"/>
      <c r="EL13" s="649"/>
      <c r="EM13" s="649"/>
      <c r="EN13" s="649"/>
      <c r="EO13" s="649"/>
      <c r="EP13" s="649"/>
      <c r="EQ13" s="649"/>
      <c r="ER13" s="654">
        <f t="shared" si="14"/>
        <v>0</v>
      </c>
      <c r="ES13" s="655">
        <f>IFERROR(DK13/DJ13,0)</f>
        <v>0</v>
      </c>
      <c r="ET13" s="656">
        <f t="shared" si="11"/>
        <v>0</v>
      </c>
      <c r="EU13" s="657">
        <f t="shared" si="0"/>
        <v>0</v>
      </c>
      <c r="EV13" s="658">
        <f>IFERROR((AA13+BE13+CI13+DM13)/G13,0)</f>
        <v>0</v>
      </c>
      <c r="EW13" s="854"/>
      <c r="EX13" s="858"/>
      <c r="EY13" s="858"/>
      <c r="EZ13" s="858"/>
      <c r="FA13" s="858"/>
    </row>
    <row r="14" spans="1:208" s="221" customFormat="1" ht="60.75" customHeight="1" x14ac:dyDescent="0.25">
      <c r="A14" s="901"/>
      <c r="B14" s="903"/>
      <c r="C14" s="906"/>
      <c r="D14" s="906"/>
      <c r="E14" s="910"/>
      <c r="F14" s="283" t="s">
        <v>4</v>
      </c>
      <c r="G14" s="239">
        <f>AA14+BE14+CI14+DL14+DN14</f>
        <v>1826431398</v>
      </c>
      <c r="H14" s="239"/>
      <c r="I14" s="239"/>
      <c r="J14" s="239"/>
      <c r="K14" s="239"/>
      <c r="L14" s="239"/>
      <c r="M14" s="239"/>
      <c r="N14" s="239"/>
      <c r="O14" s="239"/>
      <c r="P14" s="239"/>
      <c r="Q14" s="239"/>
      <c r="R14" s="239"/>
      <c r="S14" s="239"/>
      <c r="T14" s="239"/>
      <c r="U14" s="239"/>
      <c r="V14" s="239"/>
      <c r="W14" s="239">
        <f>K14</f>
        <v>0</v>
      </c>
      <c r="X14" s="239">
        <f t="shared" si="1"/>
        <v>0</v>
      </c>
      <c r="Y14" s="239">
        <f t="shared" si="1"/>
        <v>0</v>
      </c>
      <c r="Z14" s="239">
        <v>0</v>
      </c>
      <c r="AA14" s="239">
        <v>0</v>
      </c>
      <c r="AB14" s="239">
        <v>1102346579</v>
      </c>
      <c r="AC14" s="239">
        <v>215147433</v>
      </c>
      <c r="AD14" s="239">
        <v>215147433</v>
      </c>
      <c r="AE14" s="239">
        <v>352022479</v>
      </c>
      <c r="AF14" s="239">
        <f>567169912-AD14</f>
        <v>352022479</v>
      </c>
      <c r="AG14" s="239">
        <v>306949120</v>
      </c>
      <c r="AH14" s="239">
        <f>874119032-AF14-AD14</f>
        <v>306949120</v>
      </c>
      <c r="AI14" s="239">
        <v>110956632</v>
      </c>
      <c r="AJ14" s="239">
        <f>985075664-AH14-AF14-AD14</f>
        <v>110956632</v>
      </c>
      <c r="AK14" s="239">
        <v>47503633</v>
      </c>
      <c r="AL14" s="239">
        <f>1032579297-AJ14-AH14-AF14-AD14</f>
        <v>47503633</v>
      </c>
      <c r="AM14" s="239">
        <v>27631517</v>
      </c>
      <c r="AN14" s="239">
        <v>9597876</v>
      </c>
      <c r="AO14" s="239">
        <v>24221693</v>
      </c>
      <c r="AP14" s="239">
        <v>11552967</v>
      </c>
      <c r="AQ14" s="239"/>
      <c r="AR14" s="239">
        <v>3746000</v>
      </c>
      <c r="AS14" s="239"/>
      <c r="AT14" s="239">
        <v>7933367</v>
      </c>
      <c r="AU14" s="239"/>
      <c r="AV14" s="239">
        <v>2573700</v>
      </c>
      <c r="AW14" s="239">
        <v>0</v>
      </c>
      <c r="AX14" s="239">
        <v>3021300</v>
      </c>
      <c r="AY14" s="239">
        <v>-10518600</v>
      </c>
      <c r="AZ14" s="239"/>
      <c r="BA14" s="239">
        <f t="shared" si="2"/>
        <v>1073913907</v>
      </c>
      <c r="BB14" s="239">
        <f t="shared" si="3"/>
        <v>1073913907</v>
      </c>
      <c r="BC14" s="239">
        <f t="shared" si="4"/>
        <v>1071004507</v>
      </c>
      <c r="BD14" s="239">
        <f t="shared" si="5"/>
        <v>1073913907</v>
      </c>
      <c r="BE14" s="239">
        <f t="shared" si="6"/>
        <v>1071004507</v>
      </c>
      <c r="BF14" s="239">
        <v>366006108</v>
      </c>
      <c r="BG14" s="239">
        <v>197460107</v>
      </c>
      <c r="BH14" s="239">
        <v>197460107</v>
      </c>
      <c r="BI14" s="239">
        <v>129455335</v>
      </c>
      <c r="BJ14" s="239">
        <v>46494600</v>
      </c>
      <c r="BK14" s="239">
        <f>12096000-16622666</f>
        <v>-4526666</v>
      </c>
      <c r="BL14" s="239">
        <v>28568929</v>
      </c>
      <c r="BM14" s="239">
        <v>10096000</v>
      </c>
      <c r="BN14" s="239">
        <v>29846014</v>
      </c>
      <c r="BO14" s="239">
        <f>140000-910058</f>
        <v>-770058</v>
      </c>
      <c r="BP14" s="239">
        <v>2580200</v>
      </c>
      <c r="BQ14" s="239">
        <v>136000</v>
      </c>
      <c r="BR14" s="239">
        <v>139200</v>
      </c>
      <c r="BS14" s="239">
        <v>0</v>
      </c>
      <c r="BT14" s="239">
        <v>6875734</v>
      </c>
      <c r="BU14" s="239">
        <v>0</v>
      </c>
      <c r="BV14" s="239">
        <v>0</v>
      </c>
      <c r="BW14" s="239">
        <v>0</v>
      </c>
      <c r="BX14" s="239">
        <v>1604400</v>
      </c>
      <c r="BY14" s="239">
        <v>0</v>
      </c>
      <c r="BZ14" s="239">
        <v>0</v>
      </c>
      <c r="CA14" s="239">
        <v>0</v>
      </c>
      <c r="CB14" s="239">
        <v>0</v>
      </c>
      <c r="CC14" s="239">
        <v>12617866</v>
      </c>
      <c r="CD14" s="239">
        <v>0</v>
      </c>
      <c r="CE14" s="239">
        <f t="shared" si="7"/>
        <v>344468584</v>
      </c>
      <c r="CF14" s="239">
        <f t="shared" si="8"/>
        <v>344468584</v>
      </c>
      <c r="CG14" s="239">
        <f t="shared" si="8"/>
        <v>313569184</v>
      </c>
      <c r="CH14" s="239">
        <f t="shared" si="9"/>
        <v>344468584</v>
      </c>
      <c r="CI14" s="239">
        <f t="shared" si="9"/>
        <v>313569184</v>
      </c>
      <c r="CJ14" s="608">
        <f>DI14</f>
        <v>441857707</v>
      </c>
      <c r="CK14" s="239">
        <v>106914766</v>
      </c>
      <c r="CL14" s="239">
        <v>106914766</v>
      </c>
      <c r="CM14" s="239">
        <v>192616478</v>
      </c>
      <c r="CN14" s="239">
        <v>192616478</v>
      </c>
      <c r="CO14" s="239">
        <v>34274580</v>
      </c>
      <c r="CP14" s="239">
        <v>34274580</v>
      </c>
      <c r="CQ14" s="239">
        <v>75172930</v>
      </c>
      <c r="CR14" s="239">
        <v>24304125</v>
      </c>
      <c r="CS14" s="588">
        <f>34492953-9310000</f>
        <v>25182953</v>
      </c>
      <c r="CT14" s="588">
        <v>36052125</v>
      </c>
      <c r="CU14" s="608">
        <f>7696000</f>
        <v>7696000</v>
      </c>
      <c r="CV14" s="608">
        <v>5067268</v>
      </c>
      <c r="CW14" s="609">
        <v>0</v>
      </c>
      <c r="CX14" s="609">
        <v>6591934</v>
      </c>
      <c r="CY14" s="239">
        <v>0</v>
      </c>
      <c r="CZ14" s="239">
        <v>2577431</v>
      </c>
      <c r="DA14" s="239">
        <v>0</v>
      </c>
      <c r="DB14" s="239">
        <v>3623900</v>
      </c>
      <c r="DC14" s="239"/>
      <c r="DD14" s="239"/>
      <c r="DE14" s="239"/>
      <c r="DF14" s="239"/>
      <c r="DG14" s="239"/>
      <c r="DH14" s="239"/>
      <c r="DI14" s="239">
        <f t="shared" si="15"/>
        <v>441857707</v>
      </c>
      <c r="DJ14" s="652">
        <f t="shared" si="10"/>
        <v>441857707</v>
      </c>
      <c r="DK14" s="649">
        <f>CL14+CN14+CP14+CR14+CT14+CV14+CX14+CZ14+DB14+DD14+DF14+DH14</f>
        <v>412022607</v>
      </c>
      <c r="DL14" s="239">
        <f t="shared" si="12"/>
        <v>441857707</v>
      </c>
      <c r="DM14" s="239">
        <f t="shared" si="13"/>
        <v>412022607</v>
      </c>
      <c r="DN14" s="239"/>
      <c r="DO14" s="649"/>
      <c r="DP14" s="649"/>
      <c r="DQ14" s="649"/>
      <c r="DR14" s="649"/>
      <c r="DS14" s="649"/>
      <c r="DT14" s="649"/>
      <c r="DU14" s="649"/>
      <c r="DV14" s="649"/>
      <c r="DW14" s="649"/>
      <c r="DX14" s="649"/>
      <c r="DY14" s="649"/>
      <c r="DZ14" s="649"/>
      <c r="EA14" s="649"/>
      <c r="EB14" s="649"/>
      <c r="EC14" s="649"/>
      <c r="ED14" s="649"/>
      <c r="EE14" s="649"/>
      <c r="EF14" s="649"/>
      <c r="EG14" s="649"/>
      <c r="EH14" s="649"/>
      <c r="EI14" s="649"/>
      <c r="EJ14" s="649"/>
      <c r="EK14" s="649"/>
      <c r="EL14" s="649"/>
      <c r="EM14" s="649"/>
      <c r="EN14" s="649"/>
      <c r="EO14" s="649"/>
      <c r="EP14" s="649"/>
      <c r="EQ14" s="649"/>
      <c r="ER14" s="654">
        <f t="shared" si="14"/>
        <v>0</v>
      </c>
      <c r="ES14" s="655">
        <f t="shared" ref="ES14:ES29" si="17">IFERROR(DK14/DJ14,0)</f>
        <v>0.93247803641908633</v>
      </c>
      <c r="ET14" s="656">
        <f t="shared" si="11"/>
        <v>0.93247803641908633</v>
      </c>
      <c r="EU14" s="657">
        <f t="shared" si="0"/>
        <v>0.96578726765047573</v>
      </c>
      <c r="EV14" s="658">
        <f t="shared" ref="EV14:EV29" si="18">(AA14+BE14+CI14+DM14)/G14</f>
        <v>0.98366481213985346</v>
      </c>
      <c r="EW14" s="854"/>
      <c r="EX14" s="858"/>
      <c r="EY14" s="858"/>
      <c r="EZ14" s="858"/>
      <c r="FA14" s="858"/>
      <c r="FB14" s="8"/>
      <c r="FC14" s="8"/>
      <c r="FD14" s="8"/>
      <c r="FE14" s="8"/>
    </row>
    <row r="15" spans="1:208" s="222" customFormat="1" ht="57.75" customHeight="1" thickBot="1" x14ac:dyDescent="0.3">
      <c r="A15" s="901"/>
      <c r="B15" s="903"/>
      <c r="C15" s="906"/>
      <c r="D15" s="906"/>
      <c r="E15" s="910"/>
      <c r="F15" s="284" t="s">
        <v>43</v>
      </c>
      <c r="G15" s="506">
        <f>G10+G13</f>
        <v>1</v>
      </c>
      <c r="H15" s="507">
        <v>1</v>
      </c>
      <c r="I15" s="662"/>
      <c r="J15" s="662"/>
      <c r="K15" s="662">
        <v>1</v>
      </c>
      <c r="L15" s="662">
        <v>0</v>
      </c>
      <c r="M15" s="662">
        <v>1</v>
      </c>
      <c r="N15" s="662">
        <v>0.25</v>
      </c>
      <c r="O15" s="662">
        <v>1</v>
      </c>
      <c r="P15" s="662">
        <v>0.46</v>
      </c>
      <c r="Q15" s="662">
        <v>1</v>
      </c>
      <c r="R15" s="663">
        <v>0.65</v>
      </c>
      <c r="S15" s="662">
        <v>1</v>
      </c>
      <c r="T15" s="662">
        <v>0.85</v>
      </c>
      <c r="U15" s="662">
        <v>1</v>
      </c>
      <c r="V15" s="662">
        <v>1</v>
      </c>
      <c r="W15" s="663">
        <f>K15</f>
        <v>1</v>
      </c>
      <c r="X15" s="663">
        <f t="shared" si="1"/>
        <v>1</v>
      </c>
      <c r="Y15" s="663">
        <f t="shared" si="1"/>
        <v>1</v>
      </c>
      <c r="Z15" s="662">
        <v>1</v>
      </c>
      <c r="AA15" s="662">
        <f>AA10+AA13</f>
        <v>1</v>
      </c>
      <c r="AB15" s="662">
        <f t="shared" ref="AB15:CM15" si="19">AB10+AB13</f>
        <v>1</v>
      </c>
      <c r="AC15" s="662">
        <f t="shared" si="19"/>
        <v>9.1999999999999998E-2</v>
      </c>
      <c r="AD15" s="662">
        <f t="shared" si="19"/>
        <v>9.1999999999999998E-2</v>
      </c>
      <c r="AE15" s="662">
        <f t="shared" si="19"/>
        <v>9.8000000000000004E-2</v>
      </c>
      <c r="AF15" s="662">
        <f t="shared" si="19"/>
        <v>7.8000000000000014E-2</v>
      </c>
      <c r="AG15" s="662">
        <f t="shared" si="19"/>
        <v>9.0000000000000024E-2</v>
      </c>
      <c r="AH15" s="662">
        <f t="shared" si="19"/>
        <v>4.0299999999999975E-2</v>
      </c>
      <c r="AI15" s="662">
        <f t="shared" si="19"/>
        <v>5.3999999999999992E-2</v>
      </c>
      <c r="AJ15" s="662">
        <f t="shared" si="19"/>
        <v>0.10570000000000004</v>
      </c>
      <c r="AK15" s="662">
        <f t="shared" si="19"/>
        <v>8.9999999999999969E-2</v>
      </c>
      <c r="AL15" s="662">
        <f t="shared" si="19"/>
        <v>0.1039999999999999</v>
      </c>
      <c r="AM15" s="662">
        <f t="shared" si="19"/>
        <v>9.0000000000000024E-2</v>
      </c>
      <c r="AN15" s="662">
        <f t="shared" si="19"/>
        <v>9.4000000000000111E-2</v>
      </c>
      <c r="AO15" s="662">
        <f t="shared" si="19"/>
        <v>8.6000000000000021E-2</v>
      </c>
      <c r="AP15" s="662">
        <f t="shared" si="19"/>
        <v>0.08</v>
      </c>
      <c r="AQ15" s="662">
        <f t="shared" si="19"/>
        <v>0.09</v>
      </c>
      <c r="AR15" s="662">
        <f t="shared" si="19"/>
        <v>0.08</v>
      </c>
      <c r="AS15" s="662">
        <f t="shared" si="19"/>
        <v>9.0000000000000024E-2</v>
      </c>
      <c r="AT15" s="662">
        <f t="shared" si="19"/>
        <v>9.7000000000000003E-2</v>
      </c>
      <c r="AU15" s="662">
        <f t="shared" si="19"/>
        <v>8.0000000000000016E-2</v>
      </c>
      <c r="AV15" s="662">
        <f t="shared" si="19"/>
        <v>8.3199999999999996E-2</v>
      </c>
      <c r="AW15" s="662">
        <f t="shared" si="19"/>
        <v>7.0000000000000062E-2</v>
      </c>
      <c r="AX15" s="662">
        <f t="shared" si="19"/>
        <v>9.06E-2</v>
      </c>
      <c r="AY15" s="662">
        <f t="shared" si="19"/>
        <v>6.999999999999984E-2</v>
      </c>
      <c r="AZ15" s="662">
        <f t="shared" si="19"/>
        <v>0.06</v>
      </c>
      <c r="BA15" s="662">
        <f t="shared" si="19"/>
        <v>1</v>
      </c>
      <c r="BB15" s="662">
        <f t="shared" si="19"/>
        <v>1</v>
      </c>
      <c r="BC15" s="662">
        <f t="shared" si="19"/>
        <v>1.0047999999999999</v>
      </c>
      <c r="BD15" s="662">
        <f t="shared" si="19"/>
        <v>1</v>
      </c>
      <c r="BE15" s="662">
        <f t="shared" si="19"/>
        <v>1.0047999999999999</v>
      </c>
      <c r="BF15" s="662">
        <f t="shared" si="19"/>
        <v>1</v>
      </c>
      <c r="BG15" s="662">
        <f t="shared" si="19"/>
        <v>1.4999999999999999E-2</v>
      </c>
      <c r="BH15" s="662">
        <f t="shared" si="19"/>
        <v>0.02</v>
      </c>
      <c r="BI15" s="662">
        <f t="shared" si="19"/>
        <v>0.08</v>
      </c>
      <c r="BJ15" s="662">
        <f t="shared" si="19"/>
        <v>0.13</v>
      </c>
      <c r="BK15" s="662">
        <f t="shared" si="19"/>
        <v>0.09</v>
      </c>
      <c r="BL15" s="662">
        <f t="shared" si="19"/>
        <v>8.1000000000000003E-2</v>
      </c>
      <c r="BM15" s="662">
        <f t="shared" si="19"/>
        <v>0.09</v>
      </c>
      <c r="BN15" s="662">
        <f t="shared" si="19"/>
        <v>8.1000000000000003E-2</v>
      </c>
      <c r="BO15" s="662">
        <f t="shared" si="19"/>
        <v>0.09</v>
      </c>
      <c r="BP15" s="662">
        <f t="shared" si="19"/>
        <v>0.08</v>
      </c>
      <c r="BQ15" s="662">
        <f t="shared" si="19"/>
        <v>0.09</v>
      </c>
      <c r="BR15" s="662">
        <f t="shared" si="19"/>
        <v>0.11</v>
      </c>
      <c r="BS15" s="662">
        <f t="shared" si="19"/>
        <v>0.09</v>
      </c>
      <c r="BT15" s="662">
        <f t="shared" si="19"/>
        <v>8.0299999999999996E-2</v>
      </c>
      <c r="BU15" s="662">
        <f t="shared" si="19"/>
        <v>0.09</v>
      </c>
      <c r="BV15" s="662">
        <f t="shared" si="19"/>
        <v>7.8755999999999826E-2</v>
      </c>
      <c r="BW15" s="662">
        <f t="shared" si="19"/>
        <v>0.09</v>
      </c>
      <c r="BX15" s="662">
        <f t="shared" si="19"/>
        <v>0.1</v>
      </c>
      <c r="BY15" s="662">
        <f t="shared" si="19"/>
        <v>0.09</v>
      </c>
      <c r="BZ15" s="662">
        <f t="shared" si="19"/>
        <v>8.2199999999999995E-2</v>
      </c>
      <c r="CA15" s="662">
        <f t="shared" si="19"/>
        <v>0.09</v>
      </c>
      <c r="CB15" s="662">
        <f t="shared" si="19"/>
        <v>0.08</v>
      </c>
      <c r="CC15" s="662">
        <f t="shared" si="19"/>
        <v>9.5000000000000001E-2</v>
      </c>
      <c r="CD15" s="662">
        <f t="shared" si="19"/>
        <v>7.6700000000000004E-2</v>
      </c>
      <c r="CE15" s="662">
        <f t="shared" si="19"/>
        <v>0.99999999999999978</v>
      </c>
      <c r="CF15" s="662">
        <f t="shared" si="19"/>
        <v>0.99999999999999978</v>
      </c>
      <c r="CG15" s="662">
        <f t="shared" si="19"/>
        <v>0.99995599999999973</v>
      </c>
      <c r="CH15" s="662">
        <f t="shared" si="19"/>
        <v>0.99999999999999978</v>
      </c>
      <c r="CI15" s="662">
        <f t="shared" si="19"/>
        <v>0.99995599999999973</v>
      </c>
      <c r="CJ15" s="662">
        <f t="shared" si="19"/>
        <v>1</v>
      </c>
      <c r="CK15" s="664">
        <f t="shared" si="19"/>
        <v>0.03</v>
      </c>
      <c r="CL15" s="664">
        <f t="shared" si="19"/>
        <v>0.03</v>
      </c>
      <c r="CM15" s="664">
        <f t="shared" si="19"/>
        <v>0.14000000000000001</v>
      </c>
      <c r="CN15" s="664">
        <f t="shared" ref="CN15:DH15" si="20">CN10+CN13</f>
        <v>0.14599999999999999</v>
      </c>
      <c r="CO15" s="662">
        <f t="shared" si="20"/>
        <v>0.08</v>
      </c>
      <c r="CP15" s="662">
        <f t="shared" si="20"/>
        <v>0.08</v>
      </c>
      <c r="CQ15" s="662">
        <f t="shared" si="20"/>
        <v>0.1</v>
      </c>
      <c r="CR15" s="662">
        <f t="shared" si="20"/>
        <v>7.0000000000000007E-2</v>
      </c>
      <c r="CS15" s="662">
        <f t="shared" si="20"/>
        <v>0.1</v>
      </c>
      <c r="CT15" s="662">
        <f t="shared" si="20"/>
        <v>7.4999999999999997E-2</v>
      </c>
      <c r="CU15" s="665">
        <f t="shared" si="20"/>
        <v>0.1</v>
      </c>
      <c r="CV15" s="665">
        <f t="shared" si="20"/>
        <v>0.105</v>
      </c>
      <c r="CW15" s="662">
        <f t="shared" si="20"/>
        <v>0.1</v>
      </c>
      <c r="CX15" s="662">
        <f t="shared" si="20"/>
        <v>0.08</v>
      </c>
      <c r="CY15" s="662">
        <f t="shared" si="20"/>
        <v>0.09</v>
      </c>
      <c r="CZ15" s="662">
        <f t="shared" si="20"/>
        <v>8.6999999999999994E-2</v>
      </c>
      <c r="DA15" s="662">
        <f t="shared" si="20"/>
        <v>0.08</v>
      </c>
      <c r="DB15" s="662">
        <f t="shared" si="20"/>
        <v>0.11</v>
      </c>
      <c r="DC15" s="662">
        <f t="shared" si="20"/>
        <v>7.0000000000000007E-2</v>
      </c>
      <c r="DD15" s="662">
        <f t="shared" si="20"/>
        <v>0</v>
      </c>
      <c r="DE15" s="662">
        <f t="shared" si="20"/>
        <v>0.06</v>
      </c>
      <c r="DF15" s="662">
        <f t="shared" si="20"/>
        <v>0</v>
      </c>
      <c r="DG15" s="662">
        <f t="shared" si="20"/>
        <v>0.05</v>
      </c>
      <c r="DH15" s="662">
        <f t="shared" si="20"/>
        <v>0</v>
      </c>
      <c r="DI15" s="666">
        <f t="shared" si="15"/>
        <v>0.99999999999999989</v>
      </c>
      <c r="DJ15" s="705">
        <f t="shared" si="10"/>
        <v>0.81999999999999984</v>
      </c>
      <c r="DK15" s="666">
        <f t="shared" si="16"/>
        <v>0.78299999999999992</v>
      </c>
      <c r="DL15" s="666">
        <f t="shared" si="12"/>
        <v>0.99999999999999989</v>
      </c>
      <c r="DM15" s="666">
        <f t="shared" si="13"/>
        <v>0.78299999999999992</v>
      </c>
      <c r="DN15" s="662">
        <f>DN10+DN13</f>
        <v>1</v>
      </c>
      <c r="DO15" s="666"/>
      <c r="DP15" s="666"/>
      <c r="DQ15" s="666"/>
      <c r="DR15" s="666"/>
      <c r="DS15" s="666"/>
      <c r="DT15" s="666"/>
      <c r="DU15" s="666"/>
      <c r="DV15" s="666"/>
      <c r="DW15" s="666"/>
      <c r="DX15" s="666"/>
      <c r="DY15" s="666"/>
      <c r="DZ15" s="666"/>
      <c r="EA15" s="666"/>
      <c r="EB15" s="666"/>
      <c r="EC15" s="666"/>
      <c r="ED15" s="666"/>
      <c r="EE15" s="666"/>
      <c r="EF15" s="666"/>
      <c r="EG15" s="666"/>
      <c r="EH15" s="666"/>
      <c r="EI15" s="666"/>
      <c r="EJ15" s="666"/>
      <c r="EK15" s="666"/>
      <c r="EL15" s="666"/>
      <c r="EM15" s="666"/>
      <c r="EN15" s="666"/>
      <c r="EO15" s="666"/>
      <c r="EP15" s="666"/>
      <c r="EQ15" s="666"/>
      <c r="ER15" s="706">
        <f t="shared" si="14"/>
        <v>1.375</v>
      </c>
      <c r="ES15" s="667">
        <f>IFERROR(DK15/DJ15,0)</f>
        <v>0.95487804878048788</v>
      </c>
      <c r="ET15" s="668">
        <f t="shared" si="11"/>
        <v>0.78300000000000003</v>
      </c>
      <c r="EU15" s="669">
        <f t="shared" si="0"/>
        <v>0.99155916230366481</v>
      </c>
      <c r="EV15" s="670">
        <f>(AA15+BE15+CI15+DM15)/5</f>
        <v>0.75755119999999987</v>
      </c>
      <c r="EW15" s="854"/>
      <c r="EX15" s="858"/>
      <c r="EY15" s="858"/>
      <c r="EZ15" s="858"/>
      <c r="FA15" s="858"/>
    </row>
    <row r="16" spans="1:208" s="223" customFormat="1" ht="39" customHeight="1" thickBot="1" x14ac:dyDescent="0.3">
      <c r="A16" s="901"/>
      <c r="B16" s="904"/>
      <c r="C16" s="907"/>
      <c r="D16" s="907"/>
      <c r="E16" s="911"/>
      <c r="F16" s="365" t="s">
        <v>45</v>
      </c>
      <c r="G16" s="516">
        <f>G11+G14</f>
        <v>21969214232</v>
      </c>
      <c r="H16" s="516">
        <f t="shared" ref="H16:Z16" si="21">H11+H14</f>
        <v>2729118190</v>
      </c>
      <c r="I16" s="516">
        <f t="shared" si="21"/>
        <v>0</v>
      </c>
      <c r="J16" s="516">
        <f t="shared" si="21"/>
        <v>0</v>
      </c>
      <c r="K16" s="516">
        <f t="shared" si="21"/>
        <v>2729118190</v>
      </c>
      <c r="L16" s="516">
        <f t="shared" si="21"/>
        <v>61765000</v>
      </c>
      <c r="M16" s="516">
        <f t="shared" si="21"/>
        <v>2729118190</v>
      </c>
      <c r="N16" s="516">
        <f t="shared" si="21"/>
        <v>1624576000</v>
      </c>
      <c r="O16" s="516">
        <f t="shared" si="21"/>
        <v>2729118190</v>
      </c>
      <c r="P16" s="516">
        <f t="shared" si="21"/>
        <v>1781560000</v>
      </c>
      <c r="Q16" s="516">
        <f t="shared" si="21"/>
        <v>2729118190</v>
      </c>
      <c r="R16" s="516">
        <f t="shared" si="21"/>
        <v>1796256255</v>
      </c>
      <c r="S16" s="516">
        <f t="shared" si="21"/>
        <v>2729118190</v>
      </c>
      <c r="T16" s="516">
        <f t="shared" si="21"/>
        <v>2025564031</v>
      </c>
      <c r="U16" s="516">
        <f t="shared" si="21"/>
        <v>2729118190</v>
      </c>
      <c r="V16" s="516">
        <f t="shared" si="21"/>
        <v>2693651241</v>
      </c>
      <c r="W16" s="516">
        <f t="shared" si="21"/>
        <v>2729118190</v>
      </c>
      <c r="X16" s="516">
        <f t="shared" si="21"/>
        <v>2729118190</v>
      </c>
      <c r="Y16" s="516">
        <f t="shared" si="21"/>
        <v>2693651241</v>
      </c>
      <c r="Z16" s="516">
        <f t="shared" si="21"/>
        <v>2729118190</v>
      </c>
      <c r="AA16" s="517">
        <f t="shared" ref="AA16:BS16" si="22">AA11+AA14</f>
        <v>2693651241</v>
      </c>
      <c r="AB16" s="517">
        <f t="shared" si="22"/>
        <v>4884591310</v>
      </c>
      <c r="AC16" s="517">
        <f t="shared" si="22"/>
        <v>215147433</v>
      </c>
      <c r="AD16" s="517">
        <f t="shared" si="22"/>
        <v>215147433</v>
      </c>
      <c r="AE16" s="517">
        <f t="shared" si="22"/>
        <v>3691468479</v>
      </c>
      <c r="AF16" s="517">
        <f t="shared" si="22"/>
        <v>1394061479</v>
      </c>
      <c r="AG16" s="517">
        <f t="shared" si="22"/>
        <v>536137320</v>
      </c>
      <c r="AH16" s="517">
        <f t="shared" si="22"/>
        <v>2416319120</v>
      </c>
      <c r="AI16" s="517">
        <f t="shared" si="22"/>
        <v>110956632</v>
      </c>
      <c r="AJ16" s="517">
        <f t="shared" si="22"/>
        <v>350167632</v>
      </c>
      <c r="AK16" s="517">
        <f t="shared" si="22"/>
        <v>58353633</v>
      </c>
      <c r="AL16" s="517">
        <f t="shared" si="22"/>
        <v>54548183</v>
      </c>
      <c r="AM16" s="517">
        <f t="shared" si="22"/>
        <v>27631517</v>
      </c>
      <c r="AN16" s="517">
        <f t="shared" si="22"/>
        <v>171130056</v>
      </c>
      <c r="AO16" s="517">
        <f t="shared" si="22"/>
        <v>68044493</v>
      </c>
      <c r="AP16" s="517">
        <f t="shared" si="22"/>
        <v>11552967</v>
      </c>
      <c r="AQ16" s="517">
        <f t="shared" si="22"/>
        <v>0</v>
      </c>
      <c r="AR16" s="517">
        <f t="shared" si="22"/>
        <v>15550000</v>
      </c>
      <c r="AS16" s="517">
        <f t="shared" si="22"/>
        <v>0</v>
      </c>
      <c r="AT16" s="517">
        <f t="shared" si="22"/>
        <v>62546367</v>
      </c>
      <c r="AU16" s="517">
        <f t="shared" si="22"/>
        <v>24324000</v>
      </c>
      <c r="AV16" s="517">
        <f t="shared" si="22"/>
        <v>26770367</v>
      </c>
      <c r="AW16" s="517">
        <f t="shared" si="22"/>
        <v>57295200</v>
      </c>
      <c r="AX16" s="517">
        <f t="shared" si="22"/>
        <v>69614001</v>
      </c>
      <c r="AY16" s="517">
        <f t="shared" si="22"/>
        <v>66799931</v>
      </c>
      <c r="AZ16" s="517">
        <f t="shared" si="22"/>
        <v>61799866</v>
      </c>
      <c r="BA16" s="517">
        <f t="shared" si="22"/>
        <v>4856158638</v>
      </c>
      <c r="BB16" s="517">
        <f t="shared" si="22"/>
        <v>4856158638</v>
      </c>
      <c r="BC16" s="517">
        <f t="shared" si="22"/>
        <v>4849207471</v>
      </c>
      <c r="BD16" s="517">
        <f t="shared" si="22"/>
        <v>4856158638</v>
      </c>
      <c r="BE16" s="517">
        <f t="shared" si="22"/>
        <v>4849207471</v>
      </c>
      <c r="BF16" s="517">
        <f t="shared" si="22"/>
        <v>6262440108</v>
      </c>
      <c r="BG16" s="517">
        <f t="shared" si="22"/>
        <v>5857175107</v>
      </c>
      <c r="BH16" s="517">
        <f t="shared" si="22"/>
        <v>5792440107</v>
      </c>
      <c r="BI16" s="517">
        <f t="shared" si="22"/>
        <v>152083335</v>
      </c>
      <c r="BJ16" s="517">
        <f t="shared" si="22"/>
        <v>97274600</v>
      </c>
      <c r="BK16" s="517">
        <f t="shared" si="22"/>
        <v>18789334</v>
      </c>
      <c r="BL16" s="517">
        <f t="shared" si="22"/>
        <v>47277929</v>
      </c>
      <c r="BM16" s="517">
        <f t="shared" si="22"/>
        <v>10096000</v>
      </c>
      <c r="BN16" s="517">
        <f t="shared" si="22"/>
        <v>29846014</v>
      </c>
      <c r="BO16" s="517">
        <f t="shared" si="22"/>
        <v>-770058</v>
      </c>
      <c r="BP16" s="517">
        <f t="shared" si="22"/>
        <v>2580200</v>
      </c>
      <c r="BQ16" s="517">
        <f t="shared" si="22"/>
        <v>12813000</v>
      </c>
      <c r="BR16" s="517">
        <f t="shared" si="22"/>
        <v>34109200</v>
      </c>
      <c r="BS16" s="517">
        <f t="shared" si="22"/>
        <v>154634000</v>
      </c>
      <c r="BT16" s="517">
        <f t="shared" ref="BT16:DM16" si="23">BT11+BT14</f>
        <v>9785134</v>
      </c>
      <c r="BU16" s="517">
        <f t="shared" si="23"/>
        <v>10674000</v>
      </c>
      <c r="BV16" s="517">
        <f t="shared" si="23"/>
        <v>51152500</v>
      </c>
      <c r="BW16" s="517">
        <f t="shared" si="23"/>
        <v>0</v>
      </c>
      <c r="BX16" s="517">
        <f t="shared" si="23"/>
        <v>10697400</v>
      </c>
      <c r="BY16" s="517">
        <f t="shared" si="23"/>
        <v>8982800</v>
      </c>
      <c r="BZ16" s="517">
        <f t="shared" si="23"/>
        <v>8271767</v>
      </c>
      <c r="CA16" s="517">
        <f t="shared" si="23"/>
        <v>453944268</v>
      </c>
      <c r="CB16" s="517">
        <f t="shared" si="23"/>
        <v>484885996</v>
      </c>
      <c r="CC16" s="517">
        <f t="shared" si="23"/>
        <v>57054864</v>
      </c>
      <c r="CD16" s="517">
        <f t="shared" si="23"/>
        <v>121784966</v>
      </c>
      <c r="CE16" s="517">
        <f t="shared" si="23"/>
        <v>6735476650</v>
      </c>
      <c r="CF16" s="517">
        <f t="shared" si="23"/>
        <v>6735476650</v>
      </c>
      <c r="CG16" s="517">
        <f t="shared" si="23"/>
        <v>6690105813</v>
      </c>
      <c r="CH16" s="517">
        <f t="shared" si="23"/>
        <v>6735476650</v>
      </c>
      <c r="CI16" s="517">
        <f t="shared" si="23"/>
        <v>6690105813</v>
      </c>
      <c r="CJ16" s="517">
        <f t="shared" si="23"/>
        <v>4923621707</v>
      </c>
      <c r="CK16" s="517">
        <f t="shared" si="23"/>
        <v>1475970766</v>
      </c>
      <c r="CL16" s="517">
        <f t="shared" si="23"/>
        <v>1475970766</v>
      </c>
      <c r="CM16" s="517">
        <f t="shared" si="23"/>
        <v>2232200478</v>
      </c>
      <c r="CN16" s="517">
        <f t="shared" si="23"/>
        <v>2232200478</v>
      </c>
      <c r="CO16" s="517">
        <f t="shared" si="23"/>
        <v>858881580</v>
      </c>
      <c r="CP16" s="517">
        <f t="shared" si="23"/>
        <v>858881580</v>
      </c>
      <c r="CQ16" s="517">
        <f t="shared" si="23"/>
        <v>208270930</v>
      </c>
      <c r="CR16" s="517">
        <f t="shared" si="23"/>
        <v>72894125</v>
      </c>
      <c r="CS16" s="613">
        <f t="shared" si="23"/>
        <v>86015953</v>
      </c>
      <c r="CT16" s="613">
        <f t="shared" si="23"/>
        <v>128789125</v>
      </c>
      <c r="CU16" s="614">
        <f>CU11+CU14</f>
        <v>7696000</v>
      </c>
      <c r="CV16" s="614">
        <f>CV11+CV14</f>
        <v>5067268</v>
      </c>
      <c r="CW16" s="517">
        <f t="shared" si="23"/>
        <v>54586000</v>
      </c>
      <c r="CX16" s="517">
        <f t="shared" si="23"/>
        <v>6591934</v>
      </c>
      <c r="CY16" s="517">
        <f t="shared" si="23"/>
        <v>0</v>
      </c>
      <c r="CZ16" s="517">
        <f t="shared" si="23"/>
        <v>7577431</v>
      </c>
      <c r="DA16" s="517">
        <f t="shared" si="23"/>
        <v>0</v>
      </c>
      <c r="DB16" s="517">
        <f t="shared" si="23"/>
        <v>3623900</v>
      </c>
      <c r="DC16" s="517">
        <f t="shared" si="23"/>
        <v>0</v>
      </c>
      <c r="DD16" s="517">
        <f t="shared" si="23"/>
        <v>0</v>
      </c>
      <c r="DE16" s="517">
        <f t="shared" si="23"/>
        <v>0</v>
      </c>
      <c r="DF16" s="517">
        <f t="shared" si="23"/>
        <v>0</v>
      </c>
      <c r="DG16" s="517">
        <f t="shared" si="23"/>
        <v>0</v>
      </c>
      <c r="DH16" s="597">
        <f t="shared" si="23"/>
        <v>0</v>
      </c>
      <c r="DI16" s="615">
        <f>DI11+DI14</f>
        <v>4923621707</v>
      </c>
      <c r="DJ16" s="615">
        <f t="shared" si="10"/>
        <v>4923621707</v>
      </c>
      <c r="DK16" s="615">
        <f>DK11+DK14</f>
        <v>4791596607</v>
      </c>
      <c r="DL16" s="615">
        <f t="shared" si="23"/>
        <v>4923621707</v>
      </c>
      <c r="DM16" s="615">
        <f t="shared" si="23"/>
        <v>4791596607</v>
      </c>
      <c r="DN16" s="616">
        <f>DN11+DN14</f>
        <v>2812628000</v>
      </c>
      <c r="DO16" s="617"/>
      <c r="DP16" s="618"/>
      <c r="DQ16" s="618"/>
      <c r="DR16" s="618"/>
      <c r="DS16" s="618"/>
      <c r="DT16" s="618"/>
      <c r="DU16" s="618"/>
      <c r="DV16" s="618"/>
      <c r="DW16" s="618"/>
      <c r="DX16" s="618"/>
      <c r="DY16" s="618"/>
      <c r="DZ16" s="618"/>
      <c r="EA16" s="618"/>
      <c r="EB16" s="618"/>
      <c r="EC16" s="618"/>
      <c r="ED16" s="618"/>
      <c r="EE16" s="618"/>
      <c r="EF16" s="618"/>
      <c r="EG16" s="618"/>
      <c r="EH16" s="618"/>
      <c r="EI16" s="618"/>
      <c r="EJ16" s="618"/>
      <c r="EK16" s="618"/>
      <c r="EL16" s="618"/>
      <c r="EM16" s="618"/>
      <c r="EN16" s="618"/>
      <c r="EO16" s="618"/>
      <c r="EP16" s="618"/>
      <c r="EQ16" s="618"/>
      <c r="ER16" s="707">
        <f t="shared" si="14"/>
        <v>0</v>
      </c>
      <c r="ES16" s="702">
        <f t="shared" si="17"/>
        <v>0.97318536884905327</v>
      </c>
      <c r="ET16" s="703">
        <f t="shared" si="11"/>
        <v>0.97318536884905327</v>
      </c>
      <c r="EU16" s="704">
        <f t="shared" ref="EU16:EU28" si="24">IFERROR((AA16+BE16+CI16+DK16)/(Z16+BD16+CH16+DJ16),0)</f>
        <v>0.98857775059533581</v>
      </c>
      <c r="EV16" s="708">
        <f>(AA16+BE16+CI16+DM16)/G16</f>
        <v>0.86596456892341345</v>
      </c>
      <c r="EW16" s="855"/>
      <c r="EX16" s="858"/>
      <c r="EY16" s="858"/>
      <c r="EZ16" s="858"/>
      <c r="FA16" s="858"/>
    </row>
    <row r="17" spans="1:208" s="217" customFormat="1" ht="60" customHeight="1" x14ac:dyDescent="0.25">
      <c r="A17" s="912" t="s">
        <v>377</v>
      </c>
      <c r="B17" s="915">
        <v>2</v>
      </c>
      <c r="C17" s="918" t="s">
        <v>378</v>
      </c>
      <c r="D17" s="921" t="s">
        <v>379</v>
      </c>
      <c r="E17" s="923">
        <v>290</v>
      </c>
      <c r="F17" s="250" t="s">
        <v>41</v>
      </c>
      <c r="G17" s="508">
        <f>AA17+BE17+CI17+DL17+DN17</f>
        <v>98.625880799142408</v>
      </c>
      <c r="H17" s="671">
        <v>12.5</v>
      </c>
      <c r="I17" s="509"/>
      <c r="J17" s="509"/>
      <c r="K17" s="509">
        <v>12.5</v>
      </c>
      <c r="L17" s="510">
        <v>0</v>
      </c>
      <c r="M17" s="509">
        <v>12.5</v>
      </c>
      <c r="N17" s="510">
        <v>2.5</v>
      </c>
      <c r="O17" s="509">
        <v>12.5</v>
      </c>
      <c r="P17" s="510">
        <v>5</v>
      </c>
      <c r="Q17" s="509">
        <v>12.5</v>
      </c>
      <c r="R17" s="510">
        <v>7.5</v>
      </c>
      <c r="S17" s="510">
        <v>12.5</v>
      </c>
      <c r="T17" s="511">
        <v>9.9</v>
      </c>
      <c r="U17" s="510">
        <v>12.5</v>
      </c>
      <c r="V17" s="510">
        <v>11.78</v>
      </c>
      <c r="W17" s="672">
        <v>12.5</v>
      </c>
      <c r="X17" s="672">
        <v>12.5</v>
      </c>
      <c r="Y17" s="672">
        <v>11.8</v>
      </c>
      <c r="Z17" s="510">
        <v>12.5</v>
      </c>
      <c r="AA17" s="512">
        <v>11.78</v>
      </c>
      <c r="AB17" s="672">
        <v>25</v>
      </c>
      <c r="AC17" s="512">
        <v>2.08</v>
      </c>
      <c r="AD17" s="512">
        <v>0</v>
      </c>
      <c r="AE17" s="512">
        <v>2.08</v>
      </c>
      <c r="AF17" s="512">
        <v>4.16</v>
      </c>
      <c r="AG17" s="512">
        <v>2.08</v>
      </c>
      <c r="AH17" s="512">
        <v>2.08</v>
      </c>
      <c r="AI17" s="512">
        <v>2.08</v>
      </c>
      <c r="AJ17" s="512">
        <v>1.36</v>
      </c>
      <c r="AK17" s="512">
        <v>2.0840000000000001</v>
      </c>
      <c r="AL17" s="512">
        <v>1.3</v>
      </c>
      <c r="AM17" s="512">
        <v>2.08</v>
      </c>
      <c r="AN17" s="512">
        <v>2.5</v>
      </c>
      <c r="AO17" s="512">
        <v>2.08</v>
      </c>
      <c r="AP17" s="512">
        <v>1.73</v>
      </c>
      <c r="AQ17" s="512">
        <v>2.08</v>
      </c>
      <c r="AR17" s="512">
        <v>2.14</v>
      </c>
      <c r="AS17" s="512">
        <v>2.08</v>
      </c>
      <c r="AT17" s="512">
        <v>1.78</v>
      </c>
      <c r="AU17" s="512">
        <v>2.08</v>
      </c>
      <c r="AV17" s="512">
        <v>2.4765306122448969</v>
      </c>
      <c r="AW17" s="512">
        <v>2.08</v>
      </c>
      <c r="AX17" s="512">
        <v>2.69</v>
      </c>
      <c r="AY17" s="512">
        <v>2.12</v>
      </c>
      <c r="AZ17" s="512">
        <v>2.6</v>
      </c>
      <c r="BA17" s="673">
        <f t="shared" si="2"/>
        <v>25.003999999999994</v>
      </c>
      <c r="BB17" s="673">
        <f t="shared" si="3"/>
        <v>25.003999999999994</v>
      </c>
      <c r="BC17" s="673">
        <f t="shared" si="4"/>
        <v>24.8165306122449</v>
      </c>
      <c r="BD17" s="673">
        <f t="shared" si="5"/>
        <v>25.003999999999994</v>
      </c>
      <c r="BE17" s="673">
        <f t="shared" si="6"/>
        <v>24.8165306122449</v>
      </c>
      <c r="BF17" s="672">
        <v>25</v>
      </c>
      <c r="BG17" s="673">
        <v>0</v>
      </c>
      <c r="BH17" s="673">
        <v>0</v>
      </c>
      <c r="BI17" s="673">
        <v>2.4</v>
      </c>
      <c r="BJ17" s="498">
        <v>1.96</v>
      </c>
      <c r="BK17" s="673">
        <v>2.4</v>
      </c>
      <c r="BL17" s="673">
        <v>2.76</v>
      </c>
      <c r="BM17" s="673">
        <v>2.4</v>
      </c>
      <c r="BN17" s="673">
        <v>2.48</v>
      </c>
      <c r="BO17" s="673">
        <v>2.4</v>
      </c>
      <c r="BP17" s="673">
        <v>2.4</v>
      </c>
      <c r="BQ17" s="673">
        <v>2.4</v>
      </c>
      <c r="BR17" s="673">
        <v>2.4</v>
      </c>
      <c r="BS17" s="673">
        <v>2.4</v>
      </c>
      <c r="BT17" s="673">
        <v>2.4</v>
      </c>
      <c r="BU17" s="673">
        <v>2.4</v>
      </c>
      <c r="BV17" s="673">
        <v>0.27692307692307688</v>
      </c>
      <c r="BW17" s="673">
        <v>2.4</v>
      </c>
      <c r="BX17" s="673">
        <v>1.9634271099744245</v>
      </c>
      <c r="BY17" s="673">
        <v>2.4</v>
      </c>
      <c r="BZ17" s="673">
        <v>2.4</v>
      </c>
      <c r="CA17" s="673">
        <v>2.4</v>
      </c>
      <c r="CB17" s="673">
        <v>3</v>
      </c>
      <c r="CC17" s="673">
        <v>1</v>
      </c>
      <c r="CD17" s="673">
        <v>2.4889999999999999</v>
      </c>
      <c r="CE17" s="673">
        <f t="shared" si="7"/>
        <v>24.999999999999996</v>
      </c>
      <c r="CF17" s="673">
        <f t="shared" si="8"/>
        <v>24.999999999999996</v>
      </c>
      <c r="CG17" s="673">
        <f>BH17+BJ17+BL17+BN17+BP17+BR17+BT17+BV17+BX17+BZ17+CB17+CD17</f>
        <v>24.529350186897503</v>
      </c>
      <c r="CH17" s="673">
        <f t="shared" si="9"/>
        <v>24.999999999999996</v>
      </c>
      <c r="CI17" s="673">
        <f t="shared" si="9"/>
        <v>24.529350186897503</v>
      </c>
      <c r="CJ17" s="672">
        <v>25</v>
      </c>
      <c r="CK17" s="673">
        <v>0</v>
      </c>
      <c r="CL17" s="674">
        <v>0</v>
      </c>
      <c r="CM17" s="673">
        <v>0</v>
      </c>
      <c r="CN17" s="671">
        <v>0</v>
      </c>
      <c r="CO17" s="671">
        <v>2.5</v>
      </c>
      <c r="CP17" s="673">
        <v>1.34</v>
      </c>
      <c r="CQ17" s="671">
        <v>2.5</v>
      </c>
      <c r="CR17" s="673">
        <v>3.6</v>
      </c>
      <c r="CS17" s="671">
        <v>2.5</v>
      </c>
      <c r="CT17" s="673">
        <v>2.56</v>
      </c>
      <c r="CU17" s="675">
        <v>2.5</v>
      </c>
      <c r="CV17" s="675">
        <v>2.5</v>
      </c>
      <c r="CW17" s="671">
        <v>2.5</v>
      </c>
      <c r="CX17" s="673">
        <v>2.4900000000000002</v>
      </c>
      <c r="CY17" s="671">
        <v>2.5</v>
      </c>
      <c r="CZ17" s="671">
        <v>2.5</v>
      </c>
      <c r="DA17" s="671">
        <v>2.5</v>
      </c>
      <c r="DB17" s="673">
        <v>2.5099999999999998</v>
      </c>
      <c r="DC17" s="671">
        <v>2.5</v>
      </c>
      <c r="DD17" s="673"/>
      <c r="DE17" s="671">
        <v>2.5</v>
      </c>
      <c r="DF17" s="673"/>
      <c r="DG17" s="671">
        <v>2.5</v>
      </c>
      <c r="DH17" s="673"/>
      <c r="DI17" s="676">
        <f>DG17+DE17+DC17+DA17+CW17+CY17+CU17+CS17+CQ17+CO17+CM17+CK17</f>
        <v>25</v>
      </c>
      <c r="DJ17" s="691">
        <f t="shared" si="10"/>
        <v>17.5</v>
      </c>
      <c r="DK17" s="673">
        <f>+CL17+CN17+CP17+CR17+CT17+CV17+CX17+CZ17+DB17+DD17+DF17+DH17</f>
        <v>17.5</v>
      </c>
      <c r="DL17" s="673">
        <f>DI17</f>
        <v>25</v>
      </c>
      <c r="DM17" s="673">
        <f t="shared" si="13"/>
        <v>17.5</v>
      </c>
      <c r="DN17" s="673">
        <v>12.5</v>
      </c>
      <c r="DO17" s="673"/>
      <c r="DP17" s="673"/>
      <c r="DQ17" s="673"/>
      <c r="DR17" s="673"/>
      <c r="DS17" s="673"/>
      <c r="DT17" s="673"/>
      <c r="DU17" s="673"/>
      <c r="DV17" s="673"/>
      <c r="DW17" s="673"/>
      <c r="DX17" s="673"/>
      <c r="DY17" s="673"/>
      <c r="DZ17" s="673"/>
      <c r="EA17" s="673"/>
      <c r="EB17" s="673"/>
      <c r="EC17" s="673"/>
      <c r="ED17" s="673"/>
      <c r="EE17" s="673"/>
      <c r="EF17" s="673"/>
      <c r="EG17" s="673"/>
      <c r="EH17" s="673"/>
      <c r="EI17" s="673"/>
      <c r="EJ17" s="673"/>
      <c r="EK17" s="673"/>
      <c r="EL17" s="673"/>
      <c r="EM17" s="673"/>
      <c r="EN17" s="673"/>
      <c r="EO17" s="673"/>
      <c r="EP17" s="673"/>
      <c r="EQ17" s="673"/>
      <c r="ER17" s="709">
        <f t="shared" si="14"/>
        <v>1.004</v>
      </c>
      <c r="ES17" s="677">
        <f t="shared" si="17"/>
        <v>1</v>
      </c>
      <c r="ET17" s="678">
        <f t="shared" si="11"/>
        <v>0.7</v>
      </c>
      <c r="EU17" s="679">
        <f t="shared" si="24"/>
        <v>0.98277437127071665</v>
      </c>
      <c r="EV17" s="680">
        <f t="shared" si="18"/>
        <v>0.79721347137338916</v>
      </c>
      <c r="EW17" s="865" t="s">
        <v>686</v>
      </c>
      <c r="EX17" s="841" t="s">
        <v>71</v>
      </c>
      <c r="EY17" s="841" t="s">
        <v>71</v>
      </c>
      <c r="EZ17" s="841" t="s">
        <v>389</v>
      </c>
      <c r="FA17" s="841" t="s">
        <v>630</v>
      </c>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c r="GO17" s="258"/>
      <c r="GP17" s="258"/>
      <c r="GQ17" s="258"/>
      <c r="GR17" s="258"/>
      <c r="GS17" s="258"/>
      <c r="GT17" s="258"/>
      <c r="GU17" s="258"/>
      <c r="GV17" s="258"/>
      <c r="GW17" s="258"/>
      <c r="GX17" s="258"/>
      <c r="GY17" s="258"/>
      <c r="GZ17" s="258"/>
    </row>
    <row r="18" spans="1:208" s="214" customFormat="1" ht="39" customHeight="1" x14ac:dyDescent="0.25">
      <c r="A18" s="913"/>
      <c r="B18" s="916"/>
      <c r="C18" s="919"/>
      <c r="D18" s="910"/>
      <c r="E18" s="924"/>
      <c r="F18" s="251" t="s">
        <v>3</v>
      </c>
      <c r="G18" s="248">
        <f>AA18+BE18+CI18+DL18+DN18</f>
        <v>1496740966</v>
      </c>
      <c r="H18" s="248">
        <v>200000000</v>
      </c>
      <c r="I18" s="248"/>
      <c r="J18" s="248"/>
      <c r="K18" s="248">
        <v>200000000</v>
      </c>
      <c r="L18" s="248">
        <v>0</v>
      </c>
      <c r="M18" s="248">
        <v>200000000</v>
      </c>
      <c r="N18" s="248">
        <v>114652000</v>
      </c>
      <c r="O18" s="248">
        <v>200000000</v>
      </c>
      <c r="P18" s="248">
        <v>143692000</v>
      </c>
      <c r="Q18" s="248">
        <v>200000000</v>
      </c>
      <c r="R18" s="248">
        <v>143692000</v>
      </c>
      <c r="S18" s="248">
        <v>200000000</v>
      </c>
      <c r="T18" s="248">
        <v>143692000</v>
      </c>
      <c r="U18" s="248">
        <v>200000000</v>
      </c>
      <c r="V18" s="248">
        <v>198796000</v>
      </c>
      <c r="W18" s="248">
        <v>200000000</v>
      </c>
      <c r="X18" s="248">
        <v>200000000</v>
      </c>
      <c r="Y18" s="248">
        <v>198796000</v>
      </c>
      <c r="Z18" s="248">
        <v>200000000</v>
      </c>
      <c r="AA18" s="248">
        <v>198796000</v>
      </c>
      <c r="AB18" s="248">
        <v>254951000</v>
      </c>
      <c r="AC18" s="248">
        <v>0</v>
      </c>
      <c r="AD18" s="248">
        <v>0</v>
      </c>
      <c r="AE18" s="248">
        <v>66080000</v>
      </c>
      <c r="AF18" s="248">
        <v>66080000</v>
      </c>
      <c r="AG18" s="248">
        <v>187449000</v>
      </c>
      <c r="AH18" s="248">
        <v>187449000</v>
      </c>
      <c r="AI18" s="248">
        <v>0</v>
      </c>
      <c r="AJ18" s="248">
        <v>0</v>
      </c>
      <c r="AK18" s="248">
        <v>0</v>
      </c>
      <c r="AL18" s="248">
        <v>0</v>
      </c>
      <c r="AM18" s="248">
        <v>0</v>
      </c>
      <c r="AN18" s="248">
        <v>0</v>
      </c>
      <c r="AO18" s="248"/>
      <c r="AP18" s="248"/>
      <c r="AQ18" s="248">
        <v>0</v>
      </c>
      <c r="AR18" s="248">
        <v>0</v>
      </c>
      <c r="AS18" s="248"/>
      <c r="AT18" s="248">
        <v>0</v>
      </c>
      <c r="AU18" s="248">
        <v>0</v>
      </c>
      <c r="AV18" s="248">
        <v>0</v>
      </c>
      <c r="AW18" s="248">
        <v>32353269</v>
      </c>
      <c r="AX18" s="248">
        <v>29912733</v>
      </c>
      <c r="AY18" s="248"/>
      <c r="AZ18" s="248">
        <v>2440533</v>
      </c>
      <c r="BA18" s="248">
        <f t="shared" si="2"/>
        <v>285882269</v>
      </c>
      <c r="BB18" s="248">
        <f t="shared" si="3"/>
        <v>285882269</v>
      </c>
      <c r="BC18" s="248">
        <f t="shared" si="4"/>
        <v>285882266</v>
      </c>
      <c r="BD18" s="248">
        <f t="shared" si="5"/>
        <v>285882269</v>
      </c>
      <c r="BE18" s="248">
        <f t="shared" si="6"/>
        <v>285882266</v>
      </c>
      <c r="BF18" s="248">
        <v>414984000</v>
      </c>
      <c r="BG18" s="248">
        <v>378669000</v>
      </c>
      <c r="BH18" s="248">
        <v>378669000</v>
      </c>
      <c r="BI18" s="248">
        <v>0</v>
      </c>
      <c r="BJ18" s="248">
        <v>0</v>
      </c>
      <c r="BK18" s="248">
        <v>0</v>
      </c>
      <c r="BL18" s="248">
        <v>0</v>
      </c>
      <c r="BM18" s="248">
        <v>0</v>
      </c>
      <c r="BN18" s="248">
        <v>0</v>
      </c>
      <c r="BO18" s="248">
        <v>0</v>
      </c>
      <c r="BP18" s="248">
        <v>0</v>
      </c>
      <c r="BQ18" s="248">
        <v>0</v>
      </c>
      <c r="BR18" s="248">
        <v>0</v>
      </c>
      <c r="BS18" s="248">
        <v>0</v>
      </c>
      <c r="BT18" s="248">
        <v>0</v>
      </c>
      <c r="BU18" s="248">
        <v>0</v>
      </c>
      <c r="BV18" s="248">
        <v>2571800</v>
      </c>
      <c r="BW18" s="248">
        <v>0</v>
      </c>
      <c r="BX18" s="248">
        <v>0</v>
      </c>
      <c r="BY18" s="248">
        <v>19497000</v>
      </c>
      <c r="BZ18" s="248">
        <v>13752000</v>
      </c>
      <c r="CA18" s="248">
        <f>5600400+4559100</f>
        <v>10159500</v>
      </c>
      <c r="CB18" s="248">
        <v>11345400</v>
      </c>
      <c r="CC18" s="248">
        <v>12104500</v>
      </c>
      <c r="CD18" s="248">
        <v>12104500</v>
      </c>
      <c r="CE18" s="248">
        <f t="shared" si="7"/>
        <v>420430000</v>
      </c>
      <c r="CF18" s="248">
        <f t="shared" si="8"/>
        <v>420430000</v>
      </c>
      <c r="CG18" s="248">
        <f t="shared" si="8"/>
        <v>418442700</v>
      </c>
      <c r="CH18" s="248">
        <f t="shared" si="9"/>
        <v>420430000</v>
      </c>
      <c r="CI18" s="248">
        <f t="shared" si="9"/>
        <v>418442700</v>
      </c>
      <c r="CJ18" s="248">
        <v>335366000</v>
      </c>
      <c r="CK18" s="248">
        <v>0</v>
      </c>
      <c r="CL18" s="248">
        <v>0</v>
      </c>
      <c r="CM18" s="248">
        <v>171232000</v>
      </c>
      <c r="CN18" s="248">
        <v>171232000</v>
      </c>
      <c r="CO18" s="248">
        <v>134851000</v>
      </c>
      <c r="CP18" s="248">
        <v>134851000</v>
      </c>
      <c r="CQ18" s="248">
        <v>22045000</v>
      </c>
      <c r="CR18" s="248">
        <v>0</v>
      </c>
      <c r="CS18" s="589">
        <v>0</v>
      </c>
      <c r="CT18" s="589">
        <v>0</v>
      </c>
      <c r="CU18" s="610">
        <v>0</v>
      </c>
      <c r="CV18" s="610">
        <v>22045000</v>
      </c>
      <c r="CW18" s="248">
        <v>0</v>
      </c>
      <c r="CX18" s="649">
        <v>0</v>
      </c>
      <c r="CY18" s="248">
        <v>0</v>
      </c>
      <c r="CZ18" s="649">
        <v>0</v>
      </c>
      <c r="DA18" s="248">
        <v>0</v>
      </c>
      <c r="DB18" s="248">
        <v>0</v>
      </c>
      <c r="DC18" s="248">
        <v>0</v>
      </c>
      <c r="DD18" s="248"/>
      <c r="DE18" s="248">
        <v>0</v>
      </c>
      <c r="DF18" s="248"/>
      <c r="DG18" s="248">
        <v>7238000</v>
      </c>
      <c r="DH18" s="248"/>
      <c r="DI18" s="676">
        <f t="shared" ref="DI18:DI22" si="25">DG18+DE18+DC18+DA18+CW18+CY18+CU18+CS18+CQ18+CO18+CM18+CK18</f>
        <v>335366000</v>
      </c>
      <c r="DJ18" s="652">
        <f t="shared" si="10"/>
        <v>328128000</v>
      </c>
      <c r="DK18" s="673">
        <f t="shared" ref="DK18:DK21" si="26">+CL18+CN18+CP18+CR18+CT18+CV18+CX18+CZ18+DB18+DD18+DF18+DH18</f>
        <v>328128000</v>
      </c>
      <c r="DL18" s="248">
        <f t="shared" si="12"/>
        <v>335366000</v>
      </c>
      <c r="DM18" s="248">
        <f t="shared" si="13"/>
        <v>328128000</v>
      </c>
      <c r="DN18" s="248">
        <v>258254000</v>
      </c>
      <c r="DO18" s="649"/>
      <c r="DP18" s="649"/>
      <c r="DQ18" s="649"/>
      <c r="DR18" s="649"/>
      <c r="DS18" s="649"/>
      <c r="DT18" s="649"/>
      <c r="DU18" s="649"/>
      <c r="DV18" s="649"/>
      <c r="DW18" s="649"/>
      <c r="DX18" s="649"/>
      <c r="DY18" s="649"/>
      <c r="DZ18" s="649"/>
      <c r="EA18" s="649"/>
      <c r="EB18" s="649"/>
      <c r="EC18" s="649"/>
      <c r="ED18" s="649"/>
      <c r="EE18" s="649"/>
      <c r="EF18" s="649"/>
      <c r="EG18" s="649"/>
      <c r="EH18" s="649"/>
      <c r="EI18" s="649"/>
      <c r="EJ18" s="649"/>
      <c r="EK18" s="649"/>
      <c r="EL18" s="649"/>
      <c r="EM18" s="649"/>
      <c r="EN18" s="649"/>
      <c r="EO18" s="649"/>
      <c r="EP18" s="649"/>
      <c r="EQ18" s="649"/>
      <c r="ER18" s="654">
        <f t="shared" si="14"/>
        <v>0</v>
      </c>
      <c r="ES18" s="655">
        <f t="shared" si="17"/>
        <v>1</v>
      </c>
      <c r="ET18" s="656">
        <f t="shared" si="11"/>
        <v>0.97841760941777045</v>
      </c>
      <c r="EU18" s="657">
        <f t="shared" si="24"/>
        <v>0.9974147773042229</v>
      </c>
      <c r="EV18" s="658">
        <f t="shared" si="18"/>
        <v>0.82261994157244178</v>
      </c>
      <c r="EW18" s="865"/>
      <c r="EX18" s="841"/>
      <c r="EY18" s="841"/>
      <c r="EZ18" s="841"/>
      <c r="FA18" s="841"/>
    </row>
    <row r="19" spans="1:208" s="214" customFormat="1" ht="39" customHeight="1" x14ac:dyDescent="0.25">
      <c r="A19" s="913"/>
      <c r="B19" s="916"/>
      <c r="C19" s="919"/>
      <c r="D19" s="910"/>
      <c r="E19" s="924"/>
      <c r="F19" s="252" t="s">
        <v>390</v>
      </c>
      <c r="G19" s="501">
        <v>0</v>
      </c>
      <c r="H19" s="249"/>
      <c r="I19" s="248"/>
      <c r="J19" s="248"/>
      <c r="K19" s="248"/>
      <c r="L19" s="248"/>
      <c r="M19" s="248"/>
      <c r="N19" s="248"/>
      <c r="O19" s="248"/>
      <c r="P19" s="248"/>
      <c r="Q19" s="248"/>
      <c r="R19" s="248"/>
      <c r="S19" s="248"/>
      <c r="T19" s="248"/>
      <c r="U19" s="248"/>
      <c r="V19" s="248"/>
      <c r="W19" s="248"/>
      <c r="X19" s="248"/>
      <c r="Y19" s="248"/>
      <c r="Z19" s="248">
        <v>0</v>
      </c>
      <c r="AA19" s="248">
        <v>0</v>
      </c>
      <c r="AB19" s="248"/>
      <c r="AC19" s="248">
        <v>0</v>
      </c>
      <c r="AD19" s="248">
        <v>0</v>
      </c>
      <c r="AE19" s="248">
        <v>0</v>
      </c>
      <c r="AF19" s="248">
        <v>0</v>
      </c>
      <c r="AG19" s="248">
        <v>2538667</v>
      </c>
      <c r="AH19" s="248">
        <v>2538667</v>
      </c>
      <c r="AI19" s="248">
        <v>24861667</v>
      </c>
      <c r="AJ19" s="248">
        <v>24861667</v>
      </c>
      <c r="AK19" s="248">
        <v>20653000</v>
      </c>
      <c r="AL19" s="248">
        <v>20653000</v>
      </c>
      <c r="AM19" s="248">
        <v>20653000</v>
      </c>
      <c r="AN19" s="248">
        <v>20653000</v>
      </c>
      <c r="AO19" s="248">
        <v>47115800</v>
      </c>
      <c r="AP19" s="248">
        <v>38391800</v>
      </c>
      <c r="AQ19" s="248">
        <v>29377000</v>
      </c>
      <c r="AR19" s="248">
        <v>38101000</v>
      </c>
      <c r="AS19" s="248">
        <v>29377000</v>
      </c>
      <c r="AT19" s="248">
        <v>29377000</v>
      </c>
      <c r="AU19" s="248">
        <v>29377000</v>
      </c>
      <c r="AV19" s="248">
        <v>29377000</v>
      </c>
      <c r="AW19" s="248">
        <v>29377000</v>
      </c>
      <c r="AX19" s="248">
        <v>29377000</v>
      </c>
      <c r="AY19" s="248">
        <v>52552135</v>
      </c>
      <c r="AZ19" s="248">
        <v>35774600</v>
      </c>
      <c r="BA19" s="248">
        <f t="shared" si="2"/>
        <v>285882269</v>
      </c>
      <c r="BB19" s="248">
        <f t="shared" si="3"/>
        <v>285882269</v>
      </c>
      <c r="BC19" s="248">
        <f t="shared" si="4"/>
        <v>269104734</v>
      </c>
      <c r="BD19" s="248">
        <f t="shared" si="5"/>
        <v>285882269</v>
      </c>
      <c r="BE19" s="248">
        <f t="shared" si="6"/>
        <v>269104734</v>
      </c>
      <c r="BF19" s="248">
        <v>415028000</v>
      </c>
      <c r="BG19" s="248">
        <v>0</v>
      </c>
      <c r="BH19" s="248">
        <v>0</v>
      </c>
      <c r="BI19" s="248">
        <v>818300</v>
      </c>
      <c r="BJ19" s="248">
        <v>1895300</v>
      </c>
      <c r="BK19" s="248">
        <v>39950000</v>
      </c>
      <c r="BL19" s="248">
        <v>37021400</v>
      </c>
      <c r="BM19" s="248">
        <v>39950000</v>
      </c>
      <c r="BN19" s="248">
        <v>32871000</v>
      </c>
      <c r="BO19" s="248">
        <v>39950000</v>
      </c>
      <c r="BP19" s="248">
        <f>118816700-BN19-BL19-BJ19-BH19</f>
        <v>47029000</v>
      </c>
      <c r="BQ19" s="248">
        <v>39950000</v>
      </c>
      <c r="BR19" s="248">
        <v>39950000</v>
      </c>
      <c r="BS19" s="248">
        <v>39950000</v>
      </c>
      <c r="BT19" s="248">
        <v>39950000</v>
      </c>
      <c r="BU19" s="248">
        <v>39950000</v>
      </c>
      <c r="BV19" s="248">
        <v>29640000</v>
      </c>
      <c r="BW19" s="248">
        <v>39131700</v>
      </c>
      <c r="BX19" s="248">
        <v>40883000</v>
      </c>
      <c r="BY19" s="248">
        <v>36443000</v>
      </c>
      <c r="BZ19" s="248">
        <v>18581000</v>
      </c>
      <c r="CA19" s="248">
        <v>36443000</v>
      </c>
      <c r="CB19" s="248">
        <v>47328300</v>
      </c>
      <c r="CC19" s="248">
        <f>36292500+31601500</f>
        <v>67894000</v>
      </c>
      <c r="CD19" s="248">
        <v>42481500</v>
      </c>
      <c r="CE19" s="248">
        <f t="shared" si="7"/>
        <v>420430000</v>
      </c>
      <c r="CF19" s="248">
        <f t="shared" si="8"/>
        <v>420430000</v>
      </c>
      <c r="CG19" s="248">
        <f t="shared" si="8"/>
        <v>377630500</v>
      </c>
      <c r="CH19" s="248">
        <f t="shared" si="9"/>
        <v>420430000</v>
      </c>
      <c r="CI19" s="248">
        <f t="shared" si="9"/>
        <v>377630500</v>
      </c>
      <c r="CJ19" s="248">
        <f>CM19+CO19+CQ19+CS19+CU19+CW19+CY19+DA19+DC19+DE19+DG19</f>
        <v>335366000</v>
      </c>
      <c r="CK19" s="248">
        <v>0</v>
      </c>
      <c r="CL19" s="248">
        <v>0</v>
      </c>
      <c r="CM19" s="248">
        <v>0</v>
      </c>
      <c r="CN19" s="248">
        <v>0</v>
      </c>
      <c r="CO19" s="248">
        <v>7121633</v>
      </c>
      <c r="CP19" s="248">
        <v>7121633</v>
      </c>
      <c r="CQ19" s="248">
        <v>27866134</v>
      </c>
      <c r="CR19" s="248">
        <v>27189067</v>
      </c>
      <c r="CS19" s="589">
        <v>34543000</v>
      </c>
      <c r="CT19" s="589">
        <v>29465000</v>
      </c>
      <c r="CU19" s="610">
        <v>34543000</v>
      </c>
      <c r="CV19" s="610">
        <v>29465000</v>
      </c>
      <c r="CW19" s="248">
        <v>33220300</v>
      </c>
      <c r="CX19" s="649">
        <v>44053367</v>
      </c>
      <c r="CY19" s="248">
        <v>34543000</v>
      </c>
      <c r="CZ19" s="649">
        <v>28730167</v>
      </c>
      <c r="DA19" s="248">
        <v>34543000</v>
      </c>
      <c r="DB19" s="248">
        <v>39621000</v>
      </c>
      <c r="DC19" s="248">
        <v>34543000</v>
      </c>
      <c r="DD19" s="248"/>
      <c r="DE19" s="248">
        <v>34543000</v>
      </c>
      <c r="DF19" s="248"/>
      <c r="DG19" s="248">
        <v>59899933</v>
      </c>
      <c r="DH19" s="248"/>
      <c r="DI19" s="676">
        <f t="shared" si="25"/>
        <v>335366000</v>
      </c>
      <c r="DJ19" s="652">
        <f t="shared" si="10"/>
        <v>206380067</v>
      </c>
      <c r="DK19" s="673">
        <f>+CL19+CN19+CP19+CR19+CT19+CV19+CX19+CZ19+DB19+DD19+DF19+DH19</f>
        <v>205645234</v>
      </c>
      <c r="DL19" s="248">
        <f t="shared" si="12"/>
        <v>335366000</v>
      </c>
      <c r="DM19" s="248">
        <f t="shared" si="13"/>
        <v>205645234</v>
      </c>
      <c r="DN19" s="248"/>
      <c r="DO19" s="649"/>
      <c r="DP19" s="649"/>
      <c r="DQ19" s="649"/>
      <c r="DR19" s="649"/>
      <c r="DS19" s="649"/>
      <c r="DT19" s="649"/>
      <c r="DU19" s="649"/>
      <c r="DV19" s="649"/>
      <c r="DW19" s="649"/>
      <c r="DX19" s="649"/>
      <c r="DY19" s="649"/>
      <c r="DZ19" s="649"/>
      <c r="EA19" s="649"/>
      <c r="EB19" s="649"/>
      <c r="EC19" s="649"/>
      <c r="ED19" s="649"/>
      <c r="EE19" s="649"/>
      <c r="EF19" s="649"/>
      <c r="EG19" s="649"/>
      <c r="EH19" s="649"/>
      <c r="EI19" s="649"/>
      <c r="EJ19" s="649"/>
      <c r="EK19" s="649"/>
      <c r="EL19" s="649"/>
      <c r="EM19" s="649"/>
      <c r="EN19" s="649"/>
      <c r="EO19" s="649"/>
      <c r="EP19" s="649"/>
      <c r="EQ19" s="649"/>
      <c r="ER19" s="654">
        <f t="shared" si="14"/>
        <v>1.1470051819471383</v>
      </c>
      <c r="ES19" s="655">
        <f t="shared" si="17"/>
        <v>0.99643941873514363</v>
      </c>
      <c r="ET19" s="656">
        <f t="shared" si="11"/>
        <v>0.61319643016883052</v>
      </c>
      <c r="EU19" s="657">
        <f t="shared" si="24"/>
        <v>0.93391873074740051</v>
      </c>
      <c r="EV19" s="658">
        <f>IFERROR((AA19+BE19+CI19+DM19)/G19,0)</f>
        <v>0</v>
      </c>
      <c r="EW19" s="865"/>
      <c r="EX19" s="841"/>
      <c r="EY19" s="841"/>
      <c r="EZ19" s="841"/>
      <c r="FA19" s="841"/>
    </row>
    <row r="20" spans="1:208" s="216" customFormat="1" ht="39" customHeight="1" x14ac:dyDescent="0.25">
      <c r="A20" s="913"/>
      <c r="B20" s="916"/>
      <c r="C20" s="919"/>
      <c r="D20" s="910"/>
      <c r="E20" s="924"/>
      <c r="F20" s="253" t="s">
        <v>42</v>
      </c>
      <c r="G20" s="501">
        <f>AA20+BE20+CI20+DL20+DN20</f>
        <v>1.3699999999999999</v>
      </c>
      <c r="H20" s="681"/>
      <c r="I20" s="242"/>
      <c r="J20" s="242"/>
      <c r="K20" s="242"/>
      <c r="L20" s="242"/>
      <c r="M20" s="242"/>
      <c r="N20" s="242"/>
      <c r="O20" s="242"/>
      <c r="P20" s="242"/>
      <c r="Q20" s="242"/>
      <c r="R20" s="242"/>
      <c r="S20" s="242"/>
      <c r="T20" s="505"/>
      <c r="U20" s="243"/>
      <c r="V20" s="243"/>
      <c r="W20" s="648"/>
      <c r="X20" s="648"/>
      <c r="Y20" s="648"/>
      <c r="Z20" s="594">
        <v>0</v>
      </c>
      <c r="AA20" s="594">
        <v>0</v>
      </c>
      <c r="AB20" s="660">
        <v>0.72</v>
      </c>
      <c r="AC20" s="244">
        <v>0</v>
      </c>
      <c r="AD20" s="245">
        <v>0</v>
      </c>
      <c r="AE20" s="244">
        <v>0.72</v>
      </c>
      <c r="AF20" s="245">
        <v>0.72</v>
      </c>
      <c r="AG20" s="245">
        <v>0</v>
      </c>
      <c r="AH20" s="245">
        <v>0</v>
      </c>
      <c r="AI20" s="245">
        <v>0</v>
      </c>
      <c r="AJ20" s="245">
        <v>0</v>
      </c>
      <c r="AK20" s="245">
        <v>0</v>
      </c>
      <c r="AL20" s="245">
        <v>0</v>
      </c>
      <c r="AM20" s="245">
        <v>0</v>
      </c>
      <c r="AN20" s="245">
        <v>0</v>
      </c>
      <c r="AO20" s="245"/>
      <c r="AP20" s="245"/>
      <c r="AQ20" s="245">
        <v>0</v>
      </c>
      <c r="AR20" s="245">
        <v>0</v>
      </c>
      <c r="AS20" s="245"/>
      <c r="AT20" s="245"/>
      <c r="AU20" s="245">
        <v>0</v>
      </c>
      <c r="AV20" s="245">
        <v>0</v>
      </c>
      <c r="AW20" s="245">
        <v>0</v>
      </c>
      <c r="AX20" s="245">
        <v>0</v>
      </c>
      <c r="AY20" s="245"/>
      <c r="AZ20" s="245"/>
      <c r="BA20" s="649">
        <f t="shared" si="2"/>
        <v>0.72</v>
      </c>
      <c r="BB20" s="649">
        <f t="shared" si="3"/>
        <v>0.72</v>
      </c>
      <c r="BC20" s="649">
        <f t="shared" si="4"/>
        <v>0.72</v>
      </c>
      <c r="BD20" s="649">
        <f t="shared" si="5"/>
        <v>0.72</v>
      </c>
      <c r="BE20" s="649">
        <f t="shared" si="6"/>
        <v>0.72</v>
      </c>
      <c r="BF20" s="649">
        <v>0.18</v>
      </c>
      <c r="BG20" s="649">
        <v>0.18</v>
      </c>
      <c r="BH20" s="649">
        <v>0.18</v>
      </c>
      <c r="BI20" s="649">
        <v>0</v>
      </c>
      <c r="BJ20" s="497">
        <v>0</v>
      </c>
      <c r="BK20" s="649">
        <v>0</v>
      </c>
      <c r="BL20" s="649">
        <v>0</v>
      </c>
      <c r="BM20" s="649">
        <v>0</v>
      </c>
      <c r="BN20" s="649">
        <v>0</v>
      </c>
      <c r="BO20" s="649">
        <v>0</v>
      </c>
      <c r="BP20" s="649">
        <v>0</v>
      </c>
      <c r="BQ20" s="649">
        <v>0</v>
      </c>
      <c r="BR20" s="649">
        <v>0</v>
      </c>
      <c r="BS20" s="649">
        <v>0</v>
      </c>
      <c r="BT20" s="649">
        <v>0</v>
      </c>
      <c r="BU20" s="649">
        <v>0</v>
      </c>
      <c r="BV20" s="649">
        <v>0</v>
      </c>
      <c r="BW20" s="649">
        <v>0</v>
      </c>
      <c r="BX20" s="649">
        <v>0</v>
      </c>
      <c r="BY20" s="649">
        <v>0</v>
      </c>
      <c r="BZ20" s="649">
        <v>0</v>
      </c>
      <c r="CA20" s="649">
        <v>0</v>
      </c>
      <c r="CB20" s="649">
        <v>0</v>
      </c>
      <c r="CC20" s="649">
        <v>0</v>
      </c>
      <c r="CD20" s="649">
        <v>0</v>
      </c>
      <c r="CE20" s="649">
        <f t="shared" si="7"/>
        <v>0.18</v>
      </c>
      <c r="CF20" s="649">
        <f t="shared" si="8"/>
        <v>0.18</v>
      </c>
      <c r="CG20" s="649">
        <f t="shared" si="8"/>
        <v>0.18</v>
      </c>
      <c r="CH20" s="649">
        <f t="shared" si="9"/>
        <v>0.18</v>
      </c>
      <c r="CI20" s="649">
        <f t="shared" si="9"/>
        <v>0.18</v>
      </c>
      <c r="CJ20" s="649">
        <v>0.47</v>
      </c>
      <c r="CK20" s="649">
        <v>0.16</v>
      </c>
      <c r="CL20" s="649">
        <v>0.16</v>
      </c>
      <c r="CM20" s="649">
        <v>0.23</v>
      </c>
      <c r="CN20" s="649">
        <v>0.23</v>
      </c>
      <c r="CO20" s="649">
        <v>0</v>
      </c>
      <c r="CP20" s="649">
        <v>0</v>
      </c>
      <c r="CQ20" s="649">
        <v>0</v>
      </c>
      <c r="CR20" s="649">
        <v>0</v>
      </c>
      <c r="CS20" s="649">
        <v>0</v>
      </c>
      <c r="CT20" s="649">
        <v>0.08</v>
      </c>
      <c r="CU20" s="652">
        <v>0</v>
      </c>
      <c r="CV20" s="652">
        <v>0</v>
      </c>
      <c r="CW20" s="649">
        <v>0</v>
      </c>
      <c r="CX20" s="649">
        <v>0</v>
      </c>
      <c r="CY20" s="649">
        <v>0.08</v>
      </c>
      <c r="CZ20" s="649">
        <v>0</v>
      </c>
      <c r="DA20" s="649">
        <v>0</v>
      </c>
      <c r="DB20" s="649">
        <v>0</v>
      </c>
      <c r="DC20" s="649">
        <v>0</v>
      </c>
      <c r="DD20" s="649"/>
      <c r="DE20" s="649">
        <v>0</v>
      </c>
      <c r="DF20" s="649"/>
      <c r="DG20" s="649">
        <v>0</v>
      </c>
      <c r="DH20" s="649"/>
      <c r="DI20" s="676">
        <f t="shared" si="25"/>
        <v>0.47</v>
      </c>
      <c r="DJ20" s="652">
        <f t="shared" si="10"/>
        <v>0.47000000000000003</v>
      </c>
      <c r="DK20" s="673">
        <f t="shared" si="26"/>
        <v>0.47000000000000003</v>
      </c>
      <c r="DL20" s="649">
        <f t="shared" si="12"/>
        <v>0.47</v>
      </c>
      <c r="DM20" s="649">
        <f t="shared" si="13"/>
        <v>0.47000000000000003</v>
      </c>
      <c r="DN20" s="648"/>
      <c r="DO20" s="649"/>
      <c r="DP20" s="649"/>
      <c r="DQ20" s="649"/>
      <c r="DR20" s="649"/>
      <c r="DS20" s="649"/>
      <c r="DT20" s="649"/>
      <c r="DU20" s="649"/>
      <c r="DV20" s="649"/>
      <c r="DW20" s="649"/>
      <c r="DX20" s="649"/>
      <c r="DY20" s="649"/>
      <c r="DZ20" s="649"/>
      <c r="EA20" s="649"/>
      <c r="EB20" s="649"/>
      <c r="EC20" s="649"/>
      <c r="ED20" s="649"/>
      <c r="EE20" s="649"/>
      <c r="EF20" s="649"/>
      <c r="EG20" s="649"/>
      <c r="EH20" s="649"/>
      <c r="EI20" s="649"/>
      <c r="EJ20" s="649"/>
      <c r="EK20" s="649"/>
      <c r="EL20" s="649"/>
      <c r="EM20" s="649"/>
      <c r="EN20" s="649"/>
      <c r="EO20" s="649"/>
      <c r="EP20" s="649"/>
      <c r="EQ20" s="649"/>
      <c r="ER20" s="654">
        <f t="shared" si="14"/>
        <v>0</v>
      </c>
      <c r="ES20" s="655">
        <f t="shared" si="17"/>
        <v>1</v>
      </c>
      <c r="ET20" s="656">
        <f t="shared" si="11"/>
        <v>1.0000000000000002</v>
      </c>
      <c r="EU20" s="657">
        <f t="shared" si="24"/>
        <v>1</v>
      </c>
      <c r="EV20" s="658">
        <f t="shared" si="18"/>
        <v>1</v>
      </c>
      <c r="EW20" s="865"/>
      <c r="EX20" s="841"/>
      <c r="EY20" s="841"/>
      <c r="EZ20" s="841"/>
      <c r="FA20" s="841"/>
    </row>
    <row r="21" spans="1:208" s="214" customFormat="1" ht="39" customHeight="1" x14ac:dyDescent="0.25">
      <c r="A21" s="913"/>
      <c r="B21" s="916"/>
      <c r="C21" s="919"/>
      <c r="D21" s="910"/>
      <c r="E21" s="924"/>
      <c r="F21" s="251" t="s">
        <v>4</v>
      </c>
      <c r="G21" s="248">
        <f>AA21+BE21+CI21+DL21+DN21</f>
        <v>119914565</v>
      </c>
      <c r="H21" s="248"/>
      <c r="I21" s="248"/>
      <c r="J21" s="248"/>
      <c r="K21" s="248"/>
      <c r="L21" s="248"/>
      <c r="M21" s="248"/>
      <c r="N21" s="248"/>
      <c r="O21" s="248"/>
      <c r="P21" s="248"/>
      <c r="Q21" s="248"/>
      <c r="R21" s="248"/>
      <c r="S21" s="248"/>
      <c r="T21" s="248"/>
      <c r="U21" s="248"/>
      <c r="V21" s="248"/>
      <c r="W21" s="248"/>
      <c r="X21" s="248"/>
      <c r="Y21" s="248"/>
      <c r="Z21" s="248">
        <v>0</v>
      </c>
      <c r="AA21" s="248">
        <v>0</v>
      </c>
      <c r="AB21" s="248">
        <v>62324833</v>
      </c>
      <c r="AC21" s="248">
        <v>6836000</v>
      </c>
      <c r="AD21" s="248">
        <v>6836000</v>
      </c>
      <c r="AE21" s="248">
        <v>34741534</v>
      </c>
      <c r="AF21" s="248">
        <v>34741534</v>
      </c>
      <c r="AG21" s="248">
        <v>19562966</v>
      </c>
      <c r="AH21" s="248">
        <v>19562966</v>
      </c>
      <c r="AI21" s="248">
        <v>1184333</v>
      </c>
      <c r="AJ21" s="248">
        <v>1184333</v>
      </c>
      <c r="AK21" s="248">
        <v>0</v>
      </c>
      <c r="AL21" s="248">
        <v>0</v>
      </c>
      <c r="AM21" s="248">
        <v>0</v>
      </c>
      <c r="AN21" s="248">
        <v>0</v>
      </c>
      <c r="AO21" s="248"/>
      <c r="AP21" s="248"/>
      <c r="AQ21" s="248"/>
      <c r="AR21" s="248"/>
      <c r="AS21" s="248"/>
      <c r="AT21" s="248"/>
      <c r="AU21" s="248">
        <v>0</v>
      </c>
      <c r="AV21" s="248">
        <v>0</v>
      </c>
      <c r="AW21" s="248">
        <v>0</v>
      </c>
      <c r="AX21" s="248">
        <v>0</v>
      </c>
      <c r="AY21" s="248"/>
      <c r="AZ21" s="248"/>
      <c r="BA21" s="248">
        <f t="shared" si="2"/>
        <v>62324833</v>
      </c>
      <c r="BB21" s="248">
        <f t="shared" si="3"/>
        <v>62324833</v>
      </c>
      <c r="BC21" s="248">
        <f t="shared" si="4"/>
        <v>62324833</v>
      </c>
      <c r="BD21" s="248">
        <f t="shared" si="5"/>
        <v>62324833</v>
      </c>
      <c r="BE21" s="248">
        <f t="shared" si="6"/>
        <v>62324833</v>
      </c>
      <c r="BF21" s="248">
        <v>16777532</v>
      </c>
      <c r="BG21" s="248">
        <v>16777532</v>
      </c>
      <c r="BH21" s="248">
        <v>16777532</v>
      </c>
      <c r="BI21" s="248">
        <v>0</v>
      </c>
      <c r="BJ21" s="248">
        <v>0</v>
      </c>
      <c r="BK21" s="248">
        <v>0</v>
      </c>
      <c r="BL21" s="248">
        <v>0</v>
      </c>
      <c r="BM21" s="248">
        <v>0</v>
      </c>
      <c r="BN21" s="248">
        <v>0</v>
      </c>
      <c r="BO21" s="248">
        <v>0</v>
      </c>
      <c r="BP21" s="248">
        <v>0</v>
      </c>
      <c r="BQ21" s="248">
        <v>0</v>
      </c>
      <c r="BR21" s="248">
        <v>0</v>
      </c>
      <c r="BS21" s="248">
        <v>0</v>
      </c>
      <c r="BT21" s="248">
        <v>0</v>
      </c>
      <c r="BU21" s="248">
        <v>0</v>
      </c>
      <c r="BV21" s="248">
        <v>0</v>
      </c>
      <c r="BW21" s="248">
        <v>0</v>
      </c>
      <c r="BX21" s="248">
        <v>0</v>
      </c>
      <c r="BY21" s="248">
        <v>0</v>
      </c>
      <c r="BZ21" s="248">
        <v>0</v>
      </c>
      <c r="CA21" s="248">
        <v>0</v>
      </c>
      <c r="CB21" s="248">
        <v>0</v>
      </c>
      <c r="CC21" s="248">
        <v>0</v>
      </c>
      <c r="CD21" s="248">
        <v>0</v>
      </c>
      <c r="CE21" s="248">
        <f t="shared" si="7"/>
        <v>16777532</v>
      </c>
      <c r="CF21" s="248">
        <f t="shared" si="8"/>
        <v>16777532</v>
      </c>
      <c r="CG21" s="248">
        <f t="shared" si="8"/>
        <v>16777532</v>
      </c>
      <c r="CH21" s="248">
        <f t="shared" si="9"/>
        <v>16777532</v>
      </c>
      <c r="CI21" s="248">
        <f t="shared" si="9"/>
        <v>16777532</v>
      </c>
      <c r="CJ21" s="248">
        <v>40812200</v>
      </c>
      <c r="CK21" s="248">
        <v>12973900</v>
      </c>
      <c r="CL21" s="248">
        <v>12973900</v>
      </c>
      <c r="CM21" s="248">
        <v>12160600</v>
      </c>
      <c r="CN21" s="248">
        <v>12160600</v>
      </c>
      <c r="CO21" s="248">
        <v>1519700</v>
      </c>
      <c r="CP21" s="248">
        <v>1519700</v>
      </c>
      <c r="CQ21" s="248">
        <v>0</v>
      </c>
      <c r="CR21" s="248">
        <v>0</v>
      </c>
      <c r="CS21" s="589">
        <v>0</v>
      </c>
      <c r="CT21" s="589">
        <v>0</v>
      </c>
      <c r="CU21" s="610">
        <v>0</v>
      </c>
      <c r="CV21" s="610">
        <v>0</v>
      </c>
      <c r="CW21" s="248">
        <v>0</v>
      </c>
      <c r="CX21" s="649">
        <v>0</v>
      </c>
      <c r="CY21" s="248">
        <v>14158000</v>
      </c>
      <c r="CZ21" s="649">
        <v>0</v>
      </c>
      <c r="DA21" s="248">
        <v>0</v>
      </c>
      <c r="DB21" s="248">
        <v>0</v>
      </c>
      <c r="DC21" s="248">
        <v>0</v>
      </c>
      <c r="DD21" s="248"/>
      <c r="DE21" s="248">
        <v>0</v>
      </c>
      <c r="DF21" s="248"/>
      <c r="DG21" s="248">
        <v>0</v>
      </c>
      <c r="DH21" s="248"/>
      <c r="DI21" s="676">
        <f t="shared" si="25"/>
        <v>40812200</v>
      </c>
      <c r="DJ21" s="652">
        <f t="shared" si="10"/>
        <v>40812200</v>
      </c>
      <c r="DK21" s="673">
        <f t="shared" si="26"/>
        <v>26654200</v>
      </c>
      <c r="DL21" s="248">
        <f t="shared" si="12"/>
        <v>40812200</v>
      </c>
      <c r="DM21" s="248">
        <f t="shared" si="13"/>
        <v>26654200</v>
      </c>
      <c r="DN21" s="648"/>
      <c r="DO21" s="649"/>
      <c r="DP21" s="649"/>
      <c r="DQ21" s="649"/>
      <c r="DR21" s="649"/>
      <c r="DS21" s="649"/>
      <c r="DT21" s="649"/>
      <c r="DU21" s="649"/>
      <c r="DV21" s="649"/>
      <c r="DW21" s="649"/>
      <c r="DX21" s="649"/>
      <c r="DY21" s="649"/>
      <c r="DZ21" s="649"/>
      <c r="EA21" s="649"/>
      <c r="EB21" s="649"/>
      <c r="EC21" s="649"/>
      <c r="ED21" s="649"/>
      <c r="EE21" s="649"/>
      <c r="EF21" s="649"/>
      <c r="EG21" s="649"/>
      <c r="EH21" s="649"/>
      <c r="EI21" s="649"/>
      <c r="EJ21" s="649"/>
      <c r="EK21" s="649"/>
      <c r="EL21" s="649"/>
      <c r="EM21" s="649"/>
      <c r="EN21" s="649"/>
      <c r="EO21" s="649"/>
      <c r="EP21" s="649"/>
      <c r="EQ21" s="649"/>
      <c r="ER21" s="654">
        <f t="shared" si="14"/>
        <v>0</v>
      </c>
      <c r="ES21" s="655">
        <f t="shared" si="17"/>
        <v>0.6530939277961002</v>
      </c>
      <c r="ET21" s="656">
        <f t="shared" si="11"/>
        <v>0.6530939277961002</v>
      </c>
      <c r="EU21" s="657">
        <f t="shared" si="24"/>
        <v>0.88193260760275449</v>
      </c>
      <c r="EV21" s="658">
        <f t="shared" si="18"/>
        <v>0.88193260760275449</v>
      </c>
      <c r="EW21" s="865"/>
      <c r="EX21" s="841"/>
      <c r="EY21" s="841"/>
      <c r="EZ21" s="841"/>
      <c r="FA21" s="841"/>
    </row>
    <row r="22" spans="1:208" s="215" customFormat="1" ht="39" customHeight="1" thickBot="1" x14ac:dyDescent="0.3">
      <c r="A22" s="913"/>
      <c r="B22" s="916"/>
      <c r="C22" s="919"/>
      <c r="D22" s="910"/>
      <c r="E22" s="924"/>
      <c r="F22" s="253" t="s">
        <v>43</v>
      </c>
      <c r="G22" s="506">
        <f>AA22+BE22+CI22+DL22+DN22</f>
        <v>99.995880799142398</v>
      </c>
      <c r="H22" s="682">
        <v>12.5</v>
      </c>
      <c r="I22" s="683"/>
      <c r="J22" s="683"/>
      <c r="K22" s="683">
        <f>+K17</f>
        <v>12.5</v>
      </c>
      <c r="L22" s="683"/>
      <c r="M22" s="683">
        <f t="shared" ref="M22:Z22" si="27">+M17</f>
        <v>12.5</v>
      </c>
      <c r="N22" s="683">
        <f t="shared" si="27"/>
        <v>2.5</v>
      </c>
      <c r="O22" s="683">
        <f t="shared" si="27"/>
        <v>12.5</v>
      </c>
      <c r="P22" s="683">
        <f t="shared" si="27"/>
        <v>5</v>
      </c>
      <c r="Q22" s="683">
        <f t="shared" si="27"/>
        <v>12.5</v>
      </c>
      <c r="R22" s="683">
        <f t="shared" si="27"/>
        <v>7.5</v>
      </c>
      <c r="S22" s="683">
        <f t="shared" si="27"/>
        <v>12.5</v>
      </c>
      <c r="T22" s="683">
        <f t="shared" si="27"/>
        <v>9.9</v>
      </c>
      <c r="U22" s="683">
        <f t="shared" si="27"/>
        <v>12.5</v>
      </c>
      <c r="V22" s="683">
        <f t="shared" si="27"/>
        <v>11.78</v>
      </c>
      <c r="W22" s="684">
        <f t="shared" si="27"/>
        <v>12.5</v>
      </c>
      <c r="X22" s="684">
        <f t="shared" si="27"/>
        <v>12.5</v>
      </c>
      <c r="Y22" s="684">
        <f t="shared" si="27"/>
        <v>11.8</v>
      </c>
      <c r="Z22" s="683">
        <f t="shared" si="27"/>
        <v>12.5</v>
      </c>
      <c r="AA22" s="495">
        <f>AA17+AA20</f>
        <v>11.78</v>
      </c>
      <c r="AB22" s="495">
        <f t="shared" ref="AB22:CJ22" si="28">AB17+AB20</f>
        <v>25.72</v>
      </c>
      <c r="AC22" s="495">
        <f t="shared" si="28"/>
        <v>2.08</v>
      </c>
      <c r="AD22" s="495">
        <f t="shared" si="28"/>
        <v>0</v>
      </c>
      <c r="AE22" s="495">
        <f t="shared" si="28"/>
        <v>2.8</v>
      </c>
      <c r="AF22" s="495">
        <f t="shared" si="28"/>
        <v>4.88</v>
      </c>
      <c r="AG22" s="495">
        <f t="shared" si="28"/>
        <v>2.08</v>
      </c>
      <c r="AH22" s="495">
        <f t="shared" si="28"/>
        <v>2.08</v>
      </c>
      <c r="AI22" s="495">
        <f t="shared" si="28"/>
        <v>2.08</v>
      </c>
      <c r="AJ22" s="495">
        <f t="shared" si="28"/>
        <v>1.36</v>
      </c>
      <c r="AK22" s="495">
        <f t="shared" si="28"/>
        <v>2.0840000000000001</v>
      </c>
      <c r="AL22" s="495">
        <f t="shared" si="28"/>
        <v>1.3</v>
      </c>
      <c r="AM22" s="495">
        <f t="shared" si="28"/>
        <v>2.08</v>
      </c>
      <c r="AN22" s="495">
        <f t="shared" si="28"/>
        <v>2.5</v>
      </c>
      <c r="AO22" s="495">
        <f t="shared" si="28"/>
        <v>2.08</v>
      </c>
      <c r="AP22" s="495">
        <f t="shared" si="28"/>
        <v>1.73</v>
      </c>
      <c r="AQ22" s="495">
        <f t="shared" si="28"/>
        <v>2.08</v>
      </c>
      <c r="AR22" s="495">
        <f t="shared" si="28"/>
        <v>2.14</v>
      </c>
      <c r="AS22" s="495">
        <f t="shared" si="28"/>
        <v>2.08</v>
      </c>
      <c r="AT22" s="495">
        <f t="shared" si="28"/>
        <v>1.78</v>
      </c>
      <c r="AU22" s="495">
        <f t="shared" si="28"/>
        <v>2.08</v>
      </c>
      <c r="AV22" s="495">
        <f t="shared" si="28"/>
        <v>2.4765306122448969</v>
      </c>
      <c r="AW22" s="495">
        <f t="shared" si="28"/>
        <v>2.08</v>
      </c>
      <c r="AX22" s="495">
        <f t="shared" si="28"/>
        <v>2.69</v>
      </c>
      <c r="AY22" s="495">
        <f t="shared" si="28"/>
        <v>2.12</v>
      </c>
      <c r="AZ22" s="495">
        <f t="shared" si="28"/>
        <v>2.6</v>
      </c>
      <c r="BA22" s="495">
        <f t="shared" si="28"/>
        <v>25.723999999999993</v>
      </c>
      <c r="BB22" s="495">
        <f t="shared" si="28"/>
        <v>25.723999999999993</v>
      </c>
      <c r="BC22" s="495">
        <f t="shared" si="28"/>
        <v>25.536530612244899</v>
      </c>
      <c r="BD22" s="495">
        <f t="shared" si="28"/>
        <v>25.723999999999993</v>
      </c>
      <c r="BE22" s="495">
        <f t="shared" si="28"/>
        <v>25.536530612244899</v>
      </c>
      <c r="BF22" s="495">
        <f t="shared" si="28"/>
        <v>25.18</v>
      </c>
      <c r="BG22" s="495">
        <f t="shared" si="28"/>
        <v>0.18</v>
      </c>
      <c r="BH22" s="495">
        <f t="shared" si="28"/>
        <v>0.18</v>
      </c>
      <c r="BI22" s="495">
        <f t="shared" si="28"/>
        <v>2.4</v>
      </c>
      <c r="BJ22" s="495">
        <f t="shared" si="28"/>
        <v>1.96</v>
      </c>
      <c r="BK22" s="495">
        <f t="shared" si="28"/>
        <v>2.4</v>
      </c>
      <c r="BL22" s="495">
        <f t="shared" si="28"/>
        <v>2.76</v>
      </c>
      <c r="BM22" s="495">
        <f t="shared" si="28"/>
        <v>2.4</v>
      </c>
      <c r="BN22" s="495">
        <f t="shared" si="28"/>
        <v>2.48</v>
      </c>
      <c r="BO22" s="495">
        <f t="shared" si="28"/>
        <v>2.4</v>
      </c>
      <c r="BP22" s="495">
        <f t="shared" si="28"/>
        <v>2.4</v>
      </c>
      <c r="BQ22" s="495">
        <f t="shared" si="28"/>
        <v>2.4</v>
      </c>
      <c r="BR22" s="495">
        <f t="shared" si="28"/>
        <v>2.4</v>
      </c>
      <c r="BS22" s="495">
        <f t="shared" si="28"/>
        <v>2.4</v>
      </c>
      <c r="BT22" s="495">
        <f t="shared" si="28"/>
        <v>2.4</v>
      </c>
      <c r="BU22" s="495">
        <f t="shared" si="28"/>
        <v>2.4</v>
      </c>
      <c r="BV22" s="495">
        <f t="shared" si="28"/>
        <v>0.27692307692307688</v>
      </c>
      <c r="BW22" s="495">
        <f t="shared" si="28"/>
        <v>2.4</v>
      </c>
      <c r="BX22" s="495">
        <f t="shared" si="28"/>
        <v>1.9634271099744245</v>
      </c>
      <c r="BY22" s="495">
        <f t="shared" si="28"/>
        <v>2.4</v>
      </c>
      <c r="BZ22" s="495">
        <f t="shared" si="28"/>
        <v>2.4</v>
      </c>
      <c r="CA22" s="495">
        <f t="shared" si="28"/>
        <v>2.4</v>
      </c>
      <c r="CB22" s="495">
        <f t="shared" si="28"/>
        <v>3</v>
      </c>
      <c r="CC22" s="495">
        <f t="shared" si="28"/>
        <v>1</v>
      </c>
      <c r="CD22" s="495">
        <f t="shared" si="28"/>
        <v>2.4889999999999999</v>
      </c>
      <c r="CE22" s="495">
        <f t="shared" si="28"/>
        <v>25.179999999999996</v>
      </c>
      <c r="CF22" s="495">
        <f t="shared" si="28"/>
        <v>25.179999999999996</v>
      </c>
      <c r="CG22" s="495">
        <f t="shared" si="28"/>
        <v>24.709350186897503</v>
      </c>
      <c r="CH22" s="495">
        <f t="shared" si="28"/>
        <v>25.179999999999996</v>
      </c>
      <c r="CI22" s="495">
        <f t="shared" si="28"/>
        <v>24.709350186897503</v>
      </c>
      <c r="CJ22" s="495">
        <f t="shared" si="28"/>
        <v>25.47</v>
      </c>
      <c r="CK22" s="495">
        <f>CK17+CK20</f>
        <v>0.16</v>
      </c>
      <c r="CL22" s="495">
        <f t="shared" ref="CL22:DH22" si="29">CL17+CL20</f>
        <v>0.16</v>
      </c>
      <c r="CM22" s="495">
        <f t="shared" si="29"/>
        <v>0.23</v>
      </c>
      <c r="CN22" s="495">
        <f t="shared" si="29"/>
        <v>0.23</v>
      </c>
      <c r="CO22" s="495">
        <f t="shared" si="29"/>
        <v>2.5</v>
      </c>
      <c r="CP22" s="495">
        <f t="shared" si="29"/>
        <v>1.34</v>
      </c>
      <c r="CQ22" s="495">
        <f t="shared" si="29"/>
        <v>2.5</v>
      </c>
      <c r="CR22" s="495">
        <f t="shared" si="29"/>
        <v>3.6</v>
      </c>
      <c r="CS22" s="586">
        <f t="shared" si="29"/>
        <v>2.5</v>
      </c>
      <c r="CT22" s="586">
        <f t="shared" si="29"/>
        <v>2.64</v>
      </c>
      <c r="CU22" s="611">
        <f t="shared" si="29"/>
        <v>2.5</v>
      </c>
      <c r="CV22" s="611">
        <f t="shared" si="29"/>
        <v>2.5</v>
      </c>
      <c r="CW22" s="495">
        <f t="shared" si="29"/>
        <v>2.5</v>
      </c>
      <c r="CX22" s="666">
        <f t="shared" si="29"/>
        <v>2.4900000000000002</v>
      </c>
      <c r="CY22" s="495">
        <f t="shared" si="29"/>
        <v>2.58</v>
      </c>
      <c r="CZ22" s="666">
        <f t="shared" si="29"/>
        <v>2.5</v>
      </c>
      <c r="DA22" s="495">
        <f t="shared" si="29"/>
        <v>2.5</v>
      </c>
      <c r="DB22" s="495">
        <f t="shared" si="29"/>
        <v>2.5099999999999998</v>
      </c>
      <c r="DC22" s="495">
        <f t="shared" si="29"/>
        <v>2.5</v>
      </c>
      <c r="DD22" s="495">
        <f t="shared" si="29"/>
        <v>0</v>
      </c>
      <c r="DE22" s="495">
        <f t="shared" si="29"/>
        <v>2.5</v>
      </c>
      <c r="DF22" s="495">
        <f t="shared" si="29"/>
        <v>0</v>
      </c>
      <c r="DG22" s="495">
        <f t="shared" si="29"/>
        <v>2.5</v>
      </c>
      <c r="DH22" s="495">
        <f t="shared" si="29"/>
        <v>0</v>
      </c>
      <c r="DI22" s="685">
        <f t="shared" si="25"/>
        <v>25.47</v>
      </c>
      <c r="DJ22" s="705">
        <f t="shared" si="10"/>
        <v>17.97</v>
      </c>
      <c r="DK22" s="686">
        <f>+CL22+CN22+CP22+CR22+CT22+CV22+CX22+CZ22+DB22+DD22+DF22+DH22</f>
        <v>17.97</v>
      </c>
      <c r="DL22" s="666">
        <f>DI22</f>
        <v>25.47</v>
      </c>
      <c r="DM22" s="666">
        <f>DK22</f>
        <v>17.97</v>
      </c>
      <c r="DN22" s="495">
        <f>DN17+DN20</f>
        <v>12.5</v>
      </c>
      <c r="DO22" s="666"/>
      <c r="DP22" s="666"/>
      <c r="DQ22" s="666"/>
      <c r="DR22" s="666"/>
      <c r="DS22" s="666"/>
      <c r="DT22" s="666"/>
      <c r="DU22" s="666"/>
      <c r="DV22" s="666"/>
      <c r="DW22" s="666"/>
      <c r="DX22" s="666"/>
      <c r="DY22" s="666"/>
      <c r="DZ22" s="666"/>
      <c r="EA22" s="666"/>
      <c r="EB22" s="666"/>
      <c r="EC22" s="666"/>
      <c r="ED22" s="666"/>
      <c r="EE22" s="666"/>
      <c r="EF22" s="666"/>
      <c r="EG22" s="666"/>
      <c r="EH22" s="666"/>
      <c r="EI22" s="666"/>
      <c r="EJ22" s="666"/>
      <c r="EK22" s="666"/>
      <c r="EL22" s="666"/>
      <c r="EM22" s="666"/>
      <c r="EN22" s="666"/>
      <c r="EO22" s="666"/>
      <c r="EP22" s="666"/>
      <c r="EQ22" s="666"/>
      <c r="ER22" s="706">
        <f t="shared" si="14"/>
        <v>1.004</v>
      </c>
      <c r="ES22" s="667">
        <f t="shared" si="17"/>
        <v>1</v>
      </c>
      <c r="ET22" s="668">
        <f t="shared" si="11"/>
        <v>0.70553592461719672</v>
      </c>
      <c r="EU22" s="669">
        <f t="shared" si="24"/>
        <v>0.98306437927522816</v>
      </c>
      <c r="EV22" s="670">
        <f t="shared" si="18"/>
        <v>0.79999176125891447</v>
      </c>
      <c r="EW22" s="865"/>
      <c r="EX22" s="841"/>
      <c r="EY22" s="841"/>
      <c r="EZ22" s="841"/>
      <c r="FA22" s="841"/>
    </row>
    <row r="23" spans="1:208" s="214" customFormat="1" ht="39" customHeight="1" thickBot="1" x14ac:dyDescent="0.3">
      <c r="A23" s="914"/>
      <c r="B23" s="917"/>
      <c r="C23" s="920"/>
      <c r="D23" s="922"/>
      <c r="E23" s="925"/>
      <c r="F23" s="286" t="s">
        <v>45</v>
      </c>
      <c r="G23" s="516">
        <f>G18+G21</f>
        <v>1616655531</v>
      </c>
      <c r="H23" s="516">
        <f t="shared" ref="H23:BS23" si="30">H18+H21</f>
        <v>200000000</v>
      </c>
      <c r="I23" s="516">
        <f t="shared" si="30"/>
        <v>0</v>
      </c>
      <c r="J23" s="516">
        <f t="shared" si="30"/>
        <v>0</v>
      </c>
      <c r="K23" s="516">
        <f t="shared" si="30"/>
        <v>200000000</v>
      </c>
      <c r="L23" s="516">
        <f t="shared" si="30"/>
        <v>0</v>
      </c>
      <c r="M23" s="516">
        <f t="shared" si="30"/>
        <v>200000000</v>
      </c>
      <c r="N23" s="516">
        <f t="shared" si="30"/>
        <v>114652000</v>
      </c>
      <c r="O23" s="516">
        <f t="shared" si="30"/>
        <v>200000000</v>
      </c>
      <c r="P23" s="516">
        <f t="shared" si="30"/>
        <v>143692000</v>
      </c>
      <c r="Q23" s="516">
        <f t="shared" si="30"/>
        <v>200000000</v>
      </c>
      <c r="R23" s="516">
        <f t="shared" si="30"/>
        <v>143692000</v>
      </c>
      <c r="S23" s="516">
        <f t="shared" si="30"/>
        <v>200000000</v>
      </c>
      <c r="T23" s="516">
        <f t="shared" si="30"/>
        <v>143692000</v>
      </c>
      <c r="U23" s="516">
        <f t="shared" si="30"/>
        <v>200000000</v>
      </c>
      <c r="V23" s="516">
        <f t="shared" si="30"/>
        <v>198796000</v>
      </c>
      <c r="W23" s="516">
        <f t="shared" si="30"/>
        <v>200000000</v>
      </c>
      <c r="X23" s="516">
        <f t="shared" si="30"/>
        <v>200000000</v>
      </c>
      <c r="Y23" s="516">
        <f t="shared" si="30"/>
        <v>198796000</v>
      </c>
      <c r="Z23" s="516">
        <f t="shared" si="30"/>
        <v>200000000</v>
      </c>
      <c r="AA23" s="516">
        <f t="shared" si="30"/>
        <v>198796000</v>
      </c>
      <c r="AB23" s="516">
        <f t="shared" si="30"/>
        <v>317275833</v>
      </c>
      <c r="AC23" s="516">
        <f t="shared" si="30"/>
        <v>6836000</v>
      </c>
      <c r="AD23" s="516">
        <f t="shared" si="30"/>
        <v>6836000</v>
      </c>
      <c r="AE23" s="516">
        <f t="shared" si="30"/>
        <v>100821534</v>
      </c>
      <c r="AF23" s="516">
        <f t="shared" si="30"/>
        <v>100821534</v>
      </c>
      <c r="AG23" s="516">
        <f t="shared" si="30"/>
        <v>207011966</v>
      </c>
      <c r="AH23" s="516">
        <f t="shared" si="30"/>
        <v>207011966</v>
      </c>
      <c r="AI23" s="516">
        <f t="shared" si="30"/>
        <v>1184333</v>
      </c>
      <c r="AJ23" s="516">
        <f t="shared" si="30"/>
        <v>1184333</v>
      </c>
      <c r="AK23" s="516">
        <f t="shared" si="30"/>
        <v>0</v>
      </c>
      <c r="AL23" s="516">
        <f t="shared" si="30"/>
        <v>0</v>
      </c>
      <c r="AM23" s="516">
        <f t="shared" si="30"/>
        <v>0</v>
      </c>
      <c r="AN23" s="516">
        <f t="shared" si="30"/>
        <v>0</v>
      </c>
      <c r="AO23" s="516">
        <f t="shared" si="30"/>
        <v>0</v>
      </c>
      <c r="AP23" s="516">
        <f t="shared" si="30"/>
        <v>0</v>
      </c>
      <c r="AQ23" s="516">
        <f t="shared" si="30"/>
        <v>0</v>
      </c>
      <c r="AR23" s="516">
        <f t="shared" si="30"/>
        <v>0</v>
      </c>
      <c r="AS23" s="516">
        <f t="shared" si="30"/>
        <v>0</v>
      </c>
      <c r="AT23" s="516">
        <f t="shared" si="30"/>
        <v>0</v>
      </c>
      <c r="AU23" s="516">
        <f t="shared" si="30"/>
        <v>0</v>
      </c>
      <c r="AV23" s="516">
        <f t="shared" si="30"/>
        <v>0</v>
      </c>
      <c r="AW23" s="516">
        <f t="shared" si="30"/>
        <v>32353269</v>
      </c>
      <c r="AX23" s="516">
        <f t="shared" si="30"/>
        <v>29912733</v>
      </c>
      <c r="AY23" s="516">
        <f t="shared" si="30"/>
        <v>0</v>
      </c>
      <c r="AZ23" s="516">
        <f t="shared" si="30"/>
        <v>2440533</v>
      </c>
      <c r="BA23" s="516">
        <f t="shared" si="30"/>
        <v>348207102</v>
      </c>
      <c r="BB23" s="516">
        <f t="shared" si="30"/>
        <v>348207102</v>
      </c>
      <c r="BC23" s="516">
        <f t="shared" si="30"/>
        <v>348207099</v>
      </c>
      <c r="BD23" s="516">
        <f t="shared" si="30"/>
        <v>348207102</v>
      </c>
      <c r="BE23" s="516">
        <f t="shared" si="30"/>
        <v>348207099</v>
      </c>
      <c r="BF23" s="516">
        <f t="shared" si="30"/>
        <v>431761532</v>
      </c>
      <c r="BG23" s="516">
        <f t="shared" si="30"/>
        <v>395446532</v>
      </c>
      <c r="BH23" s="516">
        <f t="shared" si="30"/>
        <v>395446532</v>
      </c>
      <c r="BI23" s="516">
        <f t="shared" si="30"/>
        <v>0</v>
      </c>
      <c r="BJ23" s="516">
        <f t="shared" si="30"/>
        <v>0</v>
      </c>
      <c r="BK23" s="516">
        <f t="shared" si="30"/>
        <v>0</v>
      </c>
      <c r="BL23" s="516">
        <f t="shared" si="30"/>
        <v>0</v>
      </c>
      <c r="BM23" s="516">
        <f t="shared" si="30"/>
        <v>0</v>
      </c>
      <c r="BN23" s="516">
        <f t="shared" si="30"/>
        <v>0</v>
      </c>
      <c r="BO23" s="516">
        <f t="shared" si="30"/>
        <v>0</v>
      </c>
      <c r="BP23" s="516">
        <f t="shared" si="30"/>
        <v>0</v>
      </c>
      <c r="BQ23" s="516">
        <f t="shared" si="30"/>
        <v>0</v>
      </c>
      <c r="BR23" s="516">
        <f t="shared" si="30"/>
        <v>0</v>
      </c>
      <c r="BS23" s="516">
        <f t="shared" si="30"/>
        <v>0</v>
      </c>
      <c r="BT23" s="516">
        <f t="shared" ref="BT23:DM23" si="31">BT18+BT21</f>
        <v>0</v>
      </c>
      <c r="BU23" s="516">
        <f t="shared" si="31"/>
        <v>0</v>
      </c>
      <c r="BV23" s="516">
        <f t="shared" si="31"/>
        <v>2571800</v>
      </c>
      <c r="BW23" s="516">
        <f t="shared" si="31"/>
        <v>0</v>
      </c>
      <c r="BX23" s="516">
        <f t="shared" si="31"/>
        <v>0</v>
      </c>
      <c r="BY23" s="516">
        <f t="shared" si="31"/>
        <v>19497000</v>
      </c>
      <c r="BZ23" s="516">
        <f t="shared" si="31"/>
        <v>13752000</v>
      </c>
      <c r="CA23" s="516">
        <f t="shared" si="31"/>
        <v>10159500</v>
      </c>
      <c r="CB23" s="516">
        <f t="shared" si="31"/>
        <v>11345400</v>
      </c>
      <c r="CC23" s="516">
        <f t="shared" si="31"/>
        <v>12104500</v>
      </c>
      <c r="CD23" s="516">
        <f t="shared" si="31"/>
        <v>12104500</v>
      </c>
      <c r="CE23" s="516">
        <f t="shared" si="31"/>
        <v>437207532</v>
      </c>
      <c r="CF23" s="516">
        <f t="shared" si="31"/>
        <v>437207532</v>
      </c>
      <c r="CG23" s="516">
        <f t="shared" si="31"/>
        <v>435220232</v>
      </c>
      <c r="CH23" s="516">
        <f t="shared" si="31"/>
        <v>437207532</v>
      </c>
      <c r="CI23" s="516">
        <f t="shared" si="31"/>
        <v>435220232</v>
      </c>
      <c r="CJ23" s="516">
        <f t="shared" si="31"/>
        <v>376178200</v>
      </c>
      <c r="CK23" s="516">
        <f t="shared" si="31"/>
        <v>12973900</v>
      </c>
      <c r="CL23" s="516">
        <f t="shared" si="31"/>
        <v>12973900</v>
      </c>
      <c r="CM23" s="516">
        <f t="shared" si="31"/>
        <v>183392600</v>
      </c>
      <c r="CN23" s="516">
        <f t="shared" si="31"/>
        <v>183392600</v>
      </c>
      <c r="CO23" s="516">
        <f t="shared" si="31"/>
        <v>136370700</v>
      </c>
      <c r="CP23" s="516">
        <f t="shared" si="31"/>
        <v>136370700</v>
      </c>
      <c r="CQ23" s="516">
        <f t="shared" si="31"/>
        <v>22045000</v>
      </c>
      <c r="CR23" s="516">
        <f t="shared" si="31"/>
        <v>0</v>
      </c>
      <c r="CS23" s="595">
        <f t="shared" si="31"/>
        <v>0</v>
      </c>
      <c r="CT23" s="595">
        <f t="shared" si="31"/>
        <v>0</v>
      </c>
      <c r="CU23" s="596">
        <f>CU18+CU21</f>
        <v>0</v>
      </c>
      <c r="CV23" s="596">
        <f>CV18+CV21</f>
        <v>22045000</v>
      </c>
      <c r="CW23" s="516">
        <f t="shared" si="31"/>
        <v>0</v>
      </c>
      <c r="CX23" s="516">
        <f t="shared" si="31"/>
        <v>0</v>
      </c>
      <c r="CY23" s="516">
        <f t="shared" si="31"/>
        <v>14158000</v>
      </c>
      <c r="CZ23" s="516">
        <f t="shared" si="31"/>
        <v>0</v>
      </c>
      <c r="DA23" s="516">
        <f t="shared" si="31"/>
        <v>0</v>
      </c>
      <c r="DB23" s="516">
        <f t="shared" si="31"/>
        <v>0</v>
      </c>
      <c r="DC23" s="516">
        <f t="shared" si="31"/>
        <v>0</v>
      </c>
      <c r="DD23" s="516">
        <f t="shared" si="31"/>
        <v>0</v>
      </c>
      <c r="DE23" s="516">
        <f t="shared" si="31"/>
        <v>0</v>
      </c>
      <c r="DF23" s="516">
        <f t="shared" si="31"/>
        <v>0</v>
      </c>
      <c r="DG23" s="516">
        <f t="shared" si="31"/>
        <v>7238000</v>
      </c>
      <c r="DH23" s="516">
        <f t="shared" si="31"/>
        <v>0</v>
      </c>
      <c r="DI23" s="615">
        <f>DI18+DI21</f>
        <v>376178200</v>
      </c>
      <c r="DJ23" s="710">
        <f t="shared" si="10"/>
        <v>368940200</v>
      </c>
      <c r="DK23" s="615">
        <f t="shared" si="31"/>
        <v>354782200</v>
      </c>
      <c r="DL23" s="615">
        <f t="shared" si="31"/>
        <v>376178200</v>
      </c>
      <c r="DM23" s="615">
        <f t="shared" si="31"/>
        <v>354782200</v>
      </c>
      <c r="DN23" s="516">
        <f>DN18+DN21</f>
        <v>258254000</v>
      </c>
      <c r="DO23" s="618"/>
      <c r="DP23" s="618"/>
      <c r="DQ23" s="618"/>
      <c r="DR23" s="618"/>
      <c r="DS23" s="618"/>
      <c r="DT23" s="618"/>
      <c r="DU23" s="618"/>
      <c r="DV23" s="618"/>
      <c r="DW23" s="618"/>
      <c r="DX23" s="618"/>
      <c r="DY23" s="618"/>
      <c r="DZ23" s="618"/>
      <c r="EA23" s="618"/>
      <c r="EB23" s="618"/>
      <c r="EC23" s="618"/>
      <c r="ED23" s="618"/>
      <c r="EE23" s="618"/>
      <c r="EF23" s="618"/>
      <c r="EG23" s="618"/>
      <c r="EH23" s="618"/>
      <c r="EI23" s="618"/>
      <c r="EJ23" s="618"/>
      <c r="EK23" s="618"/>
      <c r="EL23" s="618"/>
      <c r="EM23" s="618"/>
      <c r="EN23" s="618"/>
      <c r="EO23" s="618"/>
      <c r="EP23" s="618"/>
      <c r="EQ23" s="618"/>
      <c r="ER23" s="707">
        <f t="shared" si="14"/>
        <v>0</v>
      </c>
      <c r="ES23" s="702">
        <f t="shared" si="17"/>
        <v>0.96162521731164019</v>
      </c>
      <c r="ET23" s="703">
        <f t="shared" si="11"/>
        <v>0.94312270089016326</v>
      </c>
      <c r="EU23" s="704">
        <f t="shared" si="24"/>
        <v>0.98718998702226357</v>
      </c>
      <c r="EV23" s="708">
        <f t="shared" si="18"/>
        <v>0.82701942705938136</v>
      </c>
      <c r="EW23" s="866"/>
      <c r="EX23" s="841"/>
      <c r="EY23" s="841"/>
      <c r="EZ23" s="841"/>
      <c r="FA23" s="841"/>
    </row>
    <row r="24" spans="1:208" s="229" customFormat="1" ht="62.25" customHeight="1" x14ac:dyDescent="0.25">
      <c r="A24" s="933" t="s">
        <v>380</v>
      </c>
      <c r="B24" s="935">
        <v>3</v>
      </c>
      <c r="C24" s="926" t="s">
        <v>381</v>
      </c>
      <c r="D24" s="909" t="s">
        <v>379</v>
      </c>
      <c r="E24" s="909">
        <v>290</v>
      </c>
      <c r="F24" s="499" t="s">
        <v>41</v>
      </c>
      <c r="G24" s="508">
        <f>AA24+BE24+CI24+DL24+DN24</f>
        <v>47</v>
      </c>
      <c r="H24" s="672">
        <v>7</v>
      </c>
      <c r="I24" s="687"/>
      <c r="J24" s="687"/>
      <c r="K24" s="687">
        <v>7</v>
      </c>
      <c r="L24" s="687">
        <v>0</v>
      </c>
      <c r="M24" s="687">
        <v>7</v>
      </c>
      <c r="N24" s="687">
        <v>7</v>
      </c>
      <c r="O24" s="687">
        <v>7</v>
      </c>
      <c r="P24" s="687">
        <v>7</v>
      </c>
      <c r="Q24" s="687">
        <v>7</v>
      </c>
      <c r="R24" s="687">
        <v>7</v>
      </c>
      <c r="S24" s="687">
        <v>7</v>
      </c>
      <c r="T24" s="688">
        <v>7</v>
      </c>
      <c r="U24" s="509">
        <v>7</v>
      </c>
      <c r="V24" s="509">
        <v>7</v>
      </c>
      <c r="W24" s="688">
        <f>K24</f>
        <v>7</v>
      </c>
      <c r="X24" s="688">
        <f>U24</f>
        <v>7</v>
      </c>
      <c r="Y24" s="688">
        <f>V24</f>
        <v>7</v>
      </c>
      <c r="Z24" s="509">
        <v>7</v>
      </c>
      <c r="AA24" s="509">
        <v>7</v>
      </c>
      <c r="AB24" s="672">
        <v>13</v>
      </c>
      <c r="AC24" s="509">
        <v>6</v>
      </c>
      <c r="AD24" s="509">
        <v>6</v>
      </c>
      <c r="AE24" s="509">
        <v>0</v>
      </c>
      <c r="AF24" s="509">
        <v>0</v>
      </c>
      <c r="AG24" s="509">
        <v>1</v>
      </c>
      <c r="AH24" s="509">
        <v>1</v>
      </c>
      <c r="AI24" s="509">
        <v>1</v>
      </c>
      <c r="AJ24" s="509">
        <v>1</v>
      </c>
      <c r="AK24" s="509">
        <v>3</v>
      </c>
      <c r="AL24" s="509">
        <v>3</v>
      </c>
      <c r="AM24" s="509">
        <v>0</v>
      </c>
      <c r="AN24" s="509">
        <v>0</v>
      </c>
      <c r="AO24" s="509">
        <v>1</v>
      </c>
      <c r="AP24" s="509">
        <v>1</v>
      </c>
      <c r="AQ24" s="509">
        <v>0</v>
      </c>
      <c r="AR24" s="509"/>
      <c r="AS24" s="509">
        <v>0</v>
      </c>
      <c r="AT24" s="509"/>
      <c r="AU24" s="509">
        <v>0</v>
      </c>
      <c r="AV24" s="509">
        <v>0</v>
      </c>
      <c r="AW24" s="509">
        <v>1</v>
      </c>
      <c r="AX24" s="509">
        <v>1</v>
      </c>
      <c r="AY24" s="509">
        <v>0</v>
      </c>
      <c r="AZ24" s="509">
        <v>0</v>
      </c>
      <c r="BA24" s="673">
        <f>AC24+AE24+AG24+AI24+AK24+AM24+AO24+AQ24+AS24+AU24+AW24+AY24</f>
        <v>13</v>
      </c>
      <c r="BB24" s="673">
        <f>AC24+AE24+AG24+AI24+AK24+AM24+AO24+AQ24+AS24+AU24+AW24+AY24</f>
        <v>13</v>
      </c>
      <c r="BC24" s="673">
        <f t="shared" si="4"/>
        <v>13</v>
      </c>
      <c r="BD24" s="673">
        <f t="shared" si="5"/>
        <v>13</v>
      </c>
      <c r="BE24" s="673">
        <f t="shared" si="6"/>
        <v>13</v>
      </c>
      <c r="BF24" s="672">
        <v>7</v>
      </c>
      <c r="BG24" s="673">
        <v>0</v>
      </c>
      <c r="BH24" s="673">
        <v>0</v>
      </c>
      <c r="BI24" s="673">
        <v>1</v>
      </c>
      <c r="BJ24" s="498">
        <v>6</v>
      </c>
      <c r="BK24" s="673">
        <v>1</v>
      </c>
      <c r="BL24" s="673">
        <v>0</v>
      </c>
      <c r="BM24" s="673">
        <v>2</v>
      </c>
      <c r="BN24" s="673">
        <v>1</v>
      </c>
      <c r="BO24" s="673">
        <v>1</v>
      </c>
      <c r="BP24" s="673">
        <v>0</v>
      </c>
      <c r="BQ24" s="673">
        <v>1</v>
      </c>
      <c r="BR24" s="673">
        <v>0</v>
      </c>
      <c r="BS24" s="673">
        <v>0</v>
      </c>
      <c r="BT24" s="673">
        <v>0</v>
      </c>
      <c r="BU24" s="673">
        <v>1</v>
      </c>
      <c r="BV24" s="673">
        <v>0</v>
      </c>
      <c r="BW24" s="673">
        <v>0</v>
      </c>
      <c r="BX24" s="673">
        <v>0</v>
      </c>
      <c r="BY24" s="673">
        <v>0</v>
      </c>
      <c r="BZ24" s="673">
        <v>0</v>
      </c>
      <c r="CA24" s="689">
        <v>3</v>
      </c>
      <c r="CB24" s="673">
        <v>3</v>
      </c>
      <c r="CC24" s="673">
        <v>0</v>
      </c>
      <c r="CD24" s="673">
        <v>0</v>
      </c>
      <c r="CE24" s="673">
        <f t="shared" si="7"/>
        <v>10</v>
      </c>
      <c r="CF24" s="690">
        <f t="shared" si="8"/>
        <v>10</v>
      </c>
      <c r="CG24" s="673">
        <f t="shared" si="8"/>
        <v>10</v>
      </c>
      <c r="CH24" s="673">
        <f t="shared" si="9"/>
        <v>10</v>
      </c>
      <c r="CI24" s="673">
        <f t="shared" si="9"/>
        <v>10</v>
      </c>
      <c r="CJ24" s="672">
        <v>12</v>
      </c>
      <c r="CK24" s="673">
        <v>0</v>
      </c>
      <c r="CL24" s="673">
        <v>0</v>
      </c>
      <c r="CM24" s="673">
        <v>5</v>
      </c>
      <c r="CN24" s="673">
        <v>5</v>
      </c>
      <c r="CO24" s="673">
        <v>6</v>
      </c>
      <c r="CP24" s="673">
        <v>6</v>
      </c>
      <c r="CQ24" s="673">
        <v>0</v>
      </c>
      <c r="CR24" s="673">
        <v>1</v>
      </c>
      <c r="CS24" s="673">
        <v>1</v>
      </c>
      <c r="CT24" s="673">
        <v>0</v>
      </c>
      <c r="CU24" s="691">
        <v>0</v>
      </c>
      <c r="CV24" s="691">
        <v>0</v>
      </c>
      <c r="CW24" s="673">
        <v>0</v>
      </c>
      <c r="CX24" s="673">
        <v>0</v>
      </c>
      <c r="CY24" s="673">
        <v>0</v>
      </c>
      <c r="CZ24" s="673">
        <v>0</v>
      </c>
      <c r="DA24" s="673">
        <v>0</v>
      </c>
      <c r="DB24" s="673">
        <v>0</v>
      </c>
      <c r="DC24" s="673"/>
      <c r="DD24" s="673"/>
      <c r="DE24" s="673"/>
      <c r="DF24" s="673"/>
      <c r="DG24" s="673"/>
      <c r="DH24" s="673"/>
      <c r="DI24" s="673">
        <f t="shared" si="15"/>
        <v>12</v>
      </c>
      <c r="DJ24" s="691">
        <f t="shared" si="10"/>
        <v>12</v>
      </c>
      <c r="DK24" s="673">
        <f>CL24+CN24+CP24+CR24+CT24+CV24+CX24+CZ24+DB24+DD24+DF24+DH24</f>
        <v>12</v>
      </c>
      <c r="DL24" s="673">
        <f>DI24</f>
        <v>12</v>
      </c>
      <c r="DM24" s="673">
        <f t="shared" si="13"/>
        <v>12</v>
      </c>
      <c r="DN24" s="672">
        <v>5</v>
      </c>
      <c r="DO24" s="673"/>
      <c r="DP24" s="673"/>
      <c r="DQ24" s="673"/>
      <c r="DR24" s="673"/>
      <c r="DS24" s="673"/>
      <c r="DT24" s="673"/>
      <c r="DU24" s="673"/>
      <c r="DV24" s="673"/>
      <c r="DW24" s="673"/>
      <c r="DX24" s="673"/>
      <c r="DY24" s="673"/>
      <c r="DZ24" s="673"/>
      <c r="EA24" s="673"/>
      <c r="EB24" s="673"/>
      <c r="EC24" s="673"/>
      <c r="ED24" s="673"/>
      <c r="EE24" s="673"/>
      <c r="EF24" s="673"/>
      <c r="EG24" s="673"/>
      <c r="EH24" s="673"/>
      <c r="EI24" s="673"/>
      <c r="EJ24" s="673"/>
      <c r="EK24" s="673"/>
      <c r="EL24" s="673"/>
      <c r="EM24" s="673"/>
      <c r="EN24" s="673"/>
      <c r="EO24" s="673"/>
      <c r="EP24" s="673"/>
      <c r="EQ24" s="673"/>
      <c r="ER24" s="709">
        <f t="shared" si="14"/>
        <v>0</v>
      </c>
      <c r="ES24" s="677">
        <f>IFERROR(DK24/DJ24,0)</f>
        <v>1</v>
      </c>
      <c r="ET24" s="678">
        <f t="shared" si="11"/>
        <v>1</v>
      </c>
      <c r="EU24" s="679">
        <f t="shared" si="24"/>
        <v>1</v>
      </c>
      <c r="EV24" s="692">
        <f t="shared" si="18"/>
        <v>0.8936170212765957</v>
      </c>
      <c r="EW24" s="856" t="s">
        <v>707</v>
      </c>
      <c r="EX24" s="841" t="s">
        <v>551</v>
      </c>
      <c r="EY24" s="841" t="s">
        <v>551</v>
      </c>
      <c r="EZ24" s="841" t="s">
        <v>391</v>
      </c>
      <c r="FA24" s="879" t="s">
        <v>654</v>
      </c>
      <c r="FB24" s="259"/>
      <c r="FC24" s="259"/>
      <c r="FD24" s="259"/>
      <c r="FE24" s="259"/>
      <c r="FF24" s="259"/>
      <c r="FG24" s="259"/>
      <c r="FH24" s="259"/>
      <c r="FI24" s="259"/>
      <c r="FJ24" s="259"/>
      <c r="FK24" s="259"/>
      <c r="FL24" s="259"/>
      <c r="FM24" s="259"/>
      <c r="FN24" s="259"/>
      <c r="FO24" s="259"/>
      <c r="FP24" s="259"/>
      <c r="FQ24" s="259"/>
      <c r="FR24" s="259"/>
      <c r="FS24" s="259"/>
      <c r="FT24" s="259"/>
      <c r="FU24" s="259"/>
      <c r="FV24" s="259"/>
      <c r="FW24" s="259"/>
      <c r="FX24" s="259"/>
      <c r="FY24" s="259"/>
      <c r="FZ24" s="259"/>
      <c r="GA24" s="259"/>
      <c r="GB24" s="259"/>
      <c r="GC24" s="259"/>
      <c r="GD24" s="259"/>
      <c r="GE24" s="259"/>
      <c r="GF24" s="259"/>
      <c r="GG24" s="259"/>
      <c r="GH24" s="259"/>
      <c r="GI24" s="259"/>
      <c r="GJ24" s="259"/>
      <c r="GK24" s="259"/>
      <c r="GL24" s="259"/>
      <c r="GM24" s="259"/>
      <c r="GN24" s="259"/>
      <c r="GO24" s="259"/>
      <c r="GP24" s="259"/>
      <c r="GQ24" s="259"/>
      <c r="GR24" s="259"/>
      <c r="GS24" s="259"/>
      <c r="GT24" s="259"/>
      <c r="GU24" s="259"/>
      <c r="GV24" s="259"/>
      <c r="GW24" s="259"/>
      <c r="GX24" s="259"/>
      <c r="GY24" s="259"/>
      <c r="GZ24" s="259"/>
    </row>
    <row r="25" spans="1:208" s="225" customFormat="1" ht="62.25" customHeight="1" x14ac:dyDescent="0.25">
      <c r="A25" s="933"/>
      <c r="B25" s="936"/>
      <c r="C25" s="927"/>
      <c r="D25" s="910"/>
      <c r="E25" s="910"/>
      <c r="F25" s="280" t="s">
        <v>3</v>
      </c>
      <c r="G25" s="248">
        <f>AA25+BE25+CI25+DL25+DN25</f>
        <v>1276728605</v>
      </c>
      <c r="H25" s="248">
        <v>171232872</v>
      </c>
      <c r="I25" s="248"/>
      <c r="J25" s="248"/>
      <c r="K25" s="248">
        <v>171232872</v>
      </c>
      <c r="L25" s="248">
        <v>0</v>
      </c>
      <c r="M25" s="248">
        <v>171232872</v>
      </c>
      <c r="N25" s="248">
        <v>94940000</v>
      </c>
      <c r="O25" s="248">
        <v>171232872</v>
      </c>
      <c r="P25" s="248">
        <v>94940000</v>
      </c>
      <c r="Q25" s="248">
        <v>171232872</v>
      </c>
      <c r="R25" s="248">
        <v>94940000</v>
      </c>
      <c r="S25" s="248">
        <v>171232872</v>
      </c>
      <c r="T25" s="248">
        <v>94940000</v>
      </c>
      <c r="U25" s="248">
        <v>171232872</v>
      </c>
      <c r="V25" s="248">
        <v>164967872</v>
      </c>
      <c r="W25" s="248">
        <f>K25</f>
        <v>171232872</v>
      </c>
      <c r="X25" s="248">
        <f t="shared" ref="X25:Y29" si="32">U25</f>
        <v>171232872</v>
      </c>
      <c r="Y25" s="248">
        <f t="shared" si="32"/>
        <v>164967872</v>
      </c>
      <c r="Z25" s="248">
        <v>171232872</v>
      </c>
      <c r="AA25" s="248">
        <v>164967872</v>
      </c>
      <c r="AB25" s="248">
        <v>364061000</v>
      </c>
      <c r="AC25" s="248">
        <v>0</v>
      </c>
      <c r="AD25" s="248">
        <v>0</v>
      </c>
      <c r="AE25" s="248">
        <v>143810000</v>
      </c>
      <c r="AF25" s="248">
        <v>143810000</v>
      </c>
      <c r="AG25" s="248">
        <v>191582000</v>
      </c>
      <c r="AH25" s="248">
        <f>295568000-AF25</f>
        <v>151758000</v>
      </c>
      <c r="AI25" s="248">
        <v>0</v>
      </c>
      <c r="AJ25" s="248">
        <f>335392000-AH25-AF25-AD25</f>
        <v>39824000</v>
      </c>
      <c r="AK25" s="248">
        <v>0</v>
      </c>
      <c r="AL25" s="248">
        <v>0</v>
      </c>
      <c r="AM25" s="248">
        <v>0</v>
      </c>
      <c r="AN25" s="248">
        <v>0</v>
      </c>
      <c r="AO25" s="248">
        <v>7993000</v>
      </c>
      <c r="AP25" s="248">
        <v>0</v>
      </c>
      <c r="AQ25" s="248"/>
      <c r="AR25" s="248"/>
      <c r="AS25" s="248">
        <f>20676000-24346000</f>
        <v>-3670000</v>
      </c>
      <c r="AT25" s="248">
        <v>4323000</v>
      </c>
      <c r="AU25" s="248"/>
      <c r="AV25" s="248"/>
      <c r="AW25" s="248">
        <v>0</v>
      </c>
      <c r="AX25" s="248">
        <v>0</v>
      </c>
      <c r="AY25" s="248"/>
      <c r="AZ25" s="248">
        <v>-248033</v>
      </c>
      <c r="BA25" s="248">
        <f t="shared" si="2"/>
        <v>339715000</v>
      </c>
      <c r="BB25" s="248">
        <f t="shared" si="3"/>
        <v>339715000</v>
      </c>
      <c r="BC25" s="248">
        <f>AD25+AF25+AH25+AJ25+AL25+AN25+AP25+AR25+AT25+AV25+AX25+AZ25</f>
        <v>339466967</v>
      </c>
      <c r="BD25" s="248">
        <f t="shared" si="5"/>
        <v>339715000</v>
      </c>
      <c r="BE25" s="248">
        <f t="shared" si="6"/>
        <v>339466967</v>
      </c>
      <c r="BF25" s="248">
        <v>287337000</v>
      </c>
      <c r="BG25" s="248">
        <v>282678000</v>
      </c>
      <c r="BH25" s="248">
        <v>282678000</v>
      </c>
      <c r="BI25" s="248">
        <v>0</v>
      </c>
      <c r="BJ25" s="248">
        <v>0</v>
      </c>
      <c r="BK25" s="248">
        <v>0</v>
      </c>
      <c r="BL25" s="248">
        <v>0</v>
      </c>
      <c r="BM25" s="248">
        <v>0</v>
      </c>
      <c r="BN25" s="248">
        <v>0</v>
      </c>
      <c r="BO25" s="248">
        <v>4659000</v>
      </c>
      <c r="BP25" s="248">
        <v>0</v>
      </c>
      <c r="BQ25" s="248">
        <v>0</v>
      </c>
      <c r="BR25" s="248">
        <v>3679000</v>
      </c>
      <c r="BS25" s="248">
        <v>0</v>
      </c>
      <c r="BT25" s="248">
        <v>0</v>
      </c>
      <c r="BU25" s="248">
        <v>0</v>
      </c>
      <c r="BV25" s="248">
        <v>0</v>
      </c>
      <c r="BW25" s="248">
        <v>0</v>
      </c>
      <c r="BX25" s="248">
        <v>835200</v>
      </c>
      <c r="BY25" s="248">
        <f>32560566-110632</f>
        <v>32449934</v>
      </c>
      <c r="BZ25" s="248">
        <v>10618500</v>
      </c>
      <c r="CA25" s="248">
        <v>0</v>
      </c>
      <c r="CB25" s="248">
        <v>21942066</v>
      </c>
      <c r="CC25" s="248">
        <v>2530000</v>
      </c>
      <c r="CD25" s="248">
        <v>2530000</v>
      </c>
      <c r="CE25" s="248">
        <f t="shared" si="7"/>
        <v>322316934</v>
      </c>
      <c r="CF25" s="248">
        <f t="shared" si="8"/>
        <v>322316934</v>
      </c>
      <c r="CG25" s="248">
        <f t="shared" si="8"/>
        <v>322282766</v>
      </c>
      <c r="CH25" s="248">
        <f t="shared" si="9"/>
        <v>322316934</v>
      </c>
      <c r="CI25" s="248">
        <f t="shared" si="9"/>
        <v>322282766</v>
      </c>
      <c r="CJ25" s="248">
        <v>244532000</v>
      </c>
      <c r="CK25" s="248">
        <v>0</v>
      </c>
      <c r="CL25" s="248">
        <v>0</v>
      </c>
      <c r="CM25" s="248">
        <v>196875000</v>
      </c>
      <c r="CN25" s="248">
        <v>196875000</v>
      </c>
      <c r="CO25" s="248">
        <v>39130000</v>
      </c>
      <c r="CP25" s="248">
        <v>39130000</v>
      </c>
      <c r="CQ25" s="248">
        <v>8527000</v>
      </c>
      <c r="CR25" s="248">
        <v>0</v>
      </c>
      <c r="CS25" s="589">
        <v>0</v>
      </c>
      <c r="CT25" s="589">
        <v>0</v>
      </c>
      <c r="CU25" s="610">
        <v>0</v>
      </c>
      <c r="CV25" s="610">
        <v>0</v>
      </c>
      <c r="CW25" s="248">
        <v>0</v>
      </c>
      <c r="CX25" s="248">
        <v>0</v>
      </c>
      <c r="CY25" s="248">
        <v>0</v>
      </c>
      <c r="CZ25" s="248">
        <v>0</v>
      </c>
      <c r="DA25" s="248">
        <v>0</v>
      </c>
      <c r="DB25" s="248">
        <v>0</v>
      </c>
      <c r="DC25" s="248"/>
      <c r="DD25" s="248"/>
      <c r="DE25" s="248"/>
      <c r="DF25" s="248"/>
      <c r="DG25" s="248"/>
      <c r="DH25" s="248"/>
      <c r="DI25" s="248">
        <f t="shared" si="15"/>
        <v>244532000</v>
      </c>
      <c r="DJ25" s="652">
        <f t="shared" si="10"/>
        <v>244532000</v>
      </c>
      <c r="DK25" s="248">
        <f t="shared" ref="DK25:DK29" si="33">CL25+CN25+CP25+CR25+CT25+CV25+CX25+CZ25+DB25+DD25+DF25+DH25</f>
        <v>236005000</v>
      </c>
      <c r="DL25" s="248">
        <f t="shared" si="12"/>
        <v>244532000</v>
      </c>
      <c r="DM25" s="248">
        <f t="shared" si="13"/>
        <v>236005000</v>
      </c>
      <c r="DN25" s="248">
        <v>205479000</v>
      </c>
      <c r="DO25" s="649"/>
      <c r="DP25" s="649"/>
      <c r="DQ25" s="649"/>
      <c r="DR25" s="649"/>
      <c r="DS25" s="649"/>
      <c r="DT25" s="649"/>
      <c r="DU25" s="649"/>
      <c r="DV25" s="649"/>
      <c r="DW25" s="649"/>
      <c r="DX25" s="649"/>
      <c r="DY25" s="649"/>
      <c r="DZ25" s="649"/>
      <c r="EA25" s="649"/>
      <c r="EB25" s="649"/>
      <c r="EC25" s="649"/>
      <c r="ED25" s="649"/>
      <c r="EE25" s="649"/>
      <c r="EF25" s="649"/>
      <c r="EG25" s="649"/>
      <c r="EH25" s="649"/>
      <c r="EI25" s="649"/>
      <c r="EJ25" s="649"/>
      <c r="EK25" s="649"/>
      <c r="EL25" s="649"/>
      <c r="EM25" s="649"/>
      <c r="EN25" s="649"/>
      <c r="EO25" s="649"/>
      <c r="EP25" s="649"/>
      <c r="EQ25" s="649"/>
      <c r="ER25" s="654">
        <f t="shared" si="14"/>
        <v>0</v>
      </c>
      <c r="ES25" s="655">
        <f t="shared" si="17"/>
        <v>0.96512930822959775</v>
      </c>
      <c r="ET25" s="656">
        <f t="shared" si="11"/>
        <v>0.96512930822959775</v>
      </c>
      <c r="EU25" s="657">
        <f t="shared" si="24"/>
        <v>0.98601387486390457</v>
      </c>
      <c r="EV25" s="693">
        <f t="shared" si="18"/>
        <v>0.8323794115978157</v>
      </c>
      <c r="EW25" s="856"/>
      <c r="EX25" s="841"/>
      <c r="EY25" s="841"/>
      <c r="EZ25" s="841"/>
      <c r="FA25" s="841"/>
      <c r="FB25" s="260"/>
      <c r="FC25" s="260"/>
      <c r="FD25" s="260"/>
      <c r="FE25" s="260"/>
      <c r="FF25" s="260"/>
      <c r="FG25" s="260"/>
      <c r="FH25" s="260"/>
      <c r="FI25" s="260"/>
      <c r="FJ25" s="260"/>
      <c r="FK25" s="260"/>
      <c r="FL25" s="260"/>
      <c r="FM25" s="260"/>
      <c r="FN25" s="260"/>
      <c r="FO25" s="260"/>
      <c r="FP25" s="260"/>
      <c r="FQ25" s="260"/>
      <c r="FR25" s="260"/>
      <c r="FS25" s="260"/>
      <c r="FT25" s="260"/>
      <c r="FU25" s="260"/>
      <c r="FV25" s="260"/>
      <c r="FW25" s="260"/>
      <c r="FX25" s="260"/>
      <c r="FY25" s="260"/>
      <c r="FZ25" s="260"/>
      <c r="GA25" s="260"/>
      <c r="GB25" s="260"/>
      <c r="GC25" s="260"/>
      <c r="GD25" s="260"/>
      <c r="GE25" s="260"/>
      <c r="GF25" s="260"/>
      <c r="GG25" s="260"/>
      <c r="GH25" s="260"/>
      <c r="GI25" s="260"/>
      <c r="GJ25" s="260"/>
      <c r="GK25" s="260"/>
      <c r="GL25" s="260"/>
      <c r="GM25" s="260"/>
      <c r="GN25" s="260"/>
      <c r="GO25" s="260"/>
      <c r="GP25" s="260"/>
      <c r="GQ25" s="260"/>
      <c r="GR25" s="260"/>
      <c r="GS25" s="260"/>
      <c r="GT25" s="260"/>
      <c r="GU25" s="260"/>
      <c r="GV25" s="260"/>
      <c r="GW25" s="260"/>
      <c r="GX25" s="260"/>
      <c r="GY25" s="260"/>
      <c r="GZ25" s="260"/>
    </row>
    <row r="26" spans="1:208" s="225" customFormat="1" ht="62.25" customHeight="1" x14ac:dyDescent="0.25">
      <c r="A26" s="933"/>
      <c r="B26" s="936"/>
      <c r="C26" s="927"/>
      <c r="D26" s="910"/>
      <c r="E26" s="910"/>
      <c r="F26" s="252" t="s">
        <v>390</v>
      </c>
      <c r="G26" s="501">
        <v>0</v>
      </c>
      <c r="H26" s="502"/>
      <c r="I26" s="247"/>
      <c r="J26" s="247"/>
      <c r="K26" s="247"/>
      <c r="L26" s="247"/>
      <c r="M26" s="247"/>
      <c r="N26" s="247"/>
      <c r="O26" s="247"/>
      <c r="P26" s="247"/>
      <c r="Q26" s="247"/>
      <c r="R26" s="247"/>
      <c r="S26" s="247"/>
      <c r="T26" s="248"/>
      <c r="U26" s="247"/>
      <c r="V26" s="247"/>
      <c r="W26" s="248"/>
      <c r="X26" s="248"/>
      <c r="Y26" s="248"/>
      <c r="Z26" s="247">
        <v>0</v>
      </c>
      <c r="AA26" s="247">
        <v>0</v>
      </c>
      <c r="AB26" s="502"/>
      <c r="AC26" s="247">
        <v>0</v>
      </c>
      <c r="AD26" s="247">
        <v>0</v>
      </c>
      <c r="AE26" s="247">
        <v>0</v>
      </c>
      <c r="AF26" s="247">
        <v>0</v>
      </c>
      <c r="AG26" s="247">
        <v>0</v>
      </c>
      <c r="AH26" s="247">
        <v>0</v>
      </c>
      <c r="AI26" s="247">
        <v>21245000</v>
      </c>
      <c r="AJ26" s="247">
        <v>21245000</v>
      </c>
      <c r="AK26" s="247">
        <v>35723200</v>
      </c>
      <c r="AL26" s="247">
        <v>34063867</v>
      </c>
      <c r="AM26" s="247">
        <v>36221000</v>
      </c>
      <c r="AN26" s="247">
        <v>43161000</v>
      </c>
      <c r="AO26" s="247">
        <v>36221000</v>
      </c>
      <c r="AP26" s="247">
        <v>36221000</v>
      </c>
      <c r="AQ26" s="247">
        <v>36221000</v>
      </c>
      <c r="AR26" s="247">
        <v>36221000</v>
      </c>
      <c r="AS26" s="247">
        <v>36221000</v>
      </c>
      <c r="AT26" s="247">
        <v>36221000</v>
      </c>
      <c r="AU26" s="247">
        <v>36221000</v>
      </c>
      <c r="AV26" s="247">
        <v>36221000</v>
      </c>
      <c r="AW26" s="247">
        <v>36221000</v>
      </c>
      <c r="AX26" s="247">
        <v>36221000</v>
      </c>
      <c r="AY26" s="247">
        <v>65420800</v>
      </c>
      <c r="AZ26" s="247">
        <v>41690133</v>
      </c>
      <c r="BA26" s="649">
        <f t="shared" si="2"/>
        <v>339715000</v>
      </c>
      <c r="BB26" s="649">
        <f t="shared" si="3"/>
        <v>339715000</v>
      </c>
      <c r="BC26" s="649">
        <f t="shared" si="4"/>
        <v>321265000</v>
      </c>
      <c r="BD26" s="649">
        <f t="shared" si="5"/>
        <v>339715000</v>
      </c>
      <c r="BE26" s="649">
        <f t="shared" si="6"/>
        <v>321265000</v>
      </c>
      <c r="BF26" s="648">
        <v>0</v>
      </c>
      <c r="BG26" s="649">
        <v>0</v>
      </c>
      <c r="BH26" s="649">
        <v>0</v>
      </c>
      <c r="BI26" s="649">
        <v>19814666</v>
      </c>
      <c r="BJ26" s="497">
        <v>3177267</v>
      </c>
      <c r="BK26" s="649">
        <v>29722000</v>
      </c>
      <c r="BL26" s="649">
        <v>22643000</v>
      </c>
      <c r="BM26" s="649">
        <v>29722000</v>
      </c>
      <c r="BN26" s="649">
        <v>32888000</v>
      </c>
      <c r="BO26" s="649">
        <v>29722000</v>
      </c>
      <c r="BP26" s="649">
        <v>33635000</v>
      </c>
      <c r="BQ26" s="649">
        <v>29722000</v>
      </c>
      <c r="BR26" s="649">
        <v>29722000</v>
      </c>
      <c r="BS26" s="649">
        <v>29722000</v>
      </c>
      <c r="BT26" s="649">
        <v>29722000</v>
      </c>
      <c r="BU26" s="649">
        <v>29722000</v>
      </c>
      <c r="BV26" s="649">
        <v>29722000</v>
      </c>
      <c r="BW26" s="649">
        <v>34381000</v>
      </c>
      <c r="BX26" s="649">
        <v>29722000</v>
      </c>
      <c r="BY26" s="649">
        <v>29722000</v>
      </c>
      <c r="BZ26" s="649">
        <v>25833700</v>
      </c>
      <c r="CA26" s="649">
        <v>14967334</v>
      </c>
      <c r="CB26" s="649">
        <v>33037133</v>
      </c>
      <c r="CC26" s="649">
        <f>10120000+34979934</f>
        <v>45099934</v>
      </c>
      <c r="CD26" s="649">
        <v>31828233</v>
      </c>
      <c r="CE26" s="649">
        <f t="shared" si="7"/>
        <v>322316934</v>
      </c>
      <c r="CF26" s="649">
        <f t="shared" si="8"/>
        <v>322316934</v>
      </c>
      <c r="CG26" s="649">
        <f t="shared" si="8"/>
        <v>301930333</v>
      </c>
      <c r="CH26" s="649">
        <f t="shared" si="9"/>
        <v>322316934</v>
      </c>
      <c r="CI26" s="649">
        <f t="shared" si="9"/>
        <v>301930333</v>
      </c>
      <c r="CJ26" s="648">
        <f>CM26+CO26+CQ26+CS26+CU26+CW26+CY26+DA26+DC26+DE26+DG26</f>
        <v>244532000</v>
      </c>
      <c r="CK26" s="649">
        <v>0</v>
      </c>
      <c r="CL26" s="649">
        <v>0</v>
      </c>
      <c r="CM26" s="649">
        <v>0</v>
      </c>
      <c r="CN26" s="649">
        <v>0</v>
      </c>
      <c r="CO26" s="649">
        <v>4738867</v>
      </c>
      <c r="CP26" s="649">
        <v>4738867</v>
      </c>
      <c r="CQ26" s="649">
        <v>24034000</v>
      </c>
      <c r="CR26" s="649">
        <v>23811100</v>
      </c>
      <c r="CS26" s="649">
        <v>24034000</v>
      </c>
      <c r="CT26" s="649">
        <v>24034000</v>
      </c>
      <c r="CU26" s="652">
        <v>24034000</v>
      </c>
      <c r="CV26" s="652">
        <v>24034000</v>
      </c>
      <c r="CW26" s="649">
        <v>24034000</v>
      </c>
      <c r="CX26" s="649">
        <v>24034000</v>
      </c>
      <c r="CY26" s="649">
        <v>24034000</v>
      </c>
      <c r="CZ26" s="649">
        <v>24034000</v>
      </c>
      <c r="DA26" s="649">
        <v>24034000</v>
      </c>
      <c r="DB26" s="649">
        <v>24034000</v>
      </c>
      <c r="DC26" s="649">
        <v>24034000</v>
      </c>
      <c r="DD26" s="649"/>
      <c r="DE26" s="649">
        <v>24034000</v>
      </c>
      <c r="DF26" s="649"/>
      <c r="DG26" s="649">
        <v>47521133</v>
      </c>
      <c r="DH26" s="649"/>
      <c r="DI26" s="649">
        <f t="shared" si="15"/>
        <v>244532000</v>
      </c>
      <c r="DJ26" s="652">
        <f t="shared" si="10"/>
        <v>148942867</v>
      </c>
      <c r="DK26" s="649">
        <f t="shared" si="33"/>
        <v>148719967</v>
      </c>
      <c r="DL26" s="649">
        <f t="shared" si="12"/>
        <v>244532000</v>
      </c>
      <c r="DM26" s="649">
        <f t="shared" si="13"/>
        <v>148719967</v>
      </c>
      <c r="DN26" s="648"/>
      <c r="DO26" s="649"/>
      <c r="DP26" s="649"/>
      <c r="DQ26" s="649"/>
      <c r="DR26" s="649"/>
      <c r="DS26" s="649"/>
      <c r="DT26" s="649"/>
      <c r="DU26" s="649"/>
      <c r="DV26" s="649"/>
      <c r="DW26" s="649"/>
      <c r="DX26" s="649"/>
      <c r="DY26" s="649"/>
      <c r="DZ26" s="649"/>
      <c r="EA26" s="649"/>
      <c r="EB26" s="649"/>
      <c r="EC26" s="649"/>
      <c r="ED26" s="649"/>
      <c r="EE26" s="649"/>
      <c r="EF26" s="649"/>
      <c r="EG26" s="649"/>
      <c r="EH26" s="649"/>
      <c r="EI26" s="649"/>
      <c r="EJ26" s="649"/>
      <c r="EK26" s="649"/>
      <c r="EL26" s="649"/>
      <c r="EM26" s="649"/>
      <c r="EN26" s="649"/>
      <c r="EO26" s="649"/>
      <c r="EP26" s="649"/>
      <c r="EQ26" s="649"/>
      <c r="ER26" s="654">
        <f t="shared" si="14"/>
        <v>1</v>
      </c>
      <c r="ES26" s="655">
        <f t="shared" si="17"/>
        <v>0.99850345300523857</v>
      </c>
      <c r="ET26" s="656">
        <f t="shared" si="11"/>
        <v>0.60818202525640819</v>
      </c>
      <c r="EU26" s="657">
        <f t="shared" si="24"/>
        <v>0.9518363567501279</v>
      </c>
      <c r="EV26" s="693">
        <f>IFERROR((AA26+BE26+CI26+DM26)/G26,0)</f>
        <v>0</v>
      </c>
      <c r="EW26" s="856"/>
      <c r="EX26" s="841"/>
      <c r="EY26" s="841"/>
      <c r="EZ26" s="841"/>
      <c r="FA26" s="841"/>
      <c r="FB26" s="260"/>
      <c r="FC26" s="260"/>
      <c r="FD26" s="260"/>
      <c r="FE26" s="260"/>
      <c r="FF26" s="260"/>
      <c r="FG26" s="260"/>
      <c r="FH26" s="260"/>
      <c r="FI26" s="260"/>
      <c r="FJ26" s="260"/>
      <c r="FK26" s="260"/>
      <c r="FL26" s="260"/>
      <c r="FM26" s="260"/>
      <c r="FN26" s="260"/>
      <c r="FO26" s="260"/>
      <c r="FP26" s="260"/>
      <c r="FQ26" s="260"/>
      <c r="FR26" s="260"/>
      <c r="FS26" s="260"/>
      <c r="FT26" s="260"/>
      <c r="FU26" s="260"/>
      <c r="FV26" s="260"/>
      <c r="FW26" s="260"/>
      <c r="FX26" s="260"/>
      <c r="FY26" s="260"/>
      <c r="FZ26" s="260"/>
      <c r="GA26" s="260"/>
      <c r="GB26" s="260"/>
      <c r="GC26" s="260"/>
      <c r="GD26" s="260"/>
      <c r="GE26" s="260"/>
      <c r="GF26" s="260"/>
      <c r="GG26" s="260"/>
      <c r="GH26" s="260"/>
      <c r="GI26" s="260"/>
      <c r="GJ26" s="260"/>
      <c r="GK26" s="260"/>
      <c r="GL26" s="260"/>
      <c r="GM26" s="260"/>
      <c r="GN26" s="260"/>
      <c r="GO26" s="260"/>
      <c r="GP26" s="260"/>
      <c r="GQ26" s="260"/>
      <c r="GR26" s="260"/>
      <c r="GS26" s="260"/>
      <c r="GT26" s="260"/>
      <c r="GU26" s="260"/>
      <c r="GV26" s="260"/>
      <c r="GW26" s="260"/>
      <c r="GX26" s="260"/>
      <c r="GY26" s="260"/>
      <c r="GZ26" s="260"/>
    </row>
    <row r="27" spans="1:208" s="226" customFormat="1" ht="62.25" customHeight="1" x14ac:dyDescent="0.25">
      <c r="A27" s="933"/>
      <c r="B27" s="936"/>
      <c r="C27" s="927"/>
      <c r="D27" s="910"/>
      <c r="E27" s="910"/>
      <c r="F27" s="500" t="s">
        <v>42</v>
      </c>
      <c r="G27" s="501">
        <f>AA27+BE27+CI27+DL27+DN27</f>
        <v>0</v>
      </c>
      <c r="H27" s="694"/>
      <c r="I27" s="246"/>
      <c r="J27" s="246"/>
      <c r="K27" s="246"/>
      <c r="L27" s="695"/>
      <c r="M27" s="246"/>
      <c r="N27" s="246"/>
      <c r="O27" s="246"/>
      <c r="P27" s="246"/>
      <c r="Q27" s="246"/>
      <c r="R27" s="246"/>
      <c r="S27" s="246"/>
      <c r="T27" s="695"/>
      <c r="U27" s="246"/>
      <c r="V27" s="246"/>
      <c r="W27" s="695">
        <f>K27</f>
        <v>0</v>
      </c>
      <c r="X27" s="695">
        <f t="shared" si="32"/>
        <v>0</v>
      </c>
      <c r="Y27" s="695">
        <f t="shared" si="32"/>
        <v>0</v>
      </c>
      <c r="Z27" s="246">
        <v>0</v>
      </c>
      <c r="AA27" s="246">
        <v>0</v>
      </c>
      <c r="AB27" s="696">
        <v>0</v>
      </c>
      <c r="AC27" s="246">
        <v>0</v>
      </c>
      <c r="AD27" s="246">
        <v>0</v>
      </c>
      <c r="AE27" s="246">
        <v>0</v>
      </c>
      <c r="AF27" s="246">
        <v>0</v>
      </c>
      <c r="AG27" s="246">
        <v>0</v>
      </c>
      <c r="AH27" s="246">
        <v>0</v>
      </c>
      <c r="AI27" s="246">
        <v>0</v>
      </c>
      <c r="AJ27" s="246">
        <v>0</v>
      </c>
      <c r="AK27" s="246"/>
      <c r="AL27" s="246"/>
      <c r="AM27" s="246"/>
      <c r="AN27" s="246"/>
      <c r="AO27" s="246"/>
      <c r="AP27" s="246"/>
      <c r="AQ27" s="246">
        <v>0</v>
      </c>
      <c r="AR27" s="246">
        <v>0</v>
      </c>
      <c r="AS27" s="246"/>
      <c r="AT27" s="246"/>
      <c r="AU27" s="246"/>
      <c r="AV27" s="246"/>
      <c r="AW27" s="246">
        <v>0</v>
      </c>
      <c r="AX27" s="246">
        <v>0</v>
      </c>
      <c r="AY27" s="246"/>
      <c r="AZ27" s="246"/>
      <c r="BA27" s="649">
        <f t="shared" si="2"/>
        <v>0</v>
      </c>
      <c r="BB27" s="649">
        <f t="shared" si="3"/>
        <v>0</v>
      </c>
      <c r="BC27" s="649">
        <f t="shared" si="4"/>
        <v>0</v>
      </c>
      <c r="BD27" s="649">
        <f t="shared" si="5"/>
        <v>0</v>
      </c>
      <c r="BE27" s="649">
        <f t="shared" si="6"/>
        <v>0</v>
      </c>
      <c r="BF27" s="648">
        <v>0</v>
      </c>
      <c r="BG27" s="649">
        <v>0</v>
      </c>
      <c r="BH27" s="649">
        <v>0</v>
      </c>
      <c r="BI27" s="649">
        <v>0</v>
      </c>
      <c r="BJ27" s="497">
        <v>0</v>
      </c>
      <c r="BK27" s="649">
        <v>0</v>
      </c>
      <c r="BL27" s="649">
        <v>0</v>
      </c>
      <c r="BM27" s="649">
        <v>0</v>
      </c>
      <c r="BN27" s="649">
        <v>0</v>
      </c>
      <c r="BO27" s="649">
        <v>0</v>
      </c>
      <c r="BP27" s="649">
        <v>0</v>
      </c>
      <c r="BQ27" s="649">
        <v>0</v>
      </c>
      <c r="BR27" s="649">
        <v>0</v>
      </c>
      <c r="BS27" s="649">
        <v>0</v>
      </c>
      <c r="BT27" s="649">
        <v>0</v>
      </c>
      <c r="BU27" s="649">
        <v>0</v>
      </c>
      <c r="BV27" s="649">
        <v>0</v>
      </c>
      <c r="BW27" s="649">
        <v>0</v>
      </c>
      <c r="BX27" s="649">
        <v>0</v>
      </c>
      <c r="BY27" s="649">
        <v>0</v>
      </c>
      <c r="BZ27" s="649">
        <v>0</v>
      </c>
      <c r="CA27" s="649">
        <v>0</v>
      </c>
      <c r="CB27" s="649">
        <v>0</v>
      </c>
      <c r="CC27" s="649">
        <v>0</v>
      </c>
      <c r="CD27" s="649">
        <v>0</v>
      </c>
      <c r="CE27" s="649">
        <f t="shared" si="7"/>
        <v>0</v>
      </c>
      <c r="CF27" s="649">
        <f t="shared" si="8"/>
        <v>0</v>
      </c>
      <c r="CG27" s="649">
        <f t="shared" si="8"/>
        <v>0</v>
      </c>
      <c r="CH27" s="649">
        <f t="shared" si="9"/>
        <v>0</v>
      </c>
      <c r="CI27" s="649">
        <f t="shared" si="9"/>
        <v>0</v>
      </c>
      <c r="CJ27" s="648">
        <v>0</v>
      </c>
      <c r="CK27" s="649">
        <v>0</v>
      </c>
      <c r="CL27" s="649">
        <v>0</v>
      </c>
      <c r="CM27" s="649">
        <v>0</v>
      </c>
      <c r="CN27" s="649">
        <v>0</v>
      </c>
      <c r="CO27" s="649">
        <v>0</v>
      </c>
      <c r="CP27" s="649">
        <v>0</v>
      </c>
      <c r="CQ27" s="649">
        <v>0</v>
      </c>
      <c r="CR27" s="649">
        <v>0</v>
      </c>
      <c r="CS27" s="649">
        <v>0</v>
      </c>
      <c r="CT27" s="649">
        <v>0</v>
      </c>
      <c r="CU27" s="610">
        <v>0</v>
      </c>
      <c r="CV27" s="652">
        <v>0</v>
      </c>
      <c r="CW27" s="649">
        <v>0</v>
      </c>
      <c r="CX27" s="649">
        <v>0</v>
      </c>
      <c r="CY27" s="649">
        <v>0</v>
      </c>
      <c r="CZ27" s="649">
        <v>0</v>
      </c>
      <c r="DA27" s="649">
        <v>0</v>
      </c>
      <c r="DB27" s="649">
        <v>0</v>
      </c>
      <c r="DC27" s="649"/>
      <c r="DD27" s="649"/>
      <c r="DE27" s="649"/>
      <c r="DF27" s="649"/>
      <c r="DG27" s="649"/>
      <c r="DH27" s="649"/>
      <c r="DI27" s="649">
        <f t="shared" si="15"/>
        <v>0</v>
      </c>
      <c r="DJ27" s="652">
        <f t="shared" si="10"/>
        <v>0</v>
      </c>
      <c r="DK27" s="649">
        <f t="shared" si="33"/>
        <v>0</v>
      </c>
      <c r="DL27" s="649">
        <f t="shared" si="12"/>
        <v>0</v>
      </c>
      <c r="DM27" s="649">
        <f t="shared" si="13"/>
        <v>0</v>
      </c>
      <c r="DN27" s="648"/>
      <c r="DO27" s="649"/>
      <c r="DP27" s="649"/>
      <c r="DQ27" s="649"/>
      <c r="DR27" s="649"/>
      <c r="DS27" s="649"/>
      <c r="DT27" s="649"/>
      <c r="DU27" s="649"/>
      <c r="DV27" s="649"/>
      <c r="DW27" s="649"/>
      <c r="DX27" s="649"/>
      <c r="DY27" s="649"/>
      <c r="DZ27" s="649"/>
      <c r="EA27" s="649"/>
      <c r="EB27" s="649"/>
      <c r="EC27" s="649"/>
      <c r="ED27" s="649"/>
      <c r="EE27" s="649"/>
      <c r="EF27" s="649"/>
      <c r="EG27" s="649"/>
      <c r="EH27" s="649"/>
      <c r="EI27" s="649"/>
      <c r="EJ27" s="649"/>
      <c r="EK27" s="649"/>
      <c r="EL27" s="649"/>
      <c r="EM27" s="649"/>
      <c r="EN27" s="649"/>
      <c r="EO27" s="649"/>
      <c r="EP27" s="649"/>
      <c r="EQ27" s="649"/>
      <c r="ER27" s="654">
        <f t="shared" si="14"/>
        <v>0</v>
      </c>
      <c r="ES27" s="655">
        <f>IFERROR(DK27/DJ27,0)</f>
        <v>0</v>
      </c>
      <c r="ET27" s="656">
        <f>IFERROR(DM27/DL27,0)</f>
        <v>0</v>
      </c>
      <c r="EU27" s="657">
        <f t="shared" si="24"/>
        <v>0</v>
      </c>
      <c r="EV27" s="693">
        <f>IFERROR((AA27+BE27+CI27+DM27)/G27,0)</f>
        <v>0</v>
      </c>
      <c r="EW27" s="856"/>
      <c r="EX27" s="841"/>
      <c r="EY27" s="841"/>
      <c r="EZ27" s="841"/>
      <c r="FA27" s="841"/>
    </row>
    <row r="28" spans="1:208" s="227" customFormat="1" ht="62.25" customHeight="1" x14ac:dyDescent="0.25">
      <c r="A28" s="933"/>
      <c r="B28" s="936"/>
      <c r="C28" s="927"/>
      <c r="D28" s="910"/>
      <c r="E28" s="910"/>
      <c r="F28" s="251" t="s">
        <v>4</v>
      </c>
      <c r="G28" s="248">
        <f>AA28+BE28+CI28+DL28+DN28</f>
        <v>108615184</v>
      </c>
      <c r="H28" s="248"/>
      <c r="I28" s="248"/>
      <c r="J28" s="248"/>
      <c r="K28" s="248"/>
      <c r="L28" s="248"/>
      <c r="M28" s="248"/>
      <c r="N28" s="248"/>
      <c r="O28" s="248"/>
      <c r="P28" s="248"/>
      <c r="Q28" s="248"/>
      <c r="R28" s="248"/>
      <c r="S28" s="248"/>
      <c r="T28" s="248"/>
      <c r="U28" s="248"/>
      <c r="V28" s="248"/>
      <c r="W28" s="248">
        <f>K28</f>
        <v>0</v>
      </c>
      <c r="X28" s="248">
        <f t="shared" si="32"/>
        <v>0</v>
      </c>
      <c r="Y28" s="248">
        <f t="shared" si="32"/>
        <v>0</v>
      </c>
      <c r="Z28" s="248">
        <v>0</v>
      </c>
      <c r="AA28" s="248">
        <v>0</v>
      </c>
      <c r="AB28" s="248">
        <v>70558838</v>
      </c>
      <c r="AC28" s="248">
        <v>10149000</v>
      </c>
      <c r="AD28" s="248">
        <v>10149000</v>
      </c>
      <c r="AE28" s="248">
        <v>20641000</v>
      </c>
      <c r="AF28" s="248">
        <f>30790000-AD28</f>
        <v>20641000</v>
      </c>
      <c r="AG28" s="248">
        <f>48000966-AE28-AC28</f>
        <v>17210966</v>
      </c>
      <c r="AH28" s="248">
        <f>48000966-AF28-AD28</f>
        <v>17210966</v>
      </c>
      <c r="AI28" s="248">
        <v>0</v>
      </c>
      <c r="AJ28" s="248">
        <v>0</v>
      </c>
      <c r="AK28" s="248">
        <v>0</v>
      </c>
      <c r="AL28" s="248">
        <v>0</v>
      </c>
      <c r="AM28" s="248">
        <v>22557872</v>
      </c>
      <c r="AN28" s="248">
        <v>22553009</v>
      </c>
      <c r="AO28" s="248"/>
      <c r="AP28" s="248">
        <v>0</v>
      </c>
      <c r="AQ28" s="248">
        <v>0</v>
      </c>
      <c r="AR28" s="248">
        <v>0</v>
      </c>
      <c r="AS28" s="248"/>
      <c r="AT28" s="248"/>
      <c r="AU28" s="248">
        <v>-4863</v>
      </c>
      <c r="AV28" s="248"/>
      <c r="AW28" s="248">
        <v>0</v>
      </c>
      <c r="AX28" s="248">
        <v>0</v>
      </c>
      <c r="AY28" s="248"/>
      <c r="AZ28" s="248"/>
      <c r="BA28" s="248">
        <f t="shared" si="2"/>
        <v>70553975</v>
      </c>
      <c r="BB28" s="248">
        <f t="shared" si="3"/>
        <v>70553975</v>
      </c>
      <c r="BC28" s="248">
        <f t="shared" si="4"/>
        <v>70553975</v>
      </c>
      <c r="BD28" s="248">
        <f t="shared" si="5"/>
        <v>70553975</v>
      </c>
      <c r="BE28" s="248">
        <f t="shared" si="6"/>
        <v>70553975</v>
      </c>
      <c r="BF28" s="248">
        <v>18201967</v>
      </c>
      <c r="BG28" s="248">
        <v>16616867</v>
      </c>
      <c r="BH28" s="248">
        <v>16616867</v>
      </c>
      <c r="BI28" s="248">
        <v>1585100</v>
      </c>
      <c r="BJ28" s="248">
        <v>1585100</v>
      </c>
      <c r="BK28" s="248">
        <v>0</v>
      </c>
      <c r="BL28" s="248">
        <v>0</v>
      </c>
      <c r="BM28" s="248">
        <v>0</v>
      </c>
      <c r="BN28" s="248">
        <v>0</v>
      </c>
      <c r="BO28" s="248">
        <v>0</v>
      </c>
      <c r="BP28" s="248">
        <v>0</v>
      </c>
      <c r="BQ28" s="248">
        <v>0</v>
      </c>
      <c r="BR28" s="248">
        <v>0</v>
      </c>
      <c r="BS28" s="248">
        <v>0</v>
      </c>
      <c r="BT28" s="248">
        <v>0</v>
      </c>
      <c r="BU28" s="248">
        <v>0</v>
      </c>
      <c r="BV28" s="248">
        <v>0</v>
      </c>
      <c r="BW28" s="248">
        <v>0</v>
      </c>
      <c r="BX28" s="248">
        <v>0</v>
      </c>
      <c r="BY28" s="248">
        <v>0</v>
      </c>
      <c r="BZ28" s="248">
        <v>0</v>
      </c>
      <c r="CA28" s="248">
        <v>0</v>
      </c>
      <c r="CB28" s="248">
        <v>0</v>
      </c>
      <c r="CC28" s="248">
        <v>0</v>
      </c>
      <c r="CD28" s="248">
        <v>0</v>
      </c>
      <c r="CE28" s="248">
        <f t="shared" si="7"/>
        <v>18201967</v>
      </c>
      <c r="CF28" s="248">
        <f t="shared" si="8"/>
        <v>18201967</v>
      </c>
      <c r="CG28" s="248">
        <f t="shared" si="8"/>
        <v>18201967</v>
      </c>
      <c r="CH28" s="248">
        <f t="shared" si="9"/>
        <v>18201967</v>
      </c>
      <c r="CI28" s="248">
        <f t="shared" si="9"/>
        <v>18201967</v>
      </c>
      <c r="CJ28" s="248">
        <v>19859242</v>
      </c>
      <c r="CK28" s="248">
        <v>12536634</v>
      </c>
      <c r="CL28" s="248">
        <v>12536634</v>
      </c>
      <c r="CM28" s="248">
        <v>5120530</v>
      </c>
      <c r="CN28" s="248">
        <v>5120530</v>
      </c>
      <c r="CO28" s="248">
        <v>56050</v>
      </c>
      <c r="CP28" s="248">
        <v>56050</v>
      </c>
      <c r="CQ28" s="248">
        <v>2639219</v>
      </c>
      <c r="CR28" s="248">
        <v>56600</v>
      </c>
      <c r="CS28" s="589">
        <v>0</v>
      </c>
      <c r="CT28" s="589">
        <v>2086933</v>
      </c>
      <c r="CU28" s="610">
        <v>-493191</v>
      </c>
      <c r="CV28" s="610">
        <v>0</v>
      </c>
      <c r="CW28" s="248"/>
      <c r="CX28" s="248"/>
      <c r="CY28" s="248"/>
      <c r="CZ28" s="248"/>
      <c r="DA28" s="248"/>
      <c r="DB28" s="248"/>
      <c r="DC28" s="248"/>
      <c r="DD28" s="248"/>
      <c r="DE28" s="248"/>
      <c r="DF28" s="248"/>
      <c r="DG28" s="248"/>
      <c r="DH28" s="248"/>
      <c r="DI28" s="248">
        <f t="shared" si="15"/>
        <v>19859242</v>
      </c>
      <c r="DJ28" s="652">
        <f t="shared" si="10"/>
        <v>19859242</v>
      </c>
      <c r="DK28" s="248">
        <f>CL28+CN28+CP28+CR28+CT28+CV28+CX28+CZ28+DB28+DD28+DF28+DH28</f>
        <v>19856747</v>
      </c>
      <c r="DL28" s="248">
        <f t="shared" si="12"/>
        <v>19859242</v>
      </c>
      <c r="DM28" s="248">
        <f t="shared" si="13"/>
        <v>19856747</v>
      </c>
      <c r="DN28" s="648"/>
      <c r="DO28" s="649"/>
      <c r="DP28" s="649"/>
      <c r="DQ28" s="649"/>
      <c r="DR28" s="649"/>
      <c r="DS28" s="649"/>
      <c r="DT28" s="649"/>
      <c r="DU28" s="649"/>
      <c r="DV28" s="649"/>
      <c r="DW28" s="649"/>
      <c r="DX28" s="649"/>
      <c r="DY28" s="649"/>
      <c r="DZ28" s="649"/>
      <c r="EA28" s="649"/>
      <c r="EB28" s="649"/>
      <c r="EC28" s="649"/>
      <c r="ED28" s="649"/>
      <c r="EE28" s="649"/>
      <c r="EF28" s="649"/>
      <c r="EG28" s="649"/>
      <c r="EH28" s="649"/>
      <c r="EI28" s="649"/>
      <c r="EJ28" s="649"/>
      <c r="EK28" s="649"/>
      <c r="EL28" s="649"/>
      <c r="EM28" s="649"/>
      <c r="EN28" s="649"/>
      <c r="EO28" s="649"/>
      <c r="EP28" s="649"/>
      <c r="EQ28" s="649"/>
      <c r="ER28" s="654">
        <f t="shared" si="14"/>
        <v>0</v>
      </c>
      <c r="ES28" s="655">
        <f t="shared" si="17"/>
        <v>0.9998743657990572</v>
      </c>
      <c r="ET28" s="656">
        <f t="shared" si="11"/>
        <v>0.9998743657990572</v>
      </c>
      <c r="EU28" s="657">
        <f t="shared" si="24"/>
        <v>0.99997702899439911</v>
      </c>
      <c r="EV28" s="693">
        <f t="shared" si="18"/>
        <v>0.99997702899439911</v>
      </c>
      <c r="EW28" s="856"/>
      <c r="EX28" s="841"/>
      <c r="EY28" s="841"/>
      <c r="EZ28" s="841"/>
      <c r="FA28" s="841"/>
    </row>
    <row r="29" spans="1:208" s="226" customFormat="1" ht="62.25" customHeight="1" thickBot="1" x14ac:dyDescent="0.3">
      <c r="A29" s="933"/>
      <c r="B29" s="936"/>
      <c r="C29" s="927"/>
      <c r="D29" s="910"/>
      <c r="E29" s="910"/>
      <c r="F29" s="500" t="s">
        <v>43</v>
      </c>
      <c r="G29" s="506">
        <f>AA29+BE29+CI29+DL29+DN29</f>
        <v>47</v>
      </c>
      <c r="H29" s="684">
        <v>7</v>
      </c>
      <c r="I29" s="513"/>
      <c r="J29" s="513"/>
      <c r="K29" s="513">
        <v>7</v>
      </c>
      <c r="L29" s="513">
        <v>0</v>
      </c>
      <c r="M29" s="513">
        <v>7</v>
      </c>
      <c r="N29" s="513">
        <v>7</v>
      </c>
      <c r="O29" s="513">
        <v>7</v>
      </c>
      <c r="P29" s="513">
        <v>7</v>
      </c>
      <c r="Q29" s="513">
        <v>7</v>
      </c>
      <c r="R29" s="513">
        <v>7</v>
      </c>
      <c r="S29" s="513">
        <v>7</v>
      </c>
      <c r="T29" s="514">
        <v>7</v>
      </c>
      <c r="U29" s="515">
        <v>7</v>
      </c>
      <c r="V29" s="515">
        <v>7</v>
      </c>
      <c r="W29" s="697">
        <f>K29</f>
        <v>7</v>
      </c>
      <c r="X29" s="697">
        <f t="shared" si="32"/>
        <v>7</v>
      </c>
      <c r="Y29" s="697">
        <f t="shared" si="32"/>
        <v>7</v>
      </c>
      <c r="Z29" s="515">
        <v>7</v>
      </c>
      <c r="AA29" s="515">
        <f>AA24+AA27</f>
        <v>7</v>
      </c>
      <c r="AB29" s="515">
        <f t="shared" ref="AB29:CM29" si="34">AB24+AB27</f>
        <v>13</v>
      </c>
      <c r="AC29" s="515">
        <f t="shared" si="34"/>
        <v>6</v>
      </c>
      <c r="AD29" s="515">
        <f t="shared" si="34"/>
        <v>6</v>
      </c>
      <c r="AE29" s="515">
        <f t="shared" si="34"/>
        <v>0</v>
      </c>
      <c r="AF29" s="515">
        <f t="shared" si="34"/>
        <v>0</v>
      </c>
      <c r="AG29" s="515">
        <f t="shared" si="34"/>
        <v>1</v>
      </c>
      <c r="AH29" s="515">
        <f t="shared" si="34"/>
        <v>1</v>
      </c>
      <c r="AI29" s="515">
        <f t="shared" si="34"/>
        <v>1</v>
      </c>
      <c r="AJ29" s="515">
        <f t="shared" si="34"/>
        <v>1</v>
      </c>
      <c r="AK29" s="515">
        <f t="shared" si="34"/>
        <v>3</v>
      </c>
      <c r="AL29" s="515">
        <f t="shared" si="34"/>
        <v>3</v>
      </c>
      <c r="AM29" s="515">
        <f t="shared" si="34"/>
        <v>0</v>
      </c>
      <c r="AN29" s="515">
        <f t="shared" si="34"/>
        <v>0</v>
      </c>
      <c r="AO29" s="515">
        <f t="shared" si="34"/>
        <v>1</v>
      </c>
      <c r="AP29" s="515">
        <f t="shared" si="34"/>
        <v>1</v>
      </c>
      <c r="AQ29" s="515">
        <f t="shared" si="34"/>
        <v>0</v>
      </c>
      <c r="AR29" s="515">
        <f t="shared" si="34"/>
        <v>0</v>
      </c>
      <c r="AS29" s="515">
        <f t="shared" si="34"/>
        <v>0</v>
      </c>
      <c r="AT29" s="515">
        <f t="shared" si="34"/>
        <v>0</v>
      </c>
      <c r="AU29" s="515">
        <f t="shared" si="34"/>
        <v>0</v>
      </c>
      <c r="AV29" s="515">
        <f t="shared" si="34"/>
        <v>0</v>
      </c>
      <c r="AW29" s="515">
        <f t="shared" si="34"/>
        <v>1</v>
      </c>
      <c r="AX29" s="515">
        <f t="shared" si="34"/>
        <v>1</v>
      </c>
      <c r="AY29" s="515">
        <f t="shared" si="34"/>
        <v>0</v>
      </c>
      <c r="AZ29" s="515">
        <f t="shared" si="34"/>
        <v>0</v>
      </c>
      <c r="BA29" s="515">
        <f t="shared" si="34"/>
        <v>13</v>
      </c>
      <c r="BB29" s="515">
        <f t="shared" si="34"/>
        <v>13</v>
      </c>
      <c r="BC29" s="515">
        <f t="shared" si="34"/>
        <v>13</v>
      </c>
      <c r="BD29" s="515">
        <f t="shared" si="34"/>
        <v>13</v>
      </c>
      <c r="BE29" s="515">
        <f t="shared" si="34"/>
        <v>13</v>
      </c>
      <c r="BF29" s="515">
        <f t="shared" si="34"/>
        <v>7</v>
      </c>
      <c r="BG29" s="515">
        <f t="shared" si="34"/>
        <v>0</v>
      </c>
      <c r="BH29" s="515">
        <f t="shared" si="34"/>
        <v>0</v>
      </c>
      <c r="BI29" s="515">
        <f t="shared" si="34"/>
        <v>1</v>
      </c>
      <c r="BJ29" s="515">
        <f t="shared" si="34"/>
        <v>6</v>
      </c>
      <c r="BK29" s="515">
        <f t="shared" si="34"/>
        <v>1</v>
      </c>
      <c r="BL29" s="515">
        <f t="shared" si="34"/>
        <v>0</v>
      </c>
      <c r="BM29" s="515">
        <f t="shared" si="34"/>
        <v>2</v>
      </c>
      <c r="BN29" s="515">
        <f t="shared" si="34"/>
        <v>1</v>
      </c>
      <c r="BO29" s="515">
        <f t="shared" si="34"/>
        <v>1</v>
      </c>
      <c r="BP29" s="515">
        <f t="shared" si="34"/>
        <v>0</v>
      </c>
      <c r="BQ29" s="515">
        <f t="shared" si="34"/>
        <v>1</v>
      </c>
      <c r="BR29" s="515">
        <f t="shared" si="34"/>
        <v>0</v>
      </c>
      <c r="BS29" s="515">
        <f t="shared" si="34"/>
        <v>0</v>
      </c>
      <c r="BT29" s="515">
        <f t="shared" si="34"/>
        <v>0</v>
      </c>
      <c r="BU29" s="515">
        <f t="shared" si="34"/>
        <v>1</v>
      </c>
      <c r="BV29" s="515">
        <f t="shared" si="34"/>
        <v>0</v>
      </c>
      <c r="BW29" s="515">
        <f t="shared" si="34"/>
        <v>0</v>
      </c>
      <c r="BX29" s="515">
        <f t="shared" si="34"/>
        <v>0</v>
      </c>
      <c r="BY29" s="515">
        <f t="shared" si="34"/>
        <v>0</v>
      </c>
      <c r="BZ29" s="515">
        <f t="shared" si="34"/>
        <v>0</v>
      </c>
      <c r="CA29" s="515">
        <f t="shared" si="34"/>
        <v>3</v>
      </c>
      <c r="CB29" s="515">
        <f t="shared" si="34"/>
        <v>3</v>
      </c>
      <c r="CC29" s="515">
        <f t="shared" si="34"/>
        <v>0</v>
      </c>
      <c r="CD29" s="515">
        <f t="shared" si="34"/>
        <v>0</v>
      </c>
      <c r="CE29" s="515">
        <f t="shared" si="34"/>
        <v>10</v>
      </c>
      <c r="CF29" s="515">
        <f t="shared" si="34"/>
        <v>10</v>
      </c>
      <c r="CG29" s="515">
        <f t="shared" si="34"/>
        <v>10</v>
      </c>
      <c r="CH29" s="515">
        <f t="shared" si="34"/>
        <v>10</v>
      </c>
      <c r="CI29" s="515">
        <f t="shared" si="34"/>
        <v>10</v>
      </c>
      <c r="CJ29" s="496">
        <f>CJ24+CJ27</f>
        <v>12</v>
      </c>
      <c r="CK29" s="496">
        <f>CK24+CK27</f>
        <v>0</v>
      </c>
      <c r="CL29" s="496">
        <f>CL24+CL27</f>
        <v>0</v>
      </c>
      <c r="CM29" s="496">
        <f t="shared" si="34"/>
        <v>5</v>
      </c>
      <c r="CN29" s="496">
        <v>5</v>
      </c>
      <c r="CO29" s="496">
        <f t="shared" ref="CO29:DH29" si="35">CO24+CO27</f>
        <v>6</v>
      </c>
      <c r="CP29" s="496">
        <f t="shared" si="35"/>
        <v>6</v>
      </c>
      <c r="CQ29" s="496">
        <f t="shared" si="35"/>
        <v>0</v>
      </c>
      <c r="CR29" s="496">
        <f t="shared" si="35"/>
        <v>1</v>
      </c>
      <c r="CS29" s="587">
        <f t="shared" si="35"/>
        <v>1</v>
      </c>
      <c r="CT29" s="587">
        <f t="shared" si="35"/>
        <v>0</v>
      </c>
      <c r="CU29" s="612">
        <f t="shared" si="35"/>
        <v>0</v>
      </c>
      <c r="CV29" s="612">
        <f t="shared" si="35"/>
        <v>0</v>
      </c>
      <c r="CW29" s="496">
        <f t="shared" si="35"/>
        <v>0</v>
      </c>
      <c r="CX29" s="496">
        <f t="shared" si="35"/>
        <v>0</v>
      </c>
      <c r="CY29" s="496">
        <f t="shared" si="35"/>
        <v>0</v>
      </c>
      <c r="CZ29" s="496">
        <f t="shared" si="35"/>
        <v>0</v>
      </c>
      <c r="DA29" s="496">
        <v>0</v>
      </c>
      <c r="DB29" s="496">
        <v>0</v>
      </c>
      <c r="DC29" s="496">
        <f t="shared" si="35"/>
        <v>0</v>
      </c>
      <c r="DD29" s="496">
        <f t="shared" si="35"/>
        <v>0</v>
      </c>
      <c r="DE29" s="496">
        <f t="shared" si="35"/>
        <v>0</v>
      </c>
      <c r="DF29" s="496">
        <f t="shared" si="35"/>
        <v>0</v>
      </c>
      <c r="DG29" s="496">
        <f t="shared" si="35"/>
        <v>0</v>
      </c>
      <c r="DH29" s="496">
        <f t="shared" si="35"/>
        <v>0</v>
      </c>
      <c r="DI29" s="666">
        <f t="shared" si="15"/>
        <v>12</v>
      </c>
      <c r="DJ29" s="705">
        <f t="shared" si="10"/>
        <v>12</v>
      </c>
      <c r="DK29" s="666">
        <f t="shared" si="33"/>
        <v>12</v>
      </c>
      <c r="DL29" s="666">
        <f t="shared" si="12"/>
        <v>12</v>
      </c>
      <c r="DM29" s="666">
        <f t="shared" si="13"/>
        <v>12</v>
      </c>
      <c r="DN29" s="496">
        <f>DN24+DN27</f>
        <v>5</v>
      </c>
      <c r="DO29" s="666"/>
      <c r="DP29" s="666"/>
      <c r="DQ29" s="666"/>
      <c r="DR29" s="666"/>
      <c r="DS29" s="666"/>
      <c r="DT29" s="666"/>
      <c r="DU29" s="666"/>
      <c r="DV29" s="666"/>
      <c r="DW29" s="666"/>
      <c r="DX29" s="666"/>
      <c r="DY29" s="666"/>
      <c r="DZ29" s="666"/>
      <c r="EA29" s="666"/>
      <c r="EB29" s="666"/>
      <c r="EC29" s="666"/>
      <c r="ED29" s="666"/>
      <c r="EE29" s="666"/>
      <c r="EF29" s="666"/>
      <c r="EG29" s="666"/>
      <c r="EH29" s="666"/>
      <c r="EI29" s="666"/>
      <c r="EJ29" s="666"/>
      <c r="EK29" s="666"/>
      <c r="EL29" s="666"/>
      <c r="EM29" s="666"/>
      <c r="EN29" s="666"/>
      <c r="EO29" s="666"/>
      <c r="EP29" s="666"/>
      <c r="EQ29" s="666"/>
      <c r="ER29" s="706">
        <f t="shared" si="14"/>
        <v>0</v>
      </c>
      <c r="ES29" s="667">
        <f t="shared" si="17"/>
        <v>1</v>
      </c>
      <c r="ET29" s="668">
        <f>IFERROR(DM29/DL29,0)</f>
        <v>1</v>
      </c>
      <c r="EU29" s="669">
        <f>IFERROR((AA29+BE29+CI29+DK29)/(Z29+BD29+CH29+DJ29),0)</f>
        <v>1</v>
      </c>
      <c r="EV29" s="698">
        <f t="shared" si="18"/>
        <v>0.8936170212765957</v>
      </c>
      <c r="EW29" s="856"/>
      <c r="EX29" s="841"/>
      <c r="EY29" s="841"/>
      <c r="EZ29" s="841"/>
      <c r="FA29" s="841"/>
    </row>
    <row r="30" spans="1:208" s="227" customFormat="1" ht="42.75" customHeight="1" thickBot="1" x14ac:dyDescent="0.3">
      <c r="A30" s="934"/>
      <c r="B30" s="937"/>
      <c r="C30" s="928"/>
      <c r="D30" s="922"/>
      <c r="E30" s="922"/>
      <c r="F30" s="286" t="s">
        <v>45</v>
      </c>
      <c r="G30" s="516">
        <f>G25+G28</f>
        <v>1385343789</v>
      </c>
      <c r="H30" s="516">
        <f t="shared" ref="H30:BS30" si="36">H25+H28</f>
        <v>171232872</v>
      </c>
      <c r="I30" s="516">
        <f t="shared" si="36"/>
        <v>0</v>
      </c>
      <c r="J30" s="516">
        <f t="shared" si="36"/>
        <v>0</v>
      </c>
      <c r="K30" s="516">
        <f t="shared" si="36"/>
        <v>171232872</v>
      </c>
      <c r="L30" s="516">
        <f t="shared" si="36"/>
        <v>0</v>
      </c>
      <c r="M30" s="516">
        <f t="shared" si="36"/>
        <v>171232872</v>
      </c>
      <c r="N30" s="516">
        <f t="shared" si="36"/>
        <v>94940000</v>
      </c>
      <c r="O30" s="516">
        <f t="shared" si="36"/>
        <v>171232872</v>
      </c>
      <c r="P30" s="516">
        <f t="shared" si="36"/>
        <v>94940000</v>
      </c>
      <c r="Q30" s="516">
        <f t="shared" si="36"/>
        <v>171232872</v>
      </c>
      <c r="R30" s="516">
        <f t="shared" si="36"/>
        <v>94940000</v>
      </c>
      <c r="S30" s="516">
        <f t="shared" si="36"/>
        <v>171232872</v>
      </c>
      <c r="T30" s="516">
        <f t="shared" si="36"/>
        <v>94940000</v>
      </c>
      <c r="U30" s="516">
        <f t="shared" si="36"/>
        <v>171232872</v>
      </c>
      <c r="V30" s="516">
        <f t="shared" si="36"/>
        <v>164967872</v>
      </c>
      <c r="W30" s="516">
        <f t="shared" si="36"/>
        <v>171232872</v>
      </c>
      <c r="X30" s="516">
        <f t="shared" si="36"/>
        <v>171232872</v>
      </c>
      <c r="Y30" s="516">
        <f t="shared" si="36"/>
        <v>164967872</v>
      </c>
      <c r="Z30" s="516">
        <f t="shared" si="36"/>
        <v>171232872</v>
      </c>
      <c r="AA30" s="516">
        <f t="shared" si="36"/>
        <v>164967872</v>
      </c>
      <c r="AB30" s="516">
        <f t="shared" si="36"/>
        <v>434619838</v>
      </c>
      <c r="AC30" s="516">
        <f t="shared" si="36"/>
        <v>10149000</v>
      </c>
      <c r="AD30" s="516">
        <f t="shared" si="36"/>
        <v>10149000</v>
      </c>
      <c r="AE30" s="516">
        <f t="shared" si="36"/>
        <v>164451000</v>
      </c>
      <c r="AF30" s="516">
        <f t="shared" si="36"/>
        <v>164451000</v>
      </c>
      <c r="AG30" s="516">
        <f t="shared" si="36"/>
        <v>208792966</v>
      </c>
      <c r="AH30" s="516">
        <f t="shared" si="36"/>
        <v>168968966</v>
      </c>
      <c r="AI30" s="516">
        <f t="shared" si="36"/>
        <v>0</v>
      </c>
      <c r="AJ30" s="516">
        <f t="shared" si="36"/>
        <v>39824000</v>
      </c>
      <c r="AK30" s="516">
        <f t="shared" si="36"/>
        <v>0</v>
      </c>
      <c r="AL30" s="516">
        <f t="shared" si="36"/>
        <v>0</v>
      </c>
      <c r="AM30" s="516">
        <f t="shared" si="36"/>
        <v>22557872</v>
      </c>
      <c r="AN30" s="516">
        <f t="shared" si="36"/>
        <v>22553009</v>
      </c>
      <c r="AO30" s="516">
        <f t="shared" si="36"/>
        <v>7993000</v>
      </c>
      <c r="AP30" s="516">
        <f t="shared" si="36"/>
        <v>0</v>
      </c>
      <c r="AQ30" s="516">
        <f t="shared" si="36"/>
        <v>0</v>
      </c>
      <c r="AR30" s="516">
        <f t="shared" si="36"/>
        <v>0</v>
      </c>
      <c r="AS30" s="516">
        <f t="shared" si="36"/>
        <v>-3670000</v>
      </c>
      <c r="AT30" s="516">
        <f t="shared" si="36"/>
        <v>4323000</v>
      </c>
      <c r="AU30" s="516">
        <f t="shared" si="36"/>
        <v>-4863</v>
      </c>
      <c r="AV30" s="516">
        <f t="shared" si="36"/>
        <v>0</v>
      </c>
      <c r="AW30" s="516">
        <f t="shared" si="36"/>
        <v>0</v>
      </c>
      <c r="AX30" s="516">
        <f t="shared" si="36"/>
        <v>0</v>
      </c>
      <c r="AY30" s="516">
        <f t="shared" si="36"/>
        <v>0</v>
      </c>
      <c r="AZ30" s="516">
        <f t="shared" si="36"/>
        <v>-248033</v>
      </c>
      <c r="BA30" s="516">
        <f t="shared" si="36"/>
        <v>410268975</v>
      </c>
      <c r="BB30" s="516">
        <f t="shared" si="36"/>
        <v>410268975</v>
      </c>
      <c r="BC30" s="516">
        <f t="shared" si="36"/>
        <v>410020942</v>
      </c>
      <c r="BD30" s="516">
        <f t="shared" si="36"/>
        <v>410268975</v>
      </c>
      <c r="BE30" s="516">
        <f t="shared" si="36"/>
        <v>410020942</v>
      </c>
      <c r="BF30" s="516">
        <f t="shared" si="36"/>
        <v>305538967</v>
      </c>
      <c r="BG30" s="516">
        <f t="shared" si="36"/>
        <v>299294867</v>
      </c>
      <c r="BH30" s="516">
        <f t="shared" si="36"/>
        <v>299294867</v>
      </c>
      <c r="BI30" s="516">
        <f t="shared" si="36"/>
        <v>1585100</v>
      </c>
      <c r="BJ30" s="516">
        <f t="shared" si="36"/>
        <v>1585100</v>
      </c>
      <c r="BK30" s="516">
        <f t="shared" si="36"/>
        <v>0</v>
      </c>
      <c r="BL30" s="516">
        <f t="shared" si="36"/>
        <v>0</v>
      </c>
      <c r="BM30" s="516">
        <f t="shared" si="36"/>
        <v>0</v>
      </c>
      <c r="BN30" s="516">
        <f t="shared" si="36"/>
        <v>0</v>
      </c>
      <c r="BO30" s="516">
        <f t="shared" si="36"/>
        <v>4659000</v>
      </c>
      <c r="BP30" s="516">
        <f t="shared" si="36"/>
        <v>0</v>
      </c>
      <c r="BQ30" s="516">
        <f t="shared" si="36"/>
        <v>0</v>
      </c>
      <c r="BR30" s="516">
        <f t="shared" si="36"/>
        <v>3679000</v>
      </c>
      <c r="BS30" s="516">
        <f t="shared" si="36"/>
        <v>0</v>
      </c>
      <c r="BT30" s="516">
        <f t="shared" ref="BT30:DN30" si="37">BT25+BT28</f>
        <v>0</v>
      </c>
      <c r="BU30" s="516">
        <f t="shared" si="37"/>
        <v>0</v>
      </c>
      <c r="BV30" s="516">
        <f t="shared" si="37"/>
        <v>0</v>
      </c>
      <c r="BW30" s="516">
        <f t="shared" si="37"/>
        <v>0</v>
      </c>
      <c r="BX30" s="516">
        <f t="shared" si="37"/>
        <v>835200</v>
      </c>
      <c r="BY30" s="516">
        <f t="shared" si="37"/>
        <v>32449934</v>
      </c>
      <c r="BZ30" s="516">
        <f t="shared" si="37"/>
        <v>10618500</v>
      </c>
      <c r="CA30" s="516">
        <f t="shared" si="37"/>
        <v>0</v>
      </c>
      <c r="CB30" s="516">
        <f t="shared" si="37"/>
        <v>21942066</v>
      </c>
      <c r="CC30" s="516">
        <f t="shared" si="37"/>
        <v>2530000</v>
      </c>
      <c r="CD30" s="516">
        <f t="shared" si="37"/>
        <v>2530000</v>
      </c>
      <c r="CE30" s="516">
        <f t="shared" si="37"/>
        <v>340518901</v>
      </c>
      <c r="CF30" s="516">
        <f t="shared" si="37"/>
        <v>340518901</v>
      </c>
      <c r="CG30" s="516">
        <f t="shared" si="37"/>
        <v>340484733</v>
      </c>
      <c r="CH30" s="516">
        <f t="shared" si="37"/>
        <v>340518901</v>
      </c>
      <c r="CI30" s="516">
        <f t="shared" si="37"/>
        <v>340484733</v>
      </c>
      <c r="CJ30" s="516">
        <f t="shared" si="37"/>
        <v>264391242</v>
      </c>
      <c r="CK30" s="516">
        <f t="shared" si="37"/>
        <v>12536634</v>
      </c>
      <c r="CL30" s="516">
        <f t="shared" si="37"/>
        <v>12536634</v>
      </c>
      <c r="CM30" s="516">
        <f t="shared" si="37"/>
        <v>201995530</v>
      </c>
      <c r="CN30" s="516">
        <f t="shared" si="37"/>
        <v>201995530</v>
      </c>
      <c r="CO30" s="516">
        <f t="shared" si="37"/>
        <v>39186050</v>
      </c>
      <c r="CP30" s="516">
        <f t="shared" si="37"/>
        <v>39186050</v>
      </c>
      <c r="CQ30" s="516">
        <f t="shared" si="37"/>
        <v>11166219</v>
      </c>
      <c r="CR30" s="516">
        <f t="shared" si="37"/>
        <v>56600</v>
      </c>
      <c r="CS30" s="516">
        <f t="shared" si="37"/>
        <v>0</v>
      </c>
      <c r="CT30" s="516">
        <f t="shared" si="37"/>
        <v>2086933</v>
      </c>
      <c r="CU30" s="516">
        <f>CU25+CU28</f>
        <v>-493191</v>
      </c>
      <c r="CV30" s="516">
        <f>CV25+CV28</f>
        <v>0</v>
      </c>
      <c r="CW30" s="516">
        <f t="shared" si="37"/>
        <v>0</v>
      </c>
      <c r="CX30" s="516">
        <f t="shared" si="37"/>
        <v>0</v>
      </c>
      <c r="CY30" s="516">
        <f t="shared" si="37"/>
        <v>0</v>
      </c>
      <c r="CZ30" s="516">
        <f t="shared" si="37"/>
        <v>0</v>
      </c>
      <c r="DA30" s="516">
        <f t="shared" si="37"/>
        <v>0</v>
      </c>
      <c r="DB30" s="516">
        <f t="shared" si="37"/>
        <v>0</v>
      </c>
      <c r="DC30" s="516">
        <f t="shared" si="37"/>
        <v>0</v>
      </c>
      <c r="DD30" s="516">
        <f t="shared" si="37"/>
        <v>0</v>
      </c>
      <c r="DE30" s="516">
        <f t="shared" si="37"/>
        <v>0</v>
      </c>
      <c r="DF30" s="516">
        <f t="shared" si="37"/>
        <v>0</v>
      </c>
      <c r="DG30" s="516">
        <f t="shared" si="37"/>
        <v>0</v>
      </c>
      <c r="DH30" s="516">
        <f t="shared" si="37"/>
        <v>0</v>
      </c>
      <c r="DI30" s="615">
        <f>DI25+DI28</f>
        <v>264391242</v>
      </c>
      <c r="DJ30" s="701">
        <f>CK30+CM30+CO30+CQ30+CS30+CU30+CW30+CY30</f>
        <v>264391242</v>
      </c>
      <c r="DK30" s="615">
        <f>DK25+DK28</f>
        <v>255861747</v>
      </c>
      <c r="DL30" s="615">
        <f>DL25+DL28</f>
        <v>264391242</v>
      </c>
      <c r="DM30" s="615">
        <f>DM25+DM28</f>
        <v>255861747</v>
      </c>
      <c r="DN30" s="516">
        <f t="shared" si="37"/>
        <v>205479000</v>
      </c>
      <c r="DO30" s="618"/>
      <c r="DP30" s="618"/>
      <c r="DQ30" s="618"/>
      <c r="DR30" s="618"/>
      <c r="DS30" s="618"/>
      <c r="DT30" s="618"/>
      <c r="DU30" s="618"/>
      <c r="DV30" s="618"/>
      <c r="DW30" s="618"/>
      <c r="DX30" s="618"/>
      <c r="DY30" s="618"/>
      <c r="DZ30" s="618"/>
      <c r="EA30" s="618"/>
      <c r="EB30" s="618"/>
      <c r="EC30" s="618"/>
      <c r="ED30" s="618"/>
      <c r="EE30" s="618"/>
      <c r="EF30" s="618"/>
      <c r="EG30" s="618"/>
      <c r="EH30" s="618"/>
      <c r="EI30" s="618"/>
      <c r="EJ30" s="618"/>
      <c r="EK30" s="618"/>
      <c r="EL30" s="618"/>
      <c r="EM30" s="618"/>
      <c r="EN30" s="618"/>
      <c r="EO30" s="618"/>
      <c r="EP30" s="618"/>
      <c r="EQ30" s="619"/>
      <c r="ER30" s="707">
        <f t="shared" si="14"/>
        <v>0</v>
      </c>
      <c r="ES30" s="702">
        <f>IFERROR(DK30/DJ30,0)</f>
        <v>0.96773911671400981</v>
      </c>
      <c r="ET30" s="703">
        <f>IFERROR(DM30/DL30,0)</f>
        <v>0.96773911671400981</v>
      </c>
      <c r="EU30" s="704">
        <f>IFERROR((AA30+BE30+CI30+DK30)/(Z30+BD30+CH30+DJ30),0)</f>
        <v>0.98729219181272776</v>
      </c>
      <c r="EV30" s="708">
        <f>(AA30+BE30+CI30+DM30)/G30</f>
        <v>0.84551957665722788</v>
      </c>
      <c r="EW30" s="857"/>
      <c r="EX30" s="841"/>
      <c r="EY30" s="841"/>
      <c r="EZ30" s="841"/>
      <c r="FA30" s="841"/>
    </row>
    <row r="31" spans="1:208" s="218" customFormat="1" ht="39" customHeight="1" thickBot="1" x14ac:dyDescent="0.3">
      <c r="A31" s="929" t="s">
        <v>5</v>
      </c>
      <c r="B31" s="930"/>
      <c r="C31" s="930"/>
      <c r="D31" s="930"/>
      <c r="E31" s="930"/>
      <c r="F31" s="254" t="s">
        <v>44</v>
      </c>
      <c r="G31" s="518">
        <f>G11+G18+G25</f>
        <v>22916252405</v>
      </c>
      <c r="H31" s="518">
        <f t="shared" ref="H31:BS31" si="38">H11+H18+H25</f>
        <v>3100351062</v>
      </c>
      <c r="I31" s="518">
        <f t="shared" si="38"/>
        <v>0</v>
      </c>
      <c r="J31" s="518">
        <f t="shared" si="38"/>
        <v>0</v>
      </c>
      <c r="K31" s="518">
        <f t="shared" si="38"/>
        <v>3100351062</v>
      </c>
      <c r="L31" s="518">
        <f t="shared" si="38"/>
        <v>61765000</v>
      </c>
      <c r="M31" s="518">
        <f t="shared" si="38"/>
        <v>3100351062</v>
      </c>
      <c r="N31" s="518">
        <f t="shared" si="38"/>
        <v>1834168000</v>
      </c>
      <c r="O31" s="518">
        <f t="shared" si="38"/>
        <v>3100351062</v>
      </c>
      <c r="P31" s="518">
        <f t="shared" si="38"/>
        <v>2020192000</v>
      </c>
      <c r="Q31" s="518">
        <f t="shared" si="38"/>
        <v>3100351062</v>
      </c>
      <c r="R31" s="518">
        <f t="shared" si="38"/>
        <v>2034888255</v>
      </c>
      <c r="S31" s="518">
        <f t="shared" si="38"/>
        <v>3100351062</v>
      </c>
      <c r="T31" s="518">
        <f t="shared" si="38"/>
        <v>2264196031</v>
      </c>
      <c r="U31" s="518">
        <f t="shared" si="38"/>
        <v>3100351062</v>
      </c>
      <c r="V31" s="518">
        <f t="shared" si="38"/>
        <v>3057415113</v>
      </c>
      <c r="W31" s="518">
        <f t="shared" si="38"/>
        <v>3100351062</v>
      </c>
      <c r="X31" s="518">
        <f t="shared" si="38"/>
        <v>3100351062</v>
      </c>
      <c r="Y31" s="518">
        <f t="shared" si="38"/>
        <v>3057415113</v>
      </c>
      <c r="Z31" s="518">
        <f t="shared" si="38"/>
        <v>3100351062</v>
      </c>
      <c r="AA31" s="518">
        <f t="shared" si="38"/>
        <v>3057415113</v>
      </c>
      <c r="AB31" s="518">
        <f t="shared" si="38"/>
        <v>4401256731</v>
      </c>
      <c r="AC31" s="518">
        <f t="shared" si="38"/>
        <v>0</v>
      </c>
      <c r="AD31" s="518">
        <f t="shared" si="38"/>
        <v>0</v>
      </c>
      <c r="AE31" s="518">
        <f t="shared" si="38"/>
        <v>3549336000</v>
      </c>
      <c r="AF31" s="518">
        <f t="shared" si="38"/>
        <v>1251929000</v>
      </c>
      <c r="AG31" s="518">
        <f t="shared" si="38"/>
        <v>608219200</v>
      </c>
      <c r="AH31" s="518">
        <f t="shared" si="38"/>
        <v>2448577000</v>
      </c>
      <c r="AI31" s="518">
        <f t="shared" si="38"/>
        <v>0</v>
      </c>
      <c r="AJ31" s="518">
        <f t="shared" si="38"/>
        <v>279035000</v>
      </c>
      <c r="AK31" s="518">
        <f t="shared" si="38"/>
        <v>10850000</v>
      </c>
      <c r="AL31" s="518">
        <f t="shared" si="38"/>
        <v>7044550</v>
      </c>
      <c r="AM31" s="518">
        <f t="shared" si="38"/>
        <v>0</v>
      </c>
      <c r="AN31" s="518">
        <f t="shared" si="38"/>
        <v>161532180</v>
      </c>
      <c r="AO31" s="518">
        <f t="shared" si="38"/>
        <v>51815800</v>
      </c>
      <c r="AP31" s="518">
        <f t="shared" si="38"/>
        <v>0</v>
      </c>
      <c r="AQ31" s="518">
        <f t="shared" si="38"/>
        <v>0</v>
      </c>
      <c r="AR31" s="518">
        <f t="shared" si="38"/>
        <v>11804000</v>
      </c>
      <c r="AS31" s="518">
        <f t="shared" si="38"/>
        <v>-3670000</v>
      </c>
      <c r="AT31" s="518">
        <f t="shared" si="38"/>
        <v>58936000</v>
      </c>
      <c r="AU31" s="518">
        <f t="shared" si="38"/>
        <v>24324000</v>
      </c>
      <c r="AV31" s="518">
        <f t="shared" si="38"/>
        <v>24196667</v>
      </c>
      <c r="AW31" s="518">
        <f t="shared" si="38"/>
        <v>89648469</v>
      </c>
      <c r="AX31" s="518">
        <f t="shared" si="38"/>
        <v>96505434</v>
      </c>
      <c r="AY31" s="518">
        <f t="shared" si="38"/>
        <v>77318531</v>
      </c>
      <c r="AZ31" s="518">
        <f t="shared" si="38"/>
        <v>63992366</v>
      </c>
      <c r="BA31" s="518">
        <f t="shared" si="38"/>
        <v>4407842000</v>
      </c>
      <c r="BB31" s="518">
        <f t="shared" si="38"/>
        <v>4407842000</v>
      </c>
      <c r="BC31" s="518">
        <f t="shared" si="38"/>
        <v>4403552197</v>
      </c>
      <c r="BD31" s="518">
        <f t="shared" si="38"/>
        <v>4407842000</v>
      </c>
      <c r="BE31" s="518">
        <f t="shared" si="38"/>
        <v>4403552197</v>
      </c>
      <c r="BF31" s="518">
        <f t="shared" si="38"/>
        <v>6598755000</v>
      </c>
      <c r="BG31" s="518">
        <f t="shared" si="38"/>
        <v>6321062000</v>
      </c>
      <c r="BH31" s="518">
        <f t="shared" si="38"/>
        <v>6256327000</v>
      </c>
      <c r="BI31" s="518">
        <f t="shared" si="38"/>
        <v>22628000</v>
      </c>
      <c r="BJ31" s="518">
        <f t="shared" si="38"/>
        <v>50780000</v>
      </c>
      <c r="BK31" s="518">
        <f t="shared" si="38"/>
        <v>23316000</v>
      </c>
      <c r="BL31" s="518">
        <f t="shared" si="38"/>
        <v>18709000</v>
      </c>
      <c r="BM31" s="518">
        <f t="shared" si="38"/>
        <v>0</v>
      </c>
      <c r="BN31" s="518">
        <f t="shared" si="38"/>
        <v>0</v>
      </c>
      <c r="BO31" s="518">
        <f t="shared" si="38"/>
        <v>4659000</v>
      </c>
      <c r="BP31" s="518">
        <f t="shared" si="38"/>
        <v>0</v>
      </c>
      <c r="BQ31" s="518">
        <f t="shared" si="38"/>
        <v>12677000</v>
      </c>
      <c r="BR31" s="518">
        <f t="shared" si="38"/>
        <v>37649000</v>
      </c>
      <c r="BS31" s="518">
        <f t="shared" si="38"/>
        <v>154634000</v>
      </c>
      <c r="BT31" s="518">
        <f t="shared" ref="BT31:DN31" si="39">BT11+BT18+BT25</f>
        <v>2909400</v>
      </c>
      <c r="BU31" s="518">
        <f t="shared" si="39"/>
        <v>10674000</v>
      </c>
      <c r="BV31" s="518">
        <f t="shared" si="39"/>
        <v>53724300</v>
      </c>
      <c r="BW31" s="518">
        <f t="shared" si="39"/>
        <v>0</v>
      </c>
      <c r="BX31" s="518">
        <f t="shared" si="39"/>
        <v>9928200</v>
      </c>
      <c r="BY31" s="518">
        <f t="shared" si="39"/>
        <v>60929734</v>
      </c>
      <c r="BZ31" s="518">
        <f t="shared" si="39"/>
        <v>32642267</v>
      </c>
      <c r="CA31" s="518">
        <f t="shared" si="39"/>
        <v>464103768</v>
      </c>
      <c r="CB31" s="518">
        <f t="shared" si="39"/>
        <v>518173462</v>
      </c>
      <c r="CC31" s="518">
        <f t="shared" si="39"/>
        <v>59071498</v>
      </c>
      <c r="CD31" s="518">
        <f t="shared" si="39"/>
        <v>136419466</v>
      </c>
      <c r="CE31" s="518">
        <f t="shared" si="39"/>
        <v>7133755000</v>
      </c>
      <c r="CF31" s="518">
        <f t="shared" si="39"/>
        <v>7133755000</v>
      </c>
      <c r="CG31" s="518">
        <f t="shared" si="39"/>
        <v>7117262095</v>
      </c>
      <c r="CH31" s="518">
        <f t="shared" si="39"/>
        <v>7133755000</v>
      </c>
      <c r="CI31" s="518">
        <f t="shared" si="39"/>
        <v>7117262095</v>
      </c>
      <c r="CJ31" s="518">
        <f t="shared" si="39"/>
        <v>5061662000</v>
      </c>
      <c r="CK31" s="518">
        <f t="shared" si="39"/>
        <v>1369056000</v>
      </c>
      <c r="CL31" s="518">
        <f t="shared" si="39"/>
        <v>1369056000</v>
      </c>
      <c r="CM31" s="518">
        <f t="shared" si="39"/>
        <v>2407691000</v>
      </c>
      <c r="CN31" s="518">
        <f t="shared" si="39"/>
        <v>2407691000</v>
      </c>
      <c r="CO31" s="518">
        <f t="shared" si="39"/>
        <v>998588000</v>
      </c>
      <c r="CP31" s="518">
        <f t="shared" si="39"/>
        <v>998588000</v>
      </c>
      <c r="CQ31" s="518">
        <f t="shared" si="39"/>
        <v>163670000</v>
      </c>
      <c r="CR31" s="518">
        <f t="shared" si="39"/>
        <v>48590000</v>
      </c>
      <c r="CS31" s="518">
        <f t="shared" si="39"/>
        <v>60833000</v>
      </c>
      <c r="CT31" s="518">
        <f t="shared" si="39"/>
        <v>92737000</v>
      </c>
      <c r="CU31" s="518">
        <f t="shared" si="39"/>
        <v>0</v>
      </c>
      <c r="CV31" s="518">
        <f t="shared" si="39"/>
        <v>22045000</v>
      </c>
      <c r="CW31" s="518">
        <f t="shared" si="39"/>
        <v>54586000</v>
      </c>
      <c r="CX31" s="518">
        <f t="shared" si="39"/>
        <v>0</v>
      </c>
      <c r="CY31" s="518">
        <f t="shared" si="39"/>
        <v>0</v>
      </c>
      <c r="CZ31" s="518">
        <f t="shared" si="39"/>
        <v>5000000</v>
      </c>
      <c r="DA31" s="518">
        <f t="shared" si="39"/>
        <v>0</v>
      </c>
      <c r="DB31" s="518">
        <f t="shared" si="39"/>
        <v>0</v>
      </c>
      <c r="DC31" s="518">
        <f t="shared" si="39"/>
        <v>0</v>
      </c>
      <c r="DD31" s="518">
        <f t="shared" si="39"/>
        <v>0</v>
      </c>
      <c r="DE31" s="518">
        <f t="shared" si="39"/>
        <v>0</v>
      </c>
      <c r="DF31" s="518">
        <f t="shared" si="39"/>
        <v>0</v>
      </c>
      <c r="DG31" s="518">
        <f t="shared" si="39"/>
        <v>7238000</v>
      </c>
      <c r="DH31" s="518">
        <f t="shared" si="39"/>
        <v>0</v>
      </c>
      <c r="DI31" s="620">
        <f t="shared" si="39"/>
        <v>5061662000</v>
      </c>
      <c r="DJ31" s="620">
        <f>DJ11+DJ18+DJ25</f>
        <v>5054424000</v>
      </c>
      <c r="DK31" s="620">
        <f t="shared" si="39"/>
        <v>4943707000</v>
      </c>
      <c r="DL31" s="620">
        <f t="shared" si="39"/>
        <v>5061662000</v>
      </c>
      <c r="DM31" s="620">
        <f t="shared" si="39"/>
        <v>4943707000</v>
      </c>
      <c r="DN31" s="1160">
        <f t="shared" si="39"/>
        <v>3276361000</v>
      </c>
      <c r="DO31" s="699"/>
      <c r="DP31" s="673"/>
      <c r="DQ31" s="673"/>
      <c r="DR31" s="673"/>
      <c r="DS31" s="673"/>
      <c r="DT31" s="673"/>
      <c r="DU31" s="673"/>
      <c r="DV31" s="673"/>
      <c r="DW31" s="673"/>
      <c r="DX31" s="673"/>
      <c r="DY31" s="673"/>
      <c r="DZ31" s="673"/>
      <c r="EA31" s="673"/>
      <c r="EB31" s="673"/>
      <c r="EC31" s="673"/>
      <c r="ED31" s="673"/>
      <c r="EE31" s="673"/>
      <c r="EF31" s="673"/>
      <c r="EG31" s="673"/>
      <c r="EH31" s="673"/>
      <c r="EI31" s="673"/>
      <c r="EJ31" s="673"/>
      <c r="EK31" s="673"/>
      <c r="EL31" s="673"/>
      <c r="EM31" s="673"/>
      <c r="EN31" s="673"/>
      <c r="EO31" s="673"/>
      <c r="EP31" s="673"/>
      <c r="EQ31" s="673"/>
      <c r="ER31" s="859"/>
      <c r="ES31" s="860"/>
      <c r="ET31" s="860"/>
      <c r="EU31" s="860"/>
      <c r="EV31" s="860"/>
      <c r="EW31" s="860"/>
      <c r="EX31" s="860"/>
      <c r="EY31" s="860"/>
      <c r="EZ31" s="860"/>
      <c r="FA31" s="861"/>
    </row>
    <row r="32" spans="1:208" s="230" customFormat="1" ht="39" customHeight="1" thickBot="1" x14ac:dyDescent="0.3">
      <c r="A32" s="929"/>
      <c r="B32" s="930"/>
      <c r="C32" s="930"/>
      <c r="D32" s="930"/>
      <c r="E32" s="930"/>
      <c r="F32" s="255" t="s">
        <v>46</v>
      </c>
      <c r="G32" s="518">
        <f>G14+G21+G28</f>
        <v>2054961147</v>
      </c>
      <c r="H32" s="518">
        <f t="shared" ref="H32:BS32" si="40">H14+H21+H28</f>
        <v>0</v>
      </c>
      <c r="I32" s="518">
        <f t="shared" si="40"/>
        <v>0</v>
      </c>
      <c r="J32" s="518">
        <f t="shared" si="40"/>
        <v>0</v>
      </c>
      <c r="K32" s="518">
        <f t="shared" si="40"/>
        <v>0</v>
      </c>
      <c r="L32" s="518">
        <f t="shared" si="40"/>
        <v>0</v>
      </c>
      <c r="M32" s="518">
        <f t="shared" si="40"/>
        <v>0</v>
      </c>
      <c r="N32" s="518">
        <f t="shared" si="40"/>
        <v>0</v>
      </c>
      <c r="O32" s="518">
        <f t="shared" si="40"/>
        <v>0</v>
      </c>
      <c r="P32" s="518">
        <f t="shared" si="40"/>
        <v>0</v>
      </c>
      <c r="Q32" s="518">
        <f t="shared" si="40"/>
        <v>0</v>
      </c>
      <c r="R32" s="518">
        <f t="shared" si="40"/>
        <v>0</v>
      </c>
      <c r="S32" s="518">
        <f t="shared" si="40"/>
        <v>0</v>
      </c>
      <c r="T32" s="518">
        <f t="shared" si="40"/>
        <v>0</v>
      </c>
      <c r="U32" s="518">
        <f t="shared" si="40"/>
        <v>0</v>
      </c>
      <c r="V32" s="518">
        <f t="shared" si="40"/>
        <v>0</v>
      </c>
      <c r="W32" s="518">
        <f t="shared" si="40"/>
        <v>0</v>
      </c>
      <c r="X32" s="518">
        <f t="shared" si="40"/>
        <v>0</v>
      </c>
      <c r="Y32" s="518">
        <f t="shared" si="40"/>
        <v>0</v>
      </c>
      <c r="Z32" s="518">
        <f t="shared" si="40"/>
        <v>0</v>
      </c>
      <c r="AA32" s="518">
        <f t="shared" si="40"/>
        <v>0</v>
      </c>
      <c r="AB32" s="518">
        <f t="shared" si="40"/>
        <v>1235230250</v>
      </c>
      <c r="AC32" s="518">
        <f t="shared" si="40"/>
        <v>232132433</v>
      </c>
      <c r="AD32" s="518">
        <f t="shared" si="40"/>
        <v>232132433</v>
      </c>
      <c r="AE32" s="518">
        <f t="shared" si="40"/>
        <v>407405013</v>
      </c>
      <c r="AF32" s="518">
        <f t="shared" si="40"/>
        <v>407405013</v>
      </c>
      <c r="AG32" s="518">
        <f t="shared" si="40"/>
        <v>343723052</v>
      </c>
      <c r="AH32" s="518">
        <f t="shared" si="40"/>
        <v>343723052</v>
      </c>
      <c r="AI32" s="518">
        <f t="shared" si="40"/>
        <v>112140965</v>
      </c>
      <c r="AJ32" s="518">
        <f t="shared" si="40"/>
        <v>112140965</v>
      </c>
      <c r="AK32" s="518">
        <f t="shared" si="40"/>
        <v>47503633</v>
      </c>
      <c r="AL32" s="518">
        <f t="shared" si="40"/>
        <v>47503633</v>
      </c>
      <c r="AM32" s="518">
        <f t="shared" si="40"/>
        <v>50189389</v>
      </c>
      <c r="AN32" s="518">
        <f t="shared" si="40"/>
        <v>32150885</v>
      </c>
      <c r="AO32" s="518">
        <f t="shared" si="40"/>
        <v>24221693</v>
      </c>
      <c r="AP32" s="518">
        <f t="shared" si="40"/>
        <v>11552967</v>
      </c>
      <c r="AQ32" s="518">
        <f t="shared" si="40"/>
        <v>0</v>
      </c>
      <c r="AR32" s="518">
        <f t="shared" si="40"/>
        <v>3746000</v>
      </c>
      <c r="AS32" s="518">
        <f t="shared" si="40"/>
        <v>0</v>
      </c>
      <c r="AT32" s="518">
        <f t="shared" si="40"/>
        <v>7933367</v>
      </c>
      <c r="AU32" s="518">
        <f t="shared" si="40"/>
        <v>-4863</v>
      </c>
      <c r="AV32" s="518">
        <f t="shared" si="40"/>
        <v>2573700</v>
      </c>
      <c r="AW32" s="518">
        <f t="shared" si="40"/>
        <v>0</v>
      </c>
      <c r="AX32" s="518">
        <f t="shared" si="40"/>
        <v>3021300</v>
      </c>
      <c r="AY32" s="518">
        <f t="shared" si="40"/>
        <v>-10518600</v>
      </c>
      <c r="AZ32" s="518">
        <f t="shared" si="40"/>
        <v>0</v>
      </c>
      <c r="BA32" s="518">
        <f t="shared" si="40"/>
        <v>1206792715</v>
      </c>
      <c r="BB32" s="518">
        <f t="shared" si="40"/>
        <v>1206792715</v>
      </c>
      <c r="BC32" s="518">
        <f t="shared" si="40"/>
        <v>1203883315</v>
      </c>
      <c r="BD32" s="518">
        <f t="shared" si="40"/>
        <v>1206792715</v>
      </c>
      <c r="BE32" s="518">
        <f t="shared" si="40"/>
        <v>1203883315</v>
      </c>
      <c r="BF32" s="518">
        <f t="shared" si="40"/>
        <v>400985607</v>
      </c>
      <c r="BG32" s="518">
        <f t="shared" si="40"/>
        <v>230854506</v>
      </c>
      <c r="BH32" s="518">
        <f t="shared" si="40"/>
        <v>230854506</v>
      </c>
      <c r="BI32" s="518">
        <f t="shared" si="40"/>
        <v>131040435</v>
      </c>
      <c r="BJ32" s="518">
        <f t="shared" si="40"/>
        <v>48079700</v>
      </c>
      <c r="BK32" s="518">
        <f t="shared" si="40"/>
        <v>-4526666</v>
      </c>
      <c r="BL32" s="518">
        <f t="shared" si="40"/>
        <v>28568929</v>
      </c>
      <c r="BM32" s="518">
        <f t="shared" si="40"/>
        <v>10096000</v>
      </c>
      <c r="BN32" s="518">
        <f t="shared" si="40"/>
        <v>29846014</v>
      </c>
      <c r="BO32" s="518">
        <f t="shared" si="40"/>
        <v>-770058</v>
      </c>
      <c r="BP32" s="518">
        <f t="shared" si="40"/>
        <v>2580200</v>
      </c>
      <c r="BQ32" s="518">
        <f t="shared" si="40"/>
        <v>136000</v>
      </c>
      <c r="BR32" s="518">
        <f t="shared" si="40"/>
        <v>139200</v>
      </c>
      <c r="BS32" s="518">
        <f t="shared" si="40"/>
        <v>0</v>
      </c>
      <c r="BT32" s="518">
        <f t="shared" ref="BT32:DN32" si="41">BT14+BT21+BT28</f>
        <v>6875734</v>
      </c>
      <c r="BU32" s="518">
        <f t="shared" si="41"/>
        <v>0</v>
      </c>
      <c r="BV32" s="518">
        <f t="shared" si="41"/>
        <v>0</v>
      </c>
      <c r="BW32" s="518">
        <f t="shared" si="41"/>
        <v>0</v>
      </c>
      <c r="BX32" s="518">
        <f t="shared" si="41"/>
        <v>1604400</v>
      </c>
      <c r="BY32" s="518">
        <f t="shared" si="41"/>
        <v>0</v>
      </c>
      <c r="BZ32" s="518">
        <f t="shared" si="41"/>
        <v>0</v>
      </c>
      <c r="CA32" s="518">
        <f t="shared" si="41"/>
        <v>0</v>
      </c>
      <c r="CB32" s="518">
        <f t="shared" si="41"/>
        <v>0</v>
      </c>
      <c r="CC32" s="518">
        <f t="shared" si="41"/>
        <v>12617866</v>
      </c>
      <c r="CD32" s="518">
        <f t="shared" si="41"/>
        <v>0</v>
      </c>
      <c r="CE32" s="518">
        <f t="shared" si="41"/>
        <v>379448083</v>
      </c>
      <c r="CF32" s="518">
        <f t="shared" si="41"/>
        <v>379448083</v>
      </c>
      <c r="CG32" s="518">
        <f t="shared" si="41"/>
        <v>348548683</v>
      </c>
      <c r="CH32" s="518">
        <f t="shared" si="41"/>
        <v>379448083</v>
      </c>
      <c r="CI32" s="518">
        <f t="shared" si="41"/>
        <v>348548683</v>
      </c>
      <c r="CJ32" s="518">
        <f t="shared" si="41"/>
        <v>502529149</v>
      </c>
      <c r="CK32" s="518">
        <f t="shared" si="41"/>
        <v>132425300</v>
      </c>
      <c r="CL32" s="518">
        <f t="shared" si="41"/>
        <v>132425300</v>
      </c>
      <c r="CM32" s="518">
        <f t="shared" si="41"/>
        <v>209897608</v>
      </c>
      <c r="CN32" s="518">
        <f t="shared" si="41"/>
        <v>209897608</v>
      </c>
      <c r="CO32" s="518">
        <f t="shared" si="41"/>
        <v>35850330</v>
      </c>
      <c r="CP32" s="518">
        <f t="shared" si="41"/>
        <v>35850330</v>
      </c>
      <c r="CQ32" s="518">
        <f t="shared" si="41"/>
        <v>77812149</v>
      </c>
      <c r="CR32" s="518">
        <f t="shared" si="41"/>
        <v>24360725</v>
      </c>
      <c r="CS32" s="518">
        <f t="shared" si="41"/>
        <v>25182953</v>
      </c>
      <c r="CT32" s="518">
        <f t="shared" si="41"/>
        <v>38139058</v>
      </c>
      <c r="CU32" s="518">
        <f t="shared" si="41"/>
        <v>7202809</v>
      </c>
      <c r="CV32" s="518">
        <f t="shared" si="41"/>
        <v>5067268</v>
      </c>
      <c r="CW32" s="518">
        <f t="shared" si="41"/>
        <v>0</v>
      </c>
      <c r="CX32" s="518">
        <f t="shared" si="41"/>
        <v>6591934</v>
      </c>
      <c r="CY32" s="518">
        <f t="shared" si="41"/>
        <v>14158000</v>
      </c>
      <c r="CZ32" s="518">
        <f t="shared" si="41"/>
        <v>2577431</v>
      </c>
      <c r="DA32" s="518">
        <f t="shared" si="41"/>
        <v>0</v>
      </c>
      <c r="DB32" s="518">
        <f t="shared" si="41"/>
        <v>3623900</v>
      </c>
      <c r="DC32" s="518">
        <f t="shared" si="41"/>
        <v>0</v>
      </c>
      <c r="DD32" s="518">
        <f t="shared" si="41"/>
        <v>0</v>
      </c>
      <c r="DE32" s="518">
        <f t="shared" si="41"/>
        <v>0</v>
      </c>
      <c r="DF32" s="518">
        <f t="shared" si="41"/>
        <v>0</v>
      </c>
      <c r="DG32" s="518">
        <f t="shared" si="41"/>
        <v>0</v>
      </c>
      <c r="DH32" s="518">
        <f t="shared" si="41"/>
        <v>0</v>
      </c>
      <c r="DI32" s="620">
        <f t="shared" si="41"/>
        <v>502529149</v>
      </c>
      <c r="DJ32" s="620">
        <f t="shared" si="41"/>
        <v>502529149</v>
      </c>
      <c r="DK32" s="620">
        <f>DK14+DK21+DK28</f>
        <v>458533554</v>
      </c>
      <c r="DL32" s="620">
        <f>DL14+DL21+DL28</f>
        <v>502529149</v>
      </c>
      <c r="DM32" s="620">
        <f t="shared" si="41"/>
        <v>458533554</v>
      </c>
      <c r="DN32" s="620">
        <f t="shared" si="41"/>
        <v>0</v>
      </c>
      <c r="DO32" s="700"/>
      <c r="DP32" s="649"/>
      <c r="DQ32" s="649"/>
      <c r="DR32" s="649"/>
      <c r="DS32" s="649"/>
      <c r="DT32" s="649"/>
      <c r="DU32" s="649"/>
      <c r="DV32" s="649"/>
      <c r="DW32" s="649"/>
      <c r="DX32" s="649"/>
      <c r="DY32" s="649"/>
      <c r="DZ32" s="649"/>
      <c r="EA32" s="649"/>
      <c r="EB32" s="649"/>
      <c r="EC32" s="649"/>
      <c r="ED32" s="649"/>
      <c r="EE32" s="649"/>
      <c r="EF32" s="649"/>
      <c r="EG32" s="649"/>
      <c r="EH32" s="649"/>
      <c r="EI32" s="649"/>
      <c r="EJ32" s="649"/>
      <c r="EK32" s="649"/>
      <c r="EL32" s="649"/>
      <c r="EM32" s="649"/>
      <c r="EN32" s="649"/>
      <c r="EO32" s="649"/>
      <c r="EP32" s="649"/>
      <c r="EQ32" s="649"/>
      <c r="ER32" s="859"/>
      <c r="ES32" s="860"/>
      <c r="ET32" s="860"/>
      <c r="EU32" s="860"/>
      <c r="EV32" s="860"/>
      <c r="EW32" s="860"/>
      <c r="EX32" s="860"/>
      <c r="EY32" s="860"/>
      <c r="EZ32" s="860"/>
      <c r="FA32" s="861"/>
    </row>
    <row r="33" spans="1:158" s="218" customFormat="1" ht="39" customHeight="1" thickBot="1" x14ac:dyDescent="0.3">
      <c r="A33" s="931"/>
      <c r="B33" s="932"/>
      <c r="C33" s="932"/>
      <c r="D33" s="932"/>
      <c r="E33" s="932"/>
      <c r="F33" s="256" t="s">
        <v>47</v>
      </c>
      <c r="G33" s="518">
        <f>G31+G32</f>
        <v>24971213552</v>
      </c>
      <c r="H33" s="518">
        <f t="shared" ref="H33:BS33" si="42">H31+H32</f>
        <v>3100351062</v>
      </c>
      <c r="I33" s="518">
        <f t="shared" si="42"/>
        <v>0</v>
      </c>
      <c r="J33" s="518">
        <f t="shared" si="42"/>
        <v>0</v>
      </c>
      <c r="K33" s="518">
        <f t="shared" si="42"/>
        <v>3100351062</v>
      </c>
      <c r="L33" s="518">
        <f t="shared" si="42"/>
        <v>61765000</v>
      </c>
      <c r="M33" s="518">
        <f t="shared" si="42"/>
        <v>3100351062</v>
      </c>
      <c r="N33" s="518">
        <f t="shared" si="42"/>
        <v>1834168000</v>
      </c>
      <c r="O33" s="518">
        <f t="shared" si="42"/>
        <v>3100351062</v>
      </c>
      <c r="P33" s="518">
        <f t="shared" si="42"/>
        <v>2020192000</v>
      </c>
      <c r="Q33" s="518">
        <f t="shared" si="42"/>
        <v>3100351062</v>
      </c>
      <c r="R33" s="518">
        <f t="shared" si="42"/>
        <v>2034888255</v>
      </c>
      <c r="S33" s="518">
        <f t="shared" si="42"/>
        <v>3100351062</v>
      </c>
      <c r="T33" s="518">
        <f t="shared" si="42"/>
        <v>2264196031</v>
      </c>
      <c r="U33" s="518">
        <f t="shared" si="42"/>
        <v>3100351062</v>
      </c>
      <c r="V33" s="518">
        <f t="shared" si="42"/>
        <v>3057415113</v>
      </c>
      <c r="W33" s="518">
        <f t="shared" si="42"/>
        <v>3100351062</v>
      </c>
      <c r="X33" s="518">
        <f t="shared" si="42"/>
        <v>3100351062</v>
      </c>
      <c r="Y33" s="518">
        <f t="shared" si="42"/>
        <v>3057415113</v>
      </c>
      <c r="Z33" s="518">
        <f t="shared" si="42"/>
        <v>3100351062</v>
      </c>
      <c r="AA33" s="518">
        <f t="shared" si="42"/>
        <v>3057415113</v>
      </c>
      <c r="AB33" s="518">
        <f t="shared" si="42"/>
        <v>5636486981</v>
      </c>
      <c r="AC33" s="518">
        <f t="shared" si="42"/>
        <v>232132433</v>
      </c>
      <c r="AD33" s="518">
        <f t="shared" si="42"/>
        <v>232132433</v>
      </c>
      <c r="AE33" s="518">
        <f t="shared" si="42"/>
        <v>3956741013</v>
      </c>
      <c r="AF33" s="518">
        <f t="shared" si="42"/>
        <v>1659334013</v>
      </c>
      <c r="AG33" s="518">
        <f t="shared" si="42"/>
        <v>951942252</v>
      </c>
      <c r="AH33" s="518">
        <f t="shared" si="42"/>
        <v>2792300052</v>
      </c>
      <c r="AI33" s="518">
        <f t="shared" si="42"/>
        <v>112140965</v>
      </c>
      <c r="AJ33" s="518">
        <f t="shared" si="42"/>
        <v>391175965</v>
      </c>
      <c r="AK33" s="518">
        <f t="shared" si="42"/>
        <v>58353633</v>
      </c>
      <c r="AL33" s="518">
        <f t="shared" si="42"/>
        <v>54548183</v>
      </c>
      <c r="AM33" s="518">
        <f t="shared" si="42"/>
        <v>50189389</v>
      </c>
      <c r="AN33" s="518">
        <f t="shared" si="42"/>
        <v>193683065</v>
      </c>
      <c r="AO33" s="518">
        <f t="shared" si="42"/>
        <v>76037493</v>
      </c>
      <c r="AP33" s="518">
        <f t="shared" si="42"/>
        <v>11552967</v>
      </c>
      <c r="AQ33" s="518">
        <f t="shared" si="42"/>
        <v>0</v>
      </c>
      <c r="AR33" s="518">
        <f t="shared" si="42"/>
        <v>15550000</v>
      </c>
      <c r="AS33" s="518">
        <f t="shared" si="42"/>
        <v>-3670000</v>
      </c>
      <c r="AT33" s="518">
        <f t="shared" si="42"/>
        <v>66869367</v>
      </c>
      <c r="AU33" s="518">
        <f t="shared" si="42"/>
        <v>24319137</v>
      </c>
      <c r="AV33" s="518">
        <f t="shared" si="42"/>
        <v>26770367</v>
      </c>
      <c r="AW33" s="518">
        <f t="shared" si="42"/>
        <v>89648469</v>
      </c>
      <c r="AX33" s="518">
        <f t="shared" si="42"/>
        <v>99526734</v>
      </c>
      <c r="AY33" s="518">
        <f t="shared" si="42"/>
        <v>66799931</v>
      </c>
      <c r="AZ33" s="518">
        <f t="shared" si="42"/>
        <v>63992366</v>
      </c>
      <c r="BA33" s="518">
        <f t="shared" si="42"/>
        <v>5614634715</v>
      </c>
      <c r="BB33" s="518">
        <f t="shared" si="42"/>
        <v>5614634715</v>
      </c>
      <c r="BC33" s="518">
        <f t="shared" si="42"/>
        <v>5607435512</v>
      </c>
      <c r="BD33" s="518">
        <f t="shared" si="42"/>
        <v>5614634715</v>
      </c>
      <c r="BE33" s="518">
        <f t="shared" si="42"/>
        <v>5607435512</v>
      </c>
      <c r="BF33" s="518">
        <f t="shared" si="42"/>
        <v>6999740607</v>
      </c>
      <c r="BG33" s="518">
        <f t="shared" si="42"/>
        <v>6551916506</v>
      </c>
      <c r="BH33" s="518">
        <f t="shared" si="42"/>
        <v>6487181506</v>
      </c>
      <c r="BI33" s="518">
        <f t="shared" si="42"/>
        <v>153668435</v>
      </c>
      <c r="BJ33" s="518">
        <f t="shared" si="42"/>
        <v>98859700</v>
      </c>
      <c r="BK33" s="518">
        <f t="shared" si="42"/>
        <v>18789334</v>
      </c>
      <c r="BL33" s="518">
        <f t="shared" si="42"/>
        <v>47277929</v>
      </c>
      <c r="BM33" s="518">
        <f t="shared" si="42"/>
        <v>10096000</v>
      </c>
      <c r="BN33" s="518">
        <f t="shared" si="42"/>
        <v>29846014</v>
      </c>
      <c r="BO33" s="518">
        <f t="shared" si="42"/>
        <v>3888942</v>
      </c>
      <c r="BP33" s="518">
        <f t="shared" si="42"/>
        <v>2580200</v>
      </c>
      <c r="BQ33" s="518">
        <f t="shared" si="42"/>
        <v>12813000</v>
      </c>
      <c r="BR33" s="518">
        <f t="shared" si="42"/>
        <v>37788200</v>
      </c>
      <c r="BS33" s="518">
        <f t="shared" si="42"/>
        <v>154634000</v>
      </c>
      <c r="BT33" s="518">
        <f t="shared" ref="BT33:DN33" si="43">BT31+BT32</f>
        <v>9785134</v>
      </c>
      <c r="BU33" s="518">
        <f t="shared" si="43"/>
        <v>10674000</v>
      </c>
      <c r="BV33" s="518">
        <f t="shared" si="43"/>
        <v>53724300</v>
      </c>
      <c r="BW33" s="518">
        <f t="shared" si="43"/>
        <v>0</v>
      </c>
      <c r="BX33" s="518">
        <f t="shared" si="43"/>
        <v>11532600</v>
      </c>
      <c r="BY33" s="518">
        <f t="shared" si="43"/>
        <v>60929734</v>
      </c>
      <c r="BZ33" s="518">
        <f t="shared" si="43"/>
        <v>32642267</v>
      </c>
      <c r="CA33" s="518">
        <f t="shared" si="43"/>
        <v>464103768</v>
      </c>
      <c r="CB33" s="518">
        <f t="shared" si="43"/>
        <v>518173462</v>
      </c>
      <c r="CC33" s="518">
        <f t="shared" si="43"/>
        <v>71689364</v>
      </c>
      <c r="CD33" s="518">
        <f t="shared" si="43"/>
        <v>136419466</v>
      </c>
      <c r="CE33" s="518">
        <f t="shared" si="43"/>
        <v>7513203083</v>
      </c>
      <c r="CF33" s="518">
        <f t="shared" si="43"/>
        <v>7513203083</v>
      </c>
      <c r="CG33" s="518">
        <f t="shared" si="43"/>
        <v>7465810778</v>
      </c>
      <c r="CH33" s="518">
        <f t="shared" si="43"/>
        <v>7513203083</v>
      </c>
      <c r="CI33" s="518">
        <f t="shared" si="43"/>
        <v>7465810778</v>
      </c>
      <c r="CJ33" s="518">
        <f t="shared" si="43"/>
        <v>5564191149</v>
      </c>
      <c r="CK33" s="518">
        <f t="shared" si="43"/>
        <v>1501481300</v>
      </c>
      <c r="CL33" s="518">
        <f t="shared" si="43"/>
        <v>1501481300</v>
      </c>
      <c r="CM33" s="518">
        <f t="shared" si="43"/>
        <v>2617588608</v>
      </c>
      <c r="CN33" s="518">
        <f t="shared" si="43"/>
        <v>2617588608</v>
      </c>
      <c r="CO33" s="518">
        <f t="shared" si="43"/>
        <v>1034438330</v>
      </c>
      <c r="CP33" s="518">
        <f t="shared" si="43"/>
        <v>1034438330</v>
      </c>
      <c r="CQ33" s="518">
        <f t="shared" si="43"/>
        <v>241482149</v>
      </c>
      <c r="CR33" s="518">
        <f t="shared" si="43"/>
        <v>72950725</v>
      </c>
      <c r="CS33" s="518">
        <f t="shared" si="43"/>
        <v>86015953</v>
      </c>
      <c r="CT33" s="518">
        <f t="shared" si="43"/>
        <v>130876058</v>
      </c>
      <c r="CU33" s="518">
        <f t="shared" si="43"/>
        <v>7202809</v>
      </c>
      <c r="CV33" s="518">
        <f t="shared" si="43"/>
        <v>27112268</v>
      </c>
      <c r="CW33" s="518">
        <f t="shared" si="43"/>
        <v>54586000</v>
      </c>
      <c r="CX33" s="518">
        <f t="shared" si="43"/>
        <v>6591934</v>
      </c>
      <c r="CY33" s="518">
        <f t="shared" si="43"/>
        <v>14158000</v>
      </c>
      <c r="CZ33" s="518">
        <f t="shared" si="43"/>
        <v>7577431</v>
      </c>
      <c r="DA33" s="518">
        <f t="shared" si="43"/>
        <v>0</v>
      </c>
      <c r="DB33" s="518">
        <f t="shared" si="43"/>
        <v>3623900</v>
      </c>
      <c r="DC33" s="518">
        <f t="shared" si="43"/>
        <v>0</v>
      </c>
      <c r="DD33" s="518">
        <f t="shared" si="43"/>
        <v>0</v>
      </c>
      <c r="DE33" s="518">
        <f t="shared" si="43"/>
        <v>0</v>
      </c>
      <c r="DF33" s="518">
        <f t="shared" si="43"/>
        <v>0</v>
      </c>
      <c r="DG33" s="518">
        <f t="shared" si="43"/>
        <v>7238000</v>
      </c>
      <c r="DH33" s="518">
        <f t="shared" si="43"/>
        <v>0</v>
      </c>
      <c r="DI33" s="620">
        <f t="shared" si="43"/>
        <v>5564191149</v>
      </c>
      <c r="DJ33" s="620">
        <f t="shared" si="43"/>
        <v>5556953149</v>
      </c>
      <c r="DK33" s="620">
        <f t="shared" si="43"/>
        <v>5402240554</v>
      </c>
      <c r="DL33" s="620">
        <f t="shared" si="43"/>
        <v>5564191149</v>
      </c>
      <c r="DM33" s="620">
        <f t="shared" si="43"/>
        <v>5402240554</v>
      </c>
      <c r="DN33" s="620">
        <f t="shared" si="43"/>
        <v>3276361000</v>
      </c>
      <c r="DO33" s="700"/>
      <c r="DP33" s="649"/>
      <c r="DQ33" s="649"/>
      <c r="DR33" s="649"/>
      <c r="DS33" s="649"/>
      <c r="DT33" s="649"/>
      <c r="DU33" s="649"/>
      <c r="DV33" s="649"/>
      <c r="DW33" s="649"/>
      <c r="DX33" s="649"/>
      <c r="DY33" s="649"/>
      <c r="DZ33" s="649"/>
      <c r="EA33" s="649"/>
      <c r="EB33" s="649"/>
      <c r="EC33" s="649"/>
      <c r="ED33" s="649"/>
      <c r="EE33" s="649"/>
      <c r="EF33" s="649"/>
      <c r="EG33" s="649"/>
      <c r="EH33" s="649"/>
      <c r="EI33" s="649"/>
      <c r="EJ33" s="649"/>
      <c r="EK33" s="649"/>
      <c r="EL33" s="649"/>
      <c r="EM33" s="649"/>
      <c r="EN33" s="649"/>
      <c r="EO33" s="649"/>
      <c r="EP33" s="649"/>
      <c r="EQ33" s="649"/>
      <c r="ER33" s="862"/>
      <c r="ES33" s="863"/>
      <c r="ET33" s="863"/>
      <c r="EU33" s="863"/>
      <c r="EV33" s="863"/>
      <c r="EW33" s="863"/>
      <c r="EX33" s="863"/>
      <c r="EY33" s="863"/>
      <c r="EZ33" s="863"/>
      <c r="FA33" s="864"/>
    </row>
    <row r="34" spans="1:158" ht="39" customHeight="1" x14ac:dyDescent="0.25">
      <c r="H34" s="5"/>
      <c r="AU34" s="5"/>
      <c r="AV34" s="5"/>
      <c r="BF34" s="5"/>
      <c r="DK34" s="274"/>
      <c r="DM34" s="194"/>
      <c r="ER34" s="5"/>
      <c r="ES34" s="5"/>
      <c r="ET34" s="5"/>
      <c r="EU34" s="5"/>
      <c r="EV34" s="5"/>
      <c r="EW34" s="5"/>
      <c r="EX34" s="5"/>
      <c r="EY34" s="5"/>
      <c r="EZ34" s="5"/>
      <c r="FA34" s="5"/>
      <c r="FB34" s="5"/>
    </row>
    <row r="35" spans="1:158" ht="39" customHeight="1" x14ac:dyDescent="0.25">
      <c r="F35" s="19" t="s">
        <v>35</v>
      </c>
      <c r="G35"/>
      <c r="H35" s="3"/>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s="2"/>
      <c r="AV35" s="2"/>
      <c r="AW35"/>
      <c r="AX35"/>
      <c r="AY35"/>
      <c r="AZ35" s="54"/>
      <c r="BA35" s="269"/>
      <c r="BB35" s="54"/>
      <c r="BC35" s="270"/>
      <c r="BD35" s="54"/>
      <c r="BE35" s="54"/>
      <c r="BW35" s="2"/>
      <c r="BX35" s="298"/>
      <c r="BY35"/>
      <c r="BZ35"/>
      <c r="CA35"/>
      <c r="CB35"/>
      <c r="CC35"/>
      <c r="CD35"/>
      <c r="CE35" s="269"/>
      <c r="CF35" s="269"/>
      <c r="CG35" s="269"/>
      <c r="CH35"/>
      <c r="CI35" s="269"/>
      <c r="CJ35" s="378"/>
    </row>
    <row r="36" spans="1:158" ht="39" customHeight="1" x14ac:dyDescent="0.25">
      <c r="F36" s="29" t="s">
        <v>36</v>
      </c>
      <c r="G36" s="842" t="s">
        <v>37</v>
      </c>
      <c r="H36" s="843"/>
      <c r="I36" s="844"/>
      <c r="J36" s="845" t="s">
        <v>38</v>
      </c>
      <c r="K36" s="846"/>
      <c r="L36" s="846"/>
      <c r="M36" s="846"/>
      <c r="N36" s="846"/>
      <c r="O36" s="846"/>
      <c r="P36" s="846"/>
      <c r="Q36" s="846"/>
      <c r="R36" s="846"/>
      <c r="S36" s="846"/>
      <c r="T36" s="566"/>
      <c r="AM36"/>
      <c r="BB36" s="236"/>
      <c r="BD36" s="54"/>
      <c r="BE36" s="54"/>
      <c r="BF36" s="302"/>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J36" s="274"/>
      <c r="DK36" s="274"/>
    </row>
    <row r="37" spans="1:158" ht="39" customHeight="1" x14ac:dyDescent="0.25">
      <c r="F37" s="101">
        <v>13</v>
      </c>
      <c r="G37" s="847" t="s">
        <v>95</v>
      </c>
      <c r="H37" s="848"/>
      <c r="I37" s="849"/>
      <c r="J37" s="850" t="s">
        <v>86</v>
      </c>
      <c r="K37" s="851"/>
      <c r="L37" s="851"/>
      <c r="M37" s="851"/>
      <c r="N37" s="851"/>
      <c r="O37" s="851"/>
      <c r="P37" s="851"/>
      <c r="Q37" s="851"/>
      <c r="R37" s="851"/>
      <c r="S37" s="851"/>
      <c r="T37" s="566"/>
      <c r="BB37" s="274"/>
      <c r="BD37" s="54"/>
      <c r="BE37" s="54"/>
      <c r="CJ37" s="196"/>
      <c r="CK37" s="196"/>
      <c r="CL37" s="196"/>
      <c r="CM37" s="196"/>
      <c r="CN37" s="196"/>
      <c r="CO37" s="196"/>
      <c r="CP37" s="196"/>
      <c r="CQ37" s="196"/>
      <c r="CR37" s="196"/>
      <c r="CS37" s="196"/>
      <c r="CT37" s="196"/>
      <c r="CU37" s="196"/>
      <c r="CV37" s="196"/>
      <c r="CW37" s="196"/>
      <c r="CX37" s="196"/>
      <c r="CY37" s="196"/>
      <c r="CZ37" s="196"/>
      <c r="DA37" s="196"/>
      <c r="DB37" s="196"/>
      <c r="DC37" s="196"/>
      <c r="DD37" s="196"/>
      <c r="DE37" s="196"/>
      <c r="DF37" s="196"/>
      <c r="DG37" s="196"/>
      <c r="DH37" s="196"/>
      <c r="DN37" s="196"/>
      <c r="DO37" s="196"/>
      <c r="DP37" s="196"/>
      <c r="DQ37" s="196"/>
      <c r="DR37" s="196"/>
      <c r="DS37" s="196"/>
      <c r="DT37" s="196"/>
      <c r="DU37" s="196"/>
      <c r="DV37" s="196"/>
      <c r="DW37" s="196"/>
      <c r="DX37" s="196"/>
      <c r="DY37" s="196"/>
      <c r="DZ37" s="196"/>
      <c r="EA37" s="196"/>
      <c r="EB37" s="196"/>
      <c r="EC37" s="196"/>
      <c r="ED37" s="196"/>
      <c r="EE37" s="196"/>
      <c r="EF37" s="196"/>
    </row>
    <row r="38" spans="1:158" ht="39" customHeight="1" x14ac:dyDescent="0.25">
      <c r="F38" s="101">
        <v>14</v>
      </c>
      <c r="G38" s="847" t="s">
        <v>617</v>
      </c>
      <c r="H38" s="848"/>
      <c r="I38" s="849"/>
      <c r="J38" s="850" t="s">
        <v>618</v>
      </c>
      <c r="K38" s="851"/>
      <c r="L38" s="851"/>
      <c r="M38" s="851"/>
      <c r="N38" s="851"/>
      <c r="O38" s="851"/>
      <c r="P38" s="851"/>
      <c r="Q38" s="851"/>
      <c r="R38" s="851"/>
      <c r="S38" s="851"/>
      <c r="T38" s="566"/>
      <c r="BD38" s="54"/>
      <c r="BF38" s="303"/>
      <c r="CJ38" s="196"/>
      <c r="CK38" s="196"/>
      <c r="CL38" s="196"/>
      <c r="CM38" s="196"/>
      <c r="CN38" s="196"/>
      <c r="CO38" s="196"/>
      <c r="CP38" s="196"/>
      <c r="CQ38" s="196"/>
      <c r="CR38" s="196"/>
      <c r="CS38" s="196"/>
      <c r="CT38" s="196"/>
      <c r="CU38" s="196"/>
      <c r="CV38" s="196"/>
      <c r="CW38" s="196"/>
      <c r="CX38" s="196"/>
      <c r="CY38" s="196"/>
      <c r="CZ38" s="196"/>
      <c r="DA38" s="196"/>
      <c r="DB38" s="196"/>
      <c r="DC38" s="196"/>
      <c r="DD38" s="196"/>
      <c r="DE38" s="196"/>
      <c r="DF38" s="196"/>
      <c r="DG38" s="196"/>
      <c r="DH38" s="196"/>
    </row>
    <row r="39" spans="1:158" ht="39" customHeight="1" x14ac:dyDescent="0.25">
      <c r="G39" s="91"/>
      <c r="Q39" s="91"/>
      <c r="BD39" s="54"/>
    </row>
    <row r="40" spans="1:158" ht="39" customHeight="1" x14ac:dyDescent="0.25">
      <c r="BE40" s="277"/>
      <c r="BF40" s="304"/>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row>
    <row r="42" spans="1:158" ht="39" customHeight="1" x14ac:dyDescent="0.25">
      <c r="BF42" s="30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row>
  </sheetData>
  <sheetProtection formatCells="0" formatColumns="0" formatRows="0" insertHyperlinks="0" sort="0" autoFilter="0" pivotTables="0"/>
  <mergeCells count="65">
    <mergeCell ref="C24:C30"/>
    <mergeCell ref="D24:D30"/>
    <mergeCell ref="E24:E30"/>
    <mergeCell ref="A31:E33"/>
    <mergeCell ref="A24:A30"/>
    <mergeCell ref="B24:B30"/>
    <mergeCell ref="A17:A23"/>
    <mergeCell ref="B17:B23"/>
    <mergeCell ref="C17:C23"/>
    <mergeCell ref="D17:D23"/>
    <mergeCell ref="E17:E23"/>
    <mergeCell ref="A10:A16"/>
    <mergeCell ref="B10:B16"/>
    <mergeCell ref="C10:C16"/>
    <mergeCell ref="D10:D16"/>
    <mergeCell ref="E10:E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Y24:EY30"/>
    <mergeCell ref="EZ24:EZ30"/>
    <mergeCell ref="FA24:FA30"/>
    <mergeCell ref="EY17:EY23"/>
    <mergeCell ref="EZ17:EZ23"/>
    <mergeCell ref="FA17:FA23"/>
    <mergeCell ref="EX17:EX23"/>
    <mergeCell ref="DN8:EQ8"/>
    <mergeCell ref="CJ8:DM8"/>
    <mergeCell ref="EX7:EX9"/>
    <mergeCell ref="EV7:EV9"/>
    <mergeCell ref="EW7:EW9"/>
    <mergeCell ref="ET7:ET9"/>
    <mergeCell ref="ES7:ES9"/>
    <mergeCell ref="ER7:ER9"/>
    <mergeCell ref="EU7:EU9"/>
    <mergeCell ref="G38:I38"/>
    <mergeCell ref="J38:S38"/>
    <mergeCell ref="F6:FA6"/>
    <mergeCell ref="G36:I36"/>
    <mergeCell ref="J36:S36"/>
    <mergeCell ref="G37:I37"/>
    <mergeCell ref="J37:S37"/>
    <mergeCell ref="EW10:EW16"/>
    <mergeCell ref="EW24:EW30"/>
    <mergeCell ref="EX10:EX16"/>
    <mergeCell ref="EX24:EX30"/>
    <mergeCell ref="ER31:FA33"/>
    <mergeCell ref="EY10:EY16"/>
    <mergeCell ref="EZ10:EZ16"/>
    <mergeCell ref="FA10:FA16"/>
    <mergeCell ref="EW17:EW23"/>
  </mergeCells>
  <hyperlinks>
    <hyperlink ref="FA24" r:id="rId1" xr:uid="{00000000-0004-0000-0200-000000000000}"/>
  </hyperlinks>
  <printOptions horizontalCentered="1" verticalCentered="1"/>
  <pageMargins left="0" right="0" top="0.74803149606299213" bottom="0" header="0.31496062992125984" footer="0"/>
  <pageSetup scale="20"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24"/>
  <sheetViews>
    <sheetView zoomScale="50" zoomScaleNormal="50" zoomScalePageLayoutView="56" workbookViewId="0">
      <selection activeCell="L8" sqref="L8"/>
    </sheetView>
  </sheetViews>
  <sheetFormatPr baseColWidth="10" defaultColWidth="11.42578125" defaultRowHeight="135" customHeight="1" x14ac:dyDescent="0.25"/>
  <cols>
    <col min="1" max="1" width="18.5703125" style="6" customWidth="1"/>
    <col min="2" max="2" width="18.85546875" style="6" customWidth="1"/>
    <col min="3" max="3" width="37.42578125" style="13" customWidth="1"/>
    <col min="4" max="4" width="10.7109375" style="6" customWidth="1"/>
    <col min="5" max="5" width="10.5703125" style="6" customWidth="1"/>
    <col min="6" max="6" width="10.5703125" style="290" customWidth="1"/>
    <col min="7" max="7" width="10.5703125" style="6" customWidth="1"/>
    <col min="8" max="8" width="10" style="6" customWidth="1"/>
    <col min="9" max="9" width="10.7109375" style="6" customWidth="1"/>
    <col min="10" max="12" width="9.7109375" style="6" customWidth="1"/>
    <col min="13" max="13" width="10.7109375" style="6" customWidth="1"/>
    <col min="14" max="14" width="9.7109375" style="7" customWidth="1"/>
    <col min="15" max="15" width="11.42578125" style="7" customWidth="1"/>
    <col min="16" max="16" width="10.42578125" style="7" customWidth="1"/>
    <col min="17" max="17" width="9.7109375" style="7" customWidth="1"/>
    <col min="18" max="18" width="11.42578125" style="288" customWidth="1"/>
    <col min="19" max="19" width="9.5703125" style="295" customWidth="1"/>
    <col min="20" max="20" width="11.140625" style="7" customWidth="1"/>
    <col min="21" max="21" width="15.42578125" style="7" customWidth="1"/>
    <col min="22" max="22" width="102" style="591" customWidth="1"/>
    <col min="23" max="23" width="30.42578125" style="6" customWidth="1"/>
    <col min="24" max="24" width="25" style="6" customWidth="1"/>
    <col min="25" max="26" width="11.42578125" style="6"/>
    <col min="27" max="27" width="24.7109375" style="6" customWidth="1"/>
    <col min="28" max="16384" width="11.42578125" style="6"/>
  </cols>
  <sheetData>
    <row r="1" spans="1:29" ht="65.25" customHeight="1" x14ac:dyDescent="0.25">
      <c r="A1" s="777"/>
      <c r="B1" s="778"/>
      <c r="C1" s="778"/>
      <c r="D1" s="939" t="s">
        <v>39</v>
      </c>
      <c r="E1" s="940"/>
      <c r="F1" s="940"/>
      <c r="G1" s="940"/>
      <c r="H1" s="940"/>
      <c r="I1" s="940"/>
      <c r="J1" s="940"/>
      <c r="K1" s="940"/>
      <c r="L1" s="940"/>
      <c r="M1" s="940"/>
      <c r="N1" s="940"/>
      <c r="O1" s="940"/>
      <c r="P1" s="940"/>
      <c r="Q1" s="940"/>
      <c r="R1" s="940"/>
      <c r="S1" s="940"/>
      <c r="T1" s="940"/>
      <c r="U1" s="940"/>
      <c r="V1" s="941"/>
    </row>
    <row r="2" spans="1:29" ht="45" customHeight="1" x14ac:dyDescent="0.25">
      <c r="A2" s="779"/>
      <c r="B2" s="780"/>
      <c r="C2" s="780"/>
      <c r="D2" s="942" t="s">
        <v>723</v>
      </c>
      <c r="E2" s="943"/>
      <c r="F2" s="943"/>
      <c r="G2" s="943"/>
      <c r="H2" s="943"/>
      <c r="I2" s="943"/>
      <c r="J2" s="943"/>
      <c r="K2" s="943"/>
      <c r="L2" s="943"/>
      <c r="M2" s="943"/>
      <c r="N2" s="943"/>
      <c r="O2" s="943"/>
      <c r="P2" s="943"/>
      <c r="Q2" s="943"/>
      <c r="R2" s="943"/>
      <c r="S2" s="943"/>
      <c r="T2" s="943"/>
      <c r="U2" s="943"/>
      <c r="V2" s="944"/>
    </row>
    <row r="3" spans="1:29" ht="42.75" customHeight="1" thickBot="1" x14ac:dyDescent="0.3">
      <c r="A3" s="882"/>
      <c r="B3" s="883"/>
      <c r="C3" s="883"/>
      <c r="D3" s="945" t="s">
        <v>40</v>
      </c>
      <c r="E3" s="946"/>
      <c r="F3" s="946"/>
      <c r="G3" s="946"/>
      <c r="H3" s="946"/>
      <c r="I3" s="946"/>
      <c r="J3" s="946"/>
      <c r="K3" s="946"/>
      <c r="L3" s="946"/>
      <c r="M3" s="946"/>
      <c r="N3" s="946"/>
      <c r="O3" s="946"/>
      <c r="P3" s="946"/>
      <c r="Q3" s="946"/>
      <c r="R3" s="946"/>
      <c r="S3" s="946"/>
      <c r="T3" s="946"/>
      <c r="U3" s="947"/>
      <c r="V3" s="494" t="s">
        <v>620</v>
      </c>
    </row>
    <row r="4" spans="1:29" ht="51" customHeight="1" thickBot="1" x14ac:dyDescent="0.3">
      <c r="A4" s="795" t="s">
        <v>0</v>
      </c>
      <c r="B4" s="796"/>
      <c r="C4" s="948"/>
      <c r="D4" s="949" t="s">
        <v>369</v>
      </c>
      <c r="E4" s="950"/>
      <c r="F4" s="950"/>
      <c r="G4" s="950"/>
      <c r="H4" s="950"/>
      <c r="I4" s="950"/>
      <c r="J4" s="950"/>
      <c r="K4" s="950"/>
      <c r="L4" s="950"/>
      <c r="M4" s="950"/>
      <c r="N4" s="950"/>
      <c r="O4" s="950"/>
      <c r="P4" s="950"/>
      <c r="Q4" s="950"/>
      <c r="R4" s="950"/>
      <c r="S4" s="950"/>
      <c r="T4" s="950"/>
      <c r="U4" s="950"/>
      <c r="V4" s="951"/>
    </row>
    <row r="5" spans="1:29" ht="42.75" customHeight="1" thickBot="1" x14ac:dyDescent="0.3">
      <c r="A5" s="952" t="s">
        <v>2</v>
      </c>
      <c r="B5" s="953"/>
      <c r="C5" s="954"/>
      <c r="D5" s="955" t="s">
        <v>724</v>
      </c>
      <c r="E5" s="956"/>
      <c r="F5" s="956"/>
      <c r="G5" s="956"/>
      <c r="H5" s="956"/>
      <c r="I5" s="956"/>
      <c r="J5" s="956"/>
      <c r="K5" s="956"/>
      <c r="L5" s="956"/>
      <c r="M5" s="956"/>
      <c r="N5" s="956"/>
      <c r="O5" s="956"/>
      <c r="P5" s="956"/>
      <c r="Q5" s="956"/>
      <c r="R5" s="956"/>
      <c r="S5" s="956"/>
      <c r="T5" s="956"/>
      <c r="U5" s="956"/>
      <c r="V5" s="957"/>
    </row>
    <row r="6" spans="1:29" ht="31.5" customHeight="1" thickBot="1" x14ac:dyDescent="0.3">
      <c r="A6" s="958"/>
      <c r="B6" s="959"/>
      <c r="C6" s="959"/>
      <c r="D6" s="959"/>
      <c r="E6" s="959"/>
      <c r="F6" s="959"/>
      <c r="G6" s="959"/>
      <c r="H6" s="959"/>
      <c r="I6" s="959"/>
      <c r="J6" s="959"/>
      <c r="K6" s="959"/>
      <c r="L6" s="959"/>
      <c r="M6" s="959"/>
      <c r="N6" s="959"/>
      <c r="O6" s="959"/>
      <c r="P6" s="959"/>
      <c r="Q6" s="959"/>
      <c r="R6" s="959"/>
      <c r="S6" s="959"/>
      <c r="T6" s="959"/>
      <c r="U6" s="959"/>
      <c r="V6" s="960"/>
    </row>
    <row r="7" spans="1:29" s="8" customFormat="1" ht="42" customHeight="1" x14ac:dyDescent="0.25">
      <c r="A7" s="961" t="s">
        <v>23</v>
      </c>
      <c r="B7" s="963" t="s">
        <v>24</v>
      </c>
      <c r="C7" s="965" t="s">
        <v>68</v>
      </c>
      <c r="D7" s="967" t="s">
        <v>25</v>
      </c>
      <c r="E7" s="968"/>
      <c r="F7" s="969" t="s">
        <v>524</v>
      </c>
      <c r="G7" s="969"/>
      <c r="H7" s="969"/>
      <c r="I7" s="969"/>
      <c r="J7" s="969"/>
      <c r="K7" s="969"/>
      <c r="L7" s="969"/>
      <c r="M7" s="969"/>
      <c r="N7" s="969"/>
      <c r="O7" s="969"/>
      <c r="P7" s="969"/>
      <c r="Q7" s="969"/>
      <c r="R7" s="969"/>
      <c r="S7" s="969"/>
      <c r="T7" s="963" t="s">
        <v>29</v>
      </c>
      <c r="U7" s="963"/>
      <c r="V7" s="970" t="s">
        <v>711</v>
      </c>
    </row>
    <row r="8" spans="1:29" s="8" customFormat="1" ht="70.5" customHeight="1" thickBot="1" x14ac:dyDescent="0.3">
      <c r="A8" s="962"/>
      <c r="B8" s="964"/>
      <c r="C8" s="966"/>
      <c r="D8" s="520" t="s">
        <v>26</v>
      </c>
      <c r="E8" s="520" t="s">
        <v>27</v>
      </c>
      <c r="F8" s="521" t="s">
        <v>28</v>
      </c>
      <c r="G8" s="237" t="s">
        <v>6</v>
      </c>
      <c r="H8" s="237" t="s">
        <v>7</v>
      </c>
      <c r="I8" s="237" t="s">
        <v>8</v>
      </c>
      <c r="J8" s="237" t="s">
        <v>9</v>
      </c>
      <c r="K8" s="237" t="s">
        <v>10</v>
      </c>
      <c r="L8" s="237" t="s">
        <v>11</v>
      </c>
      <c r="M8" s="237" t="s">
        <v>12</v>
      </c>
      <c r="N8" s="237" t="s">
        <v>13</v>
      </c>
      <c r="O8" s="237" t="s">
        <v>14</v>
      </c>
      <c r="P8" s="237" t="s">
        <v>15</v>
      </c>
      <c r="Q8" s="237" t="s">
        <v>16</v>
      </c>
      <c r="R8" s="237" t="s">
        <v>17</v>
      </c>
      <c r="S8" s="522" t="s">
        <v>18</v>
      </c>
      <c r="T8" s="523" t="s">
        <v>30</v>
      </c>
      <c r="U8" s="523" t="s">
        <v>31</v>
      </c>
      <c r="V8" s="971"/>
    </row>
    <row r="9" spans="1:29" s="8" customFormat="1" ht="32.25" customHeight="1" x14ac:dyDescent="0.25">
      <c r="A9" s="978" t="s">
        <v>374</v>
      </c>
      <c r="B9" s="980" t="s">
        <v>725</v>
      </c>
      <c r="C9" s="982" t="s">
        <v>383</v>
      </c>
      <c r="D9" s="983" t="s">
        <v>384</v>
      </c>
      <c r="E9" s="983" t="s">
        <v>384</v>
      </c>
      <c r="F9" s="524" t="s">
        <v>19</v>
      </c>
      <c r="G9" s="640">
        <v>0.25</v>
      </c>
      <c r="H9" s="640">
        <v>0.75</v>
      </c>
      <c r="I9" s="640"/>
      <c r="J9" s="641"/>
      <c r="K9" s="641"/>
      <c r="L9" s="641"/>
      <c r="M9" s="641"/>
      <c r="N9" s="641"/>
      <c r="O9" s="641"/>
      <c r="P9" s="640"/>
      <c r="Q9" s="642"/>
      <c r="R9" s="642"/>
      <c r="S9" s="525">
        <f>SUM(G9:R9)</f>
        <v>1</v>
      </c>
      <c r="T9" s="984">
        <v>86</v>
      </c>
      <c r="U9" s="972">
        <v>8.5999999999999993E-2</v>
      </c>
      <c r="V9" s="974" t="s">
        <v>712</v>
      </c>
    </row>
    <row r="10" spans="1:29" s="8" customFormat="1" ht="32.25" customHeight="1" thickBot="1" x14ac:dyDescent="0.3">
      <c r="A10" s="979"/>
      <c r="B10" s="981"/>
      <c r="C10" s="976"/>
      <c r="D10" s="977"/>
      <c r="E10" s="977"/>
      <c r="F10" s="273" t="s">
        <v>20</v>
      </c>
      <c r="G10" s="643">
        <v>0.25</v>
      </c>
      <c r="H10" s="643">
        <v>0.75</v>
      </c>
      <c r="I10" s="643"/>
      <c r="J10" s="643"/>
      <c r="K10" s="643"/>
      <c r="L10" s="644"/>
      <c r="M10" s="643"/>
      <c r="N10" s="643"/>
      <c r="O10" s="643"/>
      <c r="P10" s="643"/>
      <c r="Q10" s="643"/>
      <c r="R10" s="643"/>
      <c r="S10" s="519">
        <f t="shared" ref="S10:S30" si="0">SUM(G10:R10)</f>
        <v>1</v>
      </c>
      <c r="T10" s="985"/>
      <c r="U10" s="973"/>
      <c r="V10" s="975"/>
    </row>
    <row r="11" spans="1:29" s="8" customFormat="1" ht="32.25" customHeight="1" x14ac:dyDescent="0.25">
      <c r="A11" s="979"/>
      <c r="B11" s="981"/>
      <c r="C11" s="976" t="s">
        <v>431</v>
      </c>
      <c r="D11" s="977" t="s">
        <v>384</v>
      </c>
      <c r="E11" s="977" t="s">
        <v>384</v>
      </c>
      <c r="F11" s="272" t="s">
        <v>19</v>
      </c>
      <c r="G11" s="643">
        <v>0</v>
      </c>
      <c r="H11" s="643">
        <v>0.05</v>
      </c>
      <c r="I11" s="643">
        <v>0.1</v>
      </c>
      <c r="J11" s="643">
        <v>0.1</v>
      </c>
      <c r="K11" s="643">
        <v>0.1</v>
      </c>
      <c r="L11" s="643">
        <v>0.1</v>
      </c>
      <c r="M11" s="643">
        <v>0.1</v>
      </c>
      <c r="N11" s="643">
        <v>0.1</v>
      </c>
      <c r="O11" s="643">
        <v>0.1</v>
      </c>
      <c r="P11" s="643">
        <v>0.1</v>
      </c>
      <c r="Q11" s="645">
        <v>0.1</v>
      </c>
      <c r="R11" s="645">
        <v>0.05</v>
      </c>
      <c r="S11" s="379">
        <f t="shared" si="0"/>
        <v>0.99999999999999989</v>
      </c>
      <c r="T11" s="985"/>
      <c r="U11" s="973">
        <v>0.35</v>
      </c>
      <c r="V11" s="974" t="s">
        <v>726</v>
      </c>
      <c r="Y11" s="591"/>
    </row>
    <row r="12" spans="1:29" s="8" customFormat="1" ht="32.25" customHeight="1" x14ac:dyDescent="0.25">
      <c r="A12" s="979"/>
      <c r="B12" s="981"/>
      <c r="C12" s="976"/>
      <c r="D12" s="977"/>
      <c r="E12" s="977"/>
      <c r="F12" s="273" t="s">
        <v>20</v>
      </c>
      <c r="G12" s="643"/>
      <c r="H12" s="643">
        <v>0.05</v>
      </c>
      <c r="I12" s="643">
        <v>0.1</v>
      </c>
      <c r="J12" s="643">
        <v>0.1</v>
      </c>
      <c r="K12" s="643">
        <v>0.1</v>
      </c>
      <c r="L12" s="644">
        <v>0.1</v>
      </c>
      <c r="M12" s="645">
        <v>0.1</v>
      </c>
      <c r="N12" s="643">
        <v>0.1</v>
      </c>
      <c r="O12" s="643">
        <v>0.1</v>
      </c>
      <c r="P12" s="643"/>
      <c r="Q12" s="643"/>
      <c r="R12" s="643"/>
      <c r="S12" s="519">
        <f t="shared" si="0"/>
        <v>0.74999999999999989</v>
      </c>
      <c r="T12" s="985"/>
      <c r="U12" s="973"/>
      <c r="V12" s="975"/>
      <c r="Y12" s="591"/>
    </row>
    <row r="13" spans="1:29" s="8" customFormat="1" ht="32.25" customHeight="1" x14ac:dyDescent="0.25">
      <c r="A13" s="979"/>
      <c r="B13" s="981"/>
      <c r="C13" s="976" t="s">
        <v>434</v>
      </c>
      <c r="D13" s="977" t="s">
        <v>384</v>
      </c>
      <c r="E13" s="977" t="s">
        <v>384</v>
      </c>
      <c r="F13" s="272" t="s">
        <v>19</v>
      </c>
      <c r="G13" s="643">
        <v>0.05</v>
      </c>
      <c r="H13" s="643">
        <v>0</v>
      </c>
      <c r="I13" s="643">
        <v>0.05</v>
      </c>
      <c r="J13" s="643">
        <v>0.05</v>
      </c>
      <c r="K13" s="643">
        <v>0.05</v>
      </c>
      <c r="L13" s="643">
        <v>0.2</v>
      </c>
      <c r="M13" s="643">
        <v>0.05</v>
      </c>
      <c r="N13" s="643">
        <v>0.05</v>
      </c>
      <c r="O13" s="643">
        <v>0.2</v>
      </c>
      <c r="P13" s="643">
        <v>0.05</v>
      </c>
      <c r="Q13" s="645">
        <v>0.05</v>
      </c>
      <c r="R13" s="645">
        <v>0.2</v>
      </c>
      <c r="S13" s="379">
        <f t="shared" si="0"/>
        <v>1</v>
      </c>
      <c r="T13" s="985"/>
      <c r="U13" s="973">
        <v>0.15</v>
      </c>
      <c r="V13" s="998" t="s">
        <v>720</v>
      </c>
      <c r="Y13" s="591"/>
    </row>
    <row r="14" spans="1:29" s="8" customFormat="1" ht="32.25" customHeight="1" x14ac:dyDescent="0.25">
      <c r="A14" s="979"/>
      <c r="B14" s="981"/>
      <c r="C14" s="976"/>
      <c r="D14" s="977"/>
      <c r="E14" s="977"/>
      <c r="F14" s="273" t="s">
        <v>20</v>
      </c>
      <c r="G14" s="643">
        <v>0.05</v>
      </c>
      <c r="H14" s="643">
        <v>0</v>
      </c>
      <c r="I14" s="643">
        <v>0.05</v>
      </c>
      <c r="J14" s="643">
        <v>0.05</v>
      </c>
      <c r="K14" s="643">
        <v>0.05</v>
      </c>
      <c r="L14" s="644">
        <v>0.2</v>
      </c>
      <c r="M14" s="643">
        <v>0.05</v>
      </c>
      <c r="N14" s="643">
        <v>0.05</v>
      </c>
      <c r="O14" s="643">
        <v>0.2</v>
      </c>
      <c r="P14" s="643"/>
      <c r="Q14" s="643"/>
      <c r="R14" s="646"/>
      <c r="S14" s="519">
        <f t="shared" si="0"/>
        <v>0.7</v>
      </c>
      <c r="T14" s="985"/>
      <c r="U14" s="973"/>
      <c r="V14" s="999"/>
      <c r="W14" s="380"/>
      <c r="X14" s="380"/>
      <c r="Y14" s="380"/>
      <c r="Z14" s="380"/>
      <c r="AA14" s="380"/>
      <c r="AB14" s="380"/>
      <c r="AC14" s="380"/>
    </row>
    <row r="15" spans="1:29" s="8" customFormat="1" ht="32.25" customHeight="1" x14ac:dyDescent="0.25">
      <c r="A15" s="979"/>
      <c r="B15" s="981"/>
      <c r="C15" s="976" t="s">
        <v>432</v>
      </c>
      <c r="D15" s="977" t="s">
        <v>384</v>
      </c>
      <c r="E15" s="977"/>
      <c r="F15" s="272" t="s">
        <v>19</v>
      </c>
      <c r="G15" s="643">
        <v>0</v>
      </c>
      <c r="H15" s="643">
        <v>0.03</v>
      </c>
      <c r="I15" s="643">
        <v>0.09</v>
      </c>
      <c r="J15" s="643">
        <v>0.11</v>
      </c>
      <c r="K15" s="643">
        <v>0.11</v>
      </c>
      <c r="L15" s="643">
        <v>0.11</v>
      </c>
      <c r="M15" s="643">
        <v>0.11</v>
      </c>
      <c r="N15" s="643">
        <v>0.105</v>
      </c>
      <c r="O15" s="643">
        <v>0.1</v>
      </c>
      <c r="P15" s="643">
        <v>0.1</v>
      </c>
      <c r="Q15" s="645">
        <v>8.5000000000000006E-2</v>
      </c>
      <c r="R15" s="645">
        <v>0.05</v>
      </c>
      <c r="S15" s="379">
        <f t="shared" si="0"/>
        <v>0.99999999999999989</v>
      </c>
      <c r="T15" s="985"/>
      <c r="U15" s="973">
        <v>0.08</v>
      </c>
      <c r="V15" s="988" t="s">
        <v>713</v>
      </c>
      <c r="X15" s="625"/>
      <c r="Y15" s="380"/>
      <c r="Z15" s="380"/>
      <c r="AA15" s="380"/>
      <c r="AB15" s="380"/>
      <c r="AC15" s="380"/>
    </row>
    <row r="16" spans="1:29" s="8" customFormat="1" ht="32.25" customHeight="1" x14ac:dyDescent="0.25">
      <c r="A16" s="979"/>
      <c r="B16" s="981"/>
      <c r="C16" s="976"/>
      <c r="D16" s="977"/>
      <c r="E16" s="977"/>
      <c r="F16" s="273" t="s">
        <v>20</v>
      </c>
      <c r="G16" s="643"/>
      <c r="H16" s="643">
        <v>3.2899999999999999E-2</v>
      </c>
      <c r="I16" s="643">
        <v>9.5200000000000007E-2</v>
      </c>
      <c r="J16" s="643">
        <v>0.1009</v>
      </c>
      <c r="K16" s="643">
        <v>0.1002</v>
      </c>
      <c r="L16" s="644">
        <v>9.7199999999999995E-2</v>
      </c>
      <c r="M16" s="643">
        <v>0.107</v>
      </c>
      <c r="N16" s="643">
        <v>9.5899999999999999E-2</v>
      </c>
      <c r="O16" s="643">
        <v>9.6000000000000002E-2</v>
      </c>
      <c r="P16" s="643"/>
      <c r="Q16" s="643"/>
      <c r="R16" s="643"/>
      <c r="S16" s="583">
        <f t="shared" si="0"/>
        <v>0.72529999999999994</v>
      </c>
      <c r="T16" s="985"/>
      <c r="U16" s="973"/>
      <c r="V16" s="975"/>
      <c r="W16" s="380"/>
      <c r="X16" s="380"/>
      <c r="Y16" s="380"/>
      <c r="Z16" s="380"/>
      <c r="AA16" s="380"/>
      <c r="AB16" s="380"/>
      <c r="AC16" s="380"/>
    </row>
    <row r="17" spans="1:29" s="8" customFormat="1" ht="32.25" customHeight="1" x14ac:dyDescent="0.25">
      <c r="A17" s="979"/>
      <c r="B17" s="981"/>
      <c r="C17" s="976" t="s">
        <v>385</v>
      </c>
      <c r="D17" s="977" t="s">
        <v>384</v>
      </c>
      <c r="E17" s="977"/>
      <c r="F17" s="272" t="s">
        <v>19</v>
      </c>
      <c r="G17" s="643">
        <v>0.79120000000000001</v>
      </c>
      <c r="H17" s="643">
        <v>0</v>
      </c>
      <c r="I17" s="643">
        <v>5.7999999999999996E-3</v>
      </c>
      <c r="J17" s="643">
        <v>0.02</v>
      </c>
      <c r="K17" s="643">
        <v>0.02</v>
      </c>
      <c r="L17" s="643">
        <v>0.02</v>
      </c>
      <c r="M17" s="643">
        <v>0.02</v>
      </c>
      <c r="N17" s="643">
        <v>0.02</v>
      </c>
      <c r="O17" s="643">
        <v>0.02</v>
      </c>
      <c r="P17" s="643">
        <v>0.02</v>
      </c>
      <c r="Q17" s="645">
        <v>0.02</v>
      </c>
      <c r="R17" s="645">
        <v>4.2999999999999997E-2</v>
      </c>
      <c r="S17" s="379">
        <f t="shared" si="0"/>
        <v>1.0000000000000002</v>
      </c>
      <c r="T17" s="985"/>
      <c r="U17" s="986">
        <v>3.4000000000000002E-2</v>
      </c>
      <c r="V17" s="1000" t="s">
        <v>683</v>
      </c>
      <c r="W17" s="382"/>
      <c r="X17" s="381"/>
      <c r="Y17" s="380"/>
      <c r="Z17" s="380"/>
      <c r="AA17" s="380"/>
      <c r="AB17" s="380"/>
      <c r="AC17" s="380"/>
    </row>
    <row r="18" spans="1:29" s="8" customFormat="1" ht="32.25" customHeight="1" x14ac:dyDescent="0.25">
      <c r="A18" s="979"/>
      <c r="B18" s="981"/>
      <c r="C18" s="976"/>
      <c r="D18" s="977"/>
      <c r="E18" s="977"/>
      <c r="F18" s="273" t="s">
        <v>20</v>
      </c>
      <c r="G18" s="643">
        <v>0.79120000000000001</v>
      </c>
      <c r="H18" s="643">
        <v>0</v>
      </c>
      <c r="I18" s="643">
        <v>5.7999999999999996E-3</v>
      </c>
      <c r="J18" s="643">
        <v>6.6E-3</v>
      </c>
      <c r="K18" s="643">
        <v>4.41E-2</v>
      </c>
      <c r="L18" s="644">
        <v>6.4999999999999997E-3</v>
      </c>
      <c r="M18" s="643">
        <v>6.3399999999999998E-2</v>
      </c>
      <c r="N18" s="643">
        <v>1.6E-2</v>
      </c>
      <c r="O18" s="643">
        <v>5.2999999999999999E-2</v>
      </c>
      <c r="P18" s="643"/>
      <c r="Q18" s="643"/>
      <c r="R18" s="643"/>
      <c r="S18" s="583">
        <f>SUM(G18:R18)</f>
        <v>0.98660000000000014</v>
      </c>
      <c r="T18" s="985"/>
      <c r="U18" s="987"/>
      <c r="V18" s="1001"/>
      <c r="W18" s="380"/>
      <c r="X18" s="381"/>
      <c r="Y18" s="380"/>
      <c r="Z18" s="380"/>
      <c r="AA18" s="380"/>
      <c r="AB18" s="380"/>
      <c r="AC18" s="380"/>
    </row>
    <row r="19" spans="1:29" s="8" customFormat="1" ht="32.25" customHeight="1" x14ac:dyDescent="0.25">
      <c r="A19" s="979"/>
      <c r="B19" s="981"/>
      <c r="C19" s="976" t="s">
        <v>433</v>
      </c>
      <c r="D19" s="977" t="s">
        <v>384</v>
      </c>
      <c r="E19" s="977"/>
      <c r="F19" s="272" t="s">
        <v>19</v>
      </c>
      <c r="G19" s="643">
        <v>0</v>
      </c>
      <c r="H19" s="643">
        <v>0.03</v>
      </c>
      <c r="I19" s="643">
        <v>0.09</v>
      </c>
      <c r="J19" s="643">
        <v>0.1</v>
      </c>
      <c r="K19" s="643">
        <v>0.11</v>
      </c>
      <c r="L19" s="643">
        <v>0.1</v>
      </c>
      <c r="M19" s="643">
        <v>0.1</v>
      </c>
      <c r="N19" s="643">
        <v>0.1</v>
      </c>
      <c r="O19" s="643">
        <v>0.1</v>
      </c>
      <c r="P19" s="643">
        <v>0.1</v>
      </c>
      <c r="Q19" s="645">
        <v>0.1</v>
      </c>
      <c r="R19" s="645">
        <v>7.0000000000000007E-2</v>
      </c>
      <c r="S19" s="379">
        <f t="shared" si="0"/>
        <v>1</v>
      </c>
      <c r="T19" s="985"/>
      <c r="U19" s="986">
        <v>0.1</v>
      </c>
      <c r="V19" s="988" t="s">
        <v>714</v>
      </c>
      <c r="X19" s="626"/>
    </row>
    <row r="20" spans="1:29" s="8" customFormat="1" ht="32.25" customHeight="1" x14ac:dyDescent="0.25">
      <c r="A20" s="979"/>
      <c r="B20" s="981"/>
      <c r="C20" s="976"/>
      <c r="D20" s="977"/>
      <c r="E20" s="977"/>
      <c r="F20" s="273" t="s">
        <v>20</v>
      </c>
      <c r="G20" s="643"/>
      <c r="H20" s="643">
        <v>3.4599999999999999E-2</v>
      </c>
      <c r="I20" s="643">
        <v>9.2999999999999999E-2</v>
      </c>
      <c r="J20" s="643">
        <v>0.1019</v>
      </c>
      <c r="K20" s="643">
        <v>7.3300000000000004E-2</v>
      </c>
      <c r="L20" s="644">
        <v>9.8199999999999996E-2</v>
      </c>
      <c r="M20" s="643">
        <v>0.104</v>
      </c>
      <c r="N20" s="643">
        <v>0.1862</v>
      </c>
      <c r="O20" s="643">
        <v>0.1323</v>
      </c>
      <c r="P20" s="643"/>
      <c r="Q20" s="643"/>
      <c r="R20" s="643"/>
      <c r="S20" s="583">
        <f t="shared" si="0"/>
        <v>0.82350000000000001</v>
      </c>
      <c r="T20" s="985"/>
      <c r="U20" s="987"/>
      <c r="V20" s="975"/>
      <c r="X20" s="626"/>
    </row>
    <row r="21" spans="1:29" s="8" customFormat="1" ht="32.25" customHeight="1" x14ac:dyDescent="0.25">
      <c r="A21" s="979"/>
      <c r="B21" s="981"/>
      <c r="C21" s="976" t="s">
        <v>715</v>
      </c>
      <c r="D21" s="977" t="s">
        <v>384</v>
      </c>
      <c r="E21" s="977"/>
      <c r="F21" s="272" t="s">
        <v>19</v>
      </c>
      <c r="G21" s="643">
        <v>0</v>
      </c>
      <c r="H21" s="643">
        <v>0.08</v>
      </c>
      <c r="I21" s="643">
        <v>0.09</v>
      </c>
      <c r="J21" s="643">
        <v>0.09</v>
      </c>
      <c r="K21" s="643">
        <v>0.09</v>
      </c>
      <c r="L21" s="643">
        <v>0.09</v>
      </c>
      <c r="M21" s="643">
        <v>0.09</v>
      </c>
      <c r="N21" s="643">
        <v>0.09</v>
      </c>
      <c r="O21" s="643">
        <v>0.09</v>
      </c>
      <c r="P21" s="643">
        <v>0.09</v>
      </c>
      <c r="Q21" s="643">
        <v>0.09</v>
      </c>
      <c r="R21" s="643">
        <v>0.11</v>
      </c>
      <c r="S21" s="379">
        <f t="shared" si="0"/>
        <v>0.99999999999999978</v>
      </c>
      <c r="T21" s="985"/>
      <c r="U21" s="986">
        <v>0.06</v>
      </c>
      <c r="V21" s="988" t="s">
        <v>722</v>
      </c>
      <c r="X21" s="626"/>
    </row>
    <row r="22" spans="1:29" s="8" customFormat="1" ht="32.25" customHeight="1" x14ac:dyDescent="0.25">
      <c r="A22" s="979"/>
      <c r="B22" s="981"/>
      <c r="C22" s="976"/>
      <c r="D22" s="977"/>
      <c r="E22" s="977"/>
      <c r="F22" s="273" t="s">
        <v>20</v>
      </c>
      <c r="G22" s="643">
        <v>0</v>
      </c>
      <c r="H22" s="643">
        <v>0.08</v>
      </c>
      <c r="I22" s="643">
        <v>0.09</v>
      </c>
      <c r="J22" s="643">
        <v>0.09</v>
      </c>
      <c r="K22" s="643">
        <v>0.09</v>
      </c>
      <c r="L22" s="644">
        <v>0.1</v>
      </c>
      <c r="M22" s="643">
        <v>0.09</v>
      </c>
      <c r="N22" s="643">
        <v>0.09</v>
      </c>
      <c r="O22" s="643">
        <v>0.09</v>
      </c>
      <c r="P22" s="643"/>
      <c r="Q22" s="643"/>
      <c r="R22" s="643"/>
      <c r="S22" s="519">
        <f t="shared" si="0"/>
        <v>0.71999999999999986</v>
      </c>
      <c r="T22" s="985"/>
      <c r="U22" s="987"/>
      <c r="V22" s="975"/>
    </row>
    <row r="23" spans="1:29" s="8" customFormat="1" ht="32.25" customHeight="1" x14ac:dyDescent="0.25">
      <c r="A23" s="979" t="s">
        <v>377</v>
      </c>
      <c r="B23" s="989" t="s">
        <v>386</v>
      </c>
      <c r="C23" s="990" t="s">
        <v>387</v>
      </c>
      <c r="D23" s="991" t="s">
        <v>384</v>
      </c>
      <c r="E23" s="991" t="s">
        <v>384</v>
      </c>
      <c r="F23" s="272" t="s">
        <v>19</v>
      </c>
      <c r="G23" s="643">
        <v>0</v>
      </c>
      <c r="H23" s="643">
        <v>0</v>
      </c>
      <c r="I23" s="643">
        <v>0.1</v>
      </c>
      <c r="J23" s="643">
        <v>0.1</v>
      </c>
      <c r="K23" s="643">
        <v>0.1</v>
      </c>
      <c r="L23" s="643">
        <v>0.1</v>
      </c>
      <c r="M23" s="643">
        <v>0.1</v>
      </c>
      <c r="N23" s="643">
        <v>0.1</v>
      </c>
      <c r="O23" s="643">
        <v>0.1</v>
      </c>
      <c r="P23" s="643">
        <v>0.1</v>
      </c>
      <c r="Q23" s="643">
        <v>0.1</v>
      </c>
      <c r="R23" s="645">
        <v>0.1</v>
      </c>
      <c r="S23" s="379">
        <f t="shared" si="0"/>
        <v>0.99999999999999989</v>
      </c>
      <c r="T23" s="995">
        <v>6</v>
      </c>
      <c r="U23" s="986">
        <v>2.5000000000000001E-2</v>
      </c>
      <c r="V23" s="993" t="s">
        <v>716</v>
      </c>
    </row>
    <row r="24" spans="1:29" s="8" customFormat="1" ht="32.25" customHeight="1" x14ac:dyDescent="0.25">
      <c r="A24" s="979"/>
      <c r="B24" s="989"/>
      <c r="C24" s="990"/>
      <c r="D24" s="992"/>
      <c r="E24" s="992"/>
      <c r="F24" s="273" t="s">
        <v>20</v>
      </c>
      <c r="G24" s="643">
        <v>0</v>
      </c>
      <c r="H24" s="643">
        <v>0</v>
      </c>
      <c r="I24" s="643">
        <v>5.2999999999999999E-2</v>
      </c>
      <c r="J24" s="643">
        <v>0.14499999999999999</v>
      </c>
      <c r="K24" s="643">
        <v>0.10199999999999999</v>
      </c>
      <c r="L24" s="644">
        <v>0.1</v>
      </c>
      <c r="M24" s="643">
        <v>9.8000000000000004E-2</v>
      </c>
      <c r="N24" s="643">
        <v>0.10199999999999999</v>
      </c>
      <c r="O24" s="643">
        <v>0.1</v>
      </c>
      <c r="P24" s="643"/>
      <c r="Q24" s="643"/>
      <c r="R24" s="643"/>
      <c r="S24" s="519">
        <f t="shared" si="0"/>
        <v>0.7</v>
      </c>
      <c r="T24" s="996"/>
      <c r="U24" s="987"/>
      <c r="V24" s="994"/>
    </row>
    <row r="25" spans="1:29" s="8" customFormat="1" ht="32.25" customHeight="1" x14ac:dyDescent="0.25">
      <c r="A25" s="979"/>
      <c r="B25" s="989"/>
      <c r="C25" s="990" t="s">
        <v>676</v>
      </c>
      <c r="D25" s="991" t="s">
        <v>384</v>
      </c>
      <c r="E25" s="991" t="s">
        <v>384</v>
      </c>
      <c r="F25" s="272" t="s">
        <v>19</v>
      </c>
      <c r="G25" s="643">
        <v>0</v>
      </c>
      <c r="H25" s="643">
        <v>0.09</v>
      </c>
      <c r="I25" s="643">
        <v>0.09</v>
      </c>
      <c r="J25" s="643">
        <v>0.09</v>
      </c>
      <c r="K25" s="643">
        <v>0.09</v>
      </c>
      <c r="L25" s="643">
        <v>0.09</v>
      </c>
      <c r="M25" s="643">
        <v>0.09</v>
      </c>
      <c r="N25" s="643">
        <v>0.09</v>
      </c>
      <c r="O25" s="643">
        <v>0.09</v>
      </c>
      <c r="P25" s="643">
        <v>0.09</v>
      </c>
      <c r="Q25" s="645">
        <v>0.09</v>
      </c>
      <c r="R25" s="645">
        <v>0.1</v>
      </c>
      <c r="S25" s="379">
        <f>SUM(H25:R25)</f>
        <v>0.99999999999999978</v>
      </c>
      <c r="T25" s="996"/>
      <c r="U25" s="986">
        <v>5.0000000000000001E-3</v>
      </c>
      <c r="V25" s="993" t="s">
        <v>684</v>
      </c>
    </row>
    <row r="26" spans="1:29" s="8" customFormat="1" ht="32.25" customHeight="1" x14ac:dyDescent="0.25">
      <c r="A26" s="979"/>
      <c r="B26" s="989"/>
      <c r="C26" s="990"/>
      <c r="D26" s="992"/>
      <c r="E26" s="992"/>
      <c r="F26" s="273" t="s">
        <v>20</v>
      </c>
      <c r="G26" s="643">
        <v>0</v>
      </c>
      <c r="H26" s="643">
        <v>0.09</v>
      </c>
      <c r="I26" s="643">
        <v>0.09</v>
      </c>
      <c r="J26" s="643">
        <v>0.09</v>
      </c>
      <c r="K26" s="643">
        <v>0.09</v>
      </c>
      <c r="L26" s="644">
        <v>0.09</v>
      </c>
      <c r="M26" s="643">
        <v>0.09</v>
      </c>
      <c r="N26" s="643">
        <v>0.09</v>
      </c>
      <c r="O26" s="643">
        <v>0.09</v>
      </c>
      <c r="P26" s="643"/>
      <c r="Q26" s="643"/>
      <c r="R26" s="643"/>
      <c r="S26" s="519">
        <f t="shared" si="0"/>
        <v>0.71999999999999986</v>
      </c>
      <c r="T26" s="996"/>
      <c r="U26" s="987"/>
      <c r="V26" s="994"/>
    </row>
    <row r="27" spans="1:29" s="8" customFormat="1" ht="32.25" customHeight="1" x14ac:dyDescent="0.25">
      <c r="A27" s="979"/>
      <c r="B27" s="989"/>
      <c r="C27" s="990" t="s">
        <v>677</v>
      </c>
      <c r="D27" s="991" t="s">
        <v>384</v>
      </c>
      <c r="E27" s="991" t="s">
        <v>384</v>
      </c>
      <c r="F27" s="272" t="s">
        <v>19</v>
      </c>
      <c r="G27" s="643">
        <v>0</v>
      </c>
      <c r="H27" s="643">
        <v>0.09</v>
      </c>
      <c r="I27" s="643">
        <v>0.09</v>
      </c>
      <c r="J27" s="643">
        <v>0.09</v>
      </c>
      <c r="K27" s="643">
        <v>0.09</v>
      </c>
      <c r="L27" s="643">
        <v>0.09</v>
      </c>
      <c r="M27" s="643">
        <v>0.09</v>
      </c>
      <c r="N27" s="643">
        <v>0.09</v>
      </c>
      <c r="O27" s="643">
        <v>0.09</v>
      </c>
      <c r="P27" s="643">
        <v>0.09</v>
      </c>
      <c r="Q27" s="645">
        <v>0.09</v>
      </c>
      <c r="R27" s="645">
        <v>0.1</v>
      </c>
      <c r="S27" s="379">
        <f>SUM(H27:R27)</f>
        <v>0.99999999999999978</v>
      </c>
      <c r="T27" s="996"/>
      <c r="U27" s="986">
        <v>2.5000000000000001E-2</v>
      </c>
      <c r="V27" s="993" t="s">
        <v>685</v>
      </c>
    </row>
    <row r="28" spans="1:29" s="8" customFormat="1" ht="32.25" customHeight="1" x14ac:dyDescent="0.25">
      <c r="A28" s="979"/>
      <c r="B28" s="989"/>
      <c r="C28" s="990"/>
      <c r="D28" s="992"/>
      <c r="E28" s="992"/>
      <c r="F28" s="273" t="s">
        <v>20</v>
      </c>
      <c r="G28" s="643">
        <v>0</v>
      </c>
      <c r="H28" s="643">
        <v>0.09</v>
      </c>
      <c r="I28" s="643">
        <v>0.09</v>
      </c>
      <c r="J28" s="643">
        <v>0.09</v>
      </c>
      <c r="K28" s="643">
        <v>0.09</v>
      </c>
      <c r="L28" s="644">
        <v>0.09</v>
      </c>
      <c r="M28" s="643">
        <v>0.09</v>
      </c>
      <c r="N28" s="643">
        <v>0.09</v>
      </c>
      <c r="O28" s="643">
        <v>0.09</v>
      </c>
      <c r="P28" s="643"/>
      <c r="Q28" s="643"/>
      <c r="R28" s="643"/>
      <c r="S28" s="519">
        <f t="shared" si="0"/>
        <v>0.71999999999999986</v>
      </c>
      <c r="T28" s="996"/>
      <c r="U28" s="987"/>
      <c r="V28" s="994"/>
    </row>
    <row r="29" spans="1:29" s="8" customFormat="1" ht="32.25" customHeight="1" x14ac:dyDescent="0.25">
      <c r="A29" s="979"/>
      <c r="B29" s="989"/>
      <c r="C29" s="990" t="s">
        <v>717</v>
      </c>
      <c r="D29" s="991" t="s">
        <v>384</v>
      </c>
      <c r="E29" s="991" t="s">
        <v>384</v>
      </c>
      <c r="F29" s="272" t="s">
        <v>19</v>
      </c>
      <c r="G29" s="643">
        <v>0</v>
      </c>
      <c r="H29" s="643">
        <v>0.09</v>
      </c>
      <c r="I29" s="643">
        <v>0.09</v>
      </c>
      <c r="J29" s="643">
        <v>0.09</v>
      </c>
      <c r="K29" s="643">
        <v>0.09</v>
      </c>
      <c r="L29" s="643">
        <v>0.09</v>
      </c>
      <c r="M29" s="643">
        <v>0.09</v>
      </c>
      <c r="N29" s="643">
        <v>0.09</v>
      </c>
      <c r="O29" s="643">
        <v>0.09</v>
      </c>
      <c r="P29" s="643">
        <v>0.09</v>
      </c>
      <c r="Q29" s="645">
        <v>0.09</v>
      </c>
      <c r="R29" s="645">
        <v>0.1</v>
      </c>
      <c r="S29" s="379">
        <f>SUM(G29:R29)</f>
        <v>0.99999999999999978</v>
      </c>
      <c r="T29" s="996"/>
      <c r="U29" s="986">
        <v>5.0000000000000001E-3</v>
      </c>
      <c r="V29" s="993" t="s">
        <v>718</v>
      </c>
    </row>
    <row r="30" spans="1:29" s="8" customFormat="1" ht="32.25" customHeight="1" x14ac:dyDescent="0.25">
      <c r="A30" s="979"/>
      <c r="B30" s="989"/>
      <c r="C30" s="990"/>
      <c r="D30" s="992"/>
      <c r="E30" s="992"/>
      <c r="F30" s="273" t="s">
        <v>20</v>
      </c>
      <c r="G30" s="643">
        <v>0</v>
      </c>
      <c r="H30" s="643">
        <v>0.09</v>
      </c>
      <c r="I30" s="643">
        <v>0.09</v>
      </c>
      <c r="J30" s="643">
        <v>0.09</v>
      </c>
      <c r="K30" s="643">
        <v>0.09</v>
      </c>
      <c r="L30" s="644">
        <v>0.09</v>
      </c>
      <c r="M30" s="643">
        <v>0.09</v>
      </c>
      <c r="N30" s="643">
        <v>0.09</v>
      </c>
      <c r="O30" s="643">
        <v>0.09</v>
      </c>
      <c r="P30" s="643"/>
      <c r="Q30" s="643"/>
      <c r="R30" s="643"/>
      <c r="S30" s="519">
        <f t="shared" si="0"/>
        <v>0.71999999999999986</v>
      </c>
      <c r="T30" s="997"/>
      <c r="U30" s="987"/>
      <c r="V30" s="994"/>
    </row>
    <row r="31" spans="1:29" ht="32.25" customHeight="1" x14ac:dyDescent="0.25">
      <c r="A31" s="979" t="s">
        <v>380</v>
      </c>
      <c r="B31" s="981" t="s">
        <v>388</v>
      </c>
      <c r="C31" s="976" t="s">
        <v>678</v>
      </c>
      <c r="D31" s="977" t="s">
        <v>384</v>
      </c>
      <c r="E31" s="977" t="s">
        <v>384</v>
      </c>
      <c r="F31" s="272" t="s">
        <v>19</v>
      </c>
      <c r="G31" s="643">
        <v>0</v>
      </c>
      <c r="H31" s="643">
        <v>0.03</v>
      </c>
      <c r="I31" s="643">
        <v>0.05</v>
      </c>
      <c r="J31" s="643">
        <v>0.06</v>
      </c>
      <c r="K31" s="643">
        <v>0.15</v>
      </c>
      <c r="L31" s="643">
        <v>0.09</v>
      </c>
      <c r="M31" s="643">
        <v>0.1</v>
      </c>
      <c r="N31" s="643">
        <v>0.1</v>
      </c>
      <c r="O31" s="643">
        <v>0.1</v>
      </c>
      <c r="P31" s="643">
        <v>0.1</v>
      </c>
      <c r="Q31" s="643">
        <v>0.18</v>
      </c>
      <c r="R31" s="643">
        <v>0.04</v>
      </c>
      <c r="S31" s="379">
        <f t="shared" ref="S31:S36" si="1">SUM(G31:R31)</f>
        <v>1</v>
      </c>
      <c r="T31" s="996">
        <v>8</v>
      </c>
      <c r="U31" s="986">
        <v>4.1399999999999999E-2</v>
      </c>
      <c r="V31" s="993" t="s">
        <v>727</v>
      </c>
    </row>
    <row r="32" spans="1:29" ht="32.25" customHeight="1" x14ac:dyDescent="0.25">
      <c r="A32" s="979"/>
      <c r="B32" s="981"/>
      <c r="C32" s="976"/>
      <c r="D32" s="977"/>
      <c r="E32" s="977"/>
      <c r="F32" s="273" t="s">
        <v>20</v>
      </c>
      <c r="G32" s="647">
        <v>0</v>
      </c>
      <c r="H32" s="647">
        <v>0.02</v>
      </c>
      <c r="I32" s="647">
        <v>0.05</v>
      </c>
      <c r="J32" s="647">
        <v>0.05</v>
      </c>
      <c r="K32" s="647">
        <v>0.15</v>
      </c>
      <c r="L32" s="644">
        <v>0.09</v>
      </c>
      <c r="M32" s="647">
        <v>0.1</v>
      </c>
      <c r="N32" s="647">
        <v>0.1</v>
      </c>
      <c r="O32" s="647">
        <v>0.1</v>
      </c>
      <c r="P32" s="647"/>
      <c r="Q32" s="647"/>
      <c r="R32" s="647"/>
      <c r="S32" s="519">
        <f t="shared" si="1"/>
        <v>0.65999999999999992</v>
      </c>
      <c r="T32" s="996"/>
      <c r="U32" s="987"/>
      <c r="V32" s="994"/>
    </row>
    <row r="33" spans="1:27" ht="32.25" customHeight="1" x14ac:dyDescent="0.25">
      <c r="A33" s="979"/>
      <c r="B33" s="981"/>
      <c r="C33" s="976" t="s">
        <v>679</v>
      </c>
      <c r="D33" s="977" t="s">
        <v>384</v>
      </c>
      <c r="E33" s="977" t="s">
        <v>384</v>
      </c>
      <c r="F33" s="272" t="s">
        <v>19</v>
      </c>
      <c r="G33" s="643">
        <v>0</v>
      </c>
      <c r="H33" s="643">
        <v>0</v>
      </c>
      <c r="I33" s="643">
        <v>0.05</v>
      </c>
      <c r="J33" s="643">
        <v>0.05</v>
      </c>
      <c r="K33" s="643">
        <v>0.1</v>
      </c>
      <c r="L33" s="643">
        <v>0.1</v>
      </c>
      <c r="M33" s="643">
        <v>0.13</v>
      </c>
      <c r="N33" s="643">
        <v>0.13</v>
      </c>
      <c r="O33" s="643">
        <v>0.15</v>
      </c>
      <c r="P33" s="643">
        <v>0.15</v>
      </c>
      <c r="Q33" s="643">
        <v>7.0000000000000007E-2</v>
      </c>
      <c r="R33" s="643">
        <v>7.0000000000000007E-2</v>
      </c>
      <c r="S33" s="379">
        <f t="shared" si="1"/>
        <v>1.0000000000000002</v>
      </c>
      <c r="T33" s="996"/>
      <c r="U33" s="986">
        <v>1.7600000000000001E-2</v>
      </c>
      <c r="V33" s="1004" t="s">
        <v>719</v>
      </c>
      <c r="W33" s="383"/>
    </row>
    <row r="34" spans="1:27" ht="32.25" customHeight="1" thickBot="1" x14ac:dyDescent="0.3">
      <c r="A34" s="979"/>
      <c r="B34" s="981"/>
      <c r="C34" s="976"/>
      <c r="D34" s="977"/>
      <c r="E34" s="977"/>
      <c r="F34" s="273" t="s">
        <v>20</v>
      </c>
      <c r="G34" s="647">
        <v>0</v>
      </c>
      <c r="H34" s="647">
        <v>0.01</v>
      </c>
      <c r="I34" s="647">
        <v>0.06</v>
      </c>
      <c r="J34" s="647">
        <v>0.06</v>
      </c>
      <c r="K34" s="647">
        <v>0.1</v>
      </c>
      <c r="L34" s="644">
        <v>0.1</v>
      </c>
      <c r="M34" s="647">
        <v>0.13</v>
      </c>
      <c r="N34" s="647">
        <v>0.13</v>
      </c>
      <c r="O34" s="647">
        <v>0.15</v>
      </c>
      <c r="P34" s="647"/>
      <c r="Q34" s="647"/>
      <c r="R34" s="647"/>
      <c r="S34" s="519">
        <f t="shared" si="1"/>
        <v>0.7400000000000001</v>
      </c>
      <c r="T34" s="996"/>
      <c r="U34" s="987"/>
      <c r="V34" s="1005"/>
      <c r="W34" s="383"/>
    </row>
    <row r="35" spans="1:27" ht="32.25" customHeight="1" x14ac:dyDescent="0.25">
      <c r="A35" s="979"/>
      <c r="B35" s="981"/>
      <c r="C35" s="976" t="s">
        <v>680</v>
      </c>
      <c r="D35" s="977" t="s">
        <v>384</v>
      </c>
      <c r="E35" s="977" t="s">
        <v>384</v>
      </c>
      <c r="F35" s="291" t="s">
        <v>19</v>
      </c>
      <c r="G35" s="643">
        <v>0</v>
      </c>
      <c r="H35" s="643">
        <v>0.03</v>
      </c>
      <c r="I35" s="643">
        <v>0.03</v>
      </c>
      <c r="J35" s="643">
        <v>0.04</v>
      </c>
      <c r="K35" s="643">
        <v>0.1</v>
      </c>
      <c r="L35" s="643">
        <v>0.1</v>
      </c>
      <c r="M35" s="643">
        <v>0.15</v>
      </c>
      <c r="N35" s="643">
        <v>0.15</v>
      </c>
      <c r="O35" s="643">
        <v>0.15</v>
      </c>
      <c r="P35" s="643">
        <v>0.15</v>
      </c>
      <c r="Q35" s="643">
        <v>0.05</v>
      </c>
      <c r="R35" s="643">
        <v>0.05</v>
      </c>
      <c r="S35" s="379">
        <f t="shared" si="1"/>
        <v>1.0000000000000002</v>
      </c>
      <c r="T35" s="996"/>
      <c r="U35" s="973">
        <v>2.1000000000000001E-2</v>
      </c>
      <c r="V35" s="1006" t="s">
        <v>721</v>
      </c>
      <c r="W35" s="384"/>
      <c r="X35" s="938"/>
      <c r="Y35" s="938"/>
      <c r="Z35" s="938"/>
      <c r="AA35" s="938"/>
    </row>
    <row r="36" spans="1:27" ht="32.25" customHeight="1" x14ac:dyDescent="0.25">
      <c r="A36" s="979"/>
      <c r="B36" s="981"/>
      <c r="C36" s="976"/>
      <c r="D36" s="977"/>
      <c r="E36" s="977"/>
      <c r="F36" s="292" t="s">
        <v>20</v>
      </c>
      <c r="G36" s="645">
        <v>0</v>
      </c>
      <c r="H36" s="645">
        <v>0.03</v>
      </c>
      <c r="I36" s="645">
        <v>0.03</v>
      </c>
      <c r="J36" s="645">
        <v>0.04</v>
      </c>
      <c r="K36" s="645">
        <v>0.1</v>
      </c>
      <c r="L36" s="644">
        <v>0.1</v>
      </c>
      <c r="M36" s="645">
        <v>0.3</v>
      </c>
      <c r="N36" s="645">
        <v>0.2</v>
      </c>
      <c r="O36" s="645">
        <v>0.15</v>
      </c>
      <c r="P36" s="645"/>
      <c r="Q36" s="645"/>
      <c r="R36" s="645"/>
      <c r="S36" s="519">
        <f t="shared" si="1"/>
        <v>0.95000000000000007</v>
      </c>
      <c r="T36" s="996"/>
      <c r="U36" s="973"/>
      <c r="V36" s="1007"/>
      <c r="W36" s="384"/>
      <c r="X36" s="938"/>
      <c r="Y36" s="938"/>
      <c r="Z36" s="938"/>
      <c r="AA36" s="938"/>
    </row>
    <row r="37" spans="1:27" s="9" customFormat="1" ht="48.75" customHeight="1" thickBot="1" x14ac:dyDescent="0.3">
      <c r="A37" s="1002" t="s">
        <v>619</v>
      </c>
      <c r="B37" s="1003"/>
      <c r="C37" s="1003"/>
      <c r="D37" s="1003"/>
      <c r="E37" s="1003"/>
      <c r="F37" s="1003"/>
      <c r="G37" s="1003"/>
      <c r="H37" s="1003"/>
      <c r="I37" s="1003"/>
      <c r="J37" s="1003"/>
      <c r="K37" s="1003"/>
      <c r="L37" s="1003"/>
      <c r="M37" s="1003"/>
      <c r="N37" s="1003"/>
      <c r="O37" s="1003"/>
      <c r="P37" s="1003"/>
      <c r="Q37" s="1003"/>
      <c r="R37" s="1003"/>
      <c r="S37" s="1003"/>
      <c r="T37" s="211">
        <f>SUM(T9:T36)</f>
        <v>100</v>
      </c>
      <c r="U37" s="212">
        <f>SUM(U9:U36)</f>
        <v>0.99999999999999989</v>
      </c>
      <c r="V37" s="590"/>
      <c r="W37" s="383"/>
    </row>
    <row r="38" spans="1:27" ht="24.75" customHeight="1" x14ac:dyDescent="0.25">
      <c r="A38" s="8"/>
      <c r="B38" s="8"/>
      <c r="C38" s="12"/>
      <c r="D38" s="8"/>
      <c r="E38" s="8"/>
      <c r="F38" s="289"/>
      <c r="G38" s="8"/>
      <c r="H38" s="8"/>
      <c r="I38" s="8"/>
      <c r="J38" s="8"/>
      <c r="K38" s="8"/>
      <c r="L38" s="8"/>
      <c r="M38" s="8"/>
      <c r="N38" s="10"/>
      <c r="O38" s="10"/>
      <c r="P38" s="10"/>
      <c r="Q38" s="10"/>
      <c r="R38" s="294"/>
      <c r="S38" s="294"/>
      <c r="T38" s="10"/>
      <c r="U38" s="10"/>
      <c r="W38" s="383"/>
    </row>
    <row r="39" spans="1:27" ht="24.75" customHeight="1" x14ac:dyDescent="0.25">
      <c r="A39" s="8"/>
      <c r="B39" s="8"/>
      <c r="C39" s="12"/>
      <c r="D39" s="8"/>
      <c r="E39" s="8"/>
      <c r="F39" s="289"/>
      <c r="G39" s="8"/>
      <c r="H39" s="8"/>
      <c r="I39" s="8"/>
      <c r="J39" s="8"/>
      <c r="K39" s="8"/>
      <c r="L39" s="8"/>
      <c r="M39" s="8"/>
      <c r="N39" s="10"/>
      <c r="O39" s="10"/>
      <c r="P39" s="10"/>
      <c r="Q39" s="10"/>
      <c r="R39" s="294"/>
      <c r="S39" s="294"/>
      <c r="T39" s="10"/>
      <c r="U39" s="10"/>
    </row>
    <row r="40" spans="1:27" ht="24.75" customHeight="1" x14ac:dyDescent="0.25">
      <c r="B40" s="326"/>
      <c r="C40" s="2"/>
      <c r="D40" s="2"/>
      <c r="E40" s="2"/>
      <c r="F40" s="293"/>
      <c r="G40" s="2"/>
      <c r="H40" s="2"/>
      <c r="I40" s="213"/>
      <c r="J40" s="8"/>
      <c r="K40" s="8"/>
      <c r="L40" s="8"/>
      <c r="M40" s="8"/>
      <c r="N40" s="8"/>
      <c r="O40" s="10"/>
      <c r="P40" s="10"/>
      <c r="Q40" s="10"/>
      <c r="R40" s="294"/>
      <c r="S40" s="294"/>
      <c r="T40" s="10"/>
      <c r="U40" s="10"/>
    </row>
    <row r="41" spans="1:27" ht="44.25" customHeight="1" x14ac:dyDescent="0.2">
      <c r="A41" s="8"/>
      <c r="B41" s="29" t="s">
        <v>36</v>
      </c>
      <c r="C41" s="842" t="s">
        <v>37</v>
      </c>
      <c r="D41" s="843"/>
      <c r="E41" s="844"/>
      <c r="F41" s="845" t="s">
        <v>38</v>
      </c>
      <c r="G41" s="846"/>
      <c r="H41" s="846"/>
      <c r="I41" s="846"/>
      <c r="J41" s="846"/>
      <c r="K41" s="846"/>
      <c r="L41" s="846"/>
      <c r="M41" s="846"/>
      <c r="N41" s="846"/>
      <c r="O41" s="846"/>
      <c r="Q41" s="10"/>
      <c r="R41" s="5"/>
      <c r="S41" s="294"/>
      <c r="T41" s="10"/>
      <c r="U41" s="10"/>
    </row>
    <row r="42" spans="1:27" ht="44.25" customHeight="1" x14ac:dyDescent="0.2">
      <c r="A42" s="8"/>
      <c r="B42" s="101">
        <v>13</v>
      </c>
      <c r="C42" s="847" t="s">
        <v>95</v>
      </c>
      <c r="D42" s="848"/>
      <c r="E42" s="849"/>
      <c r="F42" s="850" t="s">
        <v>86</v>
      </c>
      <c r="G42" s="851"/>
      <c r="H42" s="851"/>
      <c r="I42" s="851"/>
      <c r="J42" s="851"/>
      <c r="K42" s="851"/>
      <c r="L42" s="851"/>
      <c r="M42" s="851"/>
      <c r="N42" s="851"/>
      <c r="O42" s="851"/>
      <c r="Q42" s="10"/>
      <c r="R42" s="5"/>
      <c r="S42" s="294"/>
      <c r="T42" s="10"/>
      <c r="U42" s="10"/>
    </row>
    <row r="43" spans="1:27" ht="44.25" customHeight="1" x14ac:dyDescent="0.2">
      <c r="A43" s="8"/>
      <c r="B43" s="101">
        <v>14</v>
      </c>
      <c r="C43" s="847" t="s">
        <v>617</v>
      </c>
      <c r="D43" s="848"/>
      <c r="E43" s="849"/>
      <c r="F43" s="850" t="s">
        <v>618</v>
      </c>
      <c r="G43" s="851"/>
      <c r="H43" s="851"/>
      <c r="I43" s="851"/>
      <c r="J43" s="851"/>
      <c r="K43" s="851"/>
      <c r="L43" s="851"/>
      <c r="M43" s="851"/>
      <c r="N43" s="851"/>
      <c r="O43" s="851"/>
      <c r="P43" s="10"/>
      <c r="Q43" s="10"/>
      <c r="R43" s="5"/>
      <c r="S43" s="294"/>
      <c r="T43" s="10"/>
      <c r="U43" s="10"/>
    </row>
    <row r="44" spans="1:27" ht="135" customHeight="1" x14ac:dyDescent="0.2">
      <c r="A44" s="8"/>
      <c r="B44" s="8"/>
      <c r="C44" s="12"/>
      <c r="D44" s="8"/>
      <c r="E44" s="8"/>
      <c r="F44" s="289"/>
      <c r="G44" s="8"/>
      <c r="H44" s="8"/>
      <c r="I44" s="8"/>
      <c r="J44" s="8"/>
      <c r="K44" s="8"/>
      <c r="L44" s="8"/>
      <c r="M44" s="8"/>
      <c r="N44" s="10"/>
      <c r="O44" s="10"/>
      <c r="P44" s="10"/>
      <c r="Q44" s="10"/>
      <c r="R44" s="5"/>
      <c r="S44" s="294"/>
      <c r="T44" s="10"/>
      <c r="U44" s="10"/>
    </row>
    <row r="45" spans="1:27" ht="135" customHeight="1" x14ac:dyDescent="0.2">
      <c r="A45" s="8"/>
      <c r="B45" s="8"/>
      <c r="C45" s="12"/>
      <c r="D45" s="8"/>
      <c r="E45" s="8"/>
      <c r="F45" s="289"/>
      <c r="G45" s="8"/>
      <c r="H45" s="8"/>
      <c r="I45" s="8"/>
      <c r="J45" s="8"/>
      <c r="K45" s="8"/>
      <c r="L45" s="8"/>
      <c r="M45" s="8"/>
      <c r="N45" s="10"/>
      <c r="O45" s="10"/>
      <c r="P45" s="10"/>
      <c r="Q45" s="10"/>
      <c r="R45" s="5"/>
      <c r="S45" s="294"/>
      <c r="T45" s="10"/>
      <c r="U45" s="10"/>
    </row>
    <row r="46" spans="1:27" ht="135" customHeight="1" x14ac:dyDescent="0.2">
      <c r="A46" s="8"/>
      <c r="B46" s="8"/>
      <c r="C46" s="12"/>
      <c r="D46" s="8"/>
      <c r="E46" s="8"/>
      <c r="F46" s="289"/>
      <c r="G46" s="8"/>
      <c r="H46" s="8"/>
      <c r="I46" s="8"/>
      <c r="J46" s="8"/>
      <c r="K46" s="8"/>
      <c r="L46" s="8"/>
      <c r="M46" s="8"/>
      <c r="N46" s="10"/>
      <c r="O46" s="10"/>
      <c r="P46" s="10"/>
      <c r="Q46" s="10"/>
      <c r="R46" s="5"/>
      <c r="S46" s="294"/>
      <c r="T46" s="10"/>
      <c r="U46" s="10"/>
    </row>
    <row r="47" spans="1:27" ht="135" customHeight="1" x14ac:dyDescent="0.2">
      <c r="A47" s="8"/>
      <c r="B47" s="8"/>
      <c r="C47" s="12"/>
      <c r="D47" s="8"/>
      <c r="E47" s="8"/>
      <c r="F47" s="289"/>
      <c r="G47" s="8"/>
      <c r="H47" s="8"/>
      <c r="I47" s="8"/>
      <c r="J47" s="8"/>
      <c r="K47" s="8"/>
      <c r="L47" s="8"/>
      <c r="M47" s="8"/>
      <c r="N47" s="10"/>
      <c r="O47" s="10"/>
      <c r="P47" s="10"/>
      <c r="Q47" s="10"/>
      <c r="R47" s="5"/>
      <c r="S47" s="294"/>
      <c r="T47" s="10"/>
      <c r="U47" s="10"/>
    </row>
    <row r="48" spans="1:27" ht="135" customHeight="1" x14ac:dyDescent="0.2">
      <c r="A48" s="8"/>
      <c r="B48" s="8"/>
      <c r="C48" s="12"/>
      <c r="D48" s="8"/>
      <c r="E48" s="8"/>
      <c r="F48" s="289"/>
      <c r="G48" s="8"/>
      <c r="H48" s="8"/>
      <c r="I48" s="8"/>
      <c r="J48" s="8"/>
      <c r="K48" s="8"/>
      <c r="L48" s="8"/>
      <c r="M48" s="8"/>
      <c r="N48" s="10"/>
      <c r="O48" s="10"/>
      <c r="P48" s="10"/>
      <c r="Q48" s="10"/>
      <c r="R48" s="5"/>
      <c r="S48" s="294"/>
      <c r="T48" s="10"/>
      <c r="U48" s="10"/>
    </row>
    <row r="49" spans="1:21" ht="135" customHeight="1" x14ac:dyDescent="0.2">
      <c r="A49" s="8"/>
      <c r="B49" s="8"/>
      <c r="C49" s="12"/>
      <c r="D49" s="8"/>
      <c r="E49" s="8"/>
      <c r="F49" s="289"/>
      <c r="G49" s="8"/>
      <c r="H49" s="8"/>
      <c r="I49" s="8"/>
      <c r="J49" s="8"/>
      <c r="K49" s="8"/>
      <c r="L49" s="8"/>
      <c r="M49" s="8"/>
      <c r="N49" s="10"/>
      <c r="O49" s="10"/>
      <c r="P49" s="10"/>
      <c r="Q49" s="10"/>
      <c r="R49" s="5"/>
      <c r="S49" s="294"/>
      <c r="T49" s="10"/>
      <c r="U49" s="10"/>
    </row>
    <row r="50" spans="1:21" ht="135" customHeight="1" x14ac:dyDescent="0.2">
      <c r="A50" s="8"/>
      <c r="B50" s="8"/>
      <c r="C50" s="12"/>
      <c r="D50" s="8"/>
      <c r="E50" s="8"/>
      <c r="F50" s="289"/>
      <c r="G50" s="8"/>
      <c r="H50" s="8"/>
      <c r="I50" s="8"/>
      <c r="J50" s="8"/>
      <c r="K50" s="8"/>
      <c r="L50" s="8"/>
      <c r="M50" s="8"/>
      <c r="N50" s="10"/>
      <c r="O50" s="10"/>
      <c r="P50" s="10"/>
      <c r="Q50" s="10"/>
      <c r="R50" s="5"/>
      <c r="S50" s="294"/>
      <c r="T50" s="10"/>
      <c r="U50" s="10"/>
    </row>
    <row r="51" spans="1:21" ht="135" customHeight="1" x14ac:dyDescent="0.2">
      <c r="A51" s="8"/>
      <c r="B51" s="8"/>
      <c r="C51" s="12"/>
      <c r="D51" s="8"/>
      <c r="E51" s="8"/>
      <c r="F51" s="289"/>
      <c r="G51" s="8"/>
      <c r="H51" s="8"/>
      <c r="I51" s="8"/>
      <c r="J51" s="8"/>
      <c r="K51" s="8"/>
      <c r="L51" s="8"/>
      <c r="M51" s="8"/>
      <c r="N51" s="10"/>
      <c r="O51" s="10"/>
      <c r="P51" s="10"/>
      <c r="Q51" s="10"/>
      <c r="R51" s="5"/>
      <c r="S51" s="294"/>
      <c r="T51" s="10"/>
      <c r="U51" s="10"/>
    </row>
    <row r="52" spans="1:21" ht="135" customHeight="1" x14ac:dyDescent="0.2">
      <c r="A52" s="8"/>
      <c r="B52" s="8"/>
      <c r="C52" s="12"/>
      <c r="D52" s="8"/>
      <c r="E52" s="8"/>
      <c r="F52" s="289"/>
      <c r="G52" s="8"/>
      <c r="H52" s="8"/>
      <c r="I52" s="8"/>
      <c r="J52" s="8"/>
      <c r="K52" s="8"/>
      <c r="L52" s="8"/>
      <c r="M52" s="8"/>
      <c r="N52" s="10"/>
      <c r="O52" s="10"/>
      <c r="P52" s="10"/>
      <c r="Q52" s="10"/>
      <c r="R52" s="5"/>
      <c r="S52" s="294"/>
      <c r="T52" s="10"/>
      <c r="U52" s="10"/>
    </row>
    <row r="53" spans="1:21" ht="135" customHeight="1" x14ac:dyDescent="0.2">
      <c r="A53" s="8"/>
      <c r="B53" s="8"/>
      <c r="C53" s="12"/>
      <c r="D53" s="8"/>
      <c r="E53" s="8"/>
      <c r="F53" s="289"/>
      <c r="G53" s="8"/>
      <c r="H53" s="8"/>
      <c r="I53" s="8"/>
      <c r="J53" s="8"/>
      <c r="K53" s="8"/>
      <c r="L53" s="8"/>
      <c r="M53" s="8"/>
      <c r="N53" s="10"/>
      <c r="O53" s="10"/>
      <c r="P53" s="10"/>
      <c r="Q53" s="10"/>
      <c r="R53" s="5"/>
      <c r="S53" s="294"/>
      <c r="T53" s="10"/>
      <c r="U53" s="10"/>
    </row>
    <row r="54" spans="1:21" ht="135" customHeight="1" x14ac:dyDescent="0.2">
      <c r="A54" s="8"/>
      <c r="B54" s="8"/>
      <c r="C54" s="12"/>
      <c r="D54" s="8"/>
      <c r="E54" s="8"/>
      <c r="F54" s="289"/>
      <c r="G54" s="8"/>
      <c r="H54" s="8"/>
      <c r="I54" s="8"/>
      <c r="J54" s="8"/>
      <c r="K54" s="8"/>
      <c r="L54" s="8"/>
      <c r="M54" s="8"/>
      <c r="N54" s="10"/>
      <c r="O54" s="10"/>
      <c r="P54" s="10"/>
      <c r="Q54" s="10"/>
      <c r="R54" s="5"/>
      <c r="S54" s="294"/>
      <c r="T54" s="10"/>
      <c r="U54" s="10"/>
    </row>
    <row r="55" spans="1:21" ht="135" customHeight="1" x14ac:dyDescent="0.2">
      <c r="A55" s="8"/>
      <c r="B55" s="8"/>
      <c r="C55" s="12"/>
      <c r="D55" s="8"/>
      <c r="E55" s="8"/>
      <c r="F55" s="289"/>
      <c r="G55" s="8"/>
      <c r="H55" s="8"/>
      <c r="I55" s="8"/>
      <c r="J55" s="8"/>
      <c r="K55" s="8"/>
      <c r="L55" s="8"/>
      <c r="M55" s="8"/>
      <c r="N55" s="10"/>
      <c r="O55" s="10"/>
      <c r="P55" s="10"/>
      <c r="Q55" s="10"/>
      <c r="R55" s="5"/>
      <c r="S55" s="294"/>
      <c r="T55" s="10"/>
      <c r="U55" s="10"/>
    </row>
    <row r="56" spans="1:21" ht="135" customHeight="1" x14ac:dyDescent="0.2">
      <c r="A56" s="8"/>
      <c r="B56" s="8"/>
      <c r="C56" s="12"/>
      <c r="D56" s="8"/>
      <c r="E56" s="8"/>
      <c r="F56" s="289"/>
      <c r="G56" s="8"/>
      <c r="H56" s="8"/>
      <c r="I56" s="8"/>
      <c r="J56" s="8"/>
      <c r="K56" s="8"/>
      <c r="L56" s="8"/>
      <c r="M56" s="8"/>
      <c r="N56" s="10"/>
      <c r="O56" s="10"/>
      <c r="P56" s="10"/>
      <c r="Q56" s="10"/>
      <c r="R56" s="5"/>
      <c r="S56" s="294"/>
      <c r="T56" s="10"/>
      <c r="U56" s="10"/>
    </row>
    <row r="57" spans="1:21" ht="135" customHeight="1" x14ac:dyDescent="0.2">
      <c r="A57" s="8"/>
      <c r="B57" s="8"/>
      <c r="C57" s="12"/>
      <c r="D57" s="8"/>
      <c r="E57" s="8"/>
      <c r="F57" s="289"/>
      <c r="G57" s="8"/>
      <c r="H57" s="8"/>
      <c r="I57" s="8"/>
      <c r="J57" s="8"/>
      <c r="K57" s="8"/>
      <c r="L57" s="8"/>
      <c r="M57" s="8"/>
      <c r="N57" s="10"/>
      <c r="O57" s="10"/>
      <c r="P57" s="10"/>
      <c r="Q57" s="10"/>
      <c r="R57" s="5"/>
      <c r="S57" s="294"/>
      <c r="T57" s="10"/>
      <c r="U57" s="10"/>
    </row>
    <row r="58" spans="1:21" ht="135" customHeight="1" x14ac:dyDescent="0.2">
      <c r="A58" s="8"/>
      <c r="B58" s="8"/>
      <c r="C58" s="12"/>
      <c r="D58" s="8"/>
      <c r="E58" s="8"/>
      <c r="F58" s="289"/>
      <c r="G58" s="8"/>
      <c r="H58" s="8"/>
      <c r="I58" s="8"/>
      <c r="J58" s="8"/>
      <c r="K58" s="8"/>
      <c r="L58" s="8"/>
      <c r="M58" s="8"/>
      <c r="N58" s="10"/>
      <c r="O58" s="10"/>
      <c r="P58" s="10"/>
      <c r="Q58" s="10"/>
      <c r="R58" s="5"/>
      <c r="S58" s="294"/>
      <c r="T58" s="10"/>
      <c r="U58" s="10"/>
    </row>
    <row r="59" spans="1:21" ht="135" customHeight="1" x14ac:dyDescent="0.2">
      <c r="A59" s="8"/>
      <c r="B59" s="8"/>
      <c r="C59" s="12"/>
      <c r="D59" s="8"/>
      <c r="E59" s="8"/>
      <c r="F59" s="289"/>
      <c r="G59" s="8"/>
      <c r="H59" s="8"/>
      <c r="I59" s="8"/>
      <c r="J59" s="8"/>
      <c r="K59" s="8"/>
      <c r="L59" s="8"/>
      <c r="M59" s="8"/>
      <c r="N59" s="10"/>
      <c r="O59" s="10"/>
      <c r="P59" s="10"/>
      <c r="Q59" s="10"/>
      <c r="R59" s="5"/>
      <c r="S59" s="294"/>
      <c r="T59" s="10"/>
      <c r="U59" s="10"/>
    </row>
    <row r="60" spans="1:21" ht="135" customHeight="1" x14ac:dyDescent="0.2">
      <c r="A60" s="8"/>
      <c r="B60" s="8"/>
      <c r="C60" s="12"/>
      <c r="D60" s="8"/>
      <c r="E60" s="8"/>
      <c r="F60" s="289"/>
      <c r="G60" s="8"/>
      <c r="H60" s="8"/>
      <c r="I60" s="8"/>
      <c r="J60" s="8"/>
      <c r="K60" s="8"/>
      <c r="L60" s="8"/>
      <c r="M60" s="8"/>
      <c r="N60" s="10"/>
      <c r="O60" s="10"/>
      <c r="P60" s="10"/>
      <c r="Q60" s="10"/>
      <c r="R60" s="5"/>
      <c r="S60" s="294"/>
      <c r="T60" s="10"/>
      <c r="U60" s="10"/>
    </row>
    <row r="61" spans="1:21" ht="135" customHeight="1" x14ac:dyDescent="0.2">
      <c r="A61" s="8"/>
      <c r="B61" s="8"/>
      <c r="C61" s="12"/>
      <c r="D61" s="8"/>
      <c r="E61" s="8"/>
      <c r="F61" s="289"/>
      <c r="G61" s="8"/>
      <c r="H61" s="8"/>
      <c r="I61" s="8"/>
      <c r="J61" s="8"/>
      <c r="K61" s="8"/>
      <c r="L61" s="8"/>
      <c r="M61" s="8"/>
      <c r="N61" s="10"/>
      <c r="O61" s="10"/>
      <c r="P61" s="10"/>
      <c r="Q61" s="10"/>
      <c r="R61" s="5"/>
      <c r="S61" s="294"/>
      <c r="T61" s="10"/>
      <c r="U61" s="10"/>
    </row>
    <row r="62" spans="1:21" ht="135" customHeight="1" x14ac:dyDescent="0.2">
      <c r="A62" s="8"/>
      <c r="B62" s="8"/>
      <c r="C62" s="12"/>
      <c r="D62" s="8"/>
      <c r="E62" s="8"/>
      <c r="F62" s="289"/>
      <c r="G62" s="8"/>
      <c r="H62" s="8"/>
      <c r="I62" s="8"/>
      <c r="J62" s="8"/>
      <c r="K62" s="8"/>
      <c r="L62" s="8"/>
      <c r="M62" s="8"/>
      <c r="N62" s="10"/>
      <c r="O62" s="10"/>
      <c r="P62" s="10"/>
      <c r="Q62" s="10"/>
      <c r="R62" s="5"/>
      <c r="S62" s="294"/>
      <c r="T62" s="10"/>
      <c r="U62" s="10"/>
    </row>
    <row r="63" spans="1:21" ht="135" customHeight="1" x14ac:dyDescent="0.2">
      <c r="A63" s="8"/>
      <c r="B63" s="8"/>
      <c r="C63" s="12"/>
      <c r="D63" s="8"/>
      <c r="E63" s="8"/>
      <c r="F63" s="289"/>
      <c r="G63" s="8"/>
      <c r="H63" s="8"/>
      <c r="I63" s="8"/>
      <c r="J63" s="8"/>
      <c r="K63" s="8"/>
      <c r="L63" s="8"/>
      <c r="M63" s="8"/>
      <c r="N63" s="10"/>
      <c r="O63" s="10"/>
      <c r="P63" s="10"/>
      <c r="Q63" s="10"/>
      <c r="R63" s="5"/>
      <c r="S63" s="294"/>
      <c r="T63" s="10"/>
      <c r="U63" s="10"/>
    </row>
    <row r="64" spans="1:21" ht="135" customHeight="1" x14ac:dyDescent="0.2">
      <c r="A64" s="8"/>
      <c r="B64" s="8"/>
      <c r="C64" s="12"/>
      <c r="D64" s="8"/>
      <c r="E64" s="8"/>
      <c r="F64" s="289"/>
      <c r="G64" s="8"/>
      <c r="H64" s="8"/>
      <c r="I64" s="8"/>
      <c r="J64" s="8"/>
      <c r="K64" s="8"/>
      <c r="L64" s="8"/>
      <c r="M64" s="8"/>
      <c r="N64" s="10"/>
      <c r="O64" s="10"/>
      <c r="P64" s="10"/>
      <c r="Q64" s="10"/>
      <c r="R64" s="5"/>
      <c r="S64" s="294"/>
      <c r="T64" s="10"/>
      <c r="U64" s="10"/>
    </row>
    <row r="65" spans="1:21" ht="135" customHeight="1" x14ac:dyDescent="0.2">
      <c r="A65" s="8"/>
      <c r="B65" s="8"/>
      <c r="C65" s="12"/>
      <c r="D65" s="8"/>
      <c r="E65" s="8"/>
      <c r="F65" s="289"/>
      <c r="G65" s="8"/>
      <c r="H65" s="8"/>
      <c r="I65" s="8"/>
      <c r="J65" s="8"/>
      <c r="K65" s="8"/>
      <c r="L65" s="8"/>
      <c r="M65" s="8"/>
      <c r="N65" s="10"/>
      <c r="O65" s="10"/>
      <c r="P65" s="10"/>
      <c r="Q65" s="10"/>
      <c r="R65" s="5"/>
      <c r="S65" s="294"/>
      <c r="T65" s="10"/>
      <c r="U65" s="10"/>
    </row>
    <row r="66" spans="1:21" ht="135" customHeight="1" x14ac:dyDescent="0.2">
      <c r="A66" s="8"/>
      <c r="B66" s="8"/>
      <c r="C66" s="12"/>
      <c r="D66" s="8"/>
      <c r="E66" s="8"/>
      <c r="F66" s="289"/>
      <c r="G66" s="8"/>
      <c r="H66" s="8"/>
      <c r="I66" s="8"/>
      <c r="J66" s="8"/>
      <c r="K66" s="8"/>
      <c r="L66" s="8"/>
      <c r="M66" s="8"/>
      <c r="N66" s="10"/>
      <c r="O66" s="10"/>
      <c r="P66" s="10"/>
      <c r="Q66" s="10"/>
      <c r="R66" s="5"/>
      <c r="S66" s="294"/>
      <c r="T66" s="10"/>
      <c r="U66" s="10"/>
    </row>
    <row r="67" spans="1:21" ht="135" customHeight="1" x14ac:dyDescent="0.2">
      <c r="A67" s="8"/>
      <c r="B67" s="8"/>
      <c r="C67" s="12"/>
      <c r="D67" s="8"/>
      <c r="E67" s="8"/>
      <c r="F67" s="289"/>
      <c r="G67" s="8"/>
      <c r="H67" s="8"/>
      <c r="I67" s="8"/>
      <c r="J67" s="8"/>
      <c r="K67" s="8"/>
      <c r="L67" s="8"/>
      <c r="M67" s="8"/>
      <c r="N67" s="10"/>
      <c r="O67" s="10"/>
      <c r="P67" s="10"/>
      <c r="Q67" s="10"/>
      <c r="R67" s="5"/>
      <c r="S67" s="294"/>
      <c r="T67" s="10"/>
      <c r="U67" s="10"/>
    </row>
    <row r="68" spans="1:21" ht="135" customHeight="1" x14ac:dyDescent="0.2">
      <c r="A68" s="8"/>
      <c r="B68" s="8"/>
      <c r="C68" s="12"/>
      <c r="D68" s="8"/>
      <c r="E68" s="8"/>
      <c r="F68" s="289"/>
      <c r="G68" s="8"/>
      <c r="H68" s="8"/>
      <c r="I68" s="8"/>
      <c r="J68" s="8"/>
      <c r="K68" s="8"/>
      <c r="L68" s="8"/>
      <c r="M68" s="8"/>
      <c r="N68" s="10"/>
      <c r="O68" s="10"/>
      <c r="P68" s="10"/>
      <c r="Q68" s="10"/>
      <c r="R68" s="5"/>
      <c r="S68" s="294"/>
      <c r="T68" s="10"/>
      <c r="U68" s="10"/>
    </row>
    <row r="69" spans="1:21" ht="135" customHeight="1" x14ac:dyDescent="0.2">
      <c r="A69" s="8"/>
      <c r="B69" s="8"/>
      <c r="C69" s="12"/>
      <c r="D69" s="8"/>
      <c r="E69" s="8"/>
      <c r="F69" s="289"/>
      <c r="G69" s="8"/>
      <c r="H69" s="8"/>
      <c r="I69" s="8"/>
      <c r="J69" s="8"/>
      <c r="K69" s="8"/>
      <c r="L69" s="8"/>
      <c r="M69" s="8"/>
      <c r="N69" s="10"/>
      <c r="O69" s="10"/>
      <c r="P69" s="10"/>
      <c r="Q69" s="10"/>
      <c r="R69" s="5"/>
      <c r="S69" s="294"/>
      <c r="T69" s="10"/>
      <c r="U69" s="10"/>
    </row>
    <row r="70" spans="1:21" ht="135" customHeight="1" x14ac:dyDescent="0.2">
      <c r="A70" s="8"/>
      <c r="B70" s="8"/>
      <c r="C70" s="12"/>
      <c r="D70" s="8"/>
      <c r="E70" s="8"/>
      <c r="F70" s="289"/>
      <c r="G70" s="8"/>
      <c r="H70" s="8"/>
      <c r="I70" s="8"/>
      <c r="J70" s="8"/>
      <c r="K70" s="8"/>
      <c r="L70" s="8"/>
      <c r="M70" s="8"/>
      <c r="N70" s="10"/>
      <c r="O70" s="10"/>
      <c r="P70" s="10"/>
      <c r="Q70" s="10"/>
      <c r="R70" s="5"/>
      <c r="S70" s="294"/>
      <c r="T70" s="10"/>
      <c r="U70" s="10"/>
    </row>
    <row r="71" spans="1:21" ht="135" customHeight="1" x14ac:dyDescent="0.2">
      <c r="A71" s="8"/>
      <c r="B71" s="8"/>
      <c r="C71" s="12"/>
      <c r="D71" s="8"/>
      <c r="E71" s="8"/>
      <c r="F71" s="289"/>
      <c r="G71" s="8"/>
      <c r="H71" s="8"/>
      <c r="I71" s="8"/>
      <c r="J71" s="8"/>
      <c r="K71" s="8"/>
      <c r="L71" s="8"/>
      <c r="M71" s="8"/>
      <c r="N71" s="10"/>
      <c r="O71" s="10"/>
      <c r="P71" s="10"/>
      <c r="Q71" s="10"/>
      <c r="R71" s="5"/>
      <c r="S71" s="294"/>
      <c r="T71" s="10"/>
      <c r="U71" s="10"/>
    </row>
    <row r="72" spans="1:21" ht="135" customHeight="1" x14ac:dyDescent="0.2">
      <c r="A72" s="8"/>
      <c r="B72" s="8"/>
      <c r="C72" s="12"/>
      <c r="D72" s="8"/>
      <c r="E72" s="8"/>
      <c r="F72" s="289"/>
      <c r="G72" s="8"/>
      <c r="H72" s="8"/>
      <c r="I72" s="8"/>
      <c r="J72" s="8"/>
      <c r="K72" s="8"/>
      <c r="L72" s="8"/>
      <c r="M72" s="8"/>
      <c r="N72" s="10"/>
      <c r="O72" s="10"/>
      <c r="P72" s="10"/>
      <c r="Q72" s="10"/>
      <c r="R72" s="5"/>
      <c r="S72" s="294"/>
      <c r="T72" s="10"/>
      <c r="U72" s="10"/>
    </row>
    <row r="73" spans="1:21" ht="135" customHeight="1" x14ac:dyDescent="0.2">
      <c r="A73" s="8"/>
      <c r="B73" s="8"/>
      <c r="C73" s="12"/>
      <c r="D73" s="8"/>
      <c r="E73" s="8"/>
      <c r="F73" s="289"/>
      <c r="G73" s="8"/>
      <c r="H73" s="8"/>
      <c r="I73" s="8"/>
      <c r="J73" s="8"/>
      <c r="K73" s="8"/>
      <c r="L73" s="8"/>
      <c r="M73" s="8"/>
      <c r="N73" s="10"/>
      <c r="O73" s="10"/>
      <c r="P73" s="10"/>
      <c r="Q73" s="10"/>
      <c r="R73" s="5"/>
      <c r="S73" s="294"/>
      <c r="T73" s="10"/>
      <c r="U73" s="10"/>
    </row>
    <row r="74" spans="1:21" ht="135" customHeight="1" x14ac:dyDescent="0.2">
      <c r="A74" s="8"/>
      <c r="B74" s="8"/>
      <c r="C74" s="12"/>
      <c r="D74" s="8"/>
      <c r="E74" s="8"/>
      <c r="F74" s="289"/>
      <c r="G74" s="8"/>
      <c r="H74" s="8"/>
      <c r="I74" s="8"/>
      <c r="J74" s="8"/>
      <c r="K74" s="8"/>
      <c r="L74" s="8"/>
      <c r="M74" s="8"/>
      <c r="N74" s="10"/>
      <c r="O74" s="10"/>
      <c r="P74" s="10"/>
      <c r="Q74" s="10"/>
      <c r="R74" s="5"/>
      <c r="S74" s="294"/>
      <c r="T74" s="10"/>
      <c r="U74" s="10"/>
    </row>
    <row r="75" spans="1:21" ht="135" customHeight="1" x14ac:dyDescent="0.2">
      <c r="A75" s="8"/>
      <c r="B75" s="8"/>
      <c r="C75" s="12"/>
      <c r="D75" s="8"/>
      <c r="E75" s="8"/>
      <c r="F75" s="289"/>
      <c r="G75" s="8"/>
      <c r="H75" s="8"/>
      <c r="I75" s="8"/>
      <c r="J75" s="8"/>
      <c r="K75" s="8"/>
      <c r="L75" s="8"/>
      <c r="M75" s="8"/>
      <c r="N75" s="10"/>
      <c r="O75" s="10"/>
      <c r="P75" s="10"/>
      <c r="Q75" s="10"/>
      <c r="R75" s="5"/>
      <c r="S75" s="294"/>
      <c r="T75" s="10"/>
      <c r="U75" s="10"/>
    </row>
    <row r="76" spans="1:21" ht="135" customHeight="1" x14ac:dyDescent="0.2">
      <c r="A76" s="8"/>
      <c r="B76" s="8"/>
      <c r="C76" s="12"/>
      <c r="D76" s="8"/>
      <c r="E76" s="8"/>
      <c r="F76" s="289"/>
      <c r="G76" s="8"/>
      <c r="H76" s="8"/>
      <c r="I76" s="8"/>
      <c r="J76" s="8"/>
      <c r="K76" s="8"/>
      <c r="L76" s="8"/>
      <c r="M76" s="8"/>
      <c r="N76" s="10"/>
      <c r="O76" s="10"/>
      <c r="P76" s="10"/>
      <c r="Q76" s="10"/>
      <c r="R76" s="5"/>
      <c r="S76" s="294"/>
      <c r="T76" s="10"/>
      <c r="U76" s="10"/>
    </row>
    <row r="77" spans="1:21" ht="135" customHeight="1" x14ac:dyDescent="0.2">
      <c r="A77" s="8"/>
      <c r="B77" s="8"/>
      <c r="C77" s="12"/>
      <c r="D77" s="8"/>
      <c r="E77" s="8"/>
      <c r="F77" s="289"/>
      <c r="G77" s="8"/>
      <c r="H77" s="8"/>
      <c r="I77" s="8"/>
      <c r="J77" s="8"/>
      <c r="K77" s="8"/>
      <c r="L77" s="8"/>
      <c r="M77" s="8"/>
      <c r="N77" s="10"/>
      <c r="O77" s="10"/>
      <c r="P77" s="10"/>
      <c r="Q77" s="10"/>
      <c r="R77" s="5"/>
      <c r="S77" s="294"/>
      <c r="T77" s="10"/>
      <c r="U77" s="10"/>
    </row>
    <row r="78" spans="1:21" ht="135" customHeight="1" x14ac:dyDescent="0.2">
      <c r="A78" s="8"/>
      <c r="B78" s="8"/>
      <c r="C78" s="12"/>
      <c r="D78" s="8"/>
      <c r="E78" s="8"/>
      <c r="F78" s="289"/>
      <c r="G78" s="8"/>
      <c r="H78" s="8"/>
      <c r="I78" s="8"/>
      <c r="J78" s="8"/>
      <c r="K78" s="8"/>
      <c r="L78" s="8"/>
      <c r="M78" s="8"/>
      <c r="N78" s="10"/>
      <c r="O78" s="10"/>
      <c r="P78" s="10"/>
      <c r="Q78" s="10"/>
      <c r="R78" s="5"/>
      <c r="S78" s="294"/>
      <c r="T78" s="10"/>
      <c r="U78" s="10"/>
    </row>
    <row r="79" spans="1:21" ht="135" customHeight="1" x14ac:dyDescent="0.2">
      <c r="A79" s="8"/>
      <c r="B79" s="8"/>
      <c r="C79" s="12"/>
      <c r="D79" s="8"/>
      <c r="E79" s="8"/>
      <c r="F79" s="289"/>
      <c r="G79" s="8"/>
      <c r="H79" s="8"/>
      <c r="I79" s="8"/>
      <c r="J79" s="8"/>
      <c r="K79" s="8"/>
      <c r="L79" s="8"/>
      <c r="M79" s="8"/>
      <c r="N79" s="10"/>
      <c r="O79" s="10"/>
      <c r="P79" s="10"/>
      <c r="Q79" s="10"/>
      <c r="R79" s="5"/>
      <c r="S79" s="294"/>
      <c r="T79" s="10"/>
      <c r="U79" s="10"/>
    </row>
    <row r="80" spans="1:21" ht="135" customHeight="1" x14ac:dyDescent="0.2">
      <c r="A80" s="8"/>
      <c r="B80" s="8"/>
      <c r="C80" s="12"/>
      <c r="D80" s="8"/>
      <c r="E80" s="8"/>
      <c r="F80" s="289"/>
      <c r="G80" s="8"/>
      <c r="H80" s="8"/>
      <c r="I80" s="8"/>
      <c r="J80" s="8"/>
      <c r="K80" s="8"/>
      <c r="L80" s="8"/>
      <c r="M80" s="8"/>
      <c r="N80" s="10"/>
      <c r="O80" s="10"/>
      <c r="P80" s="10"/>
      <c r="Q80" s="10"/>
      <c r="R80" s="5"/>
      <c r="S80" s="294"/>
      <c r="T80" s="10"/>
      <c r="U80" s="10"/>
    </row>
    <row r="81" spans="1:21" ht="135" customHeight="1" x14ac:dyDescent="0.2">
      <c r="A81" s="8"/>
      <c r="B81" s="8"/>
      <c r="C81" s="12"/>
      <c r="D81" s="8"/>
      <c r="E81" s="8"/>
      <c r="F81" s="289"/>
      <c r="G81" s="8"/>
      <c r="H81" s="8"/>
      <c r="I81" s="8"/>
      <c r="J81" s="8"/>
      <c r="K81" s="8"/>
      <c r="L81" s="8"/>
      <c r="M81" s="8"/>
      <c r="N81" s="10"/>
      <c r="O81" s="10"/>
      <c r="P81" s="10"/>
      <c r="Q81" s="10"/>
      <c r="R81" s="5"/>
      <c r="S81" s="294"/>
      <c r="T81" s="10"/>
      <c r="U81" s="10"/>
    </row>
    <row r="82" spans="1:21" ht="135" customHeight="1" x14ac:dyDescent="0.2">
      <c r="A82" s="8"/>
      <c r="B82" s="8"/>
      <c r="C82" s="12"/>
      <c r="D82" s="8"/>
      <c r="E82" s="8"/>
      <c r="F82" s="289"/>
      <c r="G82" s="8"/>
      <c r="H82" s="8"/>
      <c r="I82" s="8"/>
      <c r="J82" s="8"/>
      <c r="K82" s="8"/>
      <c r="L82" s="8"/>
      <c r="M82" s="8"/>
      <c r="N82" s="10"/>
      <c r="O82" s="10"/>
      <c r="P82" s="10"/>
      <c r="Q82" s="10"/>
      <c r="R82" s="5"/>
      <c r="S82" s="294"/>
      <c r="T82" s="10"/>
      <c r="U82" s="10"/>
    </row>
    <row r="83" spans="1:21" ht="135" customHeight="1" x14ac:dyDescent="0.2">
      <c r="A83" s="8"/>
      <c r="B83" s="8"/>
      <c r="C83" s="12"/>
      <c r="D83" s="8"/>
      <c r="E83" s="8"/>
      <c r="F83" s="289"/>
      <c r="G83" s="8"/>
      <c r="H83" s="8"/>
      <c r="I83" s="8"/>
      <c r="J83" s="8"/>
      <c r="K83" s="8"/>
      <c r="L83" s="8"/>
      <c r="M83" s="8"/>
      <c r="N83" s="10"/>
      <c r="O83" s="10"/>
      <c r="P83" s="10"/>
      <c r="Q83" s="10"/>
      <c r="R83" s="5"/>
      <c r="S83" s="294"/>
      <c r="T83" s="10"/>
      <c r="U83" s="10"/>
    </row>
    <row r="84" spans="1:21" ht="135" customHeight="1" x14ac:dyDescent="0.2">
      <c r="A84" s="8"/>
      <c r="B84" s="8"/>
      <c r="C84" s="12"/>
      <c r="D84" s="8"/>
      <c r="E84" s="8"/>
      <c r="F84" s="289"/>
      <c r="G84" s="8"/>
      <c r="H84" s="8"/>
      <c r="I84" s="8"/>
      <c r="J84" s="8"/>
      <c r="K84" s="8"/>
      <c r="L84" s="8"/>
      <c r="M84" s="8"/>
      <c r="N84" s="10"/>
      <c r="O84" s="10"/>
      <c r="P84" s="10"/>
      <c r="Q84" s="10"/>
      <c r="R84" s="5"/>
      <c r="S84" s="294"/>
      <c r="T84" s="10"/>
      <c r="U84" s="10"/>
    </row>
    <row r="85" spans="1:21" ht="135" customHeight="1" x14ac:dyDescent="0.2">
      <c r="A85" s="8"/>
      <c r="B85" s="8"/>
      <c r="C85" s="12"/>
      <c r="D85" s="8"/>
      <c r="E85" s="8"/>
      <c r="F85" s="289"/>
      <c r="G85" s="8"/>
      <c r="H85" s="8"/>
      <c r="I85" s="8"/>
      <c r="J85" s="8"/>
      <c r="K85" s="8"/>
      <c r="L85" s="8"/>
      <c r="M85" s="8"/>
      <c r="N85" s="10"/>
      <c r="O85" s="10"/>
      <c r="P85" s="10"/>
      <c r="Q85" s="10"/>
      <c r="R85" s="5"/>
      <c r="S85" s="294"/>
      <c r="T85" s="10"/>
      <c r="U85" s="10"/>
    </row>
    <row r="86" spans="1:21" ht="135" customHeight="1" x14ac:dyDescent="0.2">
      <c r="A86" s="8"/>
      <c r="B86" s="8"/>
      <c r="C86" s="12"/>
      <c r="D86" s="8"/>
      <c r="E86" s="8"/>
      <c r="F86" s="289"/>
      <c r="G86" s="8"/>
      <c r="H86" s="8"/>
      <c r="I86" s="8"/>
      <c r="J86" s="8"/>
      <c r="K86" s="8"/>
      <c r="L86" s="8"/>
      <c r="M86" s="8"/>
      <c r="N86" s="10"/>
      <c r="O86" s="10"/>
      <c r="P86" s="10"/>
      <c r="Q86" s="10"/>
      <c r="R86" s="5"/>
      <c r="S86" s="294"/>
      <c r="T86" s="10"/>
      <c r="U86" s="10"/>
    </row>
    <row r="87" spans="1:21" ht="135" customHeight="1" x14ac:dyDescent="0.2">
      <c r="A87" s="8"/>
      <c r="B87" s="8"/>
      <c r="C87" s="12"/>
      <c r="D87" s="8"/>
      <c r="E87" s="8"/>
      <c r="F87" s="289"/>
      <c r="G87" s="8"/>
      <c r="H87" s="8"/>
      <c r="I87" s="8"/>
      <c r="J87" s="8"/>
      <c r="K87" s="8"/>
      <c r="L87" s="8"/>
      <c r="M87" s="8"/>
      <c r="N87" s="10"/>
      <c r="O87" s="10"/>
      <c r="P87" s="10"/>
      <c r="Q87" s="10"/>
      <c r="R87" s="5"/>
      <c r="S87" s="294"/>
      <c r="T87" s="10"/>
      <c r="U87" s="10"/>
    </row>
    <row r="88" spans="1:21" ht="135" customHeight="1" x14ac:dyDescent="0.2">
      <c r="A88" s="8"/>
      <c r="B88" s="8"/>
      <c r="C88" s="12"/>
      <c r="D88" s="8"/>
      <c r="E88" s="8"/>
      <c r="F88" s="289"/>
      <c r="G88" s="8"/>
      <c r="H88" s="8"/>
      <c r="I88" s="8"/>
      <c r="J88" s="8"/>
      <c r="K88" s="8"/>
      <c r="L88" s="8"/>
      <c r="M88" s="8"/>
      <c r="N88" s="10"/>
      <c r="O88" s="10"/>
      <c r="P88" s="10"/>
      <c r="Q88" s="10"/>
      <c r="R88" s="5"/>
      <c r="S88" s="294"/>
      <c r="T88" s="10"/>
      <c r="U88" s="10"/>
    </row>
    <row r="89" spans="1:21" ht="135" customHeight="1" x14ac:dyDescent="0.2">
      <c r="A89" s="8"/>
      <c r="B89" s="8"/>
      <c r="C89" s="12"/>
      <c r="D89" s="8"/>
      <c r="E89" s="8"/>
      <c r="F89" s="289"/>
      <c r="G89" s="8"/>
      <c r="H89" s="8"/>
      <c r="I89" s="8"/>
      <c r="J89" s="8"/>
      <c r="K89" s="8"/>
      <c r="L89" s="8"/>
      <c r="M89" s="8"/>
      <c r="N89" s="10"/>
      <c r="O89" s="10"/>
      <c r="P89" s="10"/>
      <c r="Q89" s="10"/>
      <c r="R89" s="5"/>
      <c r="S89" s="294"/>
      <c r="T89" s="10"/>
      <c r="U89" s="10"/>
    </row>
    <row r="90" spans="1:21" ht="135" customHeight="1" x14ac:dyDescent="0.2">
      <c r="A90" s="8"/>
      <c r="B90" s="8"/>
      <c r="C90" s="12"/>
      <c r="D90" s="8"/>
      <c r="E90" s="8"/>
      <c r="F90" s="289"/>
      <c r="G90" s="8"/>
      <c r="H90" s="8"/>
      <c r="I90" s="8"/>
      <c r="J90" s="8"/>
      <c r="K90" s="8"/>
      <c r="L90" s="8"/>
      <c r="M90" s="8"/>
      <c r="N90" s="10"/>
      <c r="O90" s="10"/>
      <c r="P90" s="10"/>
      <c r="Q90" s="10"/>
      <c r="R90" s="5"/>
      <c r="S90" s="294"/>
      <c r="T90" s="10"/>
      <c r="U90" s="10"/>
    </row>
    <row r="91" spans="1:21" ht="135" customHeight="1" x14ac:dyDescent="0.2">
      <c r="A91" s="8"/>
      <c r="B91" s="8"/>
      <c r="C91" s="12"/>
      <c r="D91" s="8"/>
      <c r="E91" s="8"/>
      <c r="F91" s="289"/>
      <c r="G91" s="8"/>
      <c r="H91" s="8"/>
      <c r="I91" s="8"/>
      <c r="J91" s="8"/>
      <c r="K91" s="8"/>
      <c r="L91" s="8"/>
      <c r="M91" s="8"/>
      <c r="N91" s="10"/>
      <c r="O91" s="10"/>
      <c r="P91" s="10"/>
      <c r="Q91" s="10"/>
      <c r="R91" s="5"/>
      <c r="S91" s="294"/>
      <c r="T91" s="10"/>
      <c r="U91" s="10"/>
    </row>
    <row r="92" spans="1:21" ht="135" customHeight="1" x14ac:dyDescent="0.2">
      <c r="A92" s="8"/>
      <c r="B92" s="8"/>
      <c r="C92" s="12"/>
      <c r="D92" s="8"/>
      <c r="E92" s="8"/>
      <c r="F92" s="289"/>
      <c r="G92" s="8"/>
      <c r="H92" s="8"/>
      <c r="I92" s="8"/>
      <c r="J92" s="8"/>
      <c r="K92" s="8"/>
      <c r="L92" s="8"/>
      <c r="M92" s="8"/>
      <c r="N92" s="10"/>
      <c r="O92" s="10"/>
      <c r="P92" s="10"/>
      <c r="Q92" s="10"/>
      <c r="R92" s="5"/>
      <c r="S92" s="294"/>
      <c r="T92" s="10"/>
      <c r="U92" s="10"/>
    </row>
    <row r="93" spans="1:21" ht="135" customHeight="1" x14ac:dyDescent="0.2">
      <c r="A93" s="8"/>
      <c r="B93" s="8"/>
      <c r="C93" s="12"/>
      <c r="D93" s="8"/>
      <c r="E93" s="8"/>
      <c r="F93" s="289"/>
      <c r="G93" s="8"/>
      <c r="H93" s="8"/>
      <c r="I93" s="8"/>
      <c r="J93" s="8"/>
      <c r="K93" s="8"/>
      <c r="L93" s="8"/>
      <c r="M93" s="8"/>
      <c r="N93" s="10"/>
      <c r="O93" s="10"/>
      <c r="P93" s="10"/>
      <c r="Q93" s="10"/>
      <c r="R93" s="5"/>
      <c r="S93" s="294"/>
      <c r="T93" s="10"/>
      <c r="U93" s="10"/>
    </row>
    <row r="94" spans="1:21" ht="135" customHeight="1" x14ac:dyDescent="0.2">
      <c r="A94" s="8"/>
      <c r="B94" s="8"/>
      <c r="C94" s="12"/>
      <c r="D94" s="8"/>
      <c r="E94" s="8"/>
      <c r="F94" s="289"/>
      <c r="G94" s="8"/>
      <c r="H94" s="8"/>
      <c r="I94" s="8"/>
      <c r="J94" s="8"/>
      <c r="K94" s="8"/>
      <c r="L94" s="8"/>
      <c r="M94" s="8"/>
      <c r="N94" s="10"/>
      <c r="O94" s="10"/>
      <c r="P94" s="10"/>
      <c r="Q94" s="10"/>
      <c r="R94" s="5"/>
      <c r="S94" s="294"/>
      <c r="T94" s="10"/>
      <c r="U94" s="10"/>
    </row>
    <row r="95" spans="1:21" ht="135" customHeight="1" x14ac:dyDescent="0.2">
      <c r="A95" s="8"/>
      <c r="B95" s="8"/>
      <c r="C95" s="12"/>
      <c r="D95" s="8"/>
      <c r="E95" s="8"/>
      <c r="F95" s="289"/>
      <c r="G95" s="8"/>
      <c r="H95" s="8"/>
      <c r="I95" s="8"/>
      <c r="J95" s="8"/>
      <c r="K95" s="8"/>
      <c r="L95" s="8"/>
      <c r="M95" s="8"/>
      <c r="N95" s="10"/>
      <c r="O95" s="10"/>
      <c r="P95" s="10"/>
      <c r="Q95" s="10"/>
      <c r="R95" s="5"/>
      <c r="S95" s="294"/>
      <c r="T95" s="10"/>
      <c r="U95" s="10"/>
    </row>
    <row r="96" spans="1:21" ht="135" customHeight="1" x14ac:dyDescent="0.2">
      <c r="A96" s="8"/>
      <c r="B96" s="8"/>
      <c r="C96" s="12"/>
      <c r="D96" s="8"/>
      <c r="E96" s="8"/>
      <c r="F96" s="289"/>
      <c r="G96" s="8"/>
      <c r="H96" s="8"/>
      <c r="I96" s="8"/>
      <c r="J96" s="8"/>
      <c r="K96" s="8"/>
      <c r="L96" s="8"/>
      <c r="M96" s="8"/>
      <c r="N96" s="10"/>
      <c r="O96" s="10"/>
      <c r="P96" s="10"/>
      <c r="Q96" s="10"/>
      <c r="R96" s="5"/>
      <c r="S96" s="294"/>
      <c r="T96" s="10"/>
      <c r="U96" s="10"/>
    </row>
    <row r="97" spans="1:21" ht="135" customHeight="1" x14ac:dyDescent="0.2">
      <c r="A97" s="8"/>
      <c r="B97" s="8"/>
      <c r="C97" s="12"/>
      <c r="D97" s="8"/>
      <c r="E97" s="8"/>
      <c r="F97" s="289"/>
      <c r="G97" s="8"/>
      <c r="H97" s="8"/>
      <c r="I97" s="8"/>
      <c r="J97" s="8"/>
      <c r="K97" s="8"/>
      <c r="L97" s="8"/>
      <c r="M97" s="8"/>
      <c r="N97" s="10"/>
      <c r="O97" s="10"/>
      <c r="P97" s="10"/>
      <c r="Q97" s="10"/>
      <c r="R97" s="5"/>
      <c r="S97" s="294"/>
      <c r="T97" s="10"/>
      <c r="U97" s="10"/>
    </row>
    <row r="98" spans="1:21" ht="135" customHeight="1" x14ac:dyDescent="0.2">
      <c r="A98" s="8"/>
      <c r="B98" s="8"/>
      <c r="C98" s="12"/>
      <c r="D98" s="8"/>
      <c r="E98" s="8"/>
      <c r="F98" s="289"/>
      <c r="G98" s="8"/>
      <c r="H98" s="8"/>
      <c r="I98" s="8"/>
      <c r="J98" s="8"/>
      <c r="K98" s="8"/>
      <c r="L98" s="8"/>
      <c r="M98" s="8"/>
      <c r="N98" s="10"/>
      <c r="O98" s="10"/>
      <c r="P98" s="10"/>
      <c r="Q98" s="10"/>
      <c r="R98" s="5"/>
      <c r="S98" s="294"/>
      <c r="T98" s="10"/>
      <c r="U98" s="10"/>
    </row>
    <row r="99" spans="1:21" ht="135" customHeight="1" x14ac:dyDescent="0.2">
      <c r="A99" s="8"/>
      <c r="B99" s="8"/>
      <c r="C99" s="12"/>
      <c r="D99" s="8"/>
      <c r="E99" s="8"/>
      <c r="F99" s="289"/>
      <c r="G99" s="8"/>
      <c r="H99" s="8"/>
      <c r="I99" s="8"/>
      <c r="J99" s="8"/>
      <c r="K99" s="8"/>
      <c r="L99" s="8"/>
      <c r="M99" s="8"/>
      <c r="N99" s="10"/>
      <c r="O99" s="10"/>
      <c r="P99" s="10"/>
      <c r="Q99" s="10"/>
      <c r="R99" s="5"/>
      <c r="S99" s="294"/>
      <c r="T99" s="10"/>
      <c r="U99" s="10"/>
    </row>
    <row r="100" spans="1:21" ht="135" customHeight="1" x14ac:dyDescent="0.2">
      <c r="A100" s="8"/>
      <c r="B100" s="8"/>
      <c r="C100" s="12"/>
      <c r="D100" s="8"/>
      <c r="E100" s="8"/>
      <c r="F100" s="289"/>
      <c r="G100" s="8"/>
      <c r="H100" s="8"/>
      <c r="I100" s="8"/>
      <c r="J100" s="8"/>
      <c r="K100" s="8"/>
      <c r="L100" s="8"/>
      <c r="M100" s="8"/>
      <c r="N100" s="10"/>
      <c r="O100" s="10"/>
      <c r="P100" s="10"/>
      <c r="Q100" s="10"/>
      <c r="R100" s="5"/>
      <c r="S100" s="294"/>
      <c r="T100" s="10"/>
      <c r="U100" s="10"/>
    </row>
    <row r="101" spans="1:21" ht="135" customHeight="1" x14ac:dyDescent="0.2">
      <c r="C101" s="12"/>
      <c r="D101" s="8"/>
      <c r="E101" s="8"/>
      <c r="F101" s="289"/>
      <c r="G101" s="8"/>
      <c r="H101" s="8"/>
      <c r="I101" s="8"/>
      <c r="J101" s="8"/>
      <c r="K101" s="8"/>
      <c r="L101" s="8"/>
      <c r="M101" s="8"/>
      <c r="N101" s="10"/>
      <c r="R101" s="5"/>
    </row>
    <row r="102" spans="1:21" ht="135" customHeight="1" x14ac:dyDescent="0.2">
      <c r="C102" s="12"/>
      <c r="D102" s="8"/>
      <c r="E102" s="8"/>
      <c r="F102" s="289"/>
      <c r="G102" s="8"/>
      <c r="H102" s="8"/>
      <c r="I102" s="8"/>
      <c r="J102" s="8"/>
      <c r="K102" s="8"/>
      <c r="L102" s="8"/>
      <c r="M102" s="8"/>
      <c r="N102" s="10"/>
      <c r="R102" s="5"/>
    </row>
    <row r="103" spans="1:21" ht="135" customHeight="1" x14ac:dyDescent="0.2">
      <c r="C103" s="12"/>
      <c r="D103" s="8"/>
      <c r="E103" s="8"/>
      <c r="F103" s="289"/>
      <c r="G103" s="8"/>
      <c r="H103" s="8"/>
      <c r="I103" s="8"/>
      <c r="J103" s="8"/>
      <c r="K103" s="8"/>
      <c r="L103" s="8"/>
      <c r="M103" s="8"/>
      <c r="N103" s="10"/>
      <c r="R103" s="5"/>
    </row>
    <row r="104" spans="1:21" ht="135" customHeight="1" x14ac:dyDescent="0.2">
      <c r="C104" s="12"/>
      <c r="D104" s="8"/>
      <c r="E104" s="8"/>
      <c r="F104" s="289"/>
      <c r="G104" s="8"/>
      <c r="H104" s="8"/>
      <c r="I104" s="8"/>
      <c r="J104" s="8"/>
      <c r="K104" s="8"/>
      <c r="L104" s="8"/>
      <c r="M104" s="8"/>
      <c r="N104" s="10"/>
      <c r="R104" s="5"/>
    </row>
    <row r="105" spans="1:21" ht="135" customHeight="1" x14ac:dyDescent="0.2">
      <c r="R105" s="5"/>
    </row>
    <row r="106" spans="1:21" ht="135" customHeight="1" x14ac:dyDescent="0.2">
      <c r="R106" s="5"/>
    </row>
    <row r="107" spans="1:21" ht="135" customHeight="1" x14ac:dyDescent="0.2">
      <c r="R107" s="5"/>
    </row>
    <row r="108" spans="1:21" ht="135" customHeight="1" x14ac:dyDescent="0.2">
      <c r="R108" s="5"/>
    </row>
    <row r="109" spans="1:21" ht="135" customHeight="1" x14ac:dyDescent="0.2">
      <c r="R109" s="5"/>
    </row>
    <row r="110" spans="1:21" ht="135" customHeight="1" x14ac:dyDescent="0.2">
      <c r="R110" s="5"/>
    </row>
    <row r="111" spans="1:21" ht="135" customHeight="1" x14ac:dyDescent="0.2">
      <c r="R111" s="5"/>
    </row>
    <row r="112" spans="1:21" ht="135" customHeight="1" x14ac:dyDescent="0.2">
      <c r="R112" s="5"/>
    </row>
    <row r="113" spans="18:18" ht="135" customHeight="1" x14ac:dyDescent="0.2">
      <c r="R113" s="5"/>
    </row>
    <row r="114" spans="18:18" ht="135" customHeight="1" x14ac:dyDescent="0.2">
      <c r="R114" s="5"/>
    </row>
    <row r="115" spans="18:18" ht="135" customHeight="1" x14ac:dyDescent="0.2">
      <c r="R115" s="5"/>
    </row>
    <row r="116" spans="18:18" ht="135" customHeight="1" x14ac:dyDescent="0.2">
      <c r="R116" s="5"/>
    </row>
    <row r="117" spans="18:18" ht="135" customHeight="1" x14ac:dyDescent="0.2">
      <c r="R117" s="5"/>
    </row>
    <row r="118" spans="18:18" ht="135" customHeight="1" x14ac:dyDescent="0.2">
      <c r="R118" s="5"/>
    </row>
    <row r="119" spans="18:18" ht="135" customHeight="1" x14ac:dyDescent="0.2">
      <c r="R119" s="5"/>
    </row>
    <row r="120" spans="18:18" ht="135" customHeight="1" x14ac:dyDescent="0.2">
      <c r="R120" s="5"/>
    </row>
    <row r="121" spans="18:18" ht="135" customHeight="1" x14ac:dyDescent="0.2">
      <c r="R121" s="5"/>
    </row>
    <row r="122" spans="18:18" ht="135" customHeight="1" x14ac:dyDescent="0.2">
      <c r="R122" s="5"/>
    </row>
    <row r="123" spans="18:18" ht="135" customHeight="1" x14ac:dyDescent="0.2">
      <c r="R123" s="5"/>
    </row>
    <row r="124" spans="18:18" ht="135" customHeight="1" x14ac:dyDescent="0.2">
      <c r="R124" s="5"/>
    </row>
  </sheetData>
  <sheetProtection formatCells="0" formatColumns="0" formatRows="0" insertHyperlinks="0" sort="0" autoFilter="0" pivotTables="0"/>
  <mergeCells count="103">
    <mergeCell ref="V13:V14"/>
    <mergeCell ref="V17:V18"/>
    <mergeCell ref="A37:S37"/>
    <mergeCell ref="A31:A36"/>
    <mergeCell ref="B31:B36"/>
    <mergeCell ref="C27:C28"/>
    <mergeCell ref="D27:D28"/>
    <mergeCell ref="U31:U32"/>
    <mergeCell ref="V31:V32"/>
    <mergeCell ref="C33:C34"/>
    <mergeCell ref="D33:D34"/>
    <mergeCell ref="E33:E34"/>
    <mergeCell ref="U33:U34"/>
    <mergeCell ref="V33:V34"/>
    <mergeCell ref="C31:C32"/>
    <mergeCell ref="D31:D32"/>
    <mergeCell ref="E31:E32"/>
    <mergeCell ref="T31:T36"/>
    <mergeCell ref="C35:C36"/>
    <mergeCell ref="D35:D36"/>
    <mergeCell ref="E35:E36"/>
    <mergeCell ref="U35:U36"/>
    <mergeCell ref="V35:V36"/>
    <mergeCell ref="A23:A30"/>
    <mergeCell ref="B23:B30"/>
    <mergeCell ref="C23:C24"/>
    <mergeCell ref="D23:D24"/>
    <mergeCell ref="E23:E24"/>
    <mergeCell ref="E27:E28"/>
    <mergeCell ref="U27:U28"/>
    <mergeCell ref="V27:V28"/>
    <mergeCell ref="C29:C30"/>
    <mergeCell ref="D29:D30"/>
    <mergeCell ref="E29:E30"/>
    <mergeCell ref="U29:U30"/>
    <mergeCell ref="V29:V30"/>
    <mergeCell ref="T23:T30"/>
    <mergeCell ref="U23:U24"/>
    <mergeCell ref="V23:V24"/>
    <mergeCell ref="C25:C26"/>
    <mergeCell ref="D25:D26"/>
    <mergeCell ref="E25:E26"/>
    <mergeCell ref="U25:U26"/>
    <mergeCell ref="V25:V26"/>
    <mergeCell ref="C15:C16"/>
    <mergeCell ref="D15:D16"/>
    <mergeCell ref="E15:E16"/>
    <mergeCell ref="U15:U16"/>
    <mergeCell ref="V15:V16"/>
    <mergeCell ref="D17:D18"/>
    <mergeCell ref="E17:E18"/>
    <mergeCell ref="U17:U18"/>
    <mergeCell ref="E21:E22"/>
    <mergeCell ref="U21:U22"/>
    <mergeCell ref="V21:V22"/>
    <mergeCell ref="V9:V10"/>
    <mergeCell ref="C11:C12"/>
    <mergeCell ref="D11:D12"/>
    <mergeCell ref="E11:E12"/>
    <mergeCell ref="U11:U12"/>
    <mergeCell ref="V11:V12"/>
    <mergeCell ref="A9:A22"/>
    <mergeCell ref="B9:B22"/>
    <mergeCell ref="C9:C10"/>
    <mergeCell ref="D9:D10"/>
    <mergeCell ref="E9:E10"/>
    <mergeCell ref="T9:T22"/>
    <mergeCell ref="C13:C14"/>
    <mergeCell ref="D13:D14"/>
    <mergeCell ref="E13:E14"/>
    <mergeCell ref="C17:C18"/>
    <mergeCell ref="U13:U14"/>
    <mergeCell ref="C19:C20"/>
    <mergeCell ref="D19:D20"/>
    <mergeCell ref="E19:E20"/>
    <mergeCell ref="U19:U20"/>
    <mergeCell ref="V19:V20"/>
    <mergeCell ref="C21:C22"/>
    <mergeCell ref="D21:D22"/>
    <mergeCell ref="X35:AA36"/>
    <mergeCell ref="C41:E41"/>
    <mergeCell ref="F41:O41"/>
    <mergeCell ref="C42:E42"/>
    <mergeCell ref="F42:O42"/>
    <mergeCell ref="C43:E43"/>
    <mergeCell ref="F43:O4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U9:U1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64"/>
  <sheetViews>
    <sheetView zoomScale="55" zoomScaleNormal="55" zoomScalePageLayoutView="75" workbookViewId="0">
      <selection activeCell="K21" sqref="K21"/>
    </sheetView>
  </sheetViews>
  <sheetFormatPr baseColWidth="10" defaultRowHeight="15" x14ac:dyDescent="0.25"/>
  <cols>
    <col min="5" max="10" width="20.140625" customWidth="1"/>
    <col min="11" max="12" width="16.140625" customWidth="1"/>
    <col min="13" max="13" width="18.28515625" customWidth="1"/>
    <col min="14" max="14" width="15.7109375" customWidth="1"/>
    <col min="15" max="15" width="16.28515625" customWidth="1"/>
    <col min="16" max="16" width="27.5703125" customWidth="1"/>
    <col min="17" max="19" width="11.42578125" customWidth="1"/>
    <col min="20" max="23" width="21.7109375" customWidth="1"/>
    <col min="24" max="24" width="18.28515625" customWidth="1"/>
    <col min="25" max="25" width="19.7109375" customWidth="1"/>
    <col min="26" max="26" width="18.7109375" customWidth="1"/>
    <col min="27" max="27" width="18.42578125" customWidth="1"/>
    <col min="28" max="28" width="18" bestFit="1" customWidth="1"/>
    <col min="29" max="29" width="11.42578125" customWidth="1"/>
    <col min="30" max="30" width="14.7109375" customWidth="1"/>
    <col min="31" max="31" width="16.42578125" customWidth="1"/>
    <col min="32" max="32" width="46.28515625" customWidth="1"/>
    <col min="33" max="34" width="11.5703125" customWidth="1"/>
    <col min="35" max="35" width="28.7109375" customWidth="1"/>
    <col min="36" max="36" width="18.42578125" customWidth="1"/>
    <col min="37" max="37" width="20.28515625" customWidth="1"/>
    <col min="38" max="38" width="16.42578125" customWidth="1"/>
    <col min="39" max="39" width="11.5703125" customWidth="1"/>
    <col min="40" max="40" width="17.42578125" customWidth="1"/>
    <col min="41" max="46" width="11.5703125" customWidth="1"/>
    <col min="47" max="47" width="17.42578125" customWidth="1"/>
    <col min="48" max="53" width="11.5703125" customWidth="1"/>
    <col min="54" max="54" width="19.7109375" customWidth="1"/>
  </cols>
  <sheetData>
    <row r="1" spans="1:51" ht="30.75" customHeight="1" x14ac:dyDescent="0.25">
      <c r="A1" s="777"/>
      <c r="B1" s="778"/>
      <c r="C1" s="778"/>
      <c r="D1" s="778"/>
      <c r="E1" s="781" t="s">
        <v>39</v>
      </c>
      <c r="F1" s="781"/>
      <c r="G1" s="781"/>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c r="AI1" s="781"/>
      <c r="AJ1" s="781"/>
      <c r="AK1" s="781"/>
      <c r="AL1" s="781"/>
      <c r="AM1" s="781"/>
      <c r="AN1" s="781"/>
      <c r="AO1" s="781"/>
      <c r="AP1" s="781"/>
      <c r="AQ1" s="781"/>
      <c r="AR1" s="781"/>
      <c r="AS1" s="781"/>
      <c r="AT1" s="781"/>
      <c r="AU1" s="781"/>
      <c r="AV1" s="781"/>
      <c r="AW1" s="781"/>
      <c r="AX1" s="781"/>
      <c r="AY1" s="781"/>
    </row>
    <row r="2" spans="1:51" ht="28.5" customHeight="1" thickBot="1" x14ac:dyDescent="0.3">
      <c r="A2" s="779"/>
      <c r="B2" s="780"/>
      <c r="C2" s="780"/>
      <c r="D2" s="780"/>
      <c r="E2" s="782" t="s">
        <v>621</v>
      </c>
      <c r="F2" s="782"/>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c r="AI2" s="782"/>
      <c r="AJ2" s="782"/>
      <c r="AK2" s="782"/>
      <c r="AL2" s="782"/>
      <c r="AM2" s="782"/>
      <c r="AN2" s="782"/>
      <c r="AO2" s="782"/>
      <c r="AP2" s="782"/>
      <c r="AQ2" s="782"/>
      <c r="AR2" s="782"/>
      <c r="AS2" s="782"/>
      <c r="AT2" s="782"/>
      <c r="AU2" s="782"/>
      <c r="AV2" s="782"/>
      <c r="AW2" s="782"/>
      <c r="AX2" s="782"/>
      <c r="AY2" s="782"/>
    </row>
    <row r="3" spans="1:51" ht="16.5" thickBot="1" x14ac:dyDescent="0.3">
      <c r="A3" s="779"/>
      <c r="B3" s="780"/>
      <c r="C3" s="780"/>
      <c r="D3" s="780"/>
      <c r="E3" s="783" t="s">
        <v>40</v>
      </c>
      <c r="F3" s="784"/>
      <c r="G3" s="784"/>
      <c r="H3" s="784"/>
      <c r="I3" s="784"/>
      <c r="J3" s="784"/>
      <c r="K3" s="784"/>
      <c r="L3" s="784"/>
      <c r="M3" s="784"/>
      <c r="N3" s="784"/>
      <c r="O3" s="784"/>
      <c r="P3" s="784"/>
      <c r="Q3" s="784"/>
      <c r="R3" s="784"/>
      <c r="S3" s="784"/>
      <c r="T3" s="784"/>
      <c r="U3" s="784"/>
      <c r="V3" s="784"/>
      <c r="W3" s="784"/>
      <c r="X3" s="784"/>
      <c r="Y3" s="784"/>
      <c r="Z3" s="784"/>
      <c r="AA3" s="784"/>
      <c r="AB3" s="784"/>
      <c r="AC3" s="784"/>
      <c r="AD3" s="785"/>
      <c r="AE3" s="786" t="s">
        <v>363</v>
      </c>
      <c r="AF3" s="787"/>
      <c r="AG3" s="787"/>
      <c r="AH3" s="787"/>
      <c r="AI3" s="787"/>
      <c r="AJ3" s="787"/>
      <c r="AK3" s="787"/>
      <c r="AL3" s="787"/>
      <c r="AM3" s="787"/>
      <c r="AN3" s="787"/>
      <c r="AO3" s="787"/>
      <c r="AP3" s="787"/>
      <c r="AQ3" s="787"/>
      <c r="AR3" s="787"/>
      <c r="AS3" s="787"/>
      <c r="AT3" s="787"/>
      <c r="AU3" s="787"/>
      <c r="AV3" s="787"/>
      <c r="AW3" s="787"/>
      <c r="AX3" s="787"/>
      <c r="AY3" s="788"/>
    </row>
    <row r="4" spans="1:51" ht="18.75" thickBot="1" x14ac:dyDescent="0.3">
      <c r="A4" s="789" t="s">
        <v>0</v>
      </c>
      <c r="B4" s="790"/>
      <c r="C4" s="790"/>
      <c r="D4" s="791"/>
      <c r="E4" s="792" t="s">
        <v>369</v>
      </c>
      <c r="F4" s="792"/>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c r="AU4" s="793"/>
      <c r="AV4" s="793"/>
      <c r="AW4" s="793"/>
      <c r="AX4" s="793"/>
      <c r="AY4" s="794"/>
    </row>
    <row r="5" spans="1:51" ht="18.75" thickBot="1" x14ac:dyDescent="0.3">
      <c r="A5" s="751" t="s">
        <v>2</v>
      </c>
      <c r="B5" s="752"/>
      <c r="C5" s="752"/>
      <c r="D5" s="753"/>
      <c r="E5" s="754" t="s">
        <v>370</v>
      </c>
      <c r="F5" s="754"/>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756"/>
    </row>
    <row r="6" spans="1:51" ht="18.75" thickBot="1" x14ac:dyDescent="0.3">
      <c r="A6" s="757" t="s">
        <v>21</v>
      </c>
      <c r="B6" s="758"/>
      <c r="C6" s="758"/>
      <c r="D6" s="759"/>
      <c r="E6" s="760" t="s">
        <v>728</v>
      </c>
      <c r="F6" s="760"/>
      <c r="G6" s="760"/>
      <c r="H6" s="760"/>
      <c r="I6" s="760"/>
      <c r="J6" s="760"/>
      <c r="K6" s="760"/>
      <c r="L6" s="760"/>
      <c r="M6" s="760"/>
      <c r="N6" s="760"/>
      <c r="O6" s="760"/>
      <c r="P6" s="760"/>
      <c r="Q6" s="760"/>
      <c r="R6" s="761"/>
      <c r="S6" s="761"/>
      <c r="T6" s="761"/>
      <c r="U6" s="761"/>
      <c r="V6" s="761"/>
      <c r="W6" s="761"/>
      <c r="X6" s="761"/>
      <c r="Y6" s="761"/>
      <c r="Z6" s="761"/>
      <c r="AA6" s="761"/>
      <c r="AB6" s="761"/>
      <c r="AC6" s="761"/>
      <c r="AD6" s="761"/>
      <c r="AE6" s="761"/>
      <c r="AF6" s="761"/>
      <c r="AG6" s="761"/>
      <c r="AH6" s="761"/>
      <c r="AI6" s="761"/>
      <c r="AJ6" s="761"/>
      <c r="AK6" s="761"/>
      <c r="AL6" s="761"/>
      <c r="AM6" s="761"/>
      <c r="AN6" s="761"/>
      <c r="AO6" s="761"/>
      <c r="AP6" s="761"/>
      <c r="AQ6" s="761"/>
      <c r="AR6" s="761"/>
      <c r="AS6" s="761"/>
      <c r="AT6" s="761"/>
      <c r="AU6" s="761"/>
      <c r="AV6" s="761"/>
      <c r="AW6" s="761"/>
      <c r="AX6" s="761"/>
      <c r="AY6" s="762"/>
    </row>
    <row r="7" spans="1:51" ht="18.75" thickBot="1" x14ac:dyDescent="0.3">
      <c r="A7" s="763"/>
      <c r="B7" s="764"/>
      <c r="C7" s="764"/>
      <c r="D7" s="764"/>
      <c r="E7" s="764"/>
      <c r="F7" s="764"/>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6"/>
    </row>
    <row r="8" spans="1:51" ht="39.75" customHeight="1" thickBot="1" x14ac:dyDescent="0.3">
      <c r="A8" s="767" t="s">
        <v>96</v>
      </c>
      <c r="B8" s="768"/>
      <c r="C8" s="768"/>
      <c r="D8" s="768"/>
      <c r="E8" s="768"/>
      <c r="F8" s="769"/>
      <c r="G8" s="770" t="s">
        <v>102</v>
      </c>
      <c r="H8" s="770"/>
      <c r="I8" s="770"/>
      <c r="J8" s="770"/>
      <c r="K8" s="770"/>
      <c r="L8" s="770"/>
      <c r="M8" s="770"/>
      <c r="N8" s="770"/>
      <c r="O8" s="770"/>
      <c r="P8" s="770"/>
      <c r="Q8" s="770"/>
      <c r="R8" s="770"/>
      <c r="S8" s="771"/>
      <c r="T8" s="772" t="s">
        <v>103</v>
      </c>
      <c r="U8" s="770"/>
      <c r="V8" s="770"/>
      <c r="W8" s="770"/>
      <c r="X8" s="770"/>
      <c r="Y8" s="770"/>
      <c r="Z8" s="770"/>
      <c r="AA8" s="770"/>
      <c r="AB8" s="770"/>
      <c r="AC8" s="770"/>
      <c r="AD8" s="770"/>
      <c r="AE8" s="770"/>
      <c r="AF8" s="771"/>
      <c r="AG8" s="773" t="s">
        <v>104</v>
      </c>
      <c r="AH8" s="774"/>
      <c r="AI8" s="774"/>
      <c r="AJ8" s="774"/>
      <c r="AK8" s="774"/>
      <c r="AL8" s="775" t="s">
        <v>110</v>
      </c>
      <c r="AM8" s="776"/>
      <c r="AN8" s="746" t="s">
        <v>392</v>
      </c>
      <c r="AO8" s="747"/>
      <c r="AP8" s="747"/>
      <c r="AQ8" s="747"/>
      <c r="AR8" s="747"/>
      <c r="AS8" s="747"/>
      <c r="AT8" s="747"/>
      <c r="AU8" s="747"/>
      <c r="AV8" s="747"/>
      <c r="AW8" s="747"/>
      <c r="AX8" s="748"/>
      <c r="AY8" s="749" t="s">
        <v>122</v>
      </c>
    </row>
    <row r="9" spans="1:51" ht="84.75" customHeight="1" x14ac:dyDescent="0.25">
      <c r="A9" s="567" t="s">
        <v>97</v>
      </c>
      <c r="B9" s="568" t="s">
        <v>98</v>
      </c>
      <c r="C9" s="569" t="s">
        <v>99</v>
      </c>
      <c r="D9" s="570" t="s">
        <v>100</v>
      </c>
      <c r="E9" s="571" t="s">
        <v>553</v>
      </c>
      <c r="F9" s="571" t="s">
        <v>101</v>
      </c>
      <c r="G9" s="237" t="s">
        <v>6</v>
      </c>
      <c r="H9" s="237" t="s">
        <v>7</v>
      </c>
      <c r="I9" s="572" t="s">
        <v>8</v>
      </c>
      <c r="J9" s="237" t="s">
        <v>9</v>
      </c>
      <c r="K9" s="582" t="s">
        <v>10</v>
      </c>
      <c r="L9" s="237" t="s">
        <v>11</v>
      </c>
      <c r="M9" s="237" t="s">
        <v>12</v>
      </c>
      <c r="N9" s="237" t="s">
        <v>13</v>
      </c>
      <c r="O9" s="237" t="s">
        <v>14</v>
      </c>
      <c r="P9" s="237" t="s">
        <v>15</v>
      </c>
      <c r="Q9" s="237" t="s">
        <v>16</v>
      </c>
      <c r="R9" s="237" t="s">
        <v>17</v>
      </c>
      <c r="S9" s="628" t="s">
        <v>66</v>
      </c>
      <c r="T9" s="237" t="s">
        <v>6</v>
      </c>
      <c r="U9" s="237" t="s">
        <v>7</v>
      </c>
      <c r="V9" s="237" t="s">
        <v>8</v>
      </c>
      <c r="W9" s="237" t="s">
        <v>9</v>
      </c>
      <c r="X9" s="237" t="s">
        <v>10</v>
      </c>
      <c r="Y9" s="237" t="s">
        <v>11</v>
      </c>
      <c r="Z9" s="237" t="s">
        <v>12</v>
      </c>
      <c r="AA9" s="237" t="s">
        <v>13</v>
      </c>
      <c r="AB9" s="237" t="s">
        <v>14</v>
      </c>
      <c r="AC9" s="237" t="s">
        <v>15</v>
      </c>
      <c r="AD9" s="237" t="s">
        <v>16</v>
      </c>
      <c r="AE9" s="573" t="s">
        <v>17</v>
      </c>
      <c r="AF9" s="573" t="s">
        <v>67</v>
      </c>
      <c r="AG9" s="574" t="s">
        <v>105</v>
      </c>
      <c r="AH9" s="573" t="s">
        <v>106</v>
      </c>
      <c r="AI9" s="573" t="s">
        <v>107</v>
      </c>
      <c r="AJ9" s="573" t="s">
        <v>108</v>
      </c>
      <c r="AK9" s="573" t="s">
        <v>109</v>
      </c>
      <c r="AL9" s="573" t="s">
        <v>111</v>
      </c>
      <c r="AM9" s="573" t="s">
        <v>112</v>
      </c>
      <c r="AN9" s="575" t="s">
        <v>113</v>
      </c>
      <c r="AO9" s="575" t="s">
        <v>114</v>
      </c>
      <c r="AP9" s="575" t="s">
        <v>115</v>
      </c>
      <c r="AQ9" s="575" t="s">
        <v>116</v>
      </c>
      <c r="AR9" s="575" t="s">
        <v>117</v>
      </c>
      <c r="AS9" s="575" t="s">
        <v>118</v>
      </c>
      <c r="AT9" s="575" t="s">
        <v>119</v>
      </c>
      <c r="AU9" s="575" t="s">
        <v>120</v>
      </c>
      <c r="AV9" s="575" t="s">
        <v>496</v>
      </c>
      <c r="AW9" s="575" t="s">
        <v>393</v>
      </c>
      <c r="AX9" s="576" t="s">
        <v>121</v>
      </c>
      <c r="AY9" s="750"/>
    </row>
    <row r="10" spans="1:51" ht="18" customHeight="1" x14ac:dyDescent="0.25">
      <c r="A10" s="743">
        <v>1</v>
      </c>
      <c r="B10" s="743" t="s">
        <v>382</v>
      </c>
      <c r="C10" s="745" t="s">
        <v>497</v>
      </c>
      <c r="D10" s="546" t="s">
        <v>41</v>
      </c>
      <c r="E10" s="1161"/>
      <c r="F10" s="1162"/>
      <c r="G10" s="1162"/>
      <c r="H10" s="1161">
        <v>0.05</v>
      </c>
      <c r="I10" s="1161">
        <v>0.05</v>
      </c>
      <c r="J10" s="1161">
        <v>0.05</v>
      </c>
      <c r="K10" s="1163">
        <v>0.05</v>
      </c>
      <c r="L10" s="1161">
        <v>0.05</v>
      </c>
      <c r="M10" s="1161">
        <v>0.05</v>
      </c>
      <c r="N10" s="1164">
        <v>0.05</v>
      </c>
      <c r="O10" s="1164">
        <v>0.05</v>
      </c>
      <c r="P10" s="1164"/>
      <c r="Q10" s="1165"/>
      <c r="R10" s="1161"/>
      <c r="S10" s="1166"/>
      <c r="T10" s="1166"/>
      <c r="U10" s="1167">
        <v>8.6999999999999994E-3</v>
      </c>
      <c r="V10" s="1167">
        <v>1.2500000000000001E-2</v>
      </c>
      <c r="W10" s="1167">
        <v>1.6300000000000002E-2</v>
      </c>
      <c r="X10" s="1168">
        <v>2.01E-2</v>
      </c>
      <c r="Y10" s="1169">
        <v>2.53E-2</v>
      </c>
      <c r="Z10" s="1167">
        <f>0.59/20</f>
        <v>2.9499999999999998E-2</v>
      </c>
      <c r="AA10" s="1167">
        <v>3.3500000000000002E-2</v>
      </c>
      <c r="AB10" s="1167">
        <f>0.78/20</f>
        <v>3.9E-2</v>
      </c>
      <c r="AC10" s="543"/>
      <c r="AD10" s="542"/>
      <c r="AE10" s="1161"/>
      <c r="AF10" s="1170" t="s">
        <v>688</v>
      </c>
      <c r="AG10" s="1171" t="s">
        <v>453</v>
      </c>
      <c r="AH10" s="1172" t="s">
        <v>571</v>
      </c>
      <c r="AI10" s="1173" t="s">
        <v>655</v>
      </c>
      <c r="AJ10" s="1172" t="s">
        <v>656</v>
      </c>
      <c r="AK10" s="1172" t="s">
        <v>435</v>
      </c>
      <c r="AL10" s="1172">
        <v>2</v>
      </c>
      <c r="AM10" s="1172" t="s">
        <v>71</v>
      </c>
      <c r="AN10" s="1174">
        <f>SUM(AO10:AP15)</f>
        <v>572688.47608787473</v>
      </c>
      <c r="AO10" s="1174">
        <v>263234.03206688963</v>
      </c>
      <c r="AP10" s="1174">
        <v>309454.44402098504</v>
      </c>
      <c r="AQ10" s="1172" t="s">
        <v>71</v>
      </c>
      <c r="AR10" s="1172" t="s">
        <v>71</v>
      </c>
      <c r="AS10" s="1172" t="s">
        <v>71</v>
      </c>
      <c r="AT10" s="1172" t="s">
        <v>71</v>
      </c>
      <c r="AU10" s="1172" t="s">
        <v>71</v>
      </c>
      <c r="AV10" s="1172" t="s">
        <v>71</v>
      </c>
      <c r="AW10" s="1172" t="s">
        <v>71</v>
      </c>
      <c r="AX10" s="1172" t="s">
        <v>71</v>
      </c>
      <c r="AY10" s="1175"/>
    </row>
    <row r="11" spans="1:51" ht="18" x14ac:dyDescent="0.25">
      <c r="A11" s="743"/>
      <c r="B11" s="743"/>
      <c r="C11" s="745"/>
      <c r="D11" s="545" t="s">
        <v>3</v>
      </c>
      <c r="E11" s="1165"/>
      <c r="F11" s="1165"/>
      <c r="G11" s="1162"/>
      <c r="H11" s="1161">
        <v>343254739.32095021</v>
      </c>
      <c r="I11" s="1161">
        <v>541548595.60578704</v>
      </c>
      <c r="J11" s="1161">
        <v>496317001.95999998</v>
      </c>
      <c r="K11" s="1163">
        <v>508139077.30201101</v>
      </c>
      <c r="L11" s="1165">
        <v>498011373.95185959</v>
      </c>
      <c r="M11" s="1165">
        <v>502699992.0908668</v>
      </c>
      <c r="N11" s="1164">
        <v>502699992.0908668</v>
      </c>
      <c r="O11" s="1164">
        <v>457246222.74466002</v>
      </c>
      <c r="P11" s="1164"/>
      <c r="Q11" s="1165"/>
      <c r="R11" s="1165"/>
      <c r="S11" s="564"/>
      <c r="T11" s="564"/>
      <c r="U11" s="565">
        <v>343254739.32095021</v>
      </c>
      <c r="V11" s="565">
        <v>541548595.60578704</v>
      </c>
      <c r="W11" s="565">
        <v>496317001.95999998</v>
      </c>
      <c r="X11" s="1176">
        <v>508139077.30201101</v>
      </c>
      <c r="Y11" s="564">
        <v>498011373.95185959</v>
      </c>
      <c r="Z11" s="564">
        <v>502699992.0908668</v>
      </c>
      <c r="AA11" s="564">
        <v>472105399.44757491</v>
      </c>
      <c r="AB11" s="563">
        <v>457246222.74466002</v>
      </c>
      <c r="AC11" s="562"/>
      <c r="AD11" s="562"/>
      <c r="AE11" s="1165"/>
      <c r="AF11" s="1170"/>
      <c r="AG11" s="1171"/>
      <c r="AH11" s="1172"/>
      <c r="AI11" s="1177"/>
      <c r="AJ11" s="1172"/>
      <c r="AK11" s="1172"/>
      <c r="AL11" s="1172"/>
      <c r="AM11" s="1172"/>
      <c r="AN11" s="1174"/>
      <c r="AO11" s="1174"/>
      <c r="AP11" s="1174"/>
      <c r="AQ11" s="1172"/>
      <c r="AR11" s="1172"/>
      <c r="AS11" s="1172"/>
      <c r="AT11" s="1172"/>
      <c r="AU11" s="1172"/>
      <c r="AV11" s="1172"/>
      <c r="AW11" s="1172"/>
      <c r="AX11" s="1172"/>
      <c r="AY11" s="1175"/>
    </row>
    <row r="12" spans="1:51" ht="27" x14ac:dyDescent="0.25">
      <c r="A12" s="743"/>
      <c r="B12" s="743"/>
      <c r="C12" s="745"/>
      <c r="D12" s="544" t="s">
        <v>42</v>
      </c>
      <c r="E12" s="1161"/>
      <c r="F12" s="1161"/>
      <c r="G12" s="1162"/>
      <c r="H12" s="1161">
        <v>0</v>
      </c>
      <c r="I12" s="1161">
        <v>0</v>
      </c>
      <c r="J12" s="1161">
        <v>0</v>
      </c>
      <c r="K12" s="1163">
        <v>0</v>
      </c>
      <c r="L12" s="1161">
        <v>0</v>
      </c>
      <c r="M12" s="1161">
        <v>0</v>
      </c>
      <c r="N12" s="1164">
        <v>0</v>
      </c>
      <c r="O12" s="1164">
        <v>0</v>
      </c>
      <c r="P12" s="1164"/>
      <c r="Q12" s="1161"/>
      <c r="R12" s="1161"/>
      <c r="S12" s="1178"/>
      <c r="T12" s="1178"/>
      <c r="U12" s="1179">
        <v>0</v>
      </c>
      <c r="V12" s="1179">
        <v>0</v>
      </c>
      <c r="W12" s="1179">
        <v>0</v>
      </c>
      <c r="X12" s="1180">
        <v>0</v>
      </c>
      <c r="Y12" s="1178">
        <v>0</v>
      </c>
      <c r="Z12" s="1178">
        <v>0</v>
      </c>
      <c r="AA12" s="1178">
        <v>0</v>
      </c>
      <c r="AB12" s="1178">
        <v>0</v>
      </c>
      <c r="AC12" s="562"/>
      <c r="AD12" s="562"/>
      <c r="AE12" s="1161"/>
      <c r="AF12" s="1170"/>
      <c r="AG12" s="1171"/>
      <c r="AH12" s="1172"/>
      <c r="AI12" s="1177"/>
      <c r="AJ12" s="1172"/>
      <c r="AK12" s="1172"/>
      <c r="AL12" s="1172"/>
      <c r="AM12" s="1172"/>
      <c r="AN12" s="1174"/>
      <c r="AO12" s="1174"/>
      <c r="AP12" s="1174"/>
      <c r="AQ12" s="1172"/>
      <c r="AR12" s="1172"/>
      <c r="AS12" s="1172"/>
      <c r="AT12" s="1172"/>
      <c r="AU12" s="1172"/>
      <c r="AV12" s="1172"/>
      <c r="AW12" s="1172"/>
      <c r="AX12" s="1172"/>
      <c r="AY12" s="1175"/>
    </row>
    <row r="13" spans="1:51" ht="27" x14ac:dyDescent="0.25">
      <c r="A13" s="743"/>
      <c r="B13" s="743"/>
      <c r="C13" s="745"/>
      <c r="D13" s="545" t="s">
        <v>4</v>
      </c>
      <c r="E13" s="1161"/>
      <c r="F13" s="1161"/>
      <c r="G13" s="1162"/>
      <c r="H13" s="1161">
        <v>0</v>
      </c>
      <c r="I13" s="1161">
        <v>0</v>
      </c>
      <c r="J13" s="1161">
        <v>0</v>
      </c>
      <c r="K13" s="1163">
        <v>0</v>
      </c>
      <c r="L13" s="1161">
        <v>0</v>
      </c>
      <c r="M13" s="1161">
        <v>0</v>
      </c>
      <c r="N13" s="1164">
        <v>0</v>
      </c>
      <c r="O13" s="1164">
        <v>0</v>
      </c>
      <c r="P13" s="1164"/>
      <c r="Q13" s="1161"/>
      <c r="R13" s="1161"/>
      <c r="S13" s="1178"/>
      <c r="T13" s="1178"/>
      <c r="U13" s="1179">
        <v>0</v>
      </c>
      <c r="V13" s="1179">
        <v>0</v>
      </c>
      <c r="W13" s="1179">
        <v>0</v>
      </c>
      <c r="X13" s="1180">
        <v>0</v>
      </c>
      <c r="Y13" s="1178">
        <v>0</v>
      </c>
      <c r="Z13" s="1178">
        <v>0</v>
      </c>
      <c r="AA13" s="1178">
        <v>0</v>
      </c>
      <c r="AB13" s="1178">
        <v>0</v>
      </c>
      <c r="AC13" s="562"/>
      <c r="AD13" s="562"/>
      <c r="AE13" s="1161"/>
      <c r="AF13" s="1170"/>
      <c r="AG13" s="1171"/>
      <c r="AH13" s="1172"/>
      <c r="AI13" s="1177"/>
      <c r="AJ13" s="1172"/>
      <c r="AK13" s="1172"/>
      <c r="AL13" s="1172"/>
      <c r="AM13" s="1172"/>
      <c r="AN13" s="1174"/>
      <c r="AO13" s="1174"/>
      <c r="AP13" s="1174"/>
      <c r="AQ13" s="1172"/>
      <c r="AR13" s="1172"/>
      <c r="AS13" s="1172"/>
      <c r="AT13" s="1172"/>
      <c r="AU13" s="1172"/>
      <c r="AV13" s="1172"/>
      <c r="AW13" s="1172"/>
      <c r="AX13" s="1172"/>
      <c r="AY13" s="1175"/>
    </row>
    <row r="14" spans="1:51" ht="27" x14ac:dyDescent="0.25">
      <c r="A14" s="743"/>
      <c r="B14" s="743"/>
      <c r="C14" s="745"/>
      <c r="D14" s="544" t="s">
        <v>43</v>
      </c>
      <c r="E14" s="1161"/>
      <c r="F14" s="1161"/>
      <c r="G14" s="1162"/>
      <c r="H14" s="1161">
        <v>0.05</v>
      </c>
      <c r="I14" s="1161">
        <v>0.05</v>
      </c>
      <c r="J14" s="1161">
        <v>0.05</v>
      </c>
      <c r="K14" s="1163">
        <f t="shared" ref="K14:O15" si="0">K10+K12</f>
        <v>0.05</v>
      </c>
      <c r="L14" s="1161">
        <f t="shared" si="0"/>
        <v>0.05</v>
      </c>
      <c r="M14" s="1161">
        <f t="shared" si="0"/>
        <v>0.05</v>
      </c>
      <c r="N14" s="1164">
        <f t="shared" si="0"/>
        <v>0.05</v>
      </c>
      <c r="O14" s="1164">
        <f t="shared" si="0"/>
        <v>0.05</v>
      </c>
      <c r="P14" s="1164"/>
      <c r="Q14" s="1161"/>
      <c r="R14" s="1161"/>
      <c r="S14" s="1178"/>
      <c r="T14" s="1178"/>
      <c r="U14" s="1181">
        <v>8.6999999999999994E-3</v>
      </c>
      <c r="V14" s="1181">
        <v>1.2500000000000001E-2</v>
      </c>
      <c r="W14" s="1181">
        <v>1.6300000000000002E-2</v>
      </c>
      <c r="X14" s="1180">
        <f t="shared" ref="X14:AB15" si="1">X10+X12</f>
        <v>2.01E-2</v>
      </c>
      <c r="Y14" s="1178">
        <f t="shared" si="1"/>
        <v>2.53E-2</v>
      </c>
      <c r="Z14" s="1178">
        <f t="shared" si="1"/>
        <v>2.9499999999999998E-2</v>
      </c>
      <c r="AA14" s="1178">
        <f t="shared" si="1"/>
        <v>3.3500000000000002E-2</v>
      </c>
      <c r="AB14" s="1178">
        <f t="shared" si="1"/>
        <v>3.9E-2</v>
      </c>
      <c r="AC14" s="562"/>
      <c r="AD14" s="562"/>
      <c r="AE14" s="1161"/>
      <c r="AF14" s="1170"/>
      <c r="AG14" s="1171"/>
      <c r="AH14" s="1172"/>
      <c r="AI14" s="1177"/>
      <c r="AJ14" s="1172"/>
      <c r="AK14" s="1172"/>
      <c r="AL14" s="1172"/>
      <c r="AM14" s="1172"/>
      <c r="AN14" s="1174"/>
      <c r="AO14" s="1174"/>
      <c r="AP14" s="1174"/>
      <c r="AQ14" s="1172"/>
      <c r="AR14" s="1172"/>
      <c r="AS14" s="1172"/>
      <c r="AT14" s="1172"/>
      <c r="AU14" s="1172"/>
      <c r="AV14" s="1172"/>
      <c r="AW14" s="1172"/>
      <c r="AX14" s="1172"/>
      <c r="AY14" s="1175"/>
    </row>
    <row r="15" spans="1:51" ht="27" x14ac:dyDescent="0.25">
      <c r="A15" s="743"/>
      <c r="B15" s="743"/>
      <c r="C15" s="745"/>
      <c r="D15" s="545" t="s">
        <v>45</v>
      </c>
      <c r="E15" s="1165"/>
      <c r="F15" s="1165"/>
      <c r="G15" s="1162"/>
      <c r="H15" s="1161">
        <v>343254739.32095021</v>
      </c>
      <c r="I15" s="1161">
        <v>541548595.60578704</v>
      </c>
      <c r="J15" s="1161">
        <v>496317001.95999998</v>
      </c>
      <c r="K15" s="1163">
        <f t="shared" si="0"/>
        <v>508139077.30201101</v>
      </c>
      <c r="L15" s="1165">
        <f t="shared" si="0"/>
        <v>498011373.95185959</v>
      </c>
      <c r="M15" s="1161">
        <f t="shared" si="0"/>
        <v>502699992.0908668</v>
      </c>
      <c r="N15" s="1164">
        <f t="shared" si="0"/>
        <v>502699992.0908668</v>
      </c>
      <c r="O15" s="1164">
        <f t="shared" si="0"/>
        <v>457246222.74466002</v>
      </c>
      <c r="P15" s="1164"/>
      <c r="Q15" s="1161"/>
      <c r="R15" s="1165"/>
      <c r="S15" s="1165"/>
      <c r="T15" s="1165"/>
      <c r="U15" s="1161">
        <v>343254739.32095021</v>
      </c>
      <c r="V15" s="1179">
        <v>541548595.60578704</v>
      </c>
      <c r="W15" s="1161">
        <v>496317001.95999998</v>
      </c>
      <c r="X15" s="1163">
        <f t="shared" si="1"/>
        <v>508139077.30201101</v>
      </c>
      <c r="Y15" s="1165">
        <f t="shared" si="1"/>
        <v>498011373.95185959</v>
      </c>
      <c r="Z15" s="1165">
        <f t="shared" si="1"/>
        <v>502699992.0908668</v>
      </c>
      <c r="AA15" s="1165">
        <f t="shared" si="1"/>
        <v>472105399.44757491</v>
      </c>
      <c r="AB15" s="1165">
        <f t="shared" si="1"/>
        <v>457246222.74466002</v>
      </c>
      <c r="AC15" s="542"/>
      <c r="AD15" s="542"/>
      <c r="AE15" s="1165"/>
      <c r="AF15" s="1170"/>
      <c r="AG15" s="1171"/>
      <c r="AH15" s="1172"/>
      <c r="AI15" s="1177"/>
      <c r="AJ15" s="1172"/>
      <c r="AK15" s="1172"/>
      <c r="AL15" s="1172"/>
      <c r="AM15" s="1172"/>
      <c r="AN15" s="1174"/>
      <c r="AO15" s="1174"/>
      <c r="AP15" s="1174"/>
      <c r="AQ15" s="1172"/>
      <c r="AR15" s="1172"/>
      <c r="AS15" s="1172"/>
      <c r="AT15" s="1172"/>
      <c r="AU15" s="1172"/>
      <c r="AV15" s="1172"/>
      <c r="AW15" s="1172"/>
      <c r="AX15" s="1172"/>
      <c r="AY15" s="1175"/>
    </row>
    <row r="16" spans="1:51" ht="18" customHeight="1" x14ac:dyDescent="0.25">
      <c r="A16" s="743"/>
      <c r="B16" s="743"/>
      <c r="C16" s="745" t="s">
        <v>498</v>
      </c>
      <c r="D16" s="546" t="s">
        <v>41</v>
      </c>
      <c r="E16" s="1161"/>
      <c r="F16" s="1162"/>
      <c r="G16" s="1162"/>
      <c r="H16" s="1161">
        <v>0.05</v>
      </c>
      <c r="I16" s="1161">
        <v>0.05</v>
      </c>
      <c r="J16" s="1161">
        <v>0.05</v>
      </c>
      <c r="K16" s="1163">
        <v>0.05</v>
      </c>
      <c r="L16" s="1161">
        <v>0.05</v>
      </c>
      <c r="M16" s="1161">
        <v>0.05</v>
      </c>
      <c r="N16" s="1164">
        <v>0.05</v>
      </c>
      <c r="O16" s="1164">
        <v>0.05</v>
      </c>
      <c r="P16" s="1164"/>
      <c r="Q16" s="1165"/>
      <c r="R16" s="1161"/>
      <c r="S16" s="1166"/>
      <c r="T16" s="1166"/>
      <c r="U16" s="1167">
        <v>8.6999999999999994E-3</v>
      </c>
      <c r="V16" s="1167">
        <v>1.2500000000000001E-2</v>
      </c>
      <c r="W16" s="1167">
        <v>1.6300000000000002E-2</v>
      </c>
      <c r="X16" s="1168">
        <v>2.01E-2</v>
      </c>
      <c r="Y16" s="1167">
        <v>2.53E-2</v>
      </c>
      <c r="Z16" s="1167">
        <v>2.9499999999999998E-2</v>
      </c>
      <c r="AA16" s="1167">
        <v>3.3500000000000002E-2</v>
      </c>
      <c r="AB16" s="1182">
        <v>3.9E-2</v>
      </c>
      <c r="AC16" s="541"/>
      <c r="AD16" s="542"/>
      <c r="AE16" s="1161"/>
      <c r="AF16" s="1170" t="s">
        <v>689</v>
      </c>
      <c r="AG16" s="1171" t="s">
        <v>442</v>
      </c>
      <c r="AH16" s="1172" t="s">
        <v>556</v>
      </c>
      <c r="AI16" s="1172" t="s">
        <v>645</v>
      </c>
      <c r="AJ16" s="1172" t="s">
        <v>656</v>
      </c>
      <c r="AK16" s="1172" t="s">
        <v>435</v>
      </c>
      <c r="AL16" s="1172" t="s">
        <v>557</v>
      </c>
      <c r="AM16" s="1172" t="s">
        <v>71</v>
      </c>
      <c r="AN16" s="1174">
        <f t="shared" ref="AN16" si="2">SUM(AO16:AP21)</f>
        <v>165988.76468156587</v>
      </c>
      <c r="AO16" s="1174">
        <v>78808.815264660632</v>
      </c>
      <c r="AP16" s="1174">
        <v>87179.949416905234</v>
      </c>
      <c r="AQ16" s="1172" t="s">
        <v>71</v>
      </c>
      <c r="AR16" s="1172" t="s">
        <v>71</v>
      </c>
      <c r="AS16" s="1172" t="s">
        <v>71</v>
      </c>
      <c r="AT16" s="1172" t="s">
        <v>71</v>
      </c>
      <c r="AU16" s="1172" t="s">
        <v>71</v>
      </c>
      <c r="AV16" s="1172" t="s">
        <v>71</v>
      </c>
      <c r="AW16" s="1172" t="s">
        <v>71</v>
      </c>
      <c r="AX16" s="1172" t="s">
        <v>71</v>
      </c>
      <c r="AY16" s="1175"/>
    </row>
    <row r="17" spans="1:51" ht="18" x14ac:dyDescent="0.25">
      <c r="A17" s="743"/>
      <c r="B17" s="743"/>
      <c r="C17" s="745"/>
      <c r="D17" s="545" t="s">
        <v>3</v>
      </c>
      <c r="E17" s="1165"/>
      <c r="F17" s="1165"/>
      <c r="G17" s="1162"/>
      <c r="H17" s="1161">
        <v>220537584.23354864</v>
      </c>
      <c r="I17" s="1161">
        <v>321997754.93194836</v>
      </c>
      <c r="J17" s="1161">
        <v>275359273.62</v>
      </c>
      <c r="K17" s="1163">
        <v>246986639.13689235</v>
      </c>
      <c r="L17" s="1165">
        <v>205279478.22869018</v>
      </c>
      <c r="M17" s="1165">
        <v>248617139.3309966</v>
      </c>
      <c r="N17" s="1164">
        <v>248617139.3309966</v>
      </c>
      <c r="O17" s="1164">
        <v>233323727.70956156</v>
      </c>
      <c r="P17" s="1164"/>
      <c r="Q17" s="1165"/>
      <c r="R17" s="1165"/>
      <c r="S17" s="564"/>
      <c r="T17" s="564"/>
      <c r="U17" s="565">
        <v>220537584.23354864</v>
      </c>
      <c r="V17" s="565">
        <v>321997754.93194836</v>
      </c>
      <c r="W17" s="565">
        <v>275359273.62</v>
      </c>
      <c r="X17" s="1176">
        <v>246986639.13689235</v>
      </c>
      <c r="Y17" s="564">
        <v>205279478.22869018</v>
      </c>
      <c r="Z17" s="564">
        <v>248617139.3309966</v>
      </c>
      <c r="AA17" s="564">
        <v>232936717.93116713</v>
      </c>
      <c r="AB17" s="563">
        <v>233323727.70956156</v>
      </c>
      <c r="AC17" s="562"/>
      <c r="AD17" s="562"/>
      <c r="AE17" s="1165"/>
      <c r="AF17" s="1170"/>
      <c r="AG17" s="1171"/>
      <c r="AH17" s="1172"/>
      <c r="AI17" s="1172"/>
      <c r="AJ17" s="1172"/>
      <c r="AK17" s="1172"/>
      <c r="AL17" s="1172"/>
      <c r="AM17" s="1172"/>
      <c r="AN17" s="1174"/>
      <c r="AO17" s="1174"/>
      <c r="AP17" s="1174"/>
      <c r="AQ17" s="1172"/>
      <c r="AR17" s="1172"/>
      <c r="AS17" s="1172"/>
      <c r="AT17" s="1172"/>
      <c r="AU17" s="1172"/>
      <c r="AV17" s="1172"/>
      <c r="AW17" s="1172"/>
      <c r="AX17" s="1172"/>
      <c r="AY17" s="1175"/>
    </row>
    <row r="18" spans="1:51" ht="27" x14ac:dyDescent="0.25">
      <c r="A18" s="743"/>
      <c r="B18" s="743"/>
      <c r="C18" s="745"/>
      <c r="D18" s="544" t="s">
        <v>42</v>
      </c>
      <c r="E18" s="1161"/>
      <c r="F18" s="1161"/>
      <c r="G18" s="1162"/>
      <c r="H18" s="1161">
        <v>0</v>
      </c>
      <c r="I18" s="1161">
        <v>0</v>
      </c>
      <c r="J18" s="1161">
        <v>0</v>
      </c>
      <c r="K18" s="1163">
        <v>0</v>
      </c>
      <c r="L18" s="1161">
        <v>0</v>
      </c>
      <c r="M18" s="1161">
        <v>0</v>
      </c>
      <c r="N18" s="1164">
        <v>0</v>
      </c>
      <c r="O18" s="1164">
        <v>0</v>
      </c>
      <c r="P18" s="1164"/>
      <c r="Q18" s="1161"/>
      <c r="R18" s="1161"/>
      <c r="S18" s="1178"/>
      <c r="T18" s="1178"/>
      <c r="U18" s="1179">
        <v>0</v>
      </c>
      <c r="V18" s="1179">
        <v>0</v>
      </c>
      <c r="W18" s="1179">
        <v>0</v>
      </c>
      <c r="X18" s="1180">
        <v>0</v>
      </c>
      <c r="Y18" s="1178">
        <v>0</v>
      </c>
      <c r="Z18" s="1183">
        <v>0</v>
      </c>
      <c r="AA18" s="1178">
        <v>0</v>
      </c>
      <c r="AB18" s="1178">
        <v>0</v>
      </c>
      <c r="AC18" s="562"/>
      <c r="AD18" s="562"/>
      <c r="AE18" s="1161"/>
      <c r="AF18" s="1170"/>
      <c r="AG18" s="1171"/>
      <c r="AH18" s="1172"/>
      <c r="AI18" s="1172"/>
      <c r="AJ18" s="1172"/>
      <c r="AK18" s="1172"/>
      <c r="AL18" s="1172"/>
      <c r="AM18" s="1172"/>
      <c r="AN18" s="1174"/>
      <c r="AO18" s="1174"/>
      <c r="AP18" s="1174"/>
      <c r="AQ18" s="1172"/>
      <c r="AR18" s="1172"/>
      <c r="AS18" s="1172"/>
      <c r="AT18" s="1172"/>
      <c r="AU18" s="1172"/>
      <c r="AV18" s="1172"/>
      <c r="AW18" s="1172"/>
      <c r="AX18" s="1172"/>
      <c r="AY18" s="1175"/>
    </row>
    <row r="19" spans="1:51" ht="27" x14ac:dyDescent="0.25">
      <c r="A19" s="743"/>
      <c r="B19" s="743"/>
      <c r="C19" s="745"/>
      <c r="D19" s="545" t="s">
        <v>4</v>
      </c>
      <c r="E19" s="1161"/>
      <c r="F19" s="1161"/>
      <c r="G19" s="1162"/>
      <c r="H19" s="1161">
        <v>0</v>
      </c>
      <c r="I19" s="1161">
        <v>0</v>
      </c>
      <c r="J19" s="1161">
        <v>0</v>
      </c>
      <c r="K19" s="1163">
        <v>0</v>
      </c>
      <c r="L19" s="1161">
        <v>0</v>
      </c>
      <c r="M19" s="1161">
        <v>0</v>
      </c>
      <c r="N19" s="1164">
        <v>0</v>
      </c>
      <c r="O19" s="1164">
        <v>0</v>
      </c>
      <c r="P19" s="1164"/>
      <c r="Q19" s="1161"/>
      <c r="R19" s="1161"/>
      <c r="S19" s="1178"/>
      <c r="T19" s="1178"/>
      <c r="U19" s="1179">
        <v>0</v>
      </c>
      <c r="V19" s="1179">
        <v>0</v>
      </c>
      <c r="W19" s="1179">
        <v>0</v>
      </c>
      <c r="X19" s="1180">
        <v>0</v>
      </c>
      <c r="Y19" s="1178">
        <v>0</v>
      </c>
      <c r="Z19" s="1178">
        <v>0</v>
      </c>
      <c r="AA19" s="1178">
        <v>0</v>
      </c>
      <c r="AB19" s="1178">
        <v>0</v>
      </c>
      <c r="AC19" s="562"/>
      <c r="AD19" s="562"/>
      <c r="AE19" s="1161"/>
      <c r="AF19" s="1170"/>
      <c r="AG19" s="1171"/>
      <c r="AH19" s="1172"/>
      <c r="AI19" s="1172"/>
      <c r="AJ19" s="1172"/>
      <c r="AK19" s="1172"/>
      <c r="AL19" s="1172"/>
      <c r="AM19" s="1172"/>
      <c r="AN19" s="1174"/>
      <c r="AO19" s="1174"/>
      <c r="AP19" s="1174"/>
      <c r="AQ19" s="1172"/>
      <c r="AR19" s="1172"/>
      <c r="AS19" s="1172"/>
      <c r="AT19" s="1172"/>
      <c r="AU19" s="1172"/>
      <c r="AV19" s="1172"/>
      <c r="AW19" s="1172"/>
      <c r="AX19" s="1172"/>
      <c r="AY19" s="1175"/>
    </row>
    <row r="20" spans="1:51" ht="27" x14ac:dyDescent="0.25">
      <c r="A20" s="743"/>
      <c r="B20" s="743"/>
      <c r="C20" s="745"/>
      <c r="D20" s="544" t="s">
        <v>43</v>
      </c>
      <c r="E20" s="1161"/>
      <c r="F20" s="1161"/>
      <c r="G20" s="1162"/>
      <c r="H20" s="1161">
        <v>0.05</v>
      </c>
      <c r="I20" s="1161">
        <v>0.05</v>
      </c>
      <c r="J20" s="1161">
        <v>0.05</v>
      </c>
      <c r="K20" s="1163">
        <v>0.05</v>
      </c>
      <c r="L20" s="1161">
        <f t="shared" ref="L20:O21" si="3">L16+L18</f>
        <v>0.05</v>
      </c>
      <c r="M20" s="1161">
        <f t="shared" si="3"/>
        <v>0.05</v>
      </c>
      <c r="N20" s="1164">
        <f t="shared" si="3"/>
        <v>0.05</v>
      </c>
      <c r="O20" s="1164">
        <f t="shared" si="3"/>
        <v>0.05</v>
      </c>
      <c r="P20" s="1164"/>
      <c r="Q20" s="1161"/>
      <c r="R20" s="1161"/>
      <c r="S20" s="1178"/>
      <c r="T20" s="1178"/>
      <c r="U20" s="1181">
        <v>8.6999999999999994E-3</v>
      </c>
      <c r="V20" s="1181">
        <v>1.2500000000000001E-2</v>
      </c>
      <c r="W20" s="1179">
        <v>1.6300000000000002E-2</v>
      </c>
      <c r="X20" s="1180">
        <f t="shared" ref="X20:AB21" si="4">X16+X18</f>
        <v>2.01E-2</v>
      </c>
      <c r="Y20" s="1178">
        <f t="shared" si="4"/>
        <v>2.53E-2</v>
      </c>
      <c r="Z20" s="1178">
        <f t="shared" si="4"/>
        <v>2.9499999999999998E-2</v>
      </c>
      <c r="AA20" s="1178">
        <f t="shared" si="4"/>
        <v>3.3500000000000002E-2</v>
      </c>
      <c r="AB20" s="1178">
        <f t="shared" si="4"/>
        <v>3.9E-2</v>
      </c>
      <c r="AC20" s="562"/>
      <c r="AD20" s="562"/>
      <c r="AE20" s="1161"/>
      <c r="AF20" s="1170"/>
      <c r="AG20" s="1171"/>
      <c r="AH20" s="1172"/>
      <c r="AI20" s="1172"/>
      <c r="AJ20" s="1172"/>
      <c r="AK20" s="1172"/>
      <c r="AL20" s="1172"/>
      <c r="AM20" s="1172"/>
      <c r="AN20" s="1174"/>
      <c r="AO20" s="1174"/>
      <c r="AP20" s="1174"/>
      <c r="AQ20" s="1172"/>
      <c r="AR20" s="1172"/>
      <c r="AS20" s="1172"/>
      <c r="AT20" s="1172"/>
      <c r="AU20" s="1172"/>
      <c r="AV20" s="1172"/>
      <c r="AW20" s="1172"/>
      <c r="AX20" s="1172"/>
      <c r="AY20" s="1175"/>
    </row>
    <row r="21" spans="1:51" ht="27" x14ac:dyDescent="0.25">
      <c r="A21" s="743"/>
      <c r="B21" s="743"/>
      <c r="C21" s="745"/>
      <c r="D21" s="545" t="s">
        <v>45</v>
      </c>
      <c r="E21" s="1165"/>
      <c r="F21" s="1165"/>
      <c r="G21" s="1162"/>
      <c r="H21" s="1161">
        <v>220537584.23354864</v>
      </c>
      <c r="I21" s="1161">
        <v>321997754.93194836</v>
      </c>
      <c r="J21" s="1161">
        <v>275359273.62</v>
      </c>
      <c r="K21" s="1163">
        <f>K17+K19</f>
        <v>246986639.13689235</v>
      </c>
      <c r="L21" s="1165">
        <f t="shared" si="3"/>
        <v>205279478.22869018</v>
      </c>
      <c r="M21" s="1161">
        <f t="shared" si="3"/>
        <v>248617139.3309966</v>
      </c>
      <c r="N21" s="1164">
        <f t="shared" si="3"/>
        <v>248617139.3309966</v>
      </c>
      <c r="O21" s="1164">
        <f t="shared" si="3"/>
        <v>233323727.70956156</v>
      </c>
      <c r="P21" s="1164"/>
      <c r="Q21" s="1161"/>
      <c r="R21" s="1165"/>
      <c r="S21" s="1165"/>
      <c r="T21" s="1165"/>
      <c r="U21" s="1161">
        <v>220537584.23354864</v>
      </c>
      <c r="V21" s="1179">
        <v>321997754.93194836</v>
      </c>
      <c r="W21" s="1161">
        <v>275359273.62</v>
      </c>
      <c r="X21" s="1163">
        <f t="shared" si="4"/>
        <v>246986639.13689235</v>
      </c>
      <c r="Y21" s="1165">
        <f t="shared" si="4"/>
        <v>205279478.22869018</v>
      </c>
      <c r="Z21" s="1165">
        <f t="shared" si="4"/>
        <v>248617139.3309966</v>
      </c>
      <c r="AA21" s="1165">
        <f t="shared" si="4"/>
        <v>232936717.93116713</v>
      </c>
      <c r="AB21" s="1165">
        <f t="shared" si="4"/>
        <v>233323727.70956156</v>
      </c>
      <c r="AC21" s="542"/>
      <c r="AD21" s="542"/>
      <c r="AE21" s="1165"/>
      <c r="AF21" s="1170"/>
      <c r="AG21" s="1171"/>
      <c r="AH21" s="1172"/>
      <c r="AI21" s="1172"/>
      <c r="AJ21" s="1172"/>
      <c r="AK21" s="1172"/>
      <c r="AL21" s="1172"/>
      <c r="AM21" s="1172"/>
      <c r="AN21" s="1174"/>
      <c r="AO21" s="1174"/>
      <c r="AP21" s="1174"/>
      <c r="AQ21" s="1172"/>
      <c r="AR21" s="1172"/>
      <c r="AS21" s="1172"/>
      <c r="AT21" s="1172"/>
      <c r="AU21" s="1172"/>
      <c r="AV21" s="1172"/>
      <c r="AW21" s="1172"/>
      <c r="AX21" s="1172"/>
      <c r="AY21" s="1175"/>
    </row>
    <row r="22" spans="1:51" ht="18" customHeight="1" x14ac:dyDescent="0.25">
      <c r="A22" s="743"/>
      <c r="B22" s="743"/>
      <c r="C22" s="745" t="s">
        <v>499</v>
      </c>
      <c r="D22" s="546" t="s">
        <v>41</v>
      </c>
      <c r="E22" s="1161"/>
      <c r="F22" s="1162"/>
      <c r="G22" s="1162"/>
      <c r="H22" s="1161">
        <v>0.05</v>
      </c>
      <c r="I22" s="1161">
        <v>0.05</v>
      </c>
      <c r="J22" s="1161">
        <v>0.05</v>
      </c>
      <c r="K22" s="1163">
        <v>0.05</v>
      </c>
      <c r="L22" s="1161">
        <v>0.05</v>
      </c>
      <c r="M22" s="1161">
        <v>0.05</v>
      </c>
      <c r="N22" s="1164">
        <v>0.05</v>
      </c>
      <c r="O22" s="1164">
        <v>0.05</v>
      </c>
      <c r="P22" s="1164"/>
      <c r="Q22" s="1165"/>
      <c r="R22" s="1161"/>
      <c r="S22" s="1166"/>
      <c r="T22" s="1166"/>
      <c r="U22" s="1167">
        <v>8.6999999999999994E-3</v>
      </c>
      <c r="V22" s="1167">
        <v>1.2500000000000001E-2</v>
      </c>
      <c r="W22" s="1167">
        <v>1.6300000000000002E-2</v>
      </c>
      <c r="X22" s="1168">
        <v>2.01E-2</v>
      </c>
      <c r="Y22" s="1167">
        <v>2.53E-2</v>
      </c>
      <c r="Z22" s="1167">
        <v>2.9499999999999998E-2</v>
      </c>
      <c r="AA22" s="1167">
        <v>3.3500000000000002E-2</v>
      </c>
      <c r="AB22" s="1182">
        <v>3.9E-2</v>
      </c>
      <c r="AC22" s="541"/>
      <c r="AD22" s="542"/>
      <c r="AE22" s="1161"/>
      <c r="AF22" s="1170" t="s">
        <v>690</v>
      </c>
      <c r="AG22" s="1171" t="s">
        <v>450</v>
      </c>
      <c r="AH22" s="1172" t="s">
        <v>631</v>
      </c>
      <c r="AI22" s="1172" t="s">
        <v>657</v>
      </c>
      <c r="AJ22" s="1172" t="s">
        <v>656</v>
      </c>
      <c r="AK22" s="1172" t="s">
        <v>435</v>
      </c>
      <c r="AL22" s="1172">
        <v>5</v>
      </c>
      <c r="AM22" s="1172" t="s">
        <v>71</v>
      </c>
      <c r="AN22" s="1174">
        <f t="shared" ref="AN22" si="5">SUM(AO22:AP27)</f>
        <v>109609.02124859404</v>
      </c>
      <c r="AO22" s="1174">
        <v>54594.43436465002</v>
      </c>
      <c r="AP22" s="1174">
        <v>55014.586883944015</v>
      </c>
      <c r="AQ22" s="1172" t="s">
        <v>71</v>
      </c>
      <c r="AR22" s="1172" t="s">
        <v>71</v>
      </c>
      <c r="AS22" s="1172" t="s">
        <v>71</v>
      </c>
      <c r="AT22" s="1172" t="s">
        <v>71</v>
      </c>
      <c r="AU22" s="1172" t="s">
        <v>71</v>
      </c>
      <c r="AV22" s="1172" t="s">
        <v>71</v>
      </c>
      <c r="AW22" s="1172" t="s">
        <v>71</v>
      </c>
      <c r="AX22" s="1172" t="s">
        <v>71</v>
      </c>
      <c r="AY22" s="1175"/>
    </row>
    <row r="23" spans="1:51" ht="18" x14ac:dyDescent="0.25">
      <c r="A23" s="743"/>
      <c r="B23" s="743"/>
      <c r="C23" s="745"/>
      <c r="D23" s="545" t="s">
        <v>3</v>
      </c>
      <c r="E23" s="1165"/>
      <c r="F23" s="1165"/>
      <c r="G23" s="1162"/>
      <c r="H23" s="1161">
        <v>22000297.808750674</v>
      </c>
      <c r="I23" s="1161">
        <v>35681397.932426117</v>
      </c>
      <c r="J23" s="1161">
        <v>39622142.68</v>
      </c>
      <c r="K23" s="1163">
        <v>41089214.301606901</v>
      </c>
      <c r="L23" s="1165">
        <v>128384927.31572522</v>
      </c>
      <c r="M23" s="1165">
        <v>115118553.93593688</v>
      </c>
      <c r="N23" s="1164">
        <v>115118553.93593688</v>
      </c>
      <c r="O23" s="1164">
        <v>99580131.23146832</v>
      </c>
      <c r="P23" s="1164"/>
      <c r="Q23" s="1165"/>
      <c r="R23" s="1165"/>
      <c r="S23" s="564"/>
      <c r="T23" s="564"/>
      <c r="U23" s="565">
        <v>22000297.808750674</v>
      </c>
      <c r="V23" s="540">
        <v>35681397.932426117</v>
      </c>
      <c r="W23" s="565">
        <v>39622142.68</v>
      </c>
      <c r="X23" s="1184">
        <v>41089214.301606901</v>
      </c>
      <c r="Y23" s="1185">
        <v>128384927.31572522</v>
      </c>
      <c r="Z23" s="564">
        <v>115118553.93593688</v>
      </c>
      <c r="AA23" s="564">
        <v>96787516.336655855</v>
      </c>
      <c r="AB23" s="563">
        <v>99580131.23146832</v>
      </c>
      <c r="AC23" s="562"/>
      <c r="AD23" s="562"/>
      <c r="AE23" s="1165"/>
      <c r="AF23" s="1170"/>
      <c r="AG23" s="1171"/>
      <c r="AH23" s="1172"/>
      <c r="AI23" s="1172"/>
      <c r="AJ23" s="1172"/>
      <c r="AK23" s="1172"/>
      <c r="AL23" s="1172"/>
      <c r="AM23" s="1172"/>
      <c r="AN23" s="1174"/>
      <c r="AO23" s="1174"/>
      <c r="AP23" s="1174"/>
      <c r="AQ23" s="1172"/>
      <c r="AR23" s="1172"/>
      <c r="AS23" s="1172"/>
      <c r="AT23" s="1172"/>
      <c r="AU23" s="1172"/>
      <c r="AV23" s="1172"/>
      <c r="AW23" s="1172"/>
      <c r="AX23" s="1172"/>
      <c r="AY23" s="1175"/>
    </row>
    <row r="24" spans="1:51" ht="27" x14ac:dyDescent="0.25">
      <c r="A24" s="743"/>
      <c r="B24" s="743"/>
      <c r="C24" s="745"/>
      <c r="D24" s="544" t="s">
        <v>42</v>
      </c>
      <c r="E24" s="1161"/>
      <c r="F24" s="1161"/>
      <c r="G24" s="1162"/>
      <c r="H24" s="1161">
        <v>0</v>
      </c>
      <c r="I24" s="1161">
        <v>0</v>
      </c>
      <c r="J24" s="1161">
        <v>0</v>
      </c>
      <c r="K24" s="1163">
        <v>0</v>
      </c>
      <c r="L24" s="1161">
        <v>0</v>
      </c>
      <c r="M24" s="1161">
        <v>0</v>
      </c>
      <c r="N24" s="1164">
        <v>0</v>
      </c>
      <c r="O24" s="1164">
        <v>0</v>
      </c>
      <c r="P24" s="1164"/>
      <c r="Q24" s="1161"/>
      <c r="R24" s="1161"/>
      <c r="S24" s="1178"/>
      <c r="T24" s="1178"/>
      <c r="U24" s="1179">
        <v>0</v>
      </c>
      <c r="V24" s="1179">
        <v>0</v>
      </c>
      <c r="W24" s="1179">
        <v>0</v>
      </c>
      <c r="X24" s="1186">
        <v>0</v>
      </c>
      <c r="Y24" s="1178">
        <v>0</v>
      </c>
      <c r="Z24" s="1178">
        <v>0</v>
      </c>
      <c r="AA24" s="1178">
        <v>0</v>
      </c>
      <c r="AB24" s="1178">
        <v>0</v>
      </c>
      <c r="AC24" s="562"/>
      <c r="AD24" s="562"/>
      <c r="AE24" s="1161"/>
      <c r="AF24" s="1170"/>
      <c r="AG24" s="1171"/>
      <c r="AH24" s="1172"/>
      <c r="AI24" s="1172"/>
      <c r="AJ24" s="1172"/>
      <c r="AK24" s="1172"/>
      <c r="AL24" s="1172"/>
      <c r="AM24" s="1172"/>
      <c r="AN24" s="1174"/>
      <c r="AO24" s="1174"/>
      <c r="AP24" s="1174"/>
      <c r="AQ24" s="1172"/>
      <c r="AR24" s="1172"/>
      <c r="AS24" s="1172"/>
      <c r="AT24" s="1172"/>
      <c r="AU24" s="1172"/>
      <c r="AV24" s="1172"/>
      <c r="AW24" s="1172"/>
      <c r="AX24" s="1172"/>
      <c r="AY24" s="1175"/>
    </row>
    <row r="25" spans="1:51" ht="27" x14ac:dyDescent="0.25">
      <c r="A25" s="743"/>
      <c r="B25" s="743"/>
      <c r="C25" s="745"/>
      <c r="D25" s="545" t="s">
        <v>4</v>
      </c>
      <c r="E25" s="1161"/>
      <c r="F25" s="1161"/>
      <c r="G25" s="1162"/>
      <c r="H25" s="1161">
        <v>0</v>
      </c>
      <c r="I25" s="1161">
        <v>0</v>
      </c>
      <c r="J25" s="1161">
        <v>0</v>
      </c>
      <c r="K25" s="1163">
        <v>0</v>
      </c>
      <c r="L25" s="1161">
        <v>0</v>
      </c>
      <c r="M25" s="1161">
        <v>0</v>
      </c>
      <c r="N25" s="1164">
        <v>0</v>
      </c>
      <c r="O25" s="1164">
        <v>0</v>
      </c>
      <c r="P25" s="1164"/>
      <c r="Q25" s="1161"/>
      <c r="R25" s="1161"/>
      <c r="S25" s="1178"/>
      <c r="T25" s="1178"/>
      <c r="U25" s="1179">
        <v>0</v>
      </c>
      <c r="V25" s="1179">
        <v>0</v>
      </c>
      <c r="W25" s="1179">
        <v>0</v>
      </c>
      <c r="X25" s="1186">
        <v>0</v>
      </c>
      <c r="Y25" s="1178">
        <v>0</v>
      </c>
      <c r="Z25" s="1178">
        <v>0</v>
      </c>
      <c r="AA25" s="1178">
        <v>0</v>
      </c>
      <c r="AB25" s="1178">
        <v>0</v>
      </c>
      <c r="AC25" s="562"/>
      <c r="AD25" s="562"/>
      <c r="AE25" s="1161"/>
      <c r="AF25" s="1170"/>
      <c r="AG25" s="1171"/>
      <c r="AH25" s="1172"/>
      <c r="AI25" s="1172"/>
      <c r="AJ25" s="1172"/>
      <c r="AK25" s="1172"/>
      <c r="AL25" s="1172"/>
      <c r="AM25" s="1172"/>
      <c r="AN25" s="1174"/>
      <c r="AO25" s="1174"/>
      <c r="AP25" s="1174"/>
      <c r="AQ25" s="1172"/>
      <c r="AR25" s="1172"/>
      <c r="AS25" s="1172"/>
      <c r="AT25" s="1172"/>
      <c r="AU25" s="1172"/>
      <c r="AV25" s="1172"/>
      <c r="AW25" s="1172"/>
      <c r="AX25" s="1172"/>
      <c r="AY25" s="1175"/>
    </row>
    <row r="26" spans="1:51" ht="27" x14ac:dyDescent="0.25">
      <c r="A26" s="743"/>
      <c r="B26" s="743"/>
      <c r="C26" s="745"/>
      <c r="D26" s="544" t="s">
        <v>43</v>
      </c>
      <c r="E26" s="1161"/>
      <c r="F26" s="1161"/>
      <c r="G26" s="1162"/>
      <c r="H26" s="1161">
        <v>0.05</v>
      </c>
      <c r="I26" s="1161">
        <v>0.05</v>
      </c>
      <c r="J26" s="1161">
        <v>0.05</v>
      </c>
      <c r="K26" s="1163">
        <f t="shared" ref="K26:O27" si="6">K22+K24</f>
        <v>0.05</v>
      </c>
      <c r="L26" s="1161">
        <f t="shared" si="6"/>
        <v>0.05</v>
      </c>
      <c r="M26" s="1161">
        <f t="shared" si="6"/>
        <v>0.05</v>
      </c>
      <c r="N26" s="1164">
        <f t="shared" si="6"/>
        <v>0.05</v>
      </c>
      <c r="O26" s="1164">
        <f t="shared" si="6"/>
        <v>0.05</v>
      </c>
      <c r="P26" s="1164"/>
      <c r="Q26" s="1161"/>
      <c r="R26" s="1161"/>
      <c r="S26" s="1178"/>
      <c r="T26" s="1178"/>
      <c r="U26" s="1181">
        <v>8.6999999999999994E-3</v>
      </c>
      <c r="V26" s="1181">
        <v>1.2500000000000001E-2</v>
      </c>
      <c r="W26" s="1179">
        <v>1.6300000000000002E-2</v>
      </c>
      <c r="X26" s="1186">
        <f t="shared" ref="X26:AB27" si="7">X22+X24</f>
        <v>2.01E-2</v>
      </c>
      <c r="Y26" s="1178">
        <f t="shared" si="7"/>
        <v>2.53E-2</v>
      </c>
      <c r="Z26" s="1178">
        <f t="shared" si="7"/>
        <v>2.9499999999999998E-2</v>
      </c>
      <c r="AA26" s="1178">
        <f t="shared" si="7"/>
        <v>3.3500000000000002E-2</v>
      </c>
      <c r="AB26" s="1178">
        <f t="shared" si="7"/>
        <v>3.9E-2</v>
      </c>
      <c r="AC26" s="562"/>
      <c r="AD26" s="562"/>
      <c r="AE26" s="1161"/>
      <c r="AF26" s="1170"/>
      <c r="AG26" s="1171"/>
      <c r="AH26" s="1172"/>
      <c r="AI26" s="1172"/>
      <c r="AJ26" s="1172"/>
      <c r="AK26" s="1172"/>
      <c r="AL26" s="1172"/>
      <c r="AM26" s="1172"/>
      <c r="AN26" s="1174"/>
      <c r="AO26" s="1174"/>
      <c r="AP26" s="1174"/>
      <c r="AQ26" s="1172"/>
      <c r="AR26" s="1172"/>
      <c r="AS26" s="1172"/>
      <c r="AT26" s="1172"/>
      <c r="AU26" s="1172"/>
      <c r="AV26" s="1172"/>
      <c r="AW26" s="1172"/>
      <c r="AX26" s="1172"/>
      <c r="AY26" s="1175"/>
    </row>
    <row r="27" spans="1:51" ht="27" x14ac:dyDescent="0.25">
      <c r="A27" s="743"/>
      <c r="B27" s="743"/>
      <c r="C27" s="745"/>
      <c r="D27" s="545" t="s">
        <v>45</v>
      </c>
      <c r="E27" s="1165"/>
      <c r="F27" s="1165"/>
      <c r="G27" s="1162"/>
      <c r="H27" s="1161">
        <v>22000297.808750674</v>
      </c>
      <c r="I27" s="1161">
        <v>35681397.932426117</v>
      </c>
      <c r="J27" s="1161">
        <v>39622142.68</v>
      </c>
      <c r="K27" s="1163">
        <f t="shared" si="6"/>
        <v>41089214.301606901</v>
      </c>
      <c r="L27" s="1165">
        <f t="shared" si="6"/>
        <v>128384927.31572522</v>
      </c>
      <c r="M27" s="1161">
        <f t="shared" si="6"/>
        <v>115118553.93593688</v>
      </c>
      <c r="N27" s="1164">
        <f t="shared" si="6"/>
        <v>115118553.93593688</v>
      </c>
      <c r="O27" s="1164">
        <f t="shared" si="6"/>
        <v>99580131.23146832</v>
      </c>
      <c r="P27" s="1164"/>
      <c r="Q27" s="1161"/>
      <c r="R27" s="1165"/>
      <c r="S27" s="1165"/>
      <c r="T27" s="1165"/>
      <c r="U27" s="1161">
        <v>22000297.808750674</v>
      </c>
      <c r="V27" s="1179">
        <v>35681397.932426117</v>
      </c>
      <c r="W27" s="1161">
        <v>39622142.68</v>
      </c>
      <c r="X27" s="1163">
        <f t="shared" si="7"/>
        <v>41089214.301606901</v>
      </c>
      <c r="Y27" s="1165">
        <f t="shared" si="7"/>
        <v>128384927.31572522</v>
      </c>
      <c r="Z27" s="1165">
        <f t="shared" si="7"/>
        <v>115118553.93593688</v>
      </c>
      <c r="AA27" s="1165">
        <f t="shared" si="7"/>
        <v>96787516.336655855</v>
      </c>
      <c r="AB27" s="1165">
        <f t="shared" si="7"/>
        <v>99580131.23146832</v>
      </c>
      <c r="AC27" s="542"/>
      <c r="AD27" s="542"/>
      <c r="AE27" s="1165"/>
      <c r="AF27" s="1170"/>
      <c r="AG27" s="1171"/>
      <c r="AH27" s="1172"/>
      <c r="AI27" s="1172"/>
      <c r="AJ27" s="1172"/>
      <c r="AK27" s="1172"/>
      <c r="AL27" s="1172"/>
      <c r="AM27" s="1172"/>
      <c r="AN27" s="1174"/>
      <c r="AO27" s="1174"/>
      <c r="AP27" s="1174"/>
      <c r="AQ27" s="1172"/>
      <c r="AR27" s="1172"/>
      <c r="AS27" s="1172"/>
      <c r="AT27" s="1172"/>
      <c r="AU27" s="1172"/>
      <c r="AV27" s="1172"/>
      <c r="AW27" s="1172"/>
      <c r="AX27" s="1172"/>
      <c r="AY27" s="1175"/>
    </row>
    <row r="28" spans="1:51" ht="18" customHeight="1" x14ac:dyDescent="0.25">
      <c r="A28" s="743"/>
      <c r="B28" s="743"/>
      <c r="C28" s="745" t="s">
        <v>500</v>
      </c>
      <c r="D28" s="546" t="s">
        <v>41</v>
      </c>
      <c r="E28" s="1161"/>
      <c r="F28" s="1162"/>
      <c r="G28" s="1162"/>
      <c r="H28" s="1161">
        <v>0.05</v>
      </c>
      <c r="I28" s="1161">
        <v>0.05</v>
      </c>
      <c r="J28" s="1161">
        <v>0.05</v>
      </c>
      <c r="K28" s="1163">
        <v>0.05</v>
      </c>
      <c r="L28" s="1165">
        <v>0.05</v>
      </c>
      <c r="M28" s="1161">
        <v>0.05</v>
      </c>
      <c r="N28" s="1164">
        <v>0.05</v>
      </c>
      <c r="O28" s="1164">
        <v>0.05</v>
      </c>
      <c r="P28" s="1164"/>
      <c r="Q28" s="1165"/>
      <c r="R28" s="1161"/>
      <c r="S28" s="1166"/>
      <c r="T28" s="1166"/>
      <c r="U28" s="1167">
        <v>8.6999999999999994E-3</v>
      </c>
      <c r="V28" s="1167">
        <v>1.2500000000000001E-2</v>
      </c>
      <c r="W28" s="1167">
        <v>1.6300000000000002E-2</v>
      </c>
      <c r="X28" s="1168">
        <v>2.01E-2</v>
      </c>
      <c r="Y28" s="1167">
        <v>2.53E-2</v>
      </c>
      <c r="Z28" s="1167">
        <v>2.9499999999999998E-2</v>
      </c>
      <c r="AA28" s="1167">
        <v>3.3500000000000002E-2</v>
      </c>
      <c r="AB28" s="1182">
        <v>3.9E-2</v>
      </c>
      <c r="AC28" s="541"/>
      <c r="AD28" s="542"/>
      <c r="AE28" s="1161"/>
      <c r="AF28" s="1170" t="s">
        <v>670</v>
      </c>
      <c r="AG28" s="1171" t="s">
        <v>449</v>
      </c>
      <c r="AH28" s="1172" t="s">
        <v>632</v>
      </c>
      <c r="AI28" s="1172" t="s">
        <v>658</v>
      </c>
      <c r="AJ28" s="1172" t="s">
        <v>656</v>
      </c>
      <c r="AK28" s="1172" t="s">
        <v>435</v>
      </c>
      <c r="AL28" s="1187" t="s">
        <v>563</v>
      </c>
      <c r="AM28" s="1172" t="s">
        <v>71</v>
      </c>
      <c r="AN28" s="1174">
        <f>SUM(AO28:AP33)</f>
        <v>413444.02500158263</v>
      </c>
      <c r="AO28" s="1174">
        <v>199878.05005252254</v>
      </c>
      <c r="AP28" s="1174">
        <v>213565.9749490601</v>
      </c>
      <c r="AQ28" s="1172" t="s">
        <v>71</v>
      </c>
      <c r="AR28" s="1172" t="s">
        <v>71</v>
      </c>
      <c r="AS28" s="1172" t="s">
        <v>71</v>
      </c>
      <c r="AT28" s="1172" t="s">
        <v>71</v>
      </c>
      <c r="AU28" s="1172" t="s">
        <v>71</v>
      </c>
      <c r="AV28" s="1172" t="s">
        <v>71</v>
      </c>
      <c r="AW28" s="1172" t="s">
        <v>71</v>
      </c>
      <c r="AX28" s="1172" t="s">
        <v>71</v>
      </c>
      <c r="AY28" s="1175"/>
    </row>
    <row r="29" spans="1:51" ht="18" x14ac:dyDescent="0.25">
      <c r="A29" s="743"/>
      <c r="B29" s="743"/>
      <c r="C29" s="745"/>
      <c r="D29" s="545" t="s">
        <v>3</v>
      </c>
      <c r="E29" s="1165"/>
      <c r="F29" s="1165"/>
      <c r="G29" s="1162"/>
      <c r="H29" s="1161">
        <v>0</v>
      </c>
      <c r="I29" s="1161">
        <v>47166803.650124244</v>
      </c>
      <c r="J29" s="1161">
        <v>83949032.159999996</v>
      </c>
      <c r="K29" s="1163">
        <v>139099560.20752296</v>
      </c>
      <c r="L29" s="1165">
        <v>116255132.29379134</v>
      </c>
      <c r="M29" s="1165">
        <v>101164798.16916776</v>
      </c>
      <c r="N29" s="1164">
        <v>101164798.16916776</v>
      </c>
      <c r="O29" s="1164">
        <v>97501308.262501389</v>
      </c>
      <c r="P29" s="1164"/>
      <c r="Q29" s="1165"/>
      <c r="R29" s="1165"/>
      <c r="S29" s="564"/>
      <c r="T29" s="564"/>
      <c r="U29" s="565">
        <v>0</v>
      </c>
      <c r="V29" s="540">
        <v>47166803.650124244</v>
      </c>
      <c r="W29" s="565">
        <v>83949032.159999996</v>
      </c>
      <c r="X29" s="1184">
        <v>139099560.20752296</v>
      </c>
      <c r="Y29" s="1185">
        <v>116255132.29379134</v>
      </c>
      <c r="Z29" s="564">
        <v>101164798.16916776</v>
      </c>
      <c r="AA29" s="564">
        <v>100844282.81873269</v>
      </c>
      <c r="AB29" s="563">
        <v>97501308.262501389</v>
      </c>
      <c r="AC29" s="562"/>
      <c r="AD29" s="562"/>
      <c r="AE29" s="1165"/>
      <c r="AF29" s="1170"/>
      <c r="AG29" s="1171"/>
      <c r="AH29" s="1172"/>
      <c r="AI29" s="1172"/>
      <c r="AJ29" s="1172"/>
      <c r="AK29" s="1172"/>
      <c r="AL29" s="1187"/>
      <c r="AM29" s="1172"/>
      <c r="AN29" s="1174"/>
      <c r="AO29" s="1174"/>
      <c r="AP29" s="1174"/>
      <c r="AQ29" s="1172"/>
      <c r="AR29" s="1172"/>
      <c r="AS29" s="1172"/>
      <c r="AT29" s="1172"/>
      <c r="AU29" s="1172"/>
      <c r="AV29" s="1172"/>
      <c r="AW29" s="1172"/>
      <c r="AX29" s="1172"/>
      <c r="AY29" s="1175"/>
    </row>
    <row r="30" spans="1:51" ht="27" x14ac:dyDescent="0.25">
      <c r="A30" s="743"/>
      <c r="B30" s="743"/>
      <c r="C30" s="745"/>
      <c r="D30" s="544" t="s">
        <v>42</v>
      </c>
      <c r="E30" s="1161"/>
      <c r="F30" s="1161"/>
      <c r="G30" s="1162"/>
      <c r="H30" s="1161">
        <v>0</v>
      </c>
      <c r="I30" s="1161">
        <v>0</v>
      </c>
      <c r="J30" s="1161">
        <v>0</v>
      </c>
      <c r="K30" s="1163">
        <v>0</v>
      </c>
      <c r="L30" s="1161">
        <v>0</v>
      </c>
      <c r="M30" s="1161">
        <v>0</v>
      </c>
      <c r="N30" s="1164">
        <v>0</v>
      </c>
      <c r="O30" s="1164">
        <v>0</v>
      </c>
      <c r="P30" s="1164"/>
      <c r="Q30" s="1161"/>
      <c r="R30" s="1161"/>
      <c r="S30" s="1178"/>
      <c r="T30" s="1178"/>
      <c r="U30" s="1179">
        <v>0</v>
      </c>
      <c r="V30" s="1179">
        <v>0</v>
      </c>
      <c r="W30" s="1179">
        <v>0</v>
      </c>
      <c r="X30" s="1186">
        <v>0</v>
      </c>
      <c r="Y30" s="1178">
        <v>0</v>
      </c>
      <c r="Z30" s="1178">
        <v>0</v>
      </c>
      <c r="AA30" s="1178">
        <v>0</v>
      </c>
      <c r="AB30" s="1178">
        <v>0</v>
      </c>
      <c r="AC30" s="562"/>
      <c r="AD30" s="562"/>
      <c r="AE30" s="1161"/>
      <c r="AF30" s="1170"/>
      <c r="AG30" s="1171"/>
      <c r="AH30" s="1172"/>
      <c r="AI30" s="1172"/>
      <c r="AJ30" s="1172"/>
      <c r="AK30" s="1172"/>
      <c r="AL30" s="1187"/>
      <c r="AM30" s="1172"/>
      <c r="AN30" s="1174"/>
      <c r="AO30" s="1174"/>
      <c r="AP30" s="1174"/>
      <c r="AQ30" s="1172"/>
      <c r="AR30" s="1172"/>
      <c r="AS30" s="1172"/>
      <c r="AT30" s="1172"/>
      <c r="AU30" s="1172"/>
      <c r="AV30" s="1172"/>
      <c r="AW30" s="1172"/>
      <c r="AX30" s="1172"/>
      <c r="AY30" s="1175"/>
    </row>
    <row r="31" spans="1:51" ht="27" x14ac:dyDescent="0.25">
      <c r="A31" s="743"/>
      <c r="B31" s="743"/>
      <c r="C31" s="745"/>
      <c r="D31" s="545" t="s">
        <v>4</v>
      </c>
      <c r="E31" s="1161"/>
      <c r="F31" s="1161"/>
      <c r="G31" s="1162"/>
      <c r="H31" s="1161">
        <v>0</v>
      </c>
      <c r="I31" s="1161">
        <v>0</v>
      </c>
      <c r="J31" s="1161">
        <v>0</v>
      </c>
      <c r="K31" s="1163">
        <v>0</v>
      </c>
      <c r="L31" s="1161">
        <v>0</v>
      </c>
      <c r="M31" s="1161">
        <v>0</v>
      </c>
      <c r="N31" s="1164">
        <v>0</v>
      </c>
      <c r="O31" s="1164">
        <v>0</v>
      </c>
      <c r="P31" s="1164"/>
      <c r="Q31" s="1161"/>
      <c r="R31" s="1161"/>
      <c r="S31" s="1178"/>
      <c r="T31" s="1178"/>
      <c r="U31" s="1179">
        <v>0</v>
      </c>
      <c r="V31" s="1179">
        <v>0</v>
      </c>
      <c r="W31" s="1179">
        <v>0</v>
      </c>
      <c r="X31" s="1186">
        <v>0</v>
      </c>
      <c r="Y31" s="1178">
        <v>0</v>
      </c>
      <c r="Z31" s="1178">
        <v>0</v>
      </c>
      <c r="AA31" s="1178">
        <v>0</v>
      </c>
      <c r="AB31" s="1178">
        <v>0</v>
      </c>
      <c r="AC31" s="562"/>
      <c r="AD31" s="562"/>
      <c r="AE31" s="1161"/>
      <c r="AF31" s="1170"/>
      <c r="AG31" s="1171"/>
      <c r="AH31" s="1172"/>
      <c r="AI31" s="1172"/>
      <c r="AJ31" s="1172"/>
      <c r="AK31" s="1172"/>
      <c r="AL31" s="1187"/>
      <c r="AM31" s="1172"/>
      <c r="AN31" s="1174"/>
      <c r="AO31" s="1174"/>
      <c r="AP31" s="1174"/>
      <c r="AQ31" s="1172"/>
      <c r="AR31" s="1172"/>
      <c r="AS31" s="1172"/>
      <c r="AT31" s="1172"/>
      <c r="AU31" s="1172"/>
      <c r="AV31" s="1172"/>
      <c r="AW31" s="1172"/>
      <c r="AX31" s="1172"/>
      <c r="AY31" s="1175"/>
    </row>
    <row r="32" spans="1:51" ht="27" x14ac:dyDescent="0.25">
      <c r="A32" s="743"/>
      <c r="B32" s="743"/>
      <c r="C32" s="745"/>
      <c r="D32" s="544" t="s">
        <v>43</v>
      </c>
      <c r="E32" s="1161"/>
      <c r="F32" s="1161"/>
      <c r="G32" s="1162"/>
      <c r="H32" s="1161">
        <v>0.05</v>
      </c>
      <c r="I32" s="1161">
        <v>0.05</v>
      </c>
      <c r="J32" s="1161">
        <v>0.05</v>
      </c>
      <c r="K32" s="1163">
        <f t="shared" ref="K32:O33" si="8">K28+K30</f>
        <v>0.05</v>
      </c>
      <c r="L32" s="1161">
        <f t="shared" si="8"/>
        <v>0.05</v>
      </c>
      <c r="M32" s="1161">
        <f t="shared" si="8"/>
        <v>0.05</v>
      </c>
      <c r="N32" s="1164">
        <f t="shared" si="8"/>
        <v>0.05</v>
      </c>
      <c r="O32" s="1164">
        <f t="shared" si="8"/>
        <v>0.05</v>
      </c>
      <c r="P32" s="1164"/>
      <c r="Q32" s="1161"/>
      <c r="R32" s="1161"/>
      <c r="S32" s="1178"/>
      <c r="T32" s="1178"/>
      <c r="U32" s="1181">
        <v>8.6999999999999994E-3</v>
      </c>
      <c r="V32" s="1181">
        <v>1.2500000000000001E-2</v>
      </c>
      <c r="W32" s="1179">
        <v>1.6300000000000002E-2</v>
      </c>
      <c r="X32" s="1186">
        <f t="shared" ref="X32:AB33" si="9">X28+X30</f>
        <v>2.01E-2</v>
      </c>
      <c r="Y32" s="1178">
        <f t="shared" si="9"/>
        <v>2.53E-2</v>
      </c>
      <c r="Z32" s="1178">
        <f t="shared" si="9"/>
        <v>2.9499999999999998E-2</v>
      </c>
      <c r="AA32" s="1178">
        <f t="shared" si="9"/>
        <v>3.3500000000000002E-2</v>
      </c>
      <c r="AB32" s="1178">
        <f t="shared" si="9"/>
        <v>3.9E-2</v>
      </c>
      <c r="AC32" s="562"/>
      <c r="AD32" s="562"/>
      <c r="AE32" s="1161"/>
      <c r="AF32" s="1170"/>
      <c r="AG32" s="1171"/>
      <c r="AH32" s="1172"/>
      <c r="AI32" s="1172"/>
      <c r="AJ32" s="1172"/>
      <c r="AK32" s="1172"/>
      <c r="AL32" s="1187"/>
      <c r="AM32" s="1172"/>
      <c r="AN32" s="1174"/>
      <c r="AO32" s="1174"/>
      <c r="AP32" s="1174"/>
      <c r="AQ32" s="1172"/>
      <c r="AR32" s="1172"/>
      <c r="AS32" s="1172"/>
      <c r="AT32" s="1172"/>
      <c r="AU32" s="1172"/>
      <c r="AV32" s="1172"/>
      <c r="AW32" s="1172"/>
      <c r="AX32" s="1172"/>
      <c r="AY32" s="1175"/>
    </row>
    <row r="33" spans="1:51" ht="27" x14ac:dyDescent="0.25">
      <c r="A33" s="743"/>
      <c r="B33" s="743"/>
      <c r="C33" s="745"/>
      <c r="D33" s="545" t="s">
        <v>45</v>
      </c>
      <c r="E33" s="1165"/>
      <c r="F33" s="1165"/>
      <c r="G33" s="1162"/>
      <c r="H33" s="1161">
        <v>0</v>
      </c>
      <c r="I33" s="1161">
        <v>47166803.650124244</v>
      </c>
      <c r="J33" s="1161">
        <v>83949032.159999996</v>
      </c>
      <c r="K33" s="1163">
        <f t="shared" si="8"/>
        <v>139099560.20752296</v>
      </c>
      <c r="L33" s="1165">
        <f t="shared" si="8"/>
        <v>116255132.29379134</v>
      </c>
      <c r="M33" s="1161">
        <f t="shared" si="8"/>
        <v>101164798.16916776</v>
      </c>
      <c r="N33" s="1164">
        <f t="shared" si="8"/>
        <v>101164798.16916776</v>
      </c>
      <c r="O33" s="1164">
        <f t="shared" si="8"/>
        <v>97501308.262501389</v>
      </c>
      <c r="P33" s="1164"/>
      <c r="Q33" s="1161"/>
      <c r="R33" s="1165"/>
      <c r="S33" s="1165"/>
      <c r="T33" s="1165"/>
      <c r="U33" s="1161">
        <v>0</v>
      </c>
      <c r="V33" s="1179">
        <v>47166803.650124244</v>
      </c>
      <c r="W33" s="1161">
        <v>83949032.159999996</v>
      </c>
      <c r="X33" s="1163">
        <f t="shared" si="9"/>
        <v>139099560.20752296</v>
      </c>
      <c r="Y33" s="1165">
        <f t="shared" si="9"/>
        <v>116255132.29379134</v>
      </c>
      <c r="Z33" s="1165">
        <f t="shared" si="9"/>
        <v>101164798.16916776</v>
      </c>
      <c r="AA33" s="1165">
        <f t="shared" si="9"/>
        <v>100844282.81873269</v>
      </c>
      <c r="AB33" s="1165">
        <f t="shared" si="9"/>
        <v>97501308.262501389</v>
      </c>
      <c r="AC33" s="542"/>
      <c r="AD33" s="542"/>
      <c r="AE33" s="1165"/>
      <c r="AF33" s="1170"/>
      <c r="AG33" s="1171"/>
      <c r="AH33" s="1172"/>
      <c r="AI33" s="1172"/>
      <c r="AJ33" s="1172"/>
      <c r="AK33" s="1172"/>
      <c r="AL33" s="1187"/>
      <c r="AM33" s="1172"/>
      <c r="AN33" s="1174"/>
      <c r="AO33" s="1174"/>
      <c r="AP33" s="1174"/>
      <c r="AQ33" s="1172"/>
      <c r="AR33" s="1172"/>
      <c r="AS33" s="1172"/>
      <c r="AT33" s="1172"/>
      <c r="AU33" s="1172"/>
      <c r="AV33" s="1172"/>
      <c r="AW33" s="1172"/>
      <c r="AX33" s="1172"/>
      <c r="AY33" s="1175"/>
    </row>
    <row r="34" spans="1:51" ht="18" customHeight="1" x14ac:dyDescent="0.25">
      <c r="A34" s="743"/>
      <c r="B34" s="743"/>
      <c r="C34" s="745" t="s">
        <v>501</v>
      </c>
      <c r="D34" s="546" t="s">
        <v>41</v>
      </c>
      <c r="E34" s="1161"/>
      <c r="F34" s="1162"/>
      <c r="G34" s="1162"/>
      <c r="H34" s="1161">
        <v>0.05</v>
      </c>
      <c r="I34" s="1161">
        <v>0.05</v>
      </c>
      <c r="J34" s="1161">
        <v>0.05</v>
      </c>
      <c r="K34" s="1163">
        <v>0.05</v>
      </c>
      <c r="L34" s="1161">
        <v>0.05</v>
      </c>
      <c r="M34" s="1161">
        <v>0.05</v>
      </c>
      <c r="N34" s="1164">
        <v>0.05</v>
      </c>
      <c r="O34" s="1164">
        <v>0.05</v>
      </c>
      <c r="P34" s="1164"/>
      <c r="Q34" s="1165"/>
      <c r="R34" s="1161"/>
      <c r="S34" s="1166"/>
      <c r="T34" s="1166"/>
      <c r="U34" s="1167">
        <v>8.6999999999999994E-3</v>
      </c>
      <c r="V34" s="1167">
        <v>1.2500000000000001E-2</v>
      </c>
      <c r="W34" s="1167">
        <v>1.6300000000000002E-2</v>
      </c>
      <c r="X34" s="1168">
        <v>2.01E-2</v>
      </c>
      <c r="Y34" s="1167">
        <v>2.53E-2</v>
      </c>
      <c r="Z34" s="1167">
        <v>2.9499999999999998E-2</v>
      </c>
      <c r="AA34" s="1167">
        <v>3.3500000000000002E-2</v>
      </c>
      <c r="AB34" s="1167">
        <v>3.9E-2</v>
      </c>
      <c r="AC34" s="543"/>
      <c r="AD34" s="542"/>
      <c r="AE34" s="1161"/>
      <c r="AF34" s="1170" t="s">
        <v>691</v>
      </c>
      <c r="AG34" s="1171" t="s">
        <v>454</v>
      </c>
      <c r="AH34" s="1172" t="s">
        <v>646</v>
      </c>
      <c r="AI34" s="1188" t="s">
        <v>659</v>
      </c>
      <c r="AJ34" s="1172" t="s">
        <v>656</v>
      </c>
      <c r="AK34" s="1172" t="s">
        <v>435</v>
      </c>
      <c r="AL34" s="1172" t="s">
        <v>564</v>
      </c>
      <c r="AM34" s="1172" t="s">
        <v>71</v>
      </c>
      <c r="AN34" s="1174">
        <f>SUM(AO34:AP39)</f>
        <v>383262.83175362134</v>
      </c>
      <c r="AO34" s="1174">
        <v>186552.99612035989</v>
      </c>
      <c r="AP34" s="1174">
        <v>196709.83563326148</v>
      </c>
      <c r="AQ34" s="1172" t="s">
        <v>71</v>
      </c>
      <c r="AR34" s="1172" t="s">
        <v>71</v>
      </c>
      <c r="AS34" s="1172" t="s">
        <v>71</v>
      </c>
      <c r="AT34" s="1172" t="s">
        <v>71</v>
      </c>
      <c r="AU34" s="1172" t="s">
        <v>71</v>
      </c>
      <c r="AV34" s="1172" t="s">
        <v>71</v>
      </c>
      <c r="AW34" s="1172" t="s">
        <v>71</v>
      </c>
      <c r="AX34" s="1172" t="s">
        <v>71</v>
      </c>
      <c r="AY34" s="1175"/>
    </row>
    <row r="35" spans="1:51" ht="18" x14ac:dyDescent="0.25">
      <c r="A35" s="743"/>
      <c r="B35" s="743"/>
      <c r="C35" s="745"/>
      <c r="D35" s="545" t="s">
        <v>3</v>
      </c>
      <c r="E35" s="1165"/>
      <c r="F35" s="1165"/>
      <c r="G35" s="1162"/>
      <c r="H35" s="1161">
        <v>0</v>
      </c>
      <c r="I35" s="1161">
        <v>105986771.39465064</v>
      </c>
      <c r="J35" s="1161">
        <v>68778632.950000003</v>
      </c>
      <c r="K35" s="1163">
        <v>140112359.9112573</v>
      </c>
      <c r="L35" s="1165">
        <v>110688889.70067528</v>
      </c>
      <c r="M35" s="1165">
        <v>114143972.46881962</v>
      </c>
      <c r="N35" s="1164">
        <v>114143972.46881962</v>
      </c>
      <c r="O35" s="1164">
        <v>100065511.08729723</v>
      </c>
      <c r="P35" s="1164"/>
      <c r="Q35" s="1165"/>
      <c r="R35" s="1165"/>
      <c r="S35" s="564"/>
      <c r="T35" s="564"/>
      <c r="U35" s="565">
        <v>0</v>
      </c>
      <c r="V35" s="540">
        <v>105986771.39465064</v>
      </c>
      <c r="W35" s="565">
        <v>68778632.950000003</v>
      </c>
      <c r="X35" s="1184">
        <v>140112359.9112573</v>
      </c>
      <c r="Y35" s="1185">
        <v>110688889.70067528</v>
      </c>
      <c r="Z35" s="564">
        <v>114143972.46881962</v>
      </c>
      <c r="AA35" s="564">
        <v>107990299.27923647</v>
      </c>
      <c r="AB35" s="563">
        <v>100065511.08729723</v>
      </c>
      <c r="AC35" s="562"/>
      <c r="AD35" s="562"/>
      <c r="AE35" s="1165"/>
      <c r="AF35" s="1170"/>
      <c r="AG35" s="1171"/>
      <c r="AH35" s="1172"/>
      <c r="AI35" s="1189"/>
      <c r="AJ35" s="1172"/>
      <c r="AK35" s="1172"/>
      <c r="AL35" s="1172"/>
      <c r="AM35" s="1172"/>
      <c r="AN35" s="1174"/>
      <c r="AO35" s="1174"/>
      <c r="AP35" s="1174"/>
      <c r="AQ35" s="1172"/>
      <c r="AR35" s="1172"/>
      <c r="AS35" s="1172"/>
      <c r="AT35" s="1172"/>
      <c r="AU35" s="1172"/>
      <c r="AV35" s="1172"/>
      <c r="AW35" s="1172"/>
      <c r="AX35" s="1172"/>
      <c r="AY35" s="1175"/>
    </row>
    <row r="36" spans="1:51" ht="27" x14ac:dyDescent="0.25">
      <c r="A36" s="743"/>
      <c r="B36" s="743"/>
      <c r="C36" s="745"/>
      <c r="D36" s="544" t="s">
        <v>42</v>
      </c>
      <c r="E36" s="1161"/>
      <c r="F36" s="1161"/>
      <c r="G36" s="1162"/>
      <c r="H36" s="1161">
        <v>0</v>
      </c>
      <c r="I36" s="1161">
        <v>0</v>
      </c>
      <c r="J36" s="1161">
        <v>0</v>
      </c>
      <c r="K36" s="1163">
        <v>0</v>
      </c>
      <c r="L36" s="1161">
        <v>0</v>
      </c>
      <c r="M36" s="1161">
        <v>0</v>
      </c>
      <c r="N36" s="1164">
        <v>0</v>
      </c>
      <c r="O36" s="1164">
        <v>0</v>
      </c>
      <c r="P36" s="1164"/>
      <c r="Q36" s="1161"/>
      <c r="R36" s="1161"/>
      <c r="S36" s="1178"/>
      <c r="T36" s="1178"/>
      <c r="U36" s="1179">
        <v>0</v>
      </c>
      <c r="V36" s="1179">
        <v>0</v>
      </c>
      <c r="W36" s="1179">
        <v>0</v>
      </c>
      <c r="X36" s="1186">
        <v>0</v>
      </c>
      <c r="Y36" s="1178">
        <v>0</v>
      </c>
      <c r="Z36" s="1178">
        <v>0</v>
      </c>
      <c r="AA36" s="1178">
        <v>0</v>
      </c>
      <c r="AB36" s="1178">
        <v>0</v>
      </c>
      <c r="AC36" s="562"/>
      <c r="AD36" s="562"/>
      <c r="AE36" s="1161"/>
      <c r="AF36" s="1170"/>
      <c r="AG36" s="1171"/>
      <c r="AH36" s="1172"/>
      <c r="AI36" s="1189"/>
      <c r="AJ36" s="1172"/>
      <c r="AK36" s="1172"/>
      <c r="AL36" s="1172"/>
      <c r="AM36" s="1172"/>
      <c r="AN36" s="1174"/>
      <c r="AO36" s="1174"/>
      <c r="AP36" s="1174"/>
      <c r="AQ36" s="1172"/>
      <c r="AR36" s="1172"/>
      <c r="AS36" s="1172"/>
      <c r="AT36" s="1172"/>
      <c r="AU36" s="1172"/>
      <c r="AV36" s="1172"/>
      <c r="AW36" s="1172"/>
      <c r="AX36" s="1172"/>
      <c r="AY36" s="1175"/>
    </row>
    <row r="37" spans="1:51" ht="27" x14ac:dyDescent="0.25">
      <c r="A37" s="743"/>
      <c r="B37" s="743"/>
      <c r="C37" s="745"/>
      <c r="D37" s="545" t="s">
        <v>4</v>
      </c>
      <c r="E37" s="1161"/>
      <c r="F37" s="1161"/>
      <c r="G37" s="1162"/>
      <c r="H37" s="1161">
        <v>0</v>
      </c>
      <c r="I37" s="1161">
        <v>0</v>
      </c>
      <c r="J37" s="1161">
        <v>0</v>
      </c>
      <c r="K37" s="1163">
        <v>0</v>
      </c>
      <c r="L37" s="1161">
        <v>0</v>
      </c>
      <c r="M37" s="1161">
        <v>0</v>
      </c>
      <c r="N37" s="1164">
        <v>0</v>
      </c>
      <c r="O37" s="1164">
        <v>0</v>
      </c>
      <c r="P37" s="1164"/>
      <c r="Q37" s="1161"/>
      <c r="R37" s="1161"/>
      <c r="S37" s="1178"/>
      <c r="T37" s="1178"/>
      <c r="U37" s="1179">
        <v>0</v>
      </c>
      <c r="V37" s="1179">
        <v>0</v>
      </c>
      <c r="W37" s="1179">
        <v>0</v>
      </c>
      <c r="X37" s="1186">
        <v>0</v>
      </c>
      <c r="Y37" s="1178">
        <v>0</v>
      </c>
      <c r="Z37" s="1178">
        <v>0</v>
      </c>
      <c r="AA37" s="1178">
        <v>0</v>
      </c>
      <c r="AB37" s="1178">
        <v>0</v>
      </c>
      <c r="AC37" s="562"/>
      <c r="AD37" s="562"/>
      <c r="AE37" s="1161"/>
      <c r="AF37" s="1170"/>
      <c r="AG37" s="1171"/>
      <c r="AH37" s="1172"/>
      <c r="AI37" s="1189"/>
      <c r="AJ37" s="1172"/>
      <c r="AK37" s="1172"/>
      <c r="AL37" s="1172"/>
      <c r="AM37" s="1172"/>
      <c r="AN37" s="1174"/>
      <c r="AO37" s="1174"/>
      <c r="AP37" s="1174"/>
      <c r="AQ37" s="1172"/>
      <c r="AR37" s="1172"/>
      <c r="AS37" s="1172"/>
      <c r="AT37" s="1172"/>
      <c r="AU37" s="1172"/>
      <c r="AV37" s="1172"/>
      <c r="AW37" s="1172"/>
      <c r="AX37" s="1172"/>
      <c r="AY37" s="1175"/>
    </row>
    <row r="38" spans="1:51" ht="27" x14ac:dyDescent="0.25">
      <c r="A38" s="743"/>
      <c r="B38" s="743"/>
      <c r="C38" s="745"/>
      <c r="D38" s="544" t="s">
        <v>43</v>
      </c>
      <c r="E38" s="1161"/>
      <c r="F38" s="1161"/>
      <c r="G38" s="1162"/>
      <c r="H38" s="1161">
        <v>0.05</v>
      </c>
      <c r="I38" s="1161">
        <v>0.05</v>
      </c>
      <c r="J38" s="1161">
        <v>0.05</v>
      </c>
      <c r="K38" s="1163">
        <f t="shared" ref="K38:O39" si="10">K34+K36</f>
        <v>0.05</v>
      </c>
      <c r="L38" s="1161">
        <f t="shared" si="10"/>
        <v>0.05</v>
      </c>
      <c r="M38" s="1161">
        <f t="shared" si="10"/>
        <v>0.05</v>
      </c>
      <c r="N38" s="1164">
        <f t="shared" si="10"/>
        <v>0.05</v>
      </c>
      <c r="O38" s="1164">
        <f t="shared" si="10"/>
        <v>0.05</v>
      </c>
      <c r="P38" s="1164"/>
      <c r="Q38" s="1161"/>
      <c r="R38" s="1161"/>
      <c r="S38" s="1178"/>
      <c r="T38" s="1178"/>
      <c r="U38" s="1181">
        <v>8.6999999999999994E-3</v>
      </c>
      <c r="V38" s="1181">
        <v>1.2500000000000001E-2</v>
      </c>
      <c r="W38" s="1179">
        <v>1.6300000000000002E-2</v>
      </c>
      <c r="X38" s="1186">
        <f t="shared" ref="X38:AB39" si="11">X34+X36</f>
        <v>2.01E-2</v>
      </c>
      <c r="Y38" s="1178">
        <f t="shared" si="11"/>
        <v>2.53E-2</v>
      </c>
      <c r="Z38" s="1178">
        <f t="shared" si="11"/>
        <v>2.9499999999999998E-2</v>
      </c>
      <c r="AA38" s="1178">
        <f t="shared" si="11"/>
        <v>3.3500000000000002E-2</v>
      </c>
      <c r="AB38" s="1178">
        <f t="shared" si="11"/>
        <v>3.9E-2</v>
      </c>
      <c r="AC38" s="562"/>
      <c r="AD38" s="562"/>
      <c r="AE38" s="1161"/>
      <c r="AF38" s="1170"/>
      <c r="AG38" s="1171"/>
      <c r="AH38" s="1172"/>
      <c r="AI38" s="1189"/>
      <c r="AJ38" s="1172"/>
      <c r="AK38" s="1172"/>
      <c r="AL38" s="1172"/>
      <c r="AM38" s="1172"/>
      <c r="AN38" s="1174"/>
      <c r="AO38" s="1174"/>
      <c r="AP38" s="1174"/>
      <c r="AQ38" s="1172"/>
      <c r="AR38" s="1172"/>
      <c r="AS38" s="1172"/>
      <c r="AT38" s="1172"/>
      <c r="AU38" s="1172"/>
      <c r="AV38" s="1172"/>
      <c r="AW38" s="1172"/>
      <c r="AX38" s="1172"/>
      <c r="AY38" s="1175"/>
    </row>
    <row r="39" spans="1:51" ht="27" x14ac:dyDescent="0.25">
      <c r="A39" s="743"/>
      <c r="B39" s="743"/>
      <c r="C39" s="745"/>
      <c r="D39" s="545" t="s">
        <v>45</v>
      </c>
      <c r="E39" s="1165"/>
      <c r="F39" s="1165"/>
      <c r="G39" s="1162"/>
      <c r="H39" s="1161">
        <v>0</v>
      </c>
      <c r="I39" s="1161">
        <v>105986771.39465064</v>
      </c>
      <c r="J39" s="1161">
        <v>68778632.950000003</v>
      </c>
      <c r="K39" s="1163">
        <f t="shared" si="10"/>
        <v>140112359.9112573</v>
      </c>
      <c r="L39" s="1165">
        <f t="shared" si="10"/>
        <v>110688889.70067528</v>
      </c>
      <c r="M39" s="1161">
        <f t="shared" si="10"/>
        <v>114143972.46881962</v>
      </c>
      <c r="N39" s="1164">
        <f t="shared" si="10"/>
        <v>114143972.46881962</v>
      </c>
      <c r="O39" s="1164">
        <f t="shared" si="10"/>
        <v>100065511.08729723</v>
      </c>
      <c r="P39" s="1164"/>
      <c r="Q39" s="1161"/>
      <c r="R39" s="1165"/>
      <c r="S39" s="1165"/>
      <c r="T39" s="1178"/>
      <c r="U39" s="1161">
        <v>0</v>
      </c>
      <c r="V39" s="1179">
        <v>105986771.39465064</v>
      </c>
      <c r="W39" s="1161">
        <v>68778632.950000003</v>
      </c>
      <c r="X39" s="1163">
        <f t="shared" si="11"/>
        <v>140112359.9112573</v>
      </c>
      <c r="Y39" s="1165">
        <f t="shared" si="11"/>
        <v>110688889.70067528</v>
      </c>
      <c r="Z39" s="1165">
        <f t="shared" si="11"/>
        <v>114143972.46881962</v>
      </c>
      <c r="AA39" s="1165">
        <f t="shared" si="11"/>
        <v>107990299.27923647</v>
      </c>
      <c r="AB39" s="1165">
        <f t="shared" si="11"/>
        <v>100065511.08729723</v>
      </c>
      <c r="AC39" s="542"/>
      <c r="AD39" s="542"/>
      <c r="AE39" s="1165"/>
      <c r="AF39" s="1170"/>
      <c r="AG39" s="1171"/>
      <c r="AH39" s="1172"/>
      <c r="AI39" s="1190"/>
      <c r="AJ39" s="1172"/>
      <c r="AK39" s="1172"/>
      <c r="AL39" s="1172"/>
      <c r="AM39" s="1172"/>
      <c r="AN39" s="1174"/>
      <c r="AO39" s="1174"/>
      <c r="AP39" s="1174"/>
      <c r="AQ39" s="1172"/>
      <c r="AR39" s="1172"/>
      <c r="AS39" s="1172"/>
      <c r="AT39" s="1172"/>
      <c r="AU39" s="1172"/>
      <c r="AV39" s="1172"/>
      <c r="AW39" s="1172"/>
      <c r="AX39" s="1172"/>
      <c r="AY39" s="1175"/>
    </row>
    <row r="40" spans="1:51" ht="18" customHeight="1" x14ac:dyDescent="0.25">
      <c r="A40" s="743"/>
      <c r="B40" s="743"/>
      <c r="C40" s="745" t="s">
        <v>502</v>
      </c>
      <c r="D40" s="546" t="s">
        <v>41</v>
      </c>
      <c r="E40" s="1161"/>
      <c r="F40" s="1162"/>
      <c r="G40" s="1162"/>
      <c r="H40" s="1161">
        <v>0.05</v>
      </c>
      <c r="I40" s="1161">
        <v>0.05</v>
      </c>
      <c r="J40" s="1161">
        <v>0.05</v>
      </c>
      <c r="K40" s="1163">
        <v>0.05</v>
      </c>
      <c r="L40" s="1161">
        <v>0.05</v>
      </c>
      <c r="M40" s="1161">
        <v>0.05</v>
      </c>
      <c r="N40" s="1164">
        <v>0.05</v>
      </c>
      <c r="O40" s="1164">
        <v>0.05</v>
      </c>
      <c r="P40" s="1164"/>
      <c r="Q40" s="1165"/>
      <c r="R40" s="1161"/>
      <c r="S40" s="1166"/>
      <c r="T40" s="1166"/>
      <c r="U40" s="1167">
        <v>8.6999999999999994E-3</v>
      </c>
      <c r="V40" s="1167">
        <v>1.2500000000000001E-2</v>
      </c>
      <c r="W40" s="1167">
        <v>1.6300000000000002E-2</v>
      </c>
      <c r="X40" s="1168">
        <v>2.01E-2</v>
      </c>
      <c r="Y40" s="1167">
        <v>2.53E-2</v>
      </c>
      <c r="Z40" s="1167">
        <v>2.9499999999999998E-2</v>
      </c>
      <c r="AA40" s="1167">
        <v>3.3500000000000002E-2</v>
      </c>
      <c r="AB40" s="1167">
        <v>3.9E-2</v>
      </c>
      <c r="AC40" s="543"/>
      <c r="AD40" s="542"/>
      <c r="AE40" s="1161"/>
      <c r="AF40" s="1170" t="s">
        <v>692</v>
      </c>
      <c r="AG40" s="1171" t="s">
        <v>437</v>
      </c>
      <c r="AH40" s="1172" t="s">
        <v>565</v>
      </c>
      <c r="AI40" s="1172" t="s">
        <v>633</v>
      </c>
      <c r="AJ40" s="1172" t="s">
        <v>656</v>
      </c>
      <c r="AK40" s="1172" t="s">
        <v>435</v>
      </c>
      <c r="AL40" s="1172">
        <v>6</v>
      </c>
      <c r="AM40" s="1172" t="s">
        <v>71</v>
      </c>
      <c r="AN40" s="1174">
        <f>SUM(AO40:AP45)</f>
        <v>184230.94094892766</v>
      </c>
      <c r="AO40" s="1174">
        <v>89090.700476807586</v>
      </c>
      <c r="AP40" s="1174">
        <v>95140.240472120058</v>
      </c>
      <c r="AQ40" s="1172" t="s">
        <v>71</v>
      </c>
      <c r="AR40" s="1172" t="s">
        <v>71</v>
      </c>
      <c r="AS40" s="1172" t="s">
        <v>71</v>
      </c>
      <c r="AT40" s="1172" t="s">
        <v>71</v>
      </c>
      <c r="AU40" s="1172" t="s">
        <v>71</v>
      </c>
      <c r="AV40" s="1172" t="s">
        <v>71</v>
      </c>
      <c r="AW40" s="1172" t="s">
        <v>71</v>
      </c>
      <c r="AX40" s="1172" t="s">
        <v>71</v>
      </c>
      <c r="AY40" s="1175"/>
    </row>
    <row r="41" spans="1:51" ht="18" x14ac:dyDescent="0.25">
      <c r="A41" s="743"/>
      <c r="B41" s="743"/>
      <c r="C41" s="745"/>
      <c r="D41" s="545" t="s">
        <v>3</v>
      </c>
      <c r="E41" s="1165"/>
      <c r="F41" s="1165"/>
      <c r="G41" s="1162"/>
      <c r="H41" s="1161">
        <v>0</v>
      </c>
      <c r="I41" s="1161">
        <v>16147718.047330547</v>
      </c>
      <c r="J41" s="1161">
        <v>23235772.23</v>
      </c>
      <c r="K41" s="1163">
        <v>38402265.83433073</v>
      </c>
      <c r="L41" s="1165">
        <v>29752666.826806787</v>
      </c>
      <c r="M41" s="1165">
        <v>34199915.97058294</v>
      </c>
      <c r="N41" s="1164">
        <v>34199915.97058294</v>
      </c>
      <c r="O41" s="1164">
        <v>26523839.900811985</v>
      </c>
      <c r="P41" s="1164"/>
      <c r="Q41" s="1165"/>
      <c r="R41" s="1165"/>
      <c r="S41" s="564"/>
      <c r="T41" s="564"/>
      <c r="U41" s="565">
        <v>0</v>
      </c>
      <c r="V41" s="540">
        <v>16147718.047330547</v>
      </c>
      <c r="W41" s="565">
        <v>23235772.23</v>
      </c>
      <c r="X41" s="1184">
        <v>38402265.83433073</v>
      </c>
      <c r="Y41" s="564">
        <v>29752666.826806787</v>
      </c>
      <c r="Z41" s="564">
        <v>34199915.97058294</v>
      </c>
      <c r="AA41" s="564">
        <v>30810905.496627703</v>
      </c>
      <c r="AB41" s="563">
        <v>26523839.900811985</v>
      </c>
      <c r="AC41" s="562"/>
      <c r="AD41" s="562"/>
      <c r="AE41" s="1165"/>
      <c r="AF41" s="1170"/>
      <c r="AG41" s="1171"/>
      <c r="AH41" s="1172"/>
      <c r="AI41" s="1172"/>
      <c r="AJ41" s="1172"/>
      <c r="AK41" s="1172"/>
      <c r="AL41" s="1172"/>
      <c r="AM41" s="1172"/>
      <c r="AN41" s="1174"/>
      <c r="AO41" s="1174"/>
      <c r="AP41" s="1174"/>
      <c r="AQ41" s="1172"/>
      <c r="AR41" s="1172"/>
      <c r="AS41" s="1172"/>
      <c r="AT41" s="1172"/>
      <c r="AU41" s="1172"/>
      <c r="AV41" s="1172"/>
      <c r="AW41" s="1172"/>
      <c r="AX41" s="1172"/>
      <c r="AY41" s="1175"/>
    </row>
    <row r="42" spans="1:51" ht="27" x14ac:dyDescent="0.25">
      <c r="A42" s="743"/>
      <c r="B42" s="743"/>
      <c r="C42" s="745"/>
      <c r="D42" s="544" t="s">
        <v>42</v>
      </c>
      <c r="E42" s="1161"/>
      <c r="F42" s="1161"/>
      <c r="G42" s="1162"/>
      <c r="H42" s="1161">
        <v>0</v>
      </c>
      <c r="I42" s="1161">
        <v>0</v>
      </c>
      <c r="J42" s="1161">
        <v>0</v>
      </c>
      <c r="K42" s="1163">
        <v>0</v>
      </c>
      <c r="L42" s="1161">
        <v>0</v>
      </c>
      <c r="M42" s="1161">
        <v>0</v>
      </c>
      <c r="N42" s="1164">
        <v>0</v>
      </c>
      <c r="O42" s="1164">
        <v>0</v>
      </c>
      <c r="P42" s="1164"/>
      <c r="Q42" s="1161"/>
      <c r="R42" s="1161"/>
      <c r="S42" s="1178"/>
      <c r="T42" s="1178"/>
      <c r="U42" s="1179">
        <v>0</v>
      </c>
      <c r="V42" s="1179">
        <v>0</v>
      </c>
      <c r="W42" s="1179">
        <v>0</v>
      </c>
      <c r="X42" s="1186">
        <v>0</v>
      </c>
      <c r="Y42" s="1178">
        <v>0</v>
      </c>
      <c r="Z42" s="1178">
        <v>0</v>
      </c>
      <c r="AA42" s="1178">
        <v>0</v>
      </c>
      <c r="AB42" s="1178">
        <v>0</v>
      </c>
      <c r="AC42" s="562"/>
      <c r="AD42" s="562"/>
      <c r="AE42" s="1161"/>
      <c r="AF42" s="1170"/>
      <c r="AG42" s="1171"/>
      <c r="AH42" s="1172"/>
      <c r="AI42" s="1172"/>
      <c r="AJ42" s="1172"/>
      <c r="AK42" s="1172"/>
      <c r="AL42" s="1172"/>
      <c r="AM42" s="1172"/>
      <c r="AN42" s="1174"/>
      <c r="AO42" s="1174"/>
      <c r="AP42" s="1174"/>
      <c r="AQ42" s="1172"/>
      <c r="AR42" s="1172"/>
      <c r="AS42" s="1172"/>
      <c r="AT42" s="1172"/>
      <c r="AU42" s="1172"/>
      <c r="AV42" s="1172"/>
      <c r="AW42" s="1172"/>
      <c r="AX42" s="1172"/>
      <c r="AY42" s="1175"/>
    </row>
    <row r="43" spans="1:51" ht="27" x14ac:dyDescent="0.25">
      <c r="A43" s="743"/>
      <c r="B43" s="743"/>
      <c r="C43" s="745"/>
      <c r="D43" s="545" t="s">
        <v>4</v>
      </c>
      <c r="E43" s="1161"/>
      <c r="F43" s="1161"/>
      <c r="G43" s="1162"/>
      <c r="H43" s="1161">
        <v>0</v>
      </c>
      <c r="I43" s="1161">
        <v>0</v>
      </c>
      <c r="J43" s="1161">
        <v>0</v>
      </c>
      <c r="K43" s="1163">
        <v>0</v>
      </c>
      <c r="L43" s="1161">
        <v>0</v>
      </c>
      <c r="M43" s="1161">
        <v>0</v>
      </c>
      <c r="N43" s="1164">
        <v>0</v>
      </c>
      <c r="O43" s="1164">
        <v>0</v>
      </c>
      <c r="P43" s="1164"/>
      <c r="Q43" s="1161"/>
      <c r="R43" s="1161"/>
      <c r="S43" s="1178"/>
      <c r="T43" s="1178"/>
      <c r="U43" s="1179">
        <v>0</v>
      </c>
      <c r="V43" s="1179">
        <v>0</v>
      </c>
      <c r="W43" s="1179">
        <v>0</v>
      </c>
      <c r="X43" s="1186">
        <v>0</v>
      </c>
      <c r="Y43" s="1178">
        <v>0</v>
      </c>
      <c r="Z43" s="1178">
        <v>0</v>
      </c>
      <c r="AA43" s="1178">
        <v>0</v>
      </c>
      <c r="AB43" s="1178">
        <v>0</v>
      </c>
      <c r="AC43" s="562"/>
      <c r="AD43" s="562"/>
      <c r="AE43" s="1161"/>
      <c r="AF43" s="1170"/>
      <c r="AG43" s="1171"/>
      <c r="AH43" s="1172"/>
      <c r="AI43" s="1172"/>
      <c r="AJ43" s="1172"/>
      <c r="AK43" s="1172"/>
      <c r="AL43" s="1172"/>
      <c r="AM43" s="1172"/>
      <c r="AN43" s="1174"/>
      <c r="AO43" s="1174"/>
      <c r="AP43" s="1174"/>
      <c r="AQ43" s="1172"/>
      <c r="AR43" s="1172"/>
      <c r="AS43" s="1172"/>
      <c r="AT43" s="1172"/>
      <c r="AU43" s="1172"/>
      <c r="AV43" s="1172"/>
      <c r="AW43" s="1172"/>
      <c r="AX43" s="1172"/>
      <c r="AY43" s="1175"/>
    </row>
    <row r="44" spans="1:51" ht="27" x14ac:dyDescent="0.25">
      <c r="A44" s="743"/>
      <c r="B44" s="743"/>
      <c r="C44" s="745"/>
      <c r="D44" s="544" t="s">
        <v>43</v>
      </c>
      <c r="E44" s="1161"/>
      <c r="F44" s="1161"/>
      <c r="G44" s="1162"/>
      <c r="H44" s="1161">
        <v>0.05</v>
      </c>
      <c r="I44" s="1161">
        <v>0.05</v>
      </c>
      <c r="J44" s="1161">
        <v>0.05</v>
      </c>
      <c r="K44" s="1163">
        <f t="shared" ref="K44:O45" si="12">K40+K42</f>
        <v>0.05</v>
      </c>
      <c r="L44" s="1161">
        <f t="shared" si="12"/>
        <v>0.05</v>
      </c>
      <c r="M44" s="1161">
        <f t="shared" si="12"/>
        <v>0.05</v>
      </c>
      <c r="N44" s="1164">
        <f t="shared" si="12"/>
        <v>0.05</v>
      </c>
      <c r="O44" s="1164">
        <f t="shared" si="12"/>
        <v>0.05</v>
      </c>
      <c r="P44" s="1164"/>
      <c r="Q44" s="1161"/>
      <c r="R44" s="1161"/>
      <c r="S44" s="1178"/>
      <c r="T44" s="1178"/>
      <c r="U44" s="1181">
        <v>8.6999999999999994E-3</v>
      </c>
      <c r="V44" s="1181">
        <v>1.2500000000000001E-2</v>
      </c>
      <c r="W44" s="1179">
        <v>1.6300000000000002E-2</v>
      </c>
      <c r="X44" s="1186">
        <f t="shared" ref="X44:AB45" si="13">X40+X42</f>
        <v>2.01E-2</v>
      </c>
      <c r="Y44" s="1178">
        <f t="shared" si="13"/>
        <v>2.53E-2</v>
      </c>
      <c r="Z44" s="1178">
        <f t="shared" si="13"/>
        <v>2.9499999999999998E-2</v>
      </c>
      <c r="AA44" s="1178">
        <f t="shared" si="13"/>
        <v>3.3500000000000002E-2</v>
      </c>
      <c r="AB44" s="1178">
        <f t="shared" si="13"/>
        <v>3.9E-2</v>
      </c>
      <c r="AC44" s="562"/>
      <c r="AD44" s="562"/>
      <c r="AE44" s="1161"/>
      <c r="AF44" s="1170"/>
      <c r="AG44" s="1171"/>
      <c r="AH44" s="1172"/>
      <c r="AI44" s="1172"/>
      <c r="AJ44" s="1172"/>
      <c r="AK44" s="1172"/>
      <c r="AL44" s="1172"/>
      <c r="AM44" s="1172"/>
      <c r="AN44" s="1174"/>
      <c r="AO44" s="1174"/>
      <c r="AP44" s="1174"/>
      <c r="AQ44" s="1172"/>
      <c r="AR44" s="1172"/>
      <c r="AS44" s="1172"/>
      <c r="AT44" s="1172"/>
      <c r="AU44" s="1172"/>
      <c r="AV44" s="1172"/>
      <c r="AW44" s="1172"/>
      <c r="AX44" s="1172"/>
      <c r="AY44" s="1175"/>
    </row>
    <row r="45" spans="1:51" ht="27" x14ac:dyDescent="0.25">
      <c r="A45" s="743"/>
      <c r="B45" s="743"/>
      <c r="C45" s="745"/>
      <c r="D45" s="545" t="s">
        <v>45</v>
      </c>
      <c r="E45" s="1165"/>
      <c r="F45" s="1165"/>
      <c r="G45" s="1162"/>
      <c r="H45" s="1161">
        <v>0</v>
      </c>
      <c r="I45" s="1161">
        <v>16147718.047330547</v>
      </c>
      <c r="J45" s="1161">
        <v>23235772.23</v>
      </c>
      <c r="K45" s="1163">
        <f t="shared" si="12"/>
        <v>38402265.83433073</v>
      </c>
      <c r="L45" s="1165">
        <f t="shared" si="12"/>
        <v>29752666.826806787</v>
      </c>
      <c r="M45" s="1161">
        <f t="shared" si="12"/>
        <v>34199915.97058294</v>
      </c>
      <c r="N45" s="1164">
        <f t="shared" si="12"/>
        <v>34199915.97058294</v>
      </c>
      <c r="O45" s="1164">
        <f t="shared" si="12"/>
        <v>26523839.900811985</v>
      </c>
      <c r="P45" s="1164"/>
      <c r="Q45" s="1161"/>
      <c r="R45" s="1165"/>
      <c r="S45" s="1165"/>
      <c r="T45" s="1165"/>
      <c r="U45" s="1161">
        <v>0</v>
      </c>
      <c r="V45" s="1179">
        <v>16147718.047330547</v>
      </c>
      <c r="W45" s="1161">
        <v>23235772.23</v>
      </c>
      <c r="X45" s="1163">
        <f t="shared" si="13"/>
        <v>38402265.83433073</v>
      </c>
      <c r="Y45" s="1165">
        <f t="shared" si="13"/>
        <v>29752666.826806787</v>
      </c>
      <c r="Z45" s="1165">
        <f t="shared" si="13"/>
        <v>34199915.97058294</v>
      </c>
      <c r="AA45" s="1165">
        <f t="shared" si="13"/>
        <v>30810905.496627703</v>
      </c>
      <c r="AB45" s="1165">
        <f t="shared" si="13"/>
        <v>26523839.900811985</v>
      </c>
      <c r="AC45" s="542"/>
      <c r="AD45" s="542"/>
      <c r="AE45" s="1165"/>
      <c r="AF45" s="1170"/>
      <c r="AG45" s="1171"/>
      <c r="AH45" s="1172"/>
      <c r="AI45" s="1172"/>
      <c r="AJ45" s="1172"/>
      <c r="AK45" s="1172"/>
      <c r="AL45" s="1172"/>
      <c r="AM45" s="1172"/>
      <c r="AN45" s="1174"/>
      <c r="AO45" s="1174"/>
      <c r="AP45" s="1174"/>
      <c r="AQ45" s="1172"/>
      <c r="AR45" s="1172"/>
      <c r="AS45" s="1172"/>
      <c r="AT45" s="1172"/>
      <c r="AU45" s="1172"/>
      <c r="AV45" s="1172"/>
      <c r="AW45" s="1172"/>
      <c r="AX45" s="1172"/>
      <c r="AY45" s="1175"/>
    </row>
    <row r="46" spans="1:51" ht="18" customHeight="1" x14ac:dyDescent="0.25">
      <c r="A46" s="743"/>
      <c r="B46" s="743"/>
      <c r="C46" s="745" t="s">
        <v>503</v>
      </c>
      <c r="D46" s="546" t="s">
        <v>41</v>
      </c>
      <c r="E46" s="1161"/>
      <c r="F46" s="1162"/>
      <c r="G46" s="1162"/>
      <c r="H46" s="1161">
        <v>0.05</v>
      </c>
      <c r="I46" s="1161">
        <v>0.05</v>
      </c>
      <c r="J46" s="1161">
        <v>0.05</v>
      </c>
      <c r="K46" s="1163">
        <v>0.05</v>
      </c>
      <c r="L46" s="1161">
        <v>0.05</v>
      </c>
      <c r="M46" s="1161">
        <v>0.05</v>
      </c>
      <c r="N46" s="1164">
        <v>0.05</v>
      </c>
      <c r="O46" s="1164">
        <v>0.05</v>
      </c>
      <c r="P46" s="1164"/>
      <c r="Q46" s="1165"/>
      <c r="R46" s="1161"/>
      <c r="S46" s="1166"/>
      <c r="T46" s="1166"/>
      <c r="U46" s="1167">
        <v>8.6999999999999994E-3</v>
      </c>
      <c r="V46" s="1167">
        <v>1.2500000000000001E-2</v>
      </c>
      <c r="W46" s="1167">
        <v>1.6300000000000002E-2</v>
      </c>
      <c r="X46" s="1168">
        <v>2.01E-2</v>
      </c>
      <c r="Y46" s="1169">
        <v>2.53E-2</v>
      </c>
      <c r="Z46" s="1167">
        <v>2.9499999999999998E-2</v>
      </c>
      <c r="AA46" s="1167">
        <v>3.3500000000000002E-2</v>
      </c>
      <c r="AB46" s="1167">
        <v>3.9E-2</v>
      </c>
      <c r="AC46" s="526"/>
      <c r="AD46" s="561"/>
      <c r="AE46" s="1161"/>
      <c r="AF46" s="1170" t="s">
        <v>693</v>
      </c>
      <c r="AG46" s="1171" t="s">
        <v>440</v>
      </c>
      <c r="AH46" s="1172" t="s">
        <v>572</v>
      </c>
      <c r="AI46" s="1172" t="s">
        <v>660</v>
      </c>
      <c r="AJ46" s="1172" t="s">
        <v>656</v>
      </c>
      <c r="AK46" s="1172" t="s">
        <v>435</v>
      </c>
      <c r="AL46" s="1172">
        <v>4</v>
      </c>
      <c r="AM46" s="1172" t="s">
        <v>71</v>
      </c>
      <c r="AN46" s="1174">
        <f>SUM(AO46:AP51)</f>
        <v>748035.05943483522</v>
      </c>
      <c r="AO46" s="1174">
        <v>360340.90694607492</v>
      </c>
      <c r="AP46" s="1174">
        <v>387694.1524887603</v>
      </c>
      <c r="AQ46" s="1172" t="s">
        <v>71</v>
      </c>
      <c r="AR46" s="1172" t="s">
        <v>71</v>
      </c>
      <c r="AS46" s="1172" t="s">
        <v>71</v>
      </c>
      <c r="AT46" s="1172" t="s">
        <v>71</v>
      </c>
      <c r="AU46" s="1172" t="s">
        <v>71</v>
      </c>
      <c r="AV46" s="1172" t="s">
        <v>71</v>
      </c>
      <c r="AW46" s="1172" t="s">
        <v>71</v>
      </c>
      <c r="AX46" s="1172" t="s">
        <v>71</v>
      </c>
      <c r="AY46" s="1175"/>
    </row>
    <row r="47" spans="1:51" ht="18" x14ac:dyDescent="0.25">
      <c r="A47" s="743"/>
      <c r="B47" s="743"/>
      <c r="C47" s="745"/>
      <c r="D47" s="545" t="s">
        <v>3</v>
      </c>
      <c r="E47" s="1165"/>
      <c r="F47" s="1165"/>
      <c r="G47" s="1162"/>
      <c r="H47" s="1161">
        <v>7039215.0621353379</v>
      </c>
      <c r="I47" s="1161">
        <v>202113928.27731279</v>
      </c>
      <c r="J47" s="1161">
        <v>138889589.75999999</v>
      </c>
      <c r="K47" s="1163">
        <v>100923357.01686122</v>
      </c>
      <c r="L47" s="1165">
        <v>140073205.2088767</v>
      </c>
      <c r="M47" s="1165">
        <v>162831186.10614881</v>
      </c>
      <c r="N47" s="1164">
        <v>162831186.10614881</v>
      </c>
      <c r="O47" s="1164">
        <v>152119321.35447448</v>
      </c>
      <c r="P47" s="1164"/>
      <c r="Q47" s="1165"/>
      <c r="R47" s="1165"/>
      <c r="S47" s="564"/>
      <c r="T47" s="564"/>
      <c r="U47" s="565">
        <v>7039215.0621353379</v>
      </c>
      <c r="V47" s="540">
        <v>202113928.27731279</v>
      </c>
      <c r="W47" s="565">
        <v>138889589.75999999</v>
      </c>
      <c r="X47" s="1184">
        <v>100923357.01686122</v>
      </c>
      <c r="Y47" s="1185">
        <v>140073205.2088767</v>
      </c>
      <c r="Z47" s="564">
        <v>162831186.10614881</v>
      </c>
      <c r="AA47" s="564">
        <v>159523902.85443121</v>
      </c>
      <c r="AB47" s="563">
        <v>152119321.35447448</v>
      </c>
      <c r="AC47" s="562"/>
      <c r="AD47" s="562"/>
      <c r="AE47" s="1165"/>
      <c r="AF47" s="1170"/>
      <c r="AG47" s="1171"/>
      <c r="AH47" s="1172"/>
      <c r="AI47" s="1172"/>
      <c r="AJ47" s="1172"/>
      <c r="AK47" s="1172"/>
      <c r="AL47" s="1172"/>
      <c r="AM47" s="1172"/>
      <c r="AN47" s="1174"/>
      <c r="AO47" s="1174"/>
      <c r="AP47" s="1174"/>
      <c r="AQ47" s="1172"/>
      <c r="AR47" s="1172"/>
      <c r="AS47" s="1172"/>
      <c r="AT47" s="1172"/>
      <c r="AU47" s="1172"/>
      <c r="AV47" s="1172"/>
      <c r="AW47" s="1172"/>
      <c r="AX47" s="1172"/>
      <c r="AY47" s="1175"/>
    </row>
    <row r="48" spans="1:51" ht="27" x14ac:dyDescent="0.25">
      <c r="A48" s="743"/>
      <c r="B48" s="743"/>
      <c r="C48" s="745"/>
      <c r="D48" s="544" t="s">
        <v>42</v>
      </c>
      <c r="E48" s="1161"/>
      <c r="F48" s="1161"/>
      <c r="G48" s="1162"/>
      <c r="H48" s="1161">
        <v>0</v>
      </c>
      <c r="I48" s="1161">
        <v>0</v>
      </c>
      <c r="J48" s="1161">
        <v>0</v>
      </c>
      <c r="K48" s="1163">
        <v>0</v>
      </c>
      <c r="L48" s="1161">
        <v>0</v>
      </c>
      <c r="M48" s="1161">
        <v>0</v>
      </c>
      <c r="N48" s="1164">
        <v>0</v>
      </c>
      <c r="O48" s="1164">
        <v>0</v>
      </c>
      <c r="P48" s="1164"/>
      <c r="Q48" s="1161"/>
      <c r="R48" s="1161"/>
      <c r="S48" s="1178"/>
      <c r="T48" s="1178"/>
      <c r="U48" s="1179">
        <v>0</v>
      </c>
      <c r="V48" s="1179">
        <v>0</v>
      </c>
      <c r="W48" s="1179">
        <v>0</v>
      </c>
      <c r="X48" s="1186">
        <v>0</v>
      </c>
      <c r="Y48" s="1178">
        <v>0</v>
      </c>
      <c r="Z48" s="1178">
        <v>0</v>
      </c>
      <c r="AA48" s="1178">
        <v>0</v>
      </c>
      <c r="AB48" s="1178">
        <v>0</v>
      </c>
      <c r="AC48" s="562"/>
      <c r="AD48" s="562"/>
      <c r="AE48" s="1161"/>
      <c r="AF48" s="1170"/>
      <c r="AG48" s="1171"/>
      <c r="AH48" s="1172"/>
      <c r="AI48" s="1172"/>
      <c r="AJ48" s="1172"/>
      <c r="AK48" s="1172"/>
      <c r="AL48" s="1172"/>
      <c r="AM48" s="1172"/>
      <c r="AN48" s="1174"/>
      <c r="AO48" s="1174"/>
      <c r="AP48" s="1174"/>
      <c r="AQ48" s="1172"/>
      <c r="AR48" s="1172"/>
      <c r="AS48" s="1172"/>
      <c r="AT48" s="1172"/>
      <c r="AU48" s="1172"/>
      <c r="AV48" s="1172"/>
      <c r="AW48" s="1172"/>
      <c r="AX48" s="1172"/>
      <c r="AY48" s="1175"/>
    </row>
    <row r="49" spans="1:51" ht="27" x14ac:dyDescent="0.25">
      <c r="A49" s="743"/>
      <c r="B49" s="743"/>
      <c r="C49" s="745"/>
      <c r="D49" s="545" t="s">
        <v>4</v>
      </c>
      <c r="E49" s="1161"/>
      <c r="F49" s="1161"/>
      <c r="G49" s="1162"/>
      <c r="H49" s="1161">
        <v>0</v>
      </c>
      <c r="I49" s="1161">
        <v>0</v>
      </c>
      <c r="J49" s="1161">
        <v>0</v>
      </c>
      <c r="K49" s="1163">
        <v>0</v>
      </c>
      <c r="L49" s="1161">
        <v>0</v>
      </c>
      <c r="M49" s="1161">
        <v>0</v>
      </c>
      <c r="N49" s="1164">
        <v>0</v>
      </c>
      <c r="O49" s="1164">
        <v>0</v>
      </c>
      <c r="P49" s="1164"/>
      <c r="Q49" s="1161"/>
      <c r="R49" s="1161"/>
      <c r="S49" s="1178"/>
      <c r="T49" s="1178"/>
      <c r="U49" s="1179">
        <v>0</v>
      </c>
      <c r="V49" s="1179">
        <v>0</v>
      </c>
      <c r="W49" s="1179">
        <v>0</v>
      </c>
      <c r="X49" s="1186">
        <v>0</v>
      </c>
      <c r="Y49" s="1178">
        <v>0</v>
      </c>
      <c r="Z49" s="1178">
        <v>0</v>
      </c>
      <c r="AA49" s="1178">
        <v>0</v>
      </c>
      <c r="AB49" s="1178">
        <v>0</v>
      </c>
      <c r="AC49" s="562"/>
      <c r="AD49" s="562"/>
      <c r="AE49" s="1161"/>
      <c r="AF49" s="1170"/>
      <c r="AG49" s="1171"/>
      <c r="AH49" s="1172"/>
      <c r="AI49" s="1172"/>
      <c r="AJ49" s="1172"/>
      <c r="AK49" s="1172"/>
      <c r="AL49" s="1172"/>
      <c r="AM49" s="1172"/>
      <c r="AN49" s="1174"/>
      <c r="AO49" s="1174"/>
      <c r="AP49" s="1174"/>
      <c r="AQ49" s="1172"/>
      <c r="AR49" s="1172"/>
      <c r="AS49" s="1172"/>
      <c r="AT49" s="1172"/>
      <c r="AU49" s="1172"/>
      <c r="AV49" s="1172"/>
      <c r="AW49" s="1172"/>
      <c r="AX49" s="1172"/>
      <c r="AY49" s="1175"/>
    </row>
    <row r="50" spans="1:51" ht="27" x14ac:dyDescent="0.25">
      <c r="A50" s="743"/>
      <c r="B50" s="743"/>
      <c r="C50" s="745"/>
      <c r="D50" s="544" t="s">
        <v>43</v>
      </c>
      <c r="E50" s="1161"/>
      <c r="F50" s="1161"/>
      <c r="G50" s="1162"/>
      <c r="H50" s="1161">
        <v>0.05</v>
      </c>
      <c r="I50" s="1161">
        <v>0.05</v>
      </c>
      <c r="J50" s="1161">
        <v>0.05</v>
      </c>
      <c r="K50" s="1163">
        <f t="shared" ref="K50:O51" si="14">K46+K48</f>
        <v>0.05</v>
      </c>
      <c r="L50" s="1161">
        <f t="shared" si="14"/>
        <v>0.05</v>
      </c>
      <c r="M50" s="1161">
        <f t="shared" si="14"/>
        <v>0.05</v>
      </c>
      <c r="N50" s="1164">
        <f t="shared" si="14"/>
        <v>0.05</v>
      </c>
      <c r="O50" s="1164">
        <f t="shared" si="14"/>
        <v>0.05</v>
      </c>
      <c r="P50" s="1164"/>
      <c r="Q50" s="1161"/>
      <c r="R50" s="1161"/>
      <c r="S50" s="1178"/>
      <c r="T50" s="1178"/>
      <c r="U50" s="1179">
        <v>8.6999999999999994E-3</v>
      </c>
      <c r="V50" s="1179">
        <v>1.2500000000000001E-2</v>
      </c>
      <c r="W50" s="1179">
        <v>1.6300000000000002E-2</v>
      </c>
      <c r="X50" s="1186">
        <f t="shared" ref="X50:AB51" si="15">X46+X48</f>
        <v>2.01E-2</v>
      </c>
      <c r="Y50" s="1178">
        <f t="shared" si="15"/>
        <v>2.53E-2</v>
      </c>
      <c r="Z50" s="1178">
        <f t="shared" si="15"/>
        <v>2.9499999999999998E-2</v>
      </c>
      <c r="AA50" s="1178">
        <f t="shared" si="15"/>
        <v>3.3500000000000002E-2</v>
      </c>
      <c r="AB50" s="1178">
        <f t="shared" si="15"/>
        <v>3.9E-2</v>
      </c>
      <c r="AC50" s="562"/>
      <c r="AD50" s="562"/>
      <c r="AE50" s="1161"/>
      <c r="AF50" s="1170"/>
      <c r="AG50" s="1171"/>
      <c r="AH50" s="1172"/>
      <c r="AI50" s="1172"/>
      <c r="AJ50" s="1172"/>
      <c r="AK50" s="1172"/>
      <c r="AL50" s="1172"/>
      <c r="AM50" s="1172"/>
      <c r="AN50" s="1174"/>
      <c r="AO50" s="1174"/>
      <c r="AP50" s="1174"/>
      <c r="AQ50" s="1172"/>
      <c r="AR50" s="1172"/>
      <c r="AS50" s="1172"/>
      <c r="AT50" s="1172"/>
      <c r="AU50" s="1172"/>
      <c r="AV50" s="1172"/>
      <c r="AW50" s="1172"/>
      <c r="AX50" s="1172"/>
      <c r="AY50" s="1175"/>
    </row>
    <row r="51" spans="1:51" ht="27" x14ac:dyDescent="0.25">
      <c r="A51" s="743"/>
      <c r="B51" s="743"/>
      <c r="C51" s="745"/>
      <c r="D51" s="545" t="s">
        <v>45</v>
      </c>
      <c r="E51" s="1165"/>
      <c r="F51" s="1165"/>
      <c r="G51" s="1162"/>
      <c r="H51" s="1161">
        <v>7039215.0621353379</v>
      </c>
      <c r="I51" s="1161">
        <v>202113928.27731279</v>
      </c>
      <c r="J51" s="1161">
        <v>138889589.75999999</v>
      </c>
      <c r="K51" s="1163">
        <f t="shared" si="14"/>
        <v>100923357.01686122</v>
      </c>
      <c r="L51" s="1165">
        <f t="shared" si="14"/>
        <v>140073205.2088767</v>
      </c>
      <c r="M51" s="1161">
        <f t="shared" si="14"/>
        <v>162831186.10614881</v>
      </c>
      <c r="N51" s="1164">
        <f t="shared" si="14"/>
        <v>162831186.10614881</v>
      </c>
      <c r="O51" s="1164">
        <f t="shared" si="14"/>
        <v>152119321.35447448</v>
      </c>
      <c r="P51" s="1164"/>
      <c r="Q51" s="1161"/>
      <c r="R51" s="1165"/>
      <c r="S51" s="1165"/>
      <c r="T51" s="1165"/>
      <c r="U51" s="1161">
        <v>7039215.0621353379</v>
      </c>
      <c r="V51" s="1179">
        <v>202113928.27731279</v>
      </c>
      <c r="W51" s="1161">
        <v>138889589.75999999</v>
      </c>
      <c r="X51" s="1163">
        <f t="shared" si="15"/>
        <v>100923357.01686122</v>
      </c>
      <c r="Y51" s="1165">
        <f t="shared" si="15"/>
        <v>140073205.2088767</v>
      </c>
      <c r="Z51" s="1165">
        <f t="shared" si="15"/>
        <v>162831186.10614881</v>
      </c>
      <c r="AA51" s="1165">
        <f t="shared" si="15"/>
        <v>159523902.85443121</v>
      </c>
      <c r="AB51" s="1165">
        <f t="shared" si="15"/>
        <v>152119321.35447448</v>
      </c>
      <c r="AC51" s="542"/>
      <c r="AD51" s="542"/>
      <c r="AE51" s="1165"/>
      <c r="AF51" s="1170"/>
      <c r="AG51" s="1171"/>
      <c r="AH51" s="1172"/>
      <c r="AI51" s="1172"/>
      <c r="AJ51" s="1172"/>
      <c r="AK51" s="1172"/>
      <c r="AL51" s="1172"/>
      <c r="AM51" s="1172"/>
      <c r="AN51" s="1174"/>
      <c r="AO51" s="1174"/>
      <c r="AP51" s="1174"/>
      <c r="AQ51" s="1172"/>
      <c r="AR51" s="1172"/>
      <c r="AS51" s="1172"/>
      <c r="AT51" s="1172"/>
      <c r="AU51" s="1172"/>
      <c r="AV51" s="1172"/>
      <c r="AW51" s="1172"/>
      <c r="AX51" s="1172"/>
      <c r="AY51" s="1175"/>
    </row>
    <row r="52" spans="1:51" ht="18" customHeight="1" x14ac:dyDescent="0.25">
      <c r="A52" s="743"/>
      <c r="B52" s="743"/>
      <c r="C52" s="745" t="s">
        <v>504</v>
      </c>
      <c r="D52" s="546" t="s">
        <v>41</v>
      </c>
      <c r="E52" s="1161"/>
      <c r="F52" s="1162"/>
      <c r="G52" s="1162"/>
      <c r="H52" s="1161">
        <v>0.05</v>
      </c>
      <c r="I52" s="1161">
        <v>0.05</v>
      </c>
      <c r="J52" s="1161">
        <v>0.05</v>
      </c>
      <c r="K52" s="1163">
        <v>0.05</v>
      </c>
      <c r="L52" s="1161">
        <v>0.05</v>
      </c>
      <c r="M52" s="1161">
        <v>0.05</v>
      </c>
      <c r="N52" s="1164">
        <v>0.05</v>
      </c>
      <c r="O52" s="1164">
        <v>0.05</v>
      </c>
      <c r="P52" s="1164"/>
      <c r="Q52" s="1165"/>
      <c r="R52" s="1161"/>
      <c r="S52" s="1166"/>
      <c r="T52" s="1166"/>
      <c r="U52" s="1167">
        <v>8.6999999999999994E-3</v>
      </c>
      <c r="V52" s="1167">
        <v>1.2500000000000001E-2</v>
      </c>
      <c r="W52" s="1167">
        <v>1.6300000000000002E-2</v>
      </c>
      <c r="X52" s="1168">
        <v>2.01E-2</v>
      </c>
      <c r="Y52" s="1169">
        <v>2.53E-2</v>
      </c>
      <c r="Z52" s="1167">
        <v>2.9499999999999998E-2</v>
      </c>
      <c r="AA52" s="1167">
        <v>3.3500000000000002E-2</v>
      </c>
      <c r="AB52" s="1167">
        <v>3.9E-2</v>
      </c>
      <c r="AC52" s="539"/>
      <c r="AD52" s="542"/>
      <c r="AE52" s="1161"/>
      <c r="AF52" s="1170" t="s">
        <v>694</v>
      </c>
      <c r="AG52" s="1171" t="s">
        <v>445</v>
      </c>
      <c r="AH52" s="1172" t="s">
        <v>634</v>
      </c>
      <c r="AI52" s="1172" t="s">
        <v>661</v>
      </c>
      <c r="AJ52" s="1172" t="s">
        <v>656</v>
      </c>
      <c r="AK52" s="1172" t="s">
        <v>435</v>
      </c>
      <c r="AL52" s="1172">
        <v>4</v>
      </c>
      <c r="AM52" s="1172" t="s">
        <v>71</v>
      </c>
      <c r="AN52" s="1174">
        <f t="shared" ref="AN52" si="16">SUM(AO52:AP57)</f>
        <v>1098451.9476729208</v>
      </c>
      <c r="AO52" s="1174">
        <v>525761.27298806014</v>
      </c>
      <c r="AP52" s="1174">
        <v>572690.67468486074</v>
      </c>
      <c r="AQ52" s="1172" t="s">
        <v>71</v>
      </c>
      <c r="AR52" s="1172" t="s">
        <v>71</v>
      </c>
      <c r="AS52" s="1172" t="s">
        <v>71</v>
      </c>
      <c r="AT52" s="1172" t="s">
        <v>71</v>
      </c>
      <c r="AU52" s="1172" t="s">
        <v>71</v>
      </c>
      <c r="AV52" s="1172" t="s">
        <v>71</v>
      </c>
      <c r="AW52" s="1172" t="s">
        <v>71</v>
      </c>
      <c r="AX52" s="1172" t="s">
        <v>71</v>
      </c>
      <c r="AY52" s="1175"/>
    </row>
    <row r="53" spans="1:51" ht="18" x14ac:dyDescent="0.25">
      <c r="A53" s="743"/>
      <c r="B53" s="743"/>
      <c r="C53" s="745"/>
      <c r="D53" s="545" t="s">
        <v>3</v>
      </c>
      <c r="E53" s="1165"/>
      <c r="F53" s="1165"/>
      <c r="G53" s="1162"/>
      <c r="H53" s="1161">
        <v>100692354.36144476</v>
      </c>
      <c r="I53" s="1161">
        <v>193812776.48218387</v>
      </c>
      <c r="J53" s="1161">
        <v>289842426.52999997</v>
      </c>
      <c r="K53" s="1163">
        <v>296515120.89527309</v>
      </c>
      <c r="L53" s="1165">
        <v>288868432.26115113</v>
      </c>
      <c r="M53" s="1165">
        <v>259771295.46062309</v>
      </c>
      <c r="N53" s="1164">
        <v>259771295.46062309</v>
      </c>
      <c r="O53" s="1164">
        <v>261493500.49905694</v>
      </c>
      <c r="P53" s="1164"/>
      <c r="Q53" s="1165"/>
      <c r="R53" s="1165"/>
      <c r="S53" s="564"/>
      <c r="T53" s="564"/>
      <c r="U53" s="565">
        <v>100692354.36144476</v>
      </c>
      <c r="V53" s="540">
        <v>193812776.48218387</v>
      </c>
      <c r="W53" s="565">
        <v>289842426.52999997</v>
      </c>
      <c r="X53" s="1184">
        <v>296515120.89527309</v>
      </c>
      <c r="Y53" s="564">
        <v>288868432.26115113</v>
      </c>
      <c r="Z53" s="564">
        <v>259771295.46062309</v>
      </c>
      <c r="AA53" s="564">
        <v>295157855.68129128</v>
      </c>
      <c r="AB53" s="563">
        <v>261493500.49905694</v>
      </c>
      <c r="AC53" s="562"/>
      <c r="AD53" s="562"/>
      <c r="AE53" s="1165"/>
      <c r="AF53" s="1170"/>
      <c r="AG53" s="1171"/>
      <c r="AH53" s="1172"/>
      <c r="AI53" s="1172"/>
      <c r="AJ53" s="1172"/>
      <c r="AK53" s="1172"/>
      <c r="AL53" s="1172"/>
      <c r="AM53" s="1172"/>
      <c r="AN53" s="1174"/>
      <c r="AO53" s="1174"/>
      <c r="AP53" s="1174"/>
      <c r="AQ53" s="1172"/>
      <c r="AR53" s="1172"/>
      <c r="AS53" s="1172"/>
      <c r="AT53" s="1172"/>
      <c r="AU53" s="1172"/>
      <c r="AV53" s="1172"/>
      <c r="AW53" s="1172"/>
      <c r="AX53" s="1172"/>
      <c r="AY53" s="1175"/>
    </row>
    <row r="54" spans="1:51" ht="27" x14ac:dyDescent="0.25">
      <c r="A54" s="743"/>
      <c r="B54" s="743"/>
      <c r="C54" s="745"/>
      <c r="D54" s="544" t="s">
        <v>42</v>
      </c>
      <c r="E54" s="1161"/>
      <c r="F54" s="1161"/>
      <c r="G54" s="1162"/>
      <c r="H54" s="1161">
        <v>0</v>
      </c>
      <c r="I54" s="1161">
        <v>0</v>
      </c>
      <c r="J54" s="1161">
        <v>0</v>
      </c>
      <c r="K54" s="1163">
        <v>0</v>
      </c>
      <c r="L54" s="1161">
        <v>0</v>
      </c>
      <c r="M54" s="1161">
        <v>0</v>
      </c>
      <c r="N54" s="1164">
        <v>0</v>
      </c>
      <c r="O54" s="1164">
        <v>0</v>
      </c>
      <c r="P54" s="1164"/>
      <c r="Q54" s="1161"/>
      <c r="R54" s="1161"/>
      <c r="S54" s="1178"/>
      <c r="T54" s="1178"/>
      <c r="U54" s="1179">
        <v>0</v>
      </c>
      <c r="V54" s="1179">
        <v>0</v>
      </c>
      <c r="W54" s="1179">
        <v>0</v>
      </c>
      <c r="X54" s="1186">
        <v>0</v>
      </c>
      <c r="Y54" s="1178">
        <v>0</v>
      </c>
      <c r="Z54" s="1178">
        <v>0</v>
      </c>
      <c r="AA54" s="1178">
        <v>0</v>
      </c>
      <c r="AB54" s="1178">
        <v>0</v>
      </c>
      <c r="AC54" s="562"/>
      <c r="AD54" s="562"/>
      <c r="AE54" s="1161"/>
      <c r="AF54" s="1170"/>
      <c r="AG54" s="1171"/>
      <c r="AH54" s="1172"/>
      <c r="AI54" s="1172"/>
      <c r="AJ54" s="1172"/>
      <c r="AK54" s="1172"/>
      <c r="AL54" s="1172"/>
      <c r="AM54" s="1172"/>
      <c r="AN54" s="1174"/>
      <c r="AO54" s="1174"/>
      <c r="AP54" s="1174"/>
      <c r="AQ54" s="1172"/>
      <c r="AR54" s="1172"/>
      <c r="AS54" s="1172"/>
      <c r="AT54" s="1172"/>
      <c r="AU54" s="1172"/>
      <c r="AV54" s="1172"/>
      <c r="AW54" s="1172"/>
      <c r="AX54" s="1172"/>
      <c r="AY54" s="1175"/>
    </row>
    <row r="55" spans="1:51" ht="27" x14ac:dyDescent="0.25">
      <c r="A55" s="743"/>
      <c r="B55" s="743"/>
      <c r="C55" s="745"/>
      <c r="D55" s="545" t="s">
        <v>4</v>
      </c>
      <c r="E55" s="1161"/>
      <c r="F55" s="1161"/>
      <c r="G55" s="1162"/>
      <c r="H55" s="1161">
        <v>0</v>
      </c>
      <c r="I55" s="1161">
        <v>0</v>
      </c>
      <c r="J55" s="1161">
        <v>0</v>
      </c>
      <c r="K55" s="1163">
        <v>0</v>
      </c>
      <c r="L55" s="1161">
        <v>0</v>
      </c>
      <c r="M55" s="1161">
        <v>0</v>
      </c>
      <c r="N55" s="1164">
        <v>0</v>
      </c>
      <c r="O55" s="1164">
        <v>0</v>
      </c>
      <c r="P55" s="1164"/>
      <c r="Q55" s="1161"/>
      <c r="R55" s="1161"/>
      <c r="S55" s="1178"/>
      <c r="T55" s="1178"/>
      <c r="U55" s="1179">
        <v>0</v>
      </c>
      <c r="V55" s="1179">
        <v>0</v>
      </c>
      <c r="W55" s="1179">
        <v>0</v>
      </c>
      <c r="X55" s="1186">
        <v>0</v>
      </c>
      <c r="Y55" s="1178">
        <v>0</v>
      </c>
      <c r="Z55" s="1178">
        <v>0</v>
      </c>
      <c r="AA55" s="1178">
        <v>0</v>
      </c>
      <c r="AB55" s="1178">
        <v>0</v>
      </c>
      <c r="AC55" s="562"/>
      <c r="AD55" s="562"/>
      <c r="AE55" s="1161"/>
      <c r="AF55" s="1170"/>
      <c r="AG55" s="1171"/>
      <c r="AH55" s="1172"/>
      <c r="AI55" s="1172"/>
      <c r="AJ55" s="1172"/>
      <c r="AK55" s="1172"/>
      <c r="AL55" s="1172"/>
      <c r="AM55" s="1172"/>
      <c r="AN55" s="1174"/>
      <c r="AO55" s="1174"/>
      <c r="AP55" s="1174"/>
      <c r="AQ55" s="1172"/>
      <c r="AR55" s="1172"/>
      <c r="AS55" s="1172"/>
      <c r="AT55" s="1172"/>
      <c r="AU55" s="1172"/>
      <c r="AV55" s="1172"/>
      <c r="AW55" s="1172"/>
      <c r="AX55" s="1172"/>
      <c r="AY55" s="1175"/>
    </row>
    <row r="56" spans="1:51" ht="27" x14ac:dyDescent="0.25">
      <c r="A56" s="743"/>
      <c r="B56" s="743"/>
      <c r="C56" s="745"/>
      <c r="D56" s="544" t="s">
        <v>43</v>
      </c>
      <c r="E56" s="1161"/>
      <c r="F56" s="1161"/>
      <c r="G56" s="1162"/>
      <c r="H56" s="1161">
        <v>0.05</v>
      </c>
      <c r="I56" s="1161">
        <v>0.05</v>
      </c>
      <c r="J56" s="1161">
        <v>0.05</v>
      </c>
      <c r="K56" s="1163">
        <f t="shared" ref="K56:O57" si="17">K52+K54</f>
        <v>0.05</v>
      </c>
      <c r="L56" s="1161">
        <f t="shared" si="17"/>
        <v>0.05</v>
      </c>
      <c r="M56" s="1161">
        <f t="shared" si="17"/>
        <v>0.05</v>
      </c>
      <c r="N56" s="1164">
        <f t="shared" si="17"/>
        <v>0.05</v>
      </c>
      <c r="O56" s="1164">
        <f t="shared" si="17"/>
        <v>0.05</v>
      </c>
      <c r="P56" s="1164"/>
      <c r="Q56" s="1161"/>
      <c r="R56" s="1161"/>
      <c r="S56" s="1178"/>
      <c r="T56" s="1178"/>
      <c r="U56" s="1181">
        <v>8.6999999999999994E-3</v>
      </c>
      <c r="V56" s="1181">
        <v>1.2500000000000001E-2</v>
      </c>
      <c r="W56" s="1179">
        <v>1.6300000000000002E-2</v>
      </c>
      <c r="X56" s="1186">
        <f t="shared" ref="X56:AB57" si="18">X52+X54</f>
        <v>2.01E-2</v>
      </c>
      <c r="Y56" s="1178">
        <f t="shared" si="18"/>
        <v>2.53E-2</v>
      </c>
      <c r="Z56" s="1178">
        <f t="shared" si="18"/>
        <v>2.9499999999999998E-2</v>
      </c>
      <c r="AA56" s="1178">
        <f t="shared" si="18"/>
        <v>3.3500000000000002E-2</v>
      </c>
      <c r="AB56" s="1178">
        <f t="shared" si="18"/>
        <v>3.9E-2</v>
      </c>
      <c r="AC56" s="562"/>
      <c r="AD56" s="562"/>
      <c r="AE56" s="1161"/>
      <c r="AF56" s="1170"/>
      <c r="AG56" s="1171"/>
      <c r="AH56" s="1172"/>
      <c r="AI56" s="1172"/>
      <c r="AJ56" s="1172"/>
      <c r="AK56" s="1172"/>
      <c r="AL56" s="1172"/>
      <c r="AM56" s="1172"/>
      <c r="AN56" s="1174"/>
      <c r="AO56" s="1174"/>
      <c r="AP56" s="1174"/>
      <c r="AQ56" s="1172"/>
      <c r="AR56" s="1172"/>
      <c r="AS56" s="1172"/>
      <c r="AT56" s="1172"/>
      <c r="AU56" s="1172"/>
      <c r="AV56" s="1172"/>
      <c r="AW56" s="1172"/>
      <c r="AX56" s="1172"/>
      <c r="AY56" s="1175"/>
    </row>
    <row r="57" spans="1:51" ht="27" x14ac:dyDescent="0.25">
      <c r="A57" s="743"/>
      <c r="B57" s="743"/>
      <c r="C57" s="745"/>
      <c r="D57" s="545" t="s">
        <v>45</v>
      </c>
      <c r="E57" s="1165"/>
      <c r="F57" s="1165"/>
      <c r="G57" s="1162"/>
      <c r="H57" s="1161">
        <v>100692354.36144476</v>
      </c>
      <c r="I57" s="1161">
        <v>193812776.48218387</v>
      </c>
      <c r="J57" s="1161">
        <v>289842426.52999997</v>
      </c>
      <c r="K57" s="1163">
        <f t="shared" si="17"/>
        <v>296515120.89527309</v>
      </c>
      <c r="L57" s="1165">
        <f t="shared" si="17"/>
        <v>288868432.26115113</v>
      </c>
      <c r="M57" s="1161">
        <f t="shared" si="17"/>
        <v>259771295.46062309</v>
      </c>
      <c r="N57" s="1164">
        <f t="shared" si="17"/>
        <v>259771295.46062309</v>
      </c>
      <c r="O57" s="1164">
        <f t="shared" si="17"/>
        <v>261493500.49905694</v>
      </c>
      <c r="P57" s="1164"/>
      <c r="Q57" s="1161"/>
      <c r="R57" s="1165"/>
      <c r="S57" s="1165"/>
      <c r="T57" s="1165"/>
      <c r="U57" s="1161">
        <v>100692354.36144476</v>
      </c>
      <c r="V57" s="1179">
        <v>193812776.48218387</v>
      </c>
      <c r="W57" s="1161">
        <v>289842426.52999997</v>
      </c>
      <c r="X57" s="1163">
        <f t="shared" si="18"/>
        <v>296515120.89527309</v>
      </c>
      <c r="Y57" s="1165">
        <f t="shared" si="18"/>
        <v>288868432.26115113</v>
      </c>
      <c r="Z57" s="1165">
        <f t="shared" si="18"/>
        <v>259771295.46062309</v>
      </c>
      <c r="AA57" s="1165">
        <f t="shared" si="18"/>
        <v>295157855.68129128</v>
      </c>
      <c r="AB57" s="1165">
        <f t="shared" si="18"/>
        <v>261493500.49905694</v>
      </c>
      <c r="AC57" s="542"/>
      <c r="AD57" s="542"/>
      <c r="AE57" s="1165"/>
      <c r="AF57" s="1170"/>
      <c r="AG57" s="1171"/>
      <c r="AH57" s="1172"/>
      <c r="AI57" s="1172"/>
      <c r="AJ57" s="1172"/>
      <c r="AK57" s="1172"/>
      <c r="AL57" s="1172"/>
      <c r="AM57" s="1172"/>
      <c r="AN57" s="1174"/>
      <c r="AO57" s="1174"/>
      <c r="AP57" s="1174"/>
      <c r="AQ57" s="1172"/>
      <c r="AR57" s="1172"/>
      <c r="AS57" s="1172"/>
      <c r="AT57" s="1172"/>
      <c r="AU57" s="1172"/>
      <c r="AV57" s="1172"/>
      <c r="AW57" s="1172"/>
      <c r="AX57" s="1172"/>
      <c r="AY57" s="1175"/>
    </row>
    <row r="58" spans="1:51" ht="18" customHeight="1" x14ac:dyDescent="0.25">
      <c r="A58" s="743"/>
      <c r="B58" s="743"/>
      <c r="C58" s="745" t="s">
        <v>505</v>
      </c>
      <c r="D58" s="546" t="s">
        <v>41</v>
      </c>
      <c r="E58" s="1161"/>
      <c r="F58" s="1162"/>
      <c r="G58" s="1162"/>
      <c r="H58" s="1161">
        <v>0.05</v>
      </c>
      <c r="I58" s="1161">
        <v>0.05</v>
      </c>
      <c r="J58" s="1161">
        <v>0.05</v>
      </c>
      <c r="K58" s="1163">
        <v>0.05</v>
      </c>
      <c r="L58" s="1161">
        <v>0.05</v>
      </c>
      <c r="M58" s="1161">
        <v>0.05</v>
      </c>
      <c r="N58" s="1164">
        <v>0.05</v>
      </c>
      <c r="O58" s="1164">
        <v>0.05</v>
      </c>
      <c r="P58" s="1164"/>
      <c r="Q58" s="1165"/>
      <c r="R58" s="1161"/>
      <c r="S58" s="1166"/>
      <c r="T58" s="1166"/>
      <c r="U58" s="1167">
        <v>8.6999999999999994E-3</v>
      </c>
      <c r="V58" s="1167">
        <v>1.2500000000000001E-2</v>
      </c>
      <c r="W58" s="1167">
        <v>1.6300000000000002E-2</v>
      </c>
      <c r="X58" s="1168">
        <v>2.01E-2</v>
      </c>
      <c r="Y58" s="1169">
        <v>2.53E-2</v>
      </c>
      <c r="Z58" s="1167">
        <v>2.9499999999999998E-2</v>
      </c>
      <c r="AA58" s="1167">
        <v>3.3500000000000002E-2</v>
      </c>
      <c r="AB58" s="1167">
        <v>3.9E-2</v>
      </c>
      <c r="AC58" s="539"/>
      <c r="AD58" s="542"/>
      <c r="AE58" s="1161"/>
      <c r="AF58" s="1170" t="s">
        <v>695</v>
      </c>
      <c r="AG58" s="1171" t="s">
        <v>444</v>
      </c>
      <c r="AH58" s="1172" t="s">
        <v>573</v>
      </c>
      <c r="AI58" s="1172" t="s">
        <v>635</v>
      </c>
      <c r="AJ58" s="1172" t="s">
        <v>656</v>
      </c>
      <c r="AK58" s="1172" t="s">
        <v>435</v>
      </c>
      <c r="AL58" s="1172"/>
      <c r="AM58" s="1172" t="s">
        <v>71</v>
      </c>
      <c r="AN58" s="1174">
        <f t="shared" ref="AN58:AN100" si="19">SUM(AO58:AP63)</f>
        <v>394712.79130635085</v>
      </c>
      <c r="AO58" s="1174">
        <v>187079.12319752673</v>
      </c>
      <c r="AP58" s="1174">
        <v>207633.66810882412</v>
      </c>
      <c r="AQ58" s="1172" t="s">
        <v>71</v>
      </c>
      <c r="AR58" s="1172" t="s">
        <v>71</v>
      </c>
      <c r="AS58" s="1172" t="s">
        <v>71</v>
      </c>
      <c r="AT58" s="1172" t="s">
        <v>71</v>
      </c>
      <c r="AU58" s="1172" t="s">
        <v>71</v>
      </c>
      <c r="AV58" s="1172" t="s">
        <v>71</v>
      </c>
      <c r="AW58" s="1172" t="s">
        <v>71</v>
      </c>
      <c r="AX58" s="1172" t="s">
        <v>71</v>
      </c>
      <c r="AY58" s="1175"/>
    </row>
    <row r="59" spans="1:51" ht="18" x14ac:dyDescent="0.25">
      <c r="A59" s="743"/>
      <c r="B59" s="743"/>
      <c r="C59" s="745"/>
      <c r="D59" s="545" t="s">
        <v>3</v>
      </c>
      <c r="E59" s="1165"/>
      <c r="F59" s="1165"/>
      <c r="G59" s="1162"/>
      <c r="H59" s="1161">
        <v>264440324.91406173</v>
      </c>
      <c r="I59" s="1161">
        <v>326063584.61623335</v>
      </c>
      <c r="J59" s="1161">
        <v>256871119.31</v>
      </c>
      <c r="K59" s="1163">
        <v>232763675.29470229</v>
      </c>
      <c r="L59" s="1165">
        <v>260754249.4460845</v>
      </c>
      <c r="M59" s="1165">
        <v>343985547.30028385</v>
      </c>
      <c r="N59" s="1164">
        <v>343985547.30028385</v>
      </c>
      <c r="O59" s="1164">
        <v>325559366.08628607</v>
      </c>
      <c r="P59" s="1164"/>
      <c r="Q59" s="1165"/>
      <c r="R59" s="1165"/>
      <c r="S59" s="564"/>
      <c r="T59" s="564"/>
      <c r="U59" s="565">
        <v>264440324.91406173</v>
      </c>
      <c r="V59" s="540">
        <v>326063584.61623335</v>
      </c>
      <c r="W59" s="565">
        <v>256871119.31</v>
      </c>
      <c r="X59" s="1176">
        <v>232763675.29470229</v>
      </c>
      <c r="Y59" s="564">
        <v>260754249.4460845</v>
      </c>
      <c r="Z59" s="564">
        <v>343985547.30028385</v>
      </c>
      <c r="AA59" s="564">
        <v>333838118.61632818</v>
      </c>
      <c r="AB59" s="563">
        <v>325559366.08628607</v>
      </c>
      <c r="AC59" s="562"/>
      <c r="AD59" s="562"/>
      <c r="AE59" s="1165"/>
      <c r="AF59" s="1170"/>
      <c r="AG59" s="1171"/>
      <c r="AH59" s="1172"/>
      <c r="AI59" s="1172"/>
      <c r="AJ59" s="1172"/>
      <c r="AK59" s="1172"/>
      <c r="AL59" s="1172"/>
      <c r="AM59" s="1172"/>
      <c r="AN59" s="1174"/>
      <c r="AO59" s="1174"/>
      <c r="AP59" s="1174"/>
      <c r="AQ59" s="1172"/>
      <c r="AR59" s="1172"/>
      <c r="AS59" s="1172"/>
      <c r="AT59" s="1172"/>
      <c r="AU59" s="1172"/>
      <c r="AV59" s="1172"/>
      <c r="AW59" s="1172"/>
      <c r="AX59" s="1172"/>
      <c r="AY59" s="1175"/>
    </row>
    <row r="60" spans="1:51" ht="27" x14ac:dyDescent="0.25">
      <c r="A60" s="743"/>
      <c r="B60" s="743"/>
      <c r="C60" s="745"/>
      <c r="D60" s="544" t="s">
        <v>42</v>
      </c>
      <c r="E60" s="1161"/>
      <c r="F60" s="1161"/>
      <c r="G60" s="1162"/>
      <c r="H60" s="1161">
        <v>0</v>
      </c>
      <c r="I60" s="1161">
        <v>0</v>
      </c>
      <c r="J60" s="1161">
        <v>0</v>
      </c>
      <c r="K60" s="1163">
        <v>0</v>
      </c>
      <c r="L60" s="1161">
        <v>0</v>
      </c>
      <c r="M60" s="1161">
        <v>0</v>
      </c>
      <c r="N60" s="1164">
        <v>0</v>
      </c>
      <c r="O60" s="1164">
        <v>0</v>
      </c>
      <c r="P60" s="1164"/>
      <c r="Q60" s="1161"/>
      <c r="R60" s="1161"/>
      <c r="S60" s="1178"/>
      <c r="T60" s="1178"/>
      <c r="U60" s="1179">
        <v>0</v>
      </c>
      <c r="V60" s="1179">
        <v>0</v>
      </c>
      <c r="W60" s="1179">
        <v>0</v>
      </c>
      <c r="X60" s="1180">
        <v>0</v>
      </c>
      <c r="Y60" s="1178">
        <v>0</v>
      </c>
      <c r="Z60" s="1178">
        <v>0</v>
      </c>
      <c r="AA60" s="1178">
        <v>0</v>
      </c>
      <c r="AB60" s="1178">
        <v>0</v>
      </c>
      <c r="AC60" s="562"/>
      <c r="AD60" s="562"/>
      <c r="AE60" s="1161"/>
      <c r="AF60" s="1170"/>
      <c r="AG60" s="1171"/>
      <c r="AH60" s="1172"/>
      <c r="AI60" s="1172"/>
      <c r="AJ60" s="1172"/>
      <c r="AK60" s="1172"/>
      <c r="AL60" s="1172"/>
      <c r="AM60" s="1172"/>
      <c r="AN60" s="1174"/>
      <c r="AO60" s="1174"/>
      <c r="AP60" s="1174"/>
      <c r="AQ60" s="1172"/>
      <c r="AR60" s="1172"/>
      <c r="AS60" s="1172"/>
      <c r="AT60" s="1172"/>
      <c r="AU60" s="1172"/>
      <c r="AV60" s="1172"/>
      <c r="AW60" s="1172"/>
      <c r="AX60" s="1172"/>
      <c r="AY60" s="1175"/>
    </row>
    <row r="61" spans="1:51" ht="27" x14ac:dyDescent="0.25">
      <c r="A61" s="743"/>
      <c r="B61" s="743"/>
      <c r="C61" s="745"/>
      <c r="D61" s="545" t="s">
        <v>4</v>
      </c>
      <c r="E61" s="1161"/>
      <c r="F61" s="1161"/>
      <c r="G61" s="1162"/>
      <c r="H61" s="1161">
        <v>0</v>
      </c>
      <c r="I61" s="1161">
        <v>0</v>
      </c>
      <c r="J61" s="1161">
        <v>0</v>
      </c>
      <c r="K61" s="1163">
        <v>0</v>
      </c>
      <c r="L61" s="1161">
        <v>0</v>
      </c>
      <c r="M61" s="1161">
        <v>0</v>
      </c>
      <c r="N61" s="1164">
        <v>0</v>
      </c>
      <c r="O61" s="1164">
        <v>0</v>
      </c>
      <c r="P61" s="1164"/>
      <c r="Q61" s="1161"/>
      <c r="R61" s="1161"/>
      <c r="S61" s="1178"/>
      <c r="T61" s="1178"/>
      <c r="U61" s="1179">
        <v>0</v>
      </c>
      <c r="V61" s="1179">
        <v>0</v>
      </c>
      <c r="W61" s="1179">
        <v>0</v>
      </c>
      <c r="X61" s="1180">
        <v>0</v>
      </c>
      <c r="Y61" s="1178">
        <v>0</v>
      </c>
      <c r="Z61" s="1178">
        <v>0</v>
      </c>
      <c r="AA61" s="1178">
        <v>0</v>
      </c>
      <c r="AB61" s="1178">
        <v>0</v>
      </c>
      <c r="AC61" s="562"/>
      <c r="AD61" s="562"/>
      <c r="AE61" s="1161"/>
      <c r="AF61" s="1170"/>
      <c r="AG61" s="1171"/>
      <c r="AH61" s="1172"/>
      <c r="AI61" s="1172"/>
      <c r="AJ61" s="1172"/>
      <c r="AK61" s="1172"/>
      <c r="AL61" s="1172"/>
      <c r="AM61" s="1172"/>
      <c r="AN61" s="1174"/>
      <c r="AO61" s="1174"/>
      <c r="AP61" s="1174"/>
      <c r="AQ61" s="1172"/>
      <c r="AR61" s="1172"/>
      <c r="AS61" s="1172"/>
      <c r="AT61" s="1172"/>
      <c r="AU61" s="1172"/>
      <c r="AV61" s="1172"/>
      <c r="AW61" s="1172"/>
      <c r="AX61" s="1172"/>
      <c r="AY61" s="1175"/>
    </row>
    <row r="62" spans="1:51" ht="27" x14ac:dyDescent="0.25">
      <c r="A62" s="743"/>
      <c r="B62" s="743"/>
      <c r="C62" s="745"/>
      <c r="D62" s="544" t="s">
        <v>43</v>
      </c>
      <c r="E62" s="1161"/>
      <c r="F62" s="1161"/>
      <c r="G62" s="1162"/>
      <c r="H62" s="1161">
        <v>0.05</v>
      </c>
      <c r="I62" s="1161">
        <v>0.05</v>
      </c>
      <c r="J62" s="1161">
        <v>0.05</v>
      </c>
      <c r="K62" s="1163">
        <f t="shared" ref="K62:O63" si="20">K58+K60</f>
        <v>0.05</v>
      </c>
      <c r="L62" s="1161">
        <f t="shared" si="20"/>
        <v>0.05</v>
      </c>
      <c r="M62" s="1161">
        <f t="shared" si="20"/>
        <v>0.05</v>
      </c>
      <c r="N62" s="1164">
        <f t="shared" si="20"/>
        <v>0.05</v>
      </c>
      <c r="O62" s="1164">
        <f t="shared" si="20"/>
        <v>0.05</v>
      </c>
      <c r="P62" s="1164"/>
      <c r="Q62" s="1161"/>
      <c r="R62" s="1161"/>
      <c r="S62" s="1178"/>
      <c r="T62" s="1178"/>
      <c r="U62" s="1181">
        <v>8.6999999999999994E-3</v>
      </c>
      <c r="V62" s="1181">
        <v>1.2500000000000001E-2</v>
      </c>
      <c r="W62" s="1179">
        <v>1.6300000000000002E-2</v>
      </c>
      <c r="X62" s="1180">
        <f t="shared" ref="X62:AB63" si="21">X58+X60</f>
        <v>2.01E-2</v>
      </c>
      <c r="Y62" s="1178">
        <f t="shared" si="21"/>
        <v>2.53E-2</v>
      </c>
      <c r="Z62" s="1178">
        <f t="shared" si="21"/>
        <v>2.9499999999999998E-2</v>
      </c>
      <c r="AA62" s="1178">
        <f t="shared" si="21"/>
        <v>3.3500000000000002E-2</v>
      </c>
      <c r="AB62" s="1178">
        <f t="shared" si="21"/>
        <v>3.9E-2</v>
      </c>
      <c r="AC62" s="562"/>
      <c r="AD62" s="562"/>
      <c r="AE62" s="1161"/>
      <c r="AF62" s="1170"/>
      <c r="AG62" s="1171"/>
      <c r="AH62" s="1172"/>
      <c r="AI62" s="1172"/>
      <c r="AJ62" s="1172"/>
      <c r="AK62" s="1172"/>
      <c r="AL62" s="1172"/>
      <c r="AM62" s="1172"/>
      <c r="AN62" s="1174"/>
      <c r="AO62" s="1174"/>
      <c r="AP62" s="1174"/>
      <c r="AQ62" s="1172"/>
      <c r="AR62" s="1172"/>
      <c r="AS62" s="1172"/>
      <c r="AT62" s="1172"/>
      <c r="AU62" s="1172"/>
      <c r="AV62" s="1172"/>
      <c r="AW62" s="1172"/>
      <c r="AX62" s="1172"/>
      <c r="AY62" s="1175"/>
    </row>
    <row r="63" spans="1:51" ht="27" x14ac:dyDescent="0.25">
      <c r="A63" s="743"/>
      <c r="B63" s="743"/>
      <c r="C63" s="745"/>
      <c r="D63" s="545" t="s">
        <v>45</v>
      </c>
      <c r="E63" s="1165"/>
      <c r="F63" s="1165"/>
      <c r="G63" s="1162"/>
      <c r="H63" s="1161">
        <v>264440324.91406173</v>
      </c>
      <c r="I63" s="1161">
        <v>326063584.61623335</v>
      </c>
      <c r="J63" s="1161">
        <v>256871119.31</v>
      </c>
      <c r="K63" s="1163">
        <f t="shared" si="20"/>
        <v>232763675.29470229</v>
      </c>
      <c r="L63" s="1165">
        <f t="shared" si="20"/>
        <v>260754249.4460845</v>
      </c>
      <c r="M63" s="1161">
        <f t="shared" si="20"/>
        <v>343985547.30028385</v>
      </c>
      <c r="N63" s="1164">
        <f t="shared" si="20"/>
        <v>343985547.30028385</v>
      </c>
      <c r="O63" s="1164">
        <f t="shared" si="20"/>
        <v>325559366.08628607</v>
      </c>
      <c r="P63" s="1164"/>
      <c r="Q63" s="1161"/>
      <c r="R63" s="1165"/>
      <c r="S63" s="1165"/>
      <c r="T63" s="1165"/>
      <c r="U63" s="1161">
        <v>264440324.91406173</v>
      </c>
      <c r="V63" s="1179">
        <v>326063584.61623335</v>
      </c>
      <c r="W63" s="1161">
        <v>256871119.31</v>
      </c>
      <c r="X63" s="1163">
        <f t="shared" si="21"/>
        <v>232763675.29470229</v>
      </c>
      <c r="Y63" s="1165">
        <f t="shared" si="21"/>
        <v>260754249.4460845</v>
      </c>
      <c r="Z63" s="1165">
        <f t="shared" si="21"/>
        <v>343985547.30028385</v>
      </c>
      <c r="AA63" s="1165">
        <f t="shared" si="21"/>
        <v>333838118.61632818</v>
      </c>
      <c r="AB63" s="1165">
        <f t="shared" si="21"/>
        <v>325559366.08628607</v>
      </c>
      <c r="AC63" s="542"/>
      <c r="AD63" s="542"/>
      <c r="AE63" s="1165"/>
      <c r="AF63" s="1170"/>
      <c r="AG63" s="1171"/>
      <c r="AH63" s="1172"/>
      <c r="AI63" s="1172"/>
      <c r="AJ63" s="1172"/>
      <c r="AK63" s="1172"/>
      <c r="AL63" s="1172"/>
      <c r="AM63" s="1172"/>
      <c r="AN63" s="1174"/>
      <c r="AO63" s="1174"/>
      <c r="AP63" s="1174"/>
      <c r="AQ63" s="1172"/>
      <c r="AR63" s="1172"/>
      <c r="AS63" s="1172"/>
      <c r="AT63" s="1172"/>
      <c r="AU63" s="1172"/>
      <c r="AV63" s="1172"/>
      <c r="AW63" s="1172"/>
      <c r="AX63" s="1172"/>
      <c r="AY63" s="1175"/>
    </row>
    <row r="64" spans="1:51" ht="18" customHeight="1" x14ac:dyDescent="0.25">
      <c r="A64" s="743"/>
      <c r="B64" s="743"/>
      <c r="C64" s="745" t="s">
        <v>506</v>
      </c>
      <c r="D64" s="546" t="s">
        <v>41</v>
      </c>
      <c r="E64" s="1161"/>
      <c r="F64" s="1162"/>
      <c r="G64" s="1162"/>
      <c r="H64" s="1161">
        <v>0.05</v>
      </c>
      <c r="I64" s="1161">
        <v>0.05</v>
      </c>
      <c r="J64" s="1161">
        <v>0.05</v>
      </c>
      <c r="K64" s="1163">
        <v>0.05</v>
      </c>
      <c r="L64" s="1161">
        <v>0.05</v>
      </c>
      <c r="M64" s="1161">
        <v>0.05</v>
      </c>
      <c r="N64" s="1164">
        <v>0.05</v>
      </c>
      <c r="O64" s="1164">
        <v>0.05</v>
      </c>
      <c r="P64" s="1164"/>
      <c r="Q64" s="1165"/>
      <c r="R64" s="1161"/>
      <c r="S64" s="1166"/>
      <c r="T64" s="1166"/>
      <c r="U64" s="1167">
        <v>8.6999999999999994E-3</v>
      </c>
      <c r="V64" s="1167">
        <v>1.2500000000000001E-2</v>
      </c>
      <c r="W64" s="1167">
        <v>1.6300000000000002E-2</v>
      </c>
      <c r="X64" s="1168">
        <v>2.01E-2</v>
      </c>
      <c r="Y64" s="1169">
        <v>2.53E-2</v>
      </c>
      <c r="Z64" s="1167">
        <v>2.53E-2</v>
      </c>
      <c r="AA64" s="1167">
        <v>3.3500000000000002E-2</v>
      </c>
      <c r="AB64" s="1167">
        <v>3.9E-2</v>
      </c>
      <c r="AC64" s="539"/>
      <c r="AD64" s="542"/>
      <c r="AE64" s="1161"/>
      <c r="AF64" s="1170" t="s">
        <v>696</v>
      </c>
      <c r="AG64" s="1171" t="s">
        <v>436</v>
      </c>
      <c r="AH64" s="1172" t="s">
        <v>574</v>
      </c>
      <c r="AI64" s="1172" t="s">
        <v>662</v>
      </c>
      <c r="AJ64" s="1172" t="s">
        <v>656</v>
      </c>
      <c r="AK64" s="1172" t="s">
        <v>435</v>
      </c>
      <c r="AL64" s="1172">
        <v>7</v>
      </c>
      <c r="AM64" s="1172" t="s">
        <v>71</v>
      </c>
      <c r="AN64" s="1174">
        <f t="shared" ref="AN64:AN106" si="22">SUM(AO64:AP69)</f>
        <v>855164.25873709982</v>
      </c>
      <c r="AO64" s="1174">
        <v>403384.32955541712</v>
      </c>
      <c r="AP64" s="1174">
        <v>451779.92918168276</v>
      </c>
      <c r="AQ64" s="1172" t="s">
        <v>71</v>
      </c>
      <c r="AR64" s="1172" t="s">
        <v>71</v>
      </c>
      <c r="AS64" s="1172" t="s">
        <v>71</v>
      </c>
      <c r="AT64" s="1172" t="s">
        <v>71</v>
      </c>
      <c r="AU64" s="1172" t="s">
        <v>71</v>
      </c>
      <c r="AV64" s="1172" t="s">
        <v>71</v>
      </c>
      <c r="AW64" s="1172" t="s">
        <v>71</v>
      </c>
      <c r="AX64" s="1172" t="s">
        <v>71</v>
      </c>
      <c r="AY64" s="1175"/>
    </row>
    <row r="65" spans="1:51" ht="18" x14ac:dyDescent="0.25">
      <c r="A65" s="743"/>
      <c r="B65" s="743"/>
      <c r="C65" s="745"/>
      <c r="D65" s="545" t="s">
        <v>3</v>
      </c>
      <c r="E65" s="1165"/>
      <c r="F65" s="1165"/>
      <c r="G65" s="1162"/>
      <c r="H65" s="1161">
        <v>721836399.05715537</v>
      </c>
      <c r="I65" s="1161">
        <v>502403901.02939612</v>
      </c>
      <c r="J65" s="1161">
        <v>456724625.68000001</v>
      </c>
      <c r="K65" s="1163">
        <v>581599593.65309238</v>
      </c>
      <c r="L65" s="1165">
        <v>559735308.02052557</v>
      </c>
      <c r="M65" s="1165">
        <v>477952899.7202481</v>
      </c>
      <c r="N65" s="1164">
        <v>477952899.7202481</v>
      </c>
      <c r="O65" s="1164">
        <v>717232673.65050077</v>
      </c>
      <c r="P65" s="1164"/>
      <c r="Q65" s="1165"/>
      <c r="R65" s="1165"/>
      <c r="S65" s="564"/>
      <c r="T65" s="564"/>
      <c r="U65" s="565">
        <v>721836399.05715537</v>
      </c>
      <c r="V65" s="565">
        <v>502403901.02939612</v>
      </c>
      <c r="W65" s="565">
        <v>456724625.68000001</v>
      </c>
      <c r="X65" s="1176">
        <v>581599593.65309238</v>
      </c>
      <c r="Y65" s="564">
        <v>559735308.02052557</v>
      </c>
      <c r="Z65" s="564">
        <v>477952899.7202481</v>
      </c>
      <c r="AA65" s="564">
        <v>723513422.8722415</v>
      </c>
      <c r="AB65" s="563">
        <v>717232673.65050077</v>
      </c>
      <c r="AC65" s="562"/>
      <c r="AD65" s="562"/>
      <c r="AE65" s="1165"/>
      <c r="AF65" s="1170"/>
      <c r="AG65" s="1171"/>
      <c r="AH65" s="1172"/>
      <c r="AI65" s="1172"/>
      <c r="AJ65" s="1172"/>
      <c r="AK65" s="1172"/>
      <c r="AL65" s="1172"/>
      <c r="AM65" s="1172"/>
      <c r="AN65" s="1174"/>
      <c r="AO65" s="1174"/>
      <c r="AP65" s="1174"/>
      <c r="AQ65" s="1172"/>
      <c r="AR65" s="1172"/>
      <c r="AS65" s="1172"/>
      <c r="AT65" s="1172"/>
      <c r="AU65" s="1172"/>
      <c r="AV65" s="1172"/>
      <c r="AW65" s="1172"/>
      <c r="AX65" s="1172"/>
      <c r="AY65" s="1175"/>
    </row>
    <row r="66" spans="1:51" ht="27" x14ac:dyDescent="0.25">
      <c r="A66" s="743"/>
      <c r="B66" s="743"/>
      <c r="C66" s="745"/>
      <c r="D66" s="544" t="s">
        <v>42</v>
      </c>
      <c r="E66" s="1161"/>
      <c r="F66" s="1161"/>
      <c r="G66" s="1162"/>
      <c r="H66" s="1161">
        <v>0</v>
      </c>
      <c r="I66" s="1161">
        <v>0</v>
      </c>
      <c r="J66" s="1161">
        <v>0</v>
      </c>
      <c r="K66" s="1163">
        <v>0</v>
      </c>
      <c r="L66" s="1161">
        <v>0</v>
      </c>
      <c r="M66" s="1161">
        <v>0</v>
      </c>
      <c r="N66" s="1164">
        <v>0</v>
      </c>
      <c r="O66" s="1164">
        <v>0</v>
      </c>
      <c r="P66" s="1164"/>
      <c r="Q66" s="1161"/>
      <c r="R66" s="1161"/>
      <c r="S66" s="1178"/>
      <c r="T66" s="1178"/>
      <c r="U66" s="1179">
        <v>0</v>
      </c>
      <c r="V66" s="1179">
        <v>0</v>
      </c>
      <c r="W66" s="1179">
        <v>0</v>
      </c>
      <c r="X66" s="1180">
        <v>0</v>
      </c>
      <c r="Y66" s="1178">
        <v>0</v>
      </c>
      <c r="Z66" s="1178">
        <v>0</v>
      </c>
      <c r="AA66" s="1178">
        <v>0</v>
      </c>
      <c r="AB66" s="1178">
        <v>0</v>
      </c>
      <c r="AC66" s="562"/>
      <c r="AD66" s="562"/>
      <c r="AE66" s="1161"/>
      <c r="AF66" s="1170"/>
      <c r="AG66" s="1171"/>
      <c r="AH66" s="1172"/>
      <c r="AI66" s="1172"/>
      <c r="AJ66" s="1172"/>
      <c r="AK66" s="1172"/>
      <c r="AL66" s="1172"/>
      <c r="AM66" s="1172"/>
      <c r="AN66" s="1174"/>
      <c r="AO66" s="1174"/>
      <c r="AP66" s="1174"/>
      <c r="AQ66" s="1172"/>
      <c r="AR66" s="1172"/>
      <c r="AS66" s="1172"/>
      <c r="AT66" s="1172"/>
      <c r="AU66" s="1172"/>
      <c r="AV66" s="1172"/>
      <c r="AW66" s="1172"/>
      <c r="AX66" s="1172"/>
      <c r="AY66" s="1175"/>
    </row>
    <row r="67" spans="1:51" ht="27" x14ac:dyDescent="0.25">
      <c r="A67" s="743"/>
      <c r="B67" s="743"/>
      <c r="C67" s="745"/>
      <c r="D67" s="545" t="s">
        <v>4</v>
      </c>
      <c r="E67" s="1161"/>
      <c r="F67" s="1161"/>
      <c r="G67" s="1162"/>
      <c r="H67" s="1161">
        <v>0</v>
      </c>
      <c r="I67" s="1161">
        <v>0</v>
      </c>
      <c r="J67" s="1161">
        <v>0</v>
      </c>
      <c r="K67" s="1163">
        <v>0</v>
      </c>
      <c r="L67" s="1161">
        <v>0</v>
      </c>
      <c r="M67" s="1161">
        <v>0</v>
      </c>
      <c r="N67" s="1164">
        <v>0</v>
      </c>
      <c r="O67" s="1164">
        <v>0</v>
      </c>
      <c r="P67" s="1164"/>
      <c r="Q67" s="1161"/>
      <c r="R67" s="1161"/>
      <c r="S67" s="1178"/>
      <c r="T67" s="1178"/>
      <c r="U67" s="1179">
        <v>0</v>
      </c>
      <c r="V67" s="1179">
        <v>0</v>
      </c>
      <c r="W67" s="1179">
        <v>0</v>
      </c>
      <c r="X67" s="1180">
        <v>0</v>
      </c>
      <c r="Y67" s="1178">
        <v>0</v>
      </c>
      <c r="Z67" s="1178">
        <v>0</v>
      </c>
      <c r="AA67" s="1178">
        <v>0</v>
      </c>
      <c r="AB67" s="1178">
        <v>0</v>
      </c>
      <c r="AC67" s="562"/>
      <c r="AD67" s="562"/>
      <c r="AE67" s="1161"/>
      <c r="AF67" s="1170"/>
      <c r="AG67" s="1171"/>
      <c r="AH67" s="1172"/>
      <c r="AI67" s="1172"/>
      <c r="AJ67" s="1172"/>
      <c r="AK67" s="1172"/>
      <c r="AL67" s="1172"/>
      <c r="AM67" s="1172"/>
      <c r="AN67" s="1174"/>
      <c r="AO67" s="1174"/>
      <c r="AP67" s="1174"/>
      <c r="AQ67" s="1172"/>
      <c r="AR67" s="1172"/>
      <c r="AS67" s="1172"/>
      <c r="AT67" s="1172"/>
      <c r="AU67" s="1172"/>
      <c r="AV67" s="1172"/>
      <c r="AW67" s="1172"/>
      <c r="AX67" s="1172"/>
      <c r="AY67" s="1175"/>
    </row>
    <row r="68" spans="1:51" ht="27" x14ac:dyDescent="0.25">
      <c r="A68" s="743"/>
      <c r="B68" s="743"/>
      <c r="C68" s="745"/>
      <c r="D68" s="544" t="s">
        <v>43</v>
      </c>
      <c r="E68" s="1161"/>
      <c r="F68" s="1161"/>
      <c r="G68" s="1162"/>
      <c r="H68" s="1161">
        <v>0.05</v>
      </c>
      <c r="I68" s="1161">
        <v>0.05</v>
      </c>
      <c r="J68" s="1161">
        <v>0.05</v>
      </c>
      <c r="K68" s="1163">
        <f t="shared" ref="K68:O69" si="23">K64+K66</f>
        <v>0.05</v>
      </c>
      <c r="L68" s="1161">
        <f t="shared" si="23"/>
        <v>0.05</v>
      </c>
      <c r="M68" s="1161">
        <f t="shared" si="23"/>
        <v>0.05</v>
      </c>
      <c r="N68" s="1164">
        <f t="shared" si="23"/>
        <v>0.05</v>
      </c>
      <c r="O68" s="1164">
        <f t="shared" si="23"/>
        <v>0.05</v>
      </c>
      <c r="P68" s="1164"/>
      <c r="Q68" s="1161"/>
      <c r="R68" s="1161"/>
      <c r="S68" s="1178"/>
      <c r="T68" s="1178"/>
      <c r="U68" s="1181">
        <v>8.6999999999999994E-3</v>
      </c>
      <c r="V68" s="1181">
        <v>1.2500000000000001E-2</v>
      </c>
      <c r="W68" s="1179">
        <v>1.6300000000000002E-2</v>
      </c>
      <c r="X68" s="1180">
        <f t="shared" ref="X68:AB69" si="24">X64+X66</f>
        <v>2.01E-2</v>
      </c>
      <c r="Y68" s="1178">
        <f t="shared" si="24"/>
        <v>2.53E-2</v>
      </c>
      <c r="Z68" s="1178">
        <f t="shared" si="24"/>
        <v>2.53E-2</v>
      </c>
      <c r="AA68" s="1178">
        <f t="shared" si="24"/>
        <v>3.3500000000000002E-2</v>
      </c>
      <c r="AB68" s="1178">
        <f t="shared" si="24"/>
        <v>3.9E-2</v>
      </c>
      <c r="AC68" s="562"/>
      <c r="AD68" s="562"/>
      <c r="AE68" s="1161"/>
      <c r="AF68" s="1170"/>
      <c r="AG68" s="1171"/>
      <c r="AH68" s="1172"/>
      <c r="AI68" s="1172"/>
      <c r="AJ68" s="1172"/>
      <c r="AK68" s="1172"/>
      <c r="AL68" s="1172"/>
      <c r="AM68" s="1172"/>
      <c r="AN68" s="1174"/>
      <c r="AO68" s="1174"/>
      <c r="AP68" s="1174"/>
      <c r="AQ68" s="1172"/>
      <c r="AR68" s="1172"/>
      <c r="AS68" s="1172"/>
      <c r="AT68" s="1172"/>
      <c r="AU68" s="1172"/>
      <c r="AV68" s="1172"/>
      <c r="AW68" s="1172"/>
      <c r="AX68" s="1172"/>
      <c r="AY68" s="1175"/>
    </row>
    <row r="69" spans="1:51" ht="27" x14ac:dyDescent="0.25">
      <c r="A69" s="743"/>
      <c r="B69" s="743"/>
      <c r="C69" s="745"/>
      <c r="D69" s="545" t="s">
        <v>45</v>
      </c>
      <c r="E69" s="1165"/>
      <c r="F69" s="1165"/>
      <c r="G69" s="1162"/>
      <c r="H69" s="1161">
        <v>721836399.05715537</v>
      </c>
      <c r="I69" s="1161">
        <v>502403901.02939612</v>
      </c>
      <c r="J69" s="1161">
        <v>456724625.68000001</v>
      </c>
      <c r="K69" s="1163">
        <f t="shared" si="23"/>
        <v>581599593.65309238</v>
      </c>
      <c r="L69" s="1165">
        <f t="shared" si="23"/>
        <v>559735308.02052557</v>
      </c>
      <c r="M69" s="1161">
        <f t="shared" si="23"/>
        <v>477952899.7202481</v>
      </c>
      <c r="N69" s="1164">
        <f t="shared" si="23"/>
        <v>477952899.7202481</v>
      </c>
      <c r="O69" s="1164">
        <f t="shared" si="23"/>
        <v>717232673.65050077</v>
      </c>
      <c r="P69" s="1164"/>
      <c r="Q69" s="1161"/>
      <c r="R69" s="1165"/>
      <c r="S69" s="1165"/>
      <c r="T69" s="1165"/>
      <c r="U69" s="1161">
        <v>721836399.05715537</v>
      </c>
      <c r="V69" s="1179">
        <v>502403901.02939612</v>
      </c>
      <c r="W69" s="1161">
        <v>456724625.68000001</v>
      </c>
      <c r="X69" s="1163">
        <f t="shared" si="24"/>
        <v>581599593.65309238</v>
      </c>
      <c r="Y69" s="1165">
        <f t="shared" si="24"/>
        <v>559735308.02052557</v>
      </c>
      <c r="Z69" s="1165">
        <f t="shared" si="24"/>
        <v>477952899.7202481</v>
      </c>
      <c r="AA69" s="1165">
        <f t="shared" si="24"/>
        <v>723513422.8722415</v>
      </c>
      <c r="AB69" s="1165">
        <f t="shared" si="24"/>
        <v>717232673.65050077</v>
      </c>
      <c r="AC69" s="542"/>
      <c r="AD69" s="542"/>
      <c r="AE69" s="1165"/>
      <c r="AF69" s="1170"/>
      <c r="AG69" s="1171"/>
      <c r="AH69" s="1172"/>
      <c r="AI69" s="1172"/>
      <c r="AJ69" s="1172"/>
      <c r="AK69" s="1172"/>
      <c r="AL69" s="1172"/>
      <c r="AM69" s="1172"/>
      <c r="AN69" s="1174"/>
      <c r="AO69" s="1174"/>
      <c r="AP69" s="1174"/>
      <c r="AQ69" s="1172"/>
      <c r="AR69" s="1172"/>
      <c r="AS69" s="1172"/>
      <c r="AT69" s="1172"/>
      <c r="AU69" s="1172"/>
      <c r="AV69" s="1172"/>
      <c r="AW69" s="1172"/>
      <c r="AX69" s="1172"/>
      <c r="AY69" s="1175"/>
    </row>
    <row r="70" spans="1:51" ht="18" customHeight="1" x14ac:dyDescent="0.25">
      <c r="A70" s="743"/>
      <c r="B70" s="743"/>
      <c r="C70" s="745" t="s">
        <v>507</v>
      </c>
      <c r="D70" s="546" t="s">
        <v>41</v>
      </c>
      <c r="E70" s="1161"/>
      <c r="F70" s="1162"/>
      <c r="G70" s="1162"/>
      <c r="H70" s="1161">
        <v>0.05</v>
      </c>
      <c r="I70" s="1161">
        <v>0.05</v>
      </c>
      <c r="J70" s="1161">
        <v>0.05</v>
      </c>
      <c r="K70" s="1163">
        <v>0.05</v>
      </c>
      <c r="L70" s="1161">
        <v>0.05</v>
      </c>
      <c r="M70" s="1161">
        <v>0.05</v>
      </c>
      <c r="N70" s="1164">
        <v>0.05</v>
      </c>
      <c r="O70" s="1164">
        <v>0.05</v>
      </c>
      <c r="P70" s="1164"/>
      <c r="Q70" s="1165"/>
      <c r="R70" s="1161"/>
      <c r="S70" s="1166"/>
      <c r="T70" s="1166"/>
      <c r="U70" s="1167">
        <v>8.6999999999999994E-3</v>
      </c>
      <c r="V70" s="1167">
        <v>1.2500000000000001E-2</v>
      </c>
      <c r="W70" s="1167">
        <v>1.6300000000000002E-2</v>
      </c>
      <c r="X70" s="1168">
        <v>2.01E-2</v>
      </c>
      <c r="Y70" s="1169">
        <v>2.53E-2</v>
      </c>
      <c r="Z70" s="1167">
        <v>2.9499999999999998E-2</v>
      </c>
      <c r="AA70" s="1167">
        <v>3.3500000000000002E-2</v>
      </c>
      <c r="AB70" s="1167">
        <v>3.9E-2</v>
      </c>
      <c r="AC70" s="541"/>
      <c r="AD70" s="542"/>
      <c r="AE70" s="1161"/>
      <c r="AF70" s="1170" t="s">
        <v>697</v>
      </c>
      <c r="AG70" s="1171" t="s">
        <v>451</v>
      </c>
      <c r="AH70" s="1172" t="s">
        <v>575</v>
      </c>
      <c r="AI70" s="1172" t="s">
        <v>663</v>
      </c>
      <c r="AJ70" s="1172" t="s">
        <v>656</v>
      </c>
      <c r="AK70" s="1172" t="s">
        <v>435</v>
      </c>
      <c r="AL70" s="1172">
        <v>7</v>
      </c>
      <c r="AM70" s="1172" t="s">
        <v>71</v>
      </c>
      <c r="AN70" s="1174">
        <f t="shared" ref="AN70" si="25">SUM(AO70:AP75)</f>
        <v>1250683.6048903246</v>
      </c>
      <c r="AO70" s="1174">
        <v>588829.57552475622</v>
      </c>
      <c r="AP70" s="1174">
        <v>661854.02936556854</v>
      </c>
      <c r="AQ70" s="1172" t="s">
        <v>71</v>
      </c>
      <c r="AR70" s="1172" t="s">
        <v>71</v>
      </c>
      <c r="AS70" s="1172" t="s">
        <v>71</v>
      </c>
      <c r="AT70" s="1172" t="s">
        <v>71</v>
      </c>
      <c r="AU70" s="1172" t="s">
        <v>71</v>
      </c>
      <c r="AV70" s="1172" t="s">
        <v>71</v>
      </c>
      <c r="AW70" s="1172" t="s">
        <v>71</v>
      </c>
      <c r="AX70" s="1172" t="s">
        <v>71</v>
      </c>
      <c r="AY70" s="1175"/>
    </row>
    <row r="71" spans="1:51" ht="18" x14ac:dyDescent="0.25">
      <c r="A71" s="743"/>
      <c r="B71" s="743"/>
      <c r="C71" s="745"/>
      <c r="D71" s="545" t="s">
        <v>3</v>
      </c>
      <c r="E71" s="1165"/>
      <c r="F71" s="1165"/>
      <c r="G71" s="1162"/>
      <c r="H71" s="1161">
        <v>163033828.64995295</v>
      </c>
      <c r="I71" s="1161">
        <v>237147884.86460492</v>
      </c>
      <c r="J71" s="1161">
        <v>673006141.92999995</v>
      </c>
      <c r="K71" s="1163">
        <v>602359829.9167465</v>
      </c>
      <c r="L71" s="1165">
        <v>602359829.9167465</v>
      </c>
      <c r="M71" s="1165">
        <v>514693020.60401827</v>
      </c>
      <c r="N71" s="1164">
        <v>514693020.60401827</v>
      </c>
      <c r="O71" s="1164">
        <v>490560912.34189367</v>
      </c>
      <c r="P71" s="1164"/>
      <c r="Q71" s="1165"/>
      <c r="R71" s="1165"/>
      <c r="S71" s="564"/>
      <c r="T71" s="564"/>
      <c r="U71" s="565">
        <v>163033828.64995295</v>
      </c>
      <c r="V71" s="540">
        <v>237147884.86460492</v>
      </c>
      <c r="W71" s="565">
        <v>673006141.92999995</v>
      </c>
      <c r="X71" s="1176">
        <v>643884407.8641212</v>
      </c>
      <c r="Y71" s="564">
        <v>602359829.9167465</v>
      </c>
      <c r="Z71" s="564">
        <v>514693020.60401827</v>
      </c>
      <c r="AA71" s="564">
        <v>460450081.58625138</v>
      </c>
      <c r="AB71" s="563">
        <v>490560912.34189367</v>
      </c>
      <c r="AC71" s="562"/>
      <c r="AD71" s="562"/>
      <c r="AE71" s="1165"/>
      <c r="AF71" s="1170"/>
      <c r="AG71" s="1171"/>
      <c r="AH71" s="1172"/>
      <c r="AI71" s="1172"/>
      <c r="AJ71" s="1172"/>
      <c r="AK71" s="1172"/>
      <c r="AL71" s="1172"/>
      <c r="AM71" s="1172"/>
      <c r="AN71" s="1174"/>
      <c r="AO71" s="1174"/>
      <c r="AP71" s="1174"/>
      <c r="AQ71" s="1172"/>
      <c r="AR71" s="1172"/>
      <c r="AS71" s="1172"/>
      <c r="AT71" s="1172"/>
      <c r="AU71" s="1172"/>
      <c r="AV71" s="1172"/>
      <c r="AW71" s="1172"/>
      <c r="AX71" s="1172"/>
      <c r="AY71" s="1175"/>
    </row>
    <row r="72" spans="1:51" ht="27" x14ac:dyDescent="0.25">
      <c r="A72" s="743"/>
      <c r="B72" s="743"/>
      <c r="C72" s="745"/>
      <c r="D72" s="544" t="s">
        <v>42</v>
      </c>
      <c r="E72" s="1161"/>
      <c r="F72" s="1161"/>
      <c r="G72" s="1162"/>
      <c r="H72" s="1161">
        <v>0</v>
      </c>
      <c r="I72" s="1161">
        <v>0</v>
      </c>
      <c r="J72" s="1161">
        <v>0</v>
      </c>
      <c r="K72" s="1163">
        <v>0</v>
      </c>
      <c r="L72" s="1161">
        <v>0</v>
      </c>
      <c r="M72" s="1161">
        <v>0</v>
      </c>
      <c r="N72" s="1164">
        <v>0</v>
      </c>
      <c r="O72" s="1164">
        <v>0</v>
      </c>
      <c r="P72" s="1164"/>
      <c r="Q72" s="1161"/>
      <c r="R72" s="1161"/>
      <c r="S72" s="1178"/>
      <c r="T72" s="1178"/>
      <c r="U72" s="1179">
        <v>0</v>
      </c>
      <c r="V72" s="1179">
        <v>0</v>
      </c>
      <c r="W72" s="1179">
        <v>0</v>
      </c>
      <c r="X72" s="1180">
        <v>0</v>
      </c>
      <c r="Y72" s="1178">
        <v>0</v>
      </c>
      <c r="Z72" s="1178">
        <v>0</v>
      </c>
      <c r="AA72" s="1178">
        <v>0</v>
      </c>
      <c r="AB72" s="1178">
        <v>0</v>
      </c>
      <c r="AC72" s="562"/>
      <c r="AD72" s="562"/>
      <c r="AE72" s="1161"/>
      <c r="AF72" s="1170"/>
      <c r="AG72" s="1171"/>
      <c r="AH72" s="1172"/>
      <c r="AI72" s="1172"/>
      <c r="AJ72" s="1172"/>
      <c r="AK72" s="1172"/>
      <c r="AL72" s="1172"/>
      <c r="AM72" s="1172"/>
      <c r="AN72" s="1174"/>
      <c r="AO72" s="1174"/>
      <c r="AP72" s="1174"/>
      <c r="AQ72" s="1172"/>
      <c r="AR72" s="1172"/>
      <c r="AS72" s="1172"/>
      <c r="AT72" s="1172"/>
      <c r="AU72" s="1172"/>
      <c r="AV72" s="1172"/>
      <c r="AW72" s="1172"/>
      <c r="AX72" s="1172"/>
      <c r="AY72" s="1175"/>
    </row>
    <row r="73" spans="1:51" ht="27" x14ac:dyDescent="0.25">
      <c r="A73" s="743"/>
      <c r="B73" s="743"/>
      <c r="C73" s="745"/>
      <c r="D73" s="545" t="s">
        <v>4</v>
      </c>
      <c r="E73" s="1161"/>
      <c r="F73" s="1161"/>
      <c r="G73" s="1162"/>
      <c r="H73" s="1161">
        <v>0</v>
      </c>
      <c r="I73" s="1161">
        <v>0</v>
      </c>
      <c r="J73" s="1161">
        <v>0</v>
      </c>
      <c r="K73" s="1163">
        <v>0</v>
      </c>
      <c r="L73" s="1161">
        <v>0</v>
      </c>
      <c r="M73" s="1161">
        <v>0</v>
      </c>
      <c r="N73" s="1164">
        <v>0</v>
      </c>
      <c r="O73" s="1164">
        <v>0</v>
      </c>
      <c r="P73" s="1164"/>
      <c r="Q73" s="1161"/>
      <c r="R73" s="1161"/>
      <c r="S73" s="1178"/>
      <c r="T73" s="1178"/>
      <c r="U73" s="1179">
        <v>0</v>
      </c>
      <c r="V73" s="1179">
        <v>0</v>
      </c>
      <c r="W73" s="1179">
        <v>0</v>
      </c>
      <c r="X73" s="1180">
        <v>0</v>
      </c>
      <c r="Y73" s="1178">
        <v>0</v>
      </c>
      <c r="Z73" s="1178">
        <v>0</v>
      </c>
      <c r="AA73" s="1178">
        <v>0</v>
      </c>
      <c r="AB73" s="1178">
        <v>0</v>
      </c>
      <c r="AC73" s="562"/>
      <c r="AD73" s="562"/>
      <c r="AE73" s="1161"/>
      <c r="AF73" s="1170"/>
      <c r="AG73" s="1171"/>
      <c r="AH73" s="1172"/>
      <c r="AI73" s="1172"/>
      <c r="AJ73" s="1172"/>
      <c r="AK73" s="1172"/>
      <c r="AL73" s="1172"/>
      <c r="AM73" s="1172"/>
      <c r="AN73" s="1174"/>
      <c r="AO73" s="1174"/>
      <c r="AP73" s="1174"/>
      <c r="AQ73" s="1172"/>
      <c r="AR73" s="1172"/>
      <c r="AS73" s="1172"/>
      <c r="AT73" s="1172"/>
      <c r="AU73" s="1172"/>
      <c r="AV73" s="1172"/>
      <c r="AW73" s="1172"/>
      <c r="AX73" s="1172"/>
      <c r="AY73" s="1175"/>
    </row>
    <row r="74" spans="1:51" ht="27" x14ac:dyDescent="0.25">
      <c r="A74" s="743"/>
      <c r="B74" s="743"/>
      <c r="C74" s="745"/>
      <c r="D74" s="544" t="s">
        <v>43</v>
      </c>
      <c r="E74" s="1161"/>
      <c r="F74" s="1161"/>
      <c r="G74" s="1162"/>
      <c r="H74" s="1161">
        <v>0.05</v>
      </c>
      <c r="I74" s="1161">
        <v>0.05</v>
      </c>
      <c r="J74" s="1161">
        <v>0.05</v>
      </c>
      <c r="K74" s="1163">
        <f t="shared" ref="K74:O75" si="26">K70+K72</f>
        <v>0.05</v>
      </c>
      <c r="L74" s="1161">
        <f t="shared" si="26"/>
        <v>0.05</v>
      </c>
      <c r="M74" s="1161">
        <f t="shared" si="26"/>
        <v>0.05</v>
      </c>
      <c r="N74" s="1164">
        <f t="shared" si="26"/>
        <v>0.05</v>
      </c>
      <c r="O74" s="1164">
        <f t="shared" si="26"/>
        <v>0.05</v>
      </c>
      <c r="P74" s="1164"/>
      <c r="Q74" s="1161"/>
      <c r="R74" s="1161"/>
      <c r="S74" s="1178"/>
      <c r="T74" s="1178"/>
      <c r="U74" s="1181">
        <v>8.6999999999999994E-3</v>
      </c>
      <c r="V74" s="1181">
        <v>1.2500000000000001E-2</v>
      </c>
      <c r="W74" s="1179">
        <v>1.6300000000000002E-2</v>
      </c>
      <c r="X74" s="1180">
        <f t="shared" ref="X74:AB75" si="27">X70+X72</f>
        <v>2.01E-2</v>
      </c>
      <c r="Y74" s="1178">
        <f t="shared" si="27"/>
        <v>2.53E-2</v>
      </c>
      <c r="Z74" s="1178">
        <f t="shared" si="27"/>
        <v>2.9499999999999998E-2</v>
      </c>
      <c r="AA74" s="1178">
        <f t="shared" si="27"/>
        <v>3.3500000000000002E-2</v>
      </c>
      <c r="AB74" s="1178">
        <f t="shared" si="27"/>
        <v>3.9E-2</v>
      </c>
      <c r="AC74" s="562"/>
      <c r="AD74" s="562"/>
      <c r="AE74" s="1161"/>
      <c r="AF74" s="1170"/>
      <c r="AG74" s="1171"/>
      <c r="AH74" s="1172"/>
      <c r="AI74" s="1172"/>
      <c r="AJ74" s="1172"/>
      <c r="AK74" s="1172"/>
      <c r="AL74" s="1172"/>
      <c r="AM74" s="1172"/>
      <c r="AN74" s="1174"/>
      <c r="AO74" s="1174"/>
      <c r="AP74" s="1174"/>
      <c r="AQ74" s="1172"/>
      <c r="AR74" s="1172"/>
      <c r="AS74" s="1172"/>
      <c r="AT74" s="1172"/>
      <c r="AU74" s="1172"/>
      <c r="AV74" s="1172"/>
      <c r="AW74" s="1172"/>
      <c r="AX74" s="1172"/>
      <c r="AY74" s="1175"/>
    </row>
    <row r="75" spans="1:51" ht="27" x14ac:dyDescent="0.25">
      <c r="A75" s="743"/>
      <c r="B75" s="743"/>
      <c r="C75" s="745"/>
      <c r="D75" s="545" t="s">
        <v>45</v>
      </c>
      <c r="E75" s="1165"/>
      <c r="F75" s="1165"/>
      <c r="G75" s="1162"/>
      <c r="H75" s="1161">
        <v>163033828.64995295</v>
      </c>
      <c r="I75" s="1161">
        <v>237147884.86460492</v>
      </c>
      <c r="J75" s="1161">
        <v>673006141.92999995</v>
      </c>
      <c r="K75" s="1163">
        <f t="shared" si="26"/>
        <v>602359829.9167465</v>
      </c>
      <c r="L75" s="1165">
        <f t="shared" si="26"/>
        <v>602359829.9167465</v>
      </c>
      <c r="M75" s="1161">
        <f t="shared" si="26"/>
        <v>514693020.60401827</v>
      </c>
      <c r="N75" s="1164">
        <f t="shared" si="26"/>
        <v>514693020.60401827</v>
      </c>
      <c r="O75" s="1164">
        <f t="shared" si="26"/>
        <v>490560912.34189367</v>
      </c>
      <c r="P75" s="1164"/>
      <c r="Q75" s="1161"/>
      <c r="R75" s="1165"/>
      <c r="S75" s="1165"/>
      <c r="T75" s="1165"/>
      <c r="U75" s="1161">
        <v>163033828.64995295</v>
      </c>
      <c r="V75" s="1179">
        <v>237147884.86460492</v>
      </c>
      <c r="W75" s="1161">
        <v>673006141.92999995</v>
      </c>
      <c r="X75" s="1163">
        <f t="shared" si="27"/>
        <v>643884407.8641212</v>
      </c>
      <c r="Y75" s="1165">
        <f t="shared" si="27"/>
        <v>602359829.9167465</v>
      </c>
      <c r="Z75" s="1165">
        <f t="shared" si="27"/>
        <v>514693020.60401827</v>
      </c>
      <c r="AA75" s="1165">
        <f t="shared" si="27"/>
        <v>460450081.58625138</v>
      </c>
      <c r="AB75" s="1165">
        <f t="shared" si="27"/>
        <v>490560912.34189367</v>
      </c>
      <c r="AC75" s="542"/>
      <c r="AD75" s="542"/>
      <c r="AE75" s="1165"/>
      <c r="AF75" s="1170"/>
      <c r="AG75" s="1171"/>
      <c r="AH75" s="1172"/>
      <c r="AI75" s="1172"/>
      <c r="AJ75" s="1172"/>
      <c r="AK75" s="1172"/>
      <c r="AL75" s="1172"/>
      <c r="AM75" s="1172"/>
      <c r="AN75" s="1174"/>
      <c r="AO75" s="1174"/>
      <c r="AP75" s="1174"/>
      <c r="AQ75" s="1172"/>
      <c r="AR75" s="1172"/>
      <c r="AS75" s="1172"/>
      <c r="AT75" s="1172"/>
      <c r="AU75" s="1172"/>
      <c r="AV75" s="1172"/>
      <c r="AW75" s="1172"/>
      <c r="AX75" s="1172"/>
      <c r="AY75" s="1175"/>
    </row>
    <row r="76" spans="1:51" ht="18" customHeight="1" x14ac:dyDescent="0.25">
      <c r="A76" s="743"/>
      <c r="B76" s="743"/>
      <c r="C76" s="745" t="s">
        <v>508</v>
      </c>
      <c r="D76" s="546" t="s">
        <v>41</v>
      </c>
      <c r="E76" s="1161"/>
      <c r="F76" s="1162"/>
      <c r="G76" s="1162"/>
      <c r="H76" s="1161">
        <v>0.05</v>
      </c>
      <c r="I76" s="1161">
        <v>0.05</v>
      </c>
      <c r="J76" s="1161">
        <v>0.05</v>
      </c>
      <c r="K76" s="1163">
        <v>0.05</v>
      </c>
      <c r="L76" s="1161">
        <v>0.05</v>
      </c>
      <c r="M76" s="1161">
        <v>0.05</v>
      </c>
      <c r="N76" s="1164">
        <v>0.05</v>
      </c>
      <c r="O76" s="1164">
        <v>0.05</v>
      </c>
      <c r="P76" s="1164"/>
      <c r="Q76" s="1165"/>
      <c r="R76" s="1161"/>
      <c r="S76" s="1166"/>
      <c r="T76" s="1166"/>
      <c r="U76" s="1167">
        <v>8.6999999999999994E-3</v>
      </c>
      <c r="V76" s="1167">
        <v>1.2500000000000001E-2</v>
      </c>
      <c r="W76" s="1167">
        <v>1.6300000000000002E-2</v>
      </c>
      <c r="X76" s="1168">
        <v>2.01E-2</v>
      </c>
      <c r="Y76" s="1169">
        <v>2.53E-2</v>
      </c>
      <c r="Z76" s="1167">
        <v>2.9499999999999998E-2</v>
      </c>
      <c r="AA76" s="1167">
        <v>3.3500000000000002E-2</v>
      </c>
      <c r="AB76" s="1167">
        <v>3.9E-2</v>
      </c>
      <c r="AC76" s="1167"/>
      <c r="AD76" s="1182"/>
      <c r="AE76" s="1161"/>
      <c r="AF76" s="1170" t="s">
        <v>698</v>
      </c>
      <c r="AG76" s="1171" t="s">
        <v>439</v>
      </c>
      <c r="AH76" s="1172" t="s">
        <v>576</v>
      </c>
      <c r="AI76" s="1188" t="s">
        <v>664</v>
      </c>
      <c r="AJ76" s="1172" t="s">
        <v>656</v>
      </c>
      <c r="AK76" s="1172" t="s">
        <v>435</v>
      </c>
      <c r="AL76" s="1172" t="s">
        <v>557</v>
      </c>
      <c r="AM76" s="1172" t="s">
        <v>71</v>
      </c>
      <c r="AN76" s="1174">
        <f t="shared" ref="AN76" si="28">SUM(AO76:AP81)</f>
        <v>140946.57351735057</v>
      </c>
      <c r="AO76" s="1174">
        <v>66365.306491071926</v>
      </c>
      <c r="AP76" s="1174">
        <v>74581.267026278641</v>
      </c>
      <c r="AQ76" s="1172" t="s">
        <v>71</v>
      </c>
      <c r="AR76" s="1172" t="s">
        <v>71</v>
      </c>
      <c r="AS76" s="1172" t="s">
        <v>71</v>
      </c>
      <c r="AT76" s="1172" t="s">
        <v>71</v>
      </c>
      <c r="AU76" s="1172" t="s">
        <v>71</v>
      </c>
      <c r="AV76" s="1172" t="s">
        <v>71</v>
      </c>
      <c r="AW76" s="1172" t="s">
        <v>71</v>
      </c>
      <c r="AX76" s="1172" t="s">
        <v>71</v>
      </c>
      <c r="AY76" s="1175"/>
    </row>
    <row r="77" spans="1:51" ht="18" x14ac:dyDescent="0.25">
      <c r="A77" s="743"/>
      <c r="B77" s="743"/>
      <c r="C77" s="745"/>
      <c r="D77" s="545" t="s">
        <v>3</v>
      </c>
      <c r="E77" s="1165"/>
      <c r="F77" s="1165"/>
      <c r="G77" s="1162"/>
      <c r="H77" s="1161">
        <v>2965549.1859495048</v>
      </c>
      <c r="I77" s="1161">
        <v>7737146.0264625885</v>
      </c>
      <c r="J77" s="1161">
        <v>41057833.890000001</v>
      </c>
      <c r="K77" s="1163">
        <v>49353192.129836015</v>
      </c>
      <c r="L77" s="1165">
        <v>49353192.129836015</v>
      </c>
      <c r="M77" s="1165">
        <v>51804074.996670641</v>
      </c>
      <c r="N77" s="1164">
        <v>51804074.996670641</v>
      </c>
      <c r="O77" s="1164">
        <v>74890142.795398086</v>
      </c>
      <c r="P77" s="1164"/>
      <c r="Q77" s="1165"/>
      <c r="R77" s="1165"/>
      <c r="S77" s="564"/>
      <c r="T77" s="564"/>
      <c r="U77" s="565">
        <v>2965549.1859495048</v>
      </c>
      <c r="V77" s="565">
        <v>7737146.0264625885</v>
      </c>
      <c r="W77" s="565">
        <v>41057833.890000001</v>
      </c>
      <c r="X77" s="1176">
        <v>42297975.788368598</v>
      </c>
      <c r="Y77" s="564">
        <v>49353192.129836015</v>
      </c>
      <c r="Z77" s="564">
        <v>51804074.996670641</v>
      </c>
      <c r="AA77" s="564">
        <v>59034121.873403631</v>
      </c>
      <c r="AB77" s="563">
        <v>74890142.795398086</v>
      </c>
      <c r="AC77" s="562"/>
      <c r="AD77" s="562"/>
      <c r="AE77" s="1165"/>
      <c r="AF77" s="1170"/>
      <c r="AG77" s="1171"/>
      <c r="AH77" s="1172"/>
      <c r="AI77" s="1189"/>
      <c r="AJ77" s="1172"/>
      <c r="AK77" s="1172"/>
      <c r="AL77" s="1172"/>
      <c r="AM77" s="1172"/>
      <c r="AN77" s="1174"/>
      <c r="AO77" s="1174"/>
      <c r="AP77" s="1174"/>
      <c r="AQ77" s="1172"/>
      <c r="AR77" s="1172"/>
      <c r="AS77" s="1172"/>
      <c r="AT77" s="1172"/>
      <c r="AU77" s="1172"/>
      <c r="AV77" s="1172"/>
      <c r="AW77" s="1172"/>
      <c r="AX77" s="1172"/>
      <c r="AY77" s="1175"/>
    </row>
    <row r="78" spans="1:51" ht="27" x14ac:dyDescent="0.25">
      <c r="A78" s="743"/>
      <c r="B78" s="743"/>
      <c r="C78" s="745"/>
      <c r="D78" s="544" t="s">
        <v>42</v>
      </c>
      <c r="E78" s="1161"/>
      <c r="F78" s="1161"/>
      <c r="G78" s="1162"/>
      <c r="H78" s="1161">
        <v>0</v>
      </c>
      <c r="I78" s="1161">
        <v>0</v>
      </c>
      <c r="J78" s="1161">
        <v>0</v>
      </c>
      <c r="K78" s="1163">
        <v>0</v>
      </c>
      <c r="L78" s="1161">
        <v>0</v>
      </c>
      <c r="M78" s="1161">
        <v>0</v>
      </c>
      <c r="N78" s="1164">
        <v>0</v>
      </c>
      <c r="O78" s="1164">
        <v>0</v>
      </c>
      <c r="P78" s="1164"/>
      <c r="Q78" s="1161"/>
      <c r="R78" s="1161"/>
      <c r="S78" s="1178"/>
      <c r="T78" s="1178"/>
      <c r="U78" s="1179">
        <v>0</v>
      </c>
      <c r="V78" s="1179">
        <v>0</v>
      </c>
      <c r="W78" s="1179">
        <v>0</v>
      </c>
      <c r="X78" s="1180">
        <v>0</v>
      </c>
      <c r="Y78" s="1178">
        <v>0</v>
      </c>
      <c r="Z78" s="1178">
        <v>0</v>
      </c>
      <c r="AA78" s="1178">
        <v>0</v>
      </c>
      <c r="AB78" s="1178">
        <v>0</v>
      </c>
      <c r="AC78" s="562"/>
      <c r="AD78" s="562"/>
      <c r="AE78" s="1161"/>
      <c r="AF78" s="1170"/>
      <c r="AG78" s="1171"/>
      <c r="AH78" s="1172"/>
      <c r="AI78" s="1189"/>
      <c r="AJ78" s="1172"/>
      <c r="AK78" s="1172"/>
      <c r="AL78" s="1172"/>
      <c r="AM78" s="1172"/>
      <c r="AN78" s="1174"/>
      <c r="AO78" s="1174"/>
      <c r="AP78" s="1174"/>
      <c r="AQ78" s="1172"/>
      <c r="AR78" s="1172"/>
      <c r="AS78" s="1172"/>
      <c r="AT78" s="1172"/>
      <c r="AU78" s="1172"/>
      <c r="AV78" s="1172"/>
      <c r="AW78" s="1172"/>
      <c r="AX78" s="1172"/>
      <c r="AY78" s="1175"/>
    </row>
    <row r="79" spans="1:51" ht="27" x14ac:dyDescent="0.25">
      <c r="A79" s="743"/>
      <c r="B79" s="743"/>
      <c r="C79" s="745"/>
      <c r="D79" s="545" t="s">
        <v>4</v>
      </c>
      <c r="E79" s="1161"/>
      <c r="F79" s="1161"/>
      <c r="G79" s="1162"/>
      <c r="H79" s="1161">
        <v>0</v>
      </c>
      <c r="I79" s="1161">
        <v>0</v>
      </c>
      <c r="J79" s="1161">
        <v>0</v>
      </c>
      <c r="K79" s="1163">
        <v>0</v>
      </c>
      <c r="L79" s="1161">
        <v>0</v>
      </c>
      <c r="M79" s="1161">
        <v>0</v>
      </c>
      <c r="N79" s="1164">
        <v>0</v>
      </c>
      <c r="O79" s="1164">
        <v>0</v>
      </c>
      <c r="P79" s="1164"/>
      <c r="Q79" s="1161"/>
      <c r="R79" s="1161"/>
      <c r="S79" s="1178"/>
      <c r="T79" s="1178"/>
      <c r="U79" s="1179">
        <v>0</v>
      </c>
      <c r="V79" s="1179">
        <v>0</v>
      </c>
      <c r="W79" s="1179">
        <v>0</v>
      </c>
      <c r="X79" s="1180">
        <v>0</v>
      </c>
      <c r="Y79" s="1178">
        <v>0</v>
      </c>
      <c r="Z79" s="1178">
        <v>0</v>
      </c>
      <c r="AA79" s="1178">
        <v>0</v>
      </c>
      <c r="AB79" s="1178">
        <v>0</v>
      </c>
      <c r="AC79" s="562"/>
      <c r="AD79" s="562"/>
      <c r="AE79" s="1161"/>
      <c r="AF79" s="1170"/>
      <c r="AG79" s="1171"/>
      <c r="AH79" s="1172"/>
      <c r="AI79" s="1189"/>
      <c r="AJ79" s="1172"/>
      <c r="AK79" s="1172"/>
      <c r="AL79" s="1172"/>
      <c r="AM79" s="1172"/>
      <c r="AN79" s="1174"/>
      <c r="AO79" s="1174"/>
      <c r="AP79" s="1174"/>
      <c r="AQ79" s="1172"/>
      <c r="AR79" s="1172"/>
      <c r="AS79" s="1172"/>
      <c r="AT79" s="1172"/>
      <c r="AU79" s="1172"/>
      <c r="AV79" s="1172"/>
      <c r="AW79" s="1172"/>
      <c r="AX79" s="1172"/>
      <c r="AY79" s="1175"/>
    </row>
    <row r="80" spans="1:51" ht="27" x14ac:dyDescent="0.25">
      <c r="A80" s="743"/>
      <c r="B80" s="743"/>
      <c r="C80" s="745"/>
      <c r="D80" s="544" t="s">
        <v>43</v>
      </c>
      <c r="E80" s="1161"/>
      <c r="F80" s="1161"/>
      <c r="G80" s="1162"/>
      <c r="H80" s="1161">
        <v>0.05</v>
      </c>
      <c r="I80" s="1161">
        <v>0.05</v>
      </c>
      <c r="J80" s="1161">
        <v>0.05</v>
      </c>
      <c r="K80" s="1163">
        <f t="shared" ref="K80:O81" si="29">K76+K78</f>
        <v>0.05</v>
      </c>
      <c r="L80" s="1161">
        <f t="shared" si="29"/>
        <v>0.05</v>
      </c>
      <c r="M80" s="1161">
        <f t="shared" si="29"/>
        <v>0.05</v>
      </c>
      <c r="N80" s="1164">
        <f t="shared" si="29"/>
        <v>0.05</v>
      </c>
      <c r="O80" s="1164">
        <f t="shared" si="29"/>
        <v>0.05</v>
      </c>
      <c r="P80" s="1164"/>
      <c r="Q80" s="1161"/>
      <c r="R80" s="1161"/>
      <c r="S80" s="1178"/>
      <c r="T80" s="1178"/>
      <c r="U80" s="1181">
        <v>8.6999999999999994E-3</v>
      </c>
      <c r="V80" s="1181">
        <v>1.2500000000000001E-2</v>
      </c>
      <c r="W80" s="1179">
        <v>1.6300000000000002E-2</v>
      </c>
      <c r="X80" s="1180">
        <f t="shared" ref="X80:AB81" si="30">X76+X78</f>
        <v>2.01E-2</v>
      </c>
      <c r="Y80" s="1178">
        <f t="shared" si="30"/>
        <v>2.53E-2</v>
      </c>
      <c r="Z80" s="1178">
        <f t="shared" si="30"/>
        <v>2.9499999999999998E-2</v>
      </c>
      <c r="AA80" s="1178">
        <f t="shared" si="30"/>
        <v>3.3500000000000002E-2</v>
      </c>
      <c r="AB80" s="1178">
        <f t="shared" si="30"/>
        <v>3.9E-2</v>
      </c>
      <c r="AC80" s="562"/>
      <c r="AD80" s="562"/>
      <c r="AE80" s="1161"/>
      <c r="AF80" s="1170"/>
      <c r="AG80" s="1171"/>
      <c r="AH80" s="1172"/>
      <c r="AI80" s="1189"/>
      <c r="AJ80" s="1172"/>
      <c r="AK80" s="1172"/>
      <c r="AL80" s="1172"/>
      <c r="AM80" s="1172"/>
      <c r="AN80" s="1174"/>
      <c r="AO80" s="1174"/>
      <c r="AP80" s="1174"/>
      <c r="AQ80" s="1172"/>
      <c r="AR80" s="1172"/>
      <c r="AS80" s="1172"/>
      <c r="AT80" s="1172"/>
      <c r="AU80" s="1172"/>
      <c r="AV80" s="1172"/>
      <c r="AW80" s="1172"/>
      <c r="AX80" s="1172"/>
      <c r="AY80" s="1175"/>
    </row>
    <row r="81" spans="1:51" ht="27" x14ac:dyDescent="0.25">
      <c r="A81" s="743"/>
      <c r="B81" s="743"/>
      <c r="C81" s="745"/>
      <c r="D81" s="545" t="s">
        <v>45</v>
      </c>
      <c r="E81" s="1165"/>
      <c r="F81" s="1165"/>
      <c r="G81" s="1162"/>
      <c r="H81" s="1161">
        <v>2965549.1859495048</v>
      </c>
      <c r="I81" s="1161">
        <v>7737146.0264625885</v>
      </c>
      <c r="J81" s="1161">
        <v>41057833.890000001</v>
      </c>
      <c r="K81" s="1163">
        <f t="shared" si="29"/>
        <v>49353192.129836015</v>
      </c>
      <c r="L81" s="1165">
        <f t="shared" si="29"/>
        <v>49353192.129836015</v>
      </c>
      <c r="M81" s="1161">
        <f t="shared" si="29"/>
        <v>51804074.996670641</v>
      </c>
      <c r="N81" s="1164">
        <f t="shared" si="29"/>
        <v>51804074.996670641</v>
      </c>
      <c r="O81" s="1164">
        <f t="shared" si="29"/>
        <v>74890142.795398086</v>
      </c>
      <c r="P81" s="1164"/>
      <c r="Q81" s="1161"/>
      <c r="R81" s="1165"/>
      <c r="S81" s="1165"/>
      <c r="T81" s="1165"/>
      <c r="U81" s="1161">
        <v>2965549.1859495048</v>
      </c>
      <c r="V81" s="1179">
        <v>7737146.0264625885</v>
      </c>
      <c r="W81" s="1161">
        <v>41057833.890000001</v>
      </c>
      <c r="X81" s="1163">
        <f t="shared" si="30"/>
        <v>42297975.788368598</v>
      </c>
      <c r="Y81" s="1165">
        <f t="shared" si="30"/>
        <v>49353192.129836015</v>
      </c>
      <c r="Z81" s="1165">
        <f t="shared" si="30"/>
        <v>51804074.996670641</v>
      </c>
      <c r="AA81" s="1165">
        <f t="shared" si="30"/>
        <v>59034121.873403631</v>
      </c>
      <c r="AB81" s="1165">
        <f t="shared" si="30"/>
        <v>74890142.795398086</v>
      </c>
      <c r="AC81" s="542"/>
      <c r="AD81" s="542"/>
      <c r="AE81" s="1165"/>
      <c r="AF81" s="1170"/>
      <c r="AG81" s="1171"/>
      <c r="AH81" s="1172"/>
      <c r="AI81" s="1190"/>
      <c r="AJ81" s="1172"/>
      <c r="AK81" s="1172"/>
      <c r="AL81" s="1172"/>
      <c r="AM81" s="1172"/>
      <c r="AN81" s="1174"/>
      <c r="AO81" s="1174"/>
      <c r="AP81" s="1174"/>
      <c r="AQ81" s="1172"/>
      <c r="AR81" s="1172"/>
      <c r="AS81" s="1172"/>
      <c r="AT81" s="1172"/>
      <c r="AU81" s="1172"/>
      <c r="AV81" s="1172"/>
      <c r="AW81" s="1172"/>
      <c r="AX81" s="1172"/>
      <c r="AY81" s="1175"/>
    </row>
    <row r="82" spans="1:51" ht="18" customHeight="1" x14ac:dyDescent="0.25">
      <c r="A82" s="743"/>
      <c r="B82" s="743"/>
      <c r="C82" s="745" t="s">
        <v>509</v>
      </c>
      <c r="D82" s="546" t="s">
        <v>41</v>
      </c>
      <c r="E82" s="1161"/>
      <c r="F82" s="1162"/>
      <c r="G82" s="1162"/>
      <c r="H82" s="1161">
        <v>0.05</v>
      </c>
      <c r="I82" s="1161">
        <v>0.05</v>
      </c>
      <c r="J82" s="1161">
        <v>0.05</v>
      </c>
      <c r="K82" s="1163">
        <v>0.05</v>
      </c>
      <c r="L82" s="1161">
        <v>0.05</v>
      </c>
      <c r="M82" s="1161">
        <v>0.05</v>
      </c>
      <c r="N82" s="1164">
        <v>0.05</v>
      </c>
      <c r="O82" s="1164">
        <v>0.05</v>
      </c>
      <c r="P82" s="1164"/>
      <c r="Q82" s="1165"/>
      <c r="R82" s="1161"/>
      <c r="S82" s="1166"/>
      <c r="T82" s="1166"/>
      <c r="U82" s="1167">
        <v>8.6999999999999994E-3</v>
      </c>
      <c r="V82" s="1167">
        <v>1.2500000000000001E-2</v>
      </c>
      <c r="W82" s="1167">
        <v>1.6300000000000002E-2</v>
      </c>
      <c r="X82" s="1168">
        <v>2.01E-2</v>
      </c>
      <c r="Y82" s="1169">
        <v>2.53E-2</v>
      </c>
      <c r="Z82" s="1167">
        <v>2.9499999999999998E-2</v>
      </c>
      <c r="AA82" s="1182">
        <v>3.3500000000000002E-2</v>
      </c>
      <c r="AB82" s="1167">
        <v>3.9E-2</v>
      </c>
      <c r="AC82" s="543"/>
      <c r="AD82" s="542"/>
      <c r="AE82" s="1161"/>
      <c r="AF82" s="1170" t="s">
        <v>699</v>
      </c>
      <c r="AG82" s="1171" t="s">
        <v>452</v>
      </c>
      <c r="AH82" s="1172" t="s">
        <v>566</v>
      </c>
      <c r="AI82" s="1172" t="s">
        <v>665</v>
      </c>
      <c r="AJ82" s="1172" t="s">
        <v>656</v>
      </c>
      <c r="AK82" s="1172" t="s">
        <v>435</v>
      </c>
      <c r="AL82" s="1172" t="s">
        <v>557</v>
      </c>
      <c r="AM82" s="1172" t="s">
        <v>71</v>
      </c>
      <c r="AN82" s="1174">
        <f t="shared" ref="AN82" si="31">SUM(AO82:AP87)</f>
        <v>155749.75142517977</v>
      </c>
      <c r="AO82" s="1174">
        <v>72871.37071132737</v>
      </c>
      <c r="AP82" s="1174">
        <v>82878.380713852384</v>
      </c>
      <c r="AQ82" s="1172" t="s">
        <v>71</v>
      </c>
      <c r="AR82" s="1172" t="s">
        <v>71</v>
      </c>
      <c r="AS82" s="1172" t="s">
        <v>71</v>
      </c>
      <c r="AT82" s="1172" t="s">
        <v>71</v>
      </c>
      <c r="AU82" s="1172" t="s">
        <v>71</v>
      </c>
      <c r="AV82" s="1172" t="s">
        <v>71</v>
      </c>
      <c r="AW82" s="1172" t="s">
        <v>71</v>
      </c>
      <c r="AX82" s="1172" t="s">
        <v>71</v>
      </c>
      <c r="AY82" s="1175"/>
    </row>
    <row r="83" spans="1:51" ht="18" x14ac:dyDescent="0.25">
      <c r="A83" s="743"/>
      <c r="B83" s="743"/>
      <c r="C83" s="745"/>
      <c r="D83" s="545" t="s">
        <v>3</v>
      </c>
      <c r="E83" s="1165"/>
      <c r="F83" s="1165"/>
      <c r="G83" s="1162"/>
      <c r="H83" s="1161">
        <v>36356599.530937701</v>
      </c>
      <c r="I83" s="1161">
        <v>24893909.131331868</v>
      </c>
      <c r="J83" s="1161">
        <v>42060038.329999998</v>
      </c>
      <c r="K83" s="1163">
        <v>59614981.290571325</v>
      </c>
      <c r="L83" s="1165">
        <v>59614981.290571325</v>
      </c>
      <c r="M83" s="1165">
        <v>62990428.155595042</v>
      </c>
      <c r="N83" s="1164">
        <v>62990428.155595042</v>
      </c>
      <c r="O83" s="1164">
        <v>61922818.842062242</v>
      </c>
      <c r="P83" s="1164"/>
      <c r="Q83" s="1165"/>
      <c r="R83" s="1165"/>
      <c r="S83" s="564"/>
      <c r="T83" s="564"/>
      <c r="U83" s="565">
        <v>36356599.530937701</v>
      </c>
      <c r="V83" s="540">
        <v>24893909.131331868</v>
      </c>
      <c r="W83" s="565">
        <v>42060038.329999998</v>
      </c>
      <c r="X83" s="1176">
        <v>57802948.285571314</v>
      </c>
      <c r="Y83" s="564">
        <v>59614981.290571325</v>
      </c>
      <c r="Z83" s="564">
        <v>62990428.155595042</v>
      </c>
      <c r="AA83" s="564">
        <v>61341209.185524456</v>
      </c>
      <c r="AB83" s="563">
        <v>61922818.842062242</v>
      </c>
      <c r="AC83" s="562"/>
      <c r="AD83" s="562"/>
      <c r="AE83" s="1165"/>
      <c r="AF83" s="1170"/>
      <c r="AG83" s="1171"/>
      <c r="AH83" s="1172"/>
      <c r="AI83" s="1172"/>
      <c r="AJ83" s="1172"/>
      <c r="AK83" s="1172"/>
      <c r="AL83" s="1172"/>
      <c r="AM83" s="1172"/>
      <c r="AN83" s="1174"/>
      <c r="AO83" s="1174"/>
      <c r="AP83" s="1174"/>
      <c r="AQ83" s="1172"/>
      <c r="AR83" s="1172"/>
      <c r="AS83" s="1172"/>
      <c r="AT83" s="1172"/>
      <c r="AU83" s="1172"/>
      <c r="AV83" s="1172"/>
      <c r="AW83" s="1172"/>
      <c r="AX83" s="1172"/>
      <c r="AY83" s="1175"/>
    </row>
    <row r="84" spans="1:51" ht="27" x14ac:dyDescent="0.25">
      <c r="A84" s="743"/>
      <c r="B84" s="743"/>
      <c r="C84" s="745"/>
      <c r="D84" s="544" t="s">
        <v>42</v>
      </c>
      <c r="E84" s="1161"/>
      <c r="F84" s="1161"/>
      <c r="G84" s="1162"/>
      <c r="H84" s="1161">
        <v>0</v>
      </c>
      <c r="I84" s="1161">
        <v>0</v>
      </c>
      <c r="J84" s="1161">
        <v>0</v>
      </c>
      <c r="K84" s="1163">
        <v>0</v>
      </c>
      <c r="L84" s="1161">
        <v>0</v>
      </c>
      <c r="M84" s="1161">
        <v>0</v>
      </c>
      <c r="N84" s="1164">
        <v>0</v>
      </c>
      <c r="O84" s="1164">
        <v>0</v>
      </c>
      <c r="P84" s="1164"/>
      <c r="Q84" s="1161"/>
      <c r="R84" s="1161"/>
      <c r="S84" s="1178"/>
      <c r="T84" s="1178"/>
      <c r="U84" s="1179">
        <v>0</v>
      </c>
      <c r="V84" s="1179">
        <v>0</v>
      </c>
      <c r="W84" s="1179">
        <v>0</v>
      </c>
      <c r="X84" s="1180">
        <v>0</v>
      </c>
      <c r="Y84" s="1178">
        <v>0</v>
      </c>
      <c r="Z84" s="1178">
        <v>0</v>
      </c>
      <c r="AA84" s="1178">
        <v>0</v>
      </c>
      <c r="AB84" s="1178">
        <v>0</v>
      </c>
      <c r="AC84" s="562"/>
      <c r="AD84" s="562"/>
      <c r="AE84" s="1161"/>
      <c r="AF84" s="1170"/>
      <c r="AG84" s="1171"/>
      <c r="AH84" s="1172"/>
      <c r="AI84" s="1172"/>
      <c r="AJ84" s="1172"/>
      <c r="AK84" s="1172"/>
      <c r="AL84" s="1172"/>
      <c r="AM84" s="1172"/>
      <c r="AN84" s="1174"/>
      <c r="AO84" s="1174"/>
      <c r="AP84" s="1174"/>
      <c r="AQ84" s="1172"/>
      <c r="AR84" s="1172"/>
      <c r="AS84" s="1172"/>
      <c r="AT84" s="1172"/>
      <c r="AU84" s="1172"/>
      <c r="AV84" s="1172"/>
      <c r="AW84" s="1172"/>
      <c r="AX84" s="1172"/>
      <c r="AY84" s="1175"/>
    </row>
    <row r="85" spans="1:51" ht="27" x14ac:dyDescent="0.25">
      <c r="A85" s="743"/>
      <c r="B85" s="743"/>
      <c r="C85" s="745"/>
      <c r="D85" s="545" t="s">
        <v>4</v>
      </c>
      <c r="E85" s="1161"/>
      <c r="F85" s="1161"/>
      <c r="G85" s="1162"/>
      <c r="H85" s="1161">
        <v>0</v>
      </c>
      <c r="I85" s="1161">
        <v>0</v>
      </c>
      <c r="J85" s="1161">
        <v>0</v>
      </c>
      <c r="K85" s="1163">
        <v>0</v>
      </c>
      <c r="L85" s="1161">
        <v>0</v>
      </c>
      <c r="M85" s="1161">
        <v>0</v>
      </c>
      <c r="N85" s="1164">
        <v>0</v>
      </c>
      <c r="O85" s="1164">
        <v>0</v>
      </c>
      <c r="P85" s="1164"/>
      <c r="Q85" s="1161"/>
      <c r="R85" s="1161"/>
      <c r="S85" s="1178"/>
      <c r="T85" s="1178"/>
      <c r="U85" s="1179">
        <v>0</v>
      </c>
      <c r="V85" s="1179">
        <v>0</v>
      </c>
      <c r="W85" s="1179">
        <v>0</v>
      </c>
      <c r="X85" s="1180">
        <v>0</v>
      </c>
      <c r="Y85" s="1178">
        <v>0</v>
      </c>
      <c r="Z85" s="1178">
        <v>0</v>
      </c>
      <c r="AA85" s="1178">
        <v>0</v>
      </c>
      <c r="AB85" s="1178">
        <v>0</v>
      </c>
      <c r="AC85" s="562"/>
      <c r="AD85" s="562"/>
      <c r="AE85" s="1161"/>
      <c r="AF85" s="1170"/>
      <c r="AG85" s="1171"/>
      <c r="AH85" s="1172"/>
      <c r="AI85" s="1172"/>
      <c r="AJ85" s="1172"/>
      <c r="AK85" s="1172"/>
      <c r="AL85" s="1172"/>
      <c r="AM85" s="1172"/>
      <c r="AN85" s="1174"/>
      <c r="AO85" s="1174"/>
      <c r="AP85" s="1174"/>
      <c r="AQ85" s="1172"/>
      <c r="AR85" s="1172"/>
      <c r="AS85" s="1172"/>
      <c r="AT85" s="1172"/>
      <c r="AU85" s="1172"/>
      <c r="AV85" s="1172"/>
      <c r="AW85" s="1172"/>
      <c r="AX85" s="1172"/>
      <c r="AY85" s="1175"/>
    </row>
    <row r="86" spans="1:51" ht="27" x14ac:dyDescent="0.25">
      <c r="A86" s="743"/>
      <c r="B86" s="743"/>
      <c r="C86" s="745"/>
      <c r="D86" s="544" t="s">
        <v>43</v>
      </c>
      <c r="E86" s="1161"/>
      <c r="F86" s="1161"/>
      <c r="G86" s="1162"/>
      <c r="H86" s="1161">
        <v>0.05</v>
      </c>
      <c r="I86" s="1161">
        <v>0.05</v>
      </c>
      <c r="J86" s="1161">
        <v>0.05</v>
      </c>
      <c r="K86" s="1163">
        <f t="shared" ref="K86:O87" si="32">K82+K84</f>
        <v>0.05</v>
      </c>
      <c r="L86" s="1161">
        <f t="shared" si="32"/>
        <v>0.05</v>
      </c>
      <c r="M86" s="1161">
        <f t="shared" si="32"/>
        <v>0.05</v>
      </c>
      <c r="N86" s="1164">
        <f t="shared" si="32"/>
        <v>0.05</v>
      </c>
      <c r="O86" s="1164">
        <f t="shared" si="32"/>
        <v>0.05</v>
      </c>
      <c r="P86" s="1164"/>
      <c r="Q86" s="1161"/>
      <c r="R86" s="1161"/>
      <c r="S86" s="1178"/>
      <c r="T86" s="1178"/>
      <c r="U86" s="1181">
        <v>8.6999999999999994E-3</v>
      </c>
      <c r="V86" s="1181">
        <v>1.2500000000000001E-2</v>
      </c>
      <c r="W86" s="1179">
        <v>1.6300000000000002E-2</v>
      </c>
      <c r="X86" s="1180">
        <f t="shared" ref="X86:AB87" si="33">X82+X84</f>
        <v>2.01E-2</v>
      </c>
      <c r="Y86" s="1178">
        <f t="shared" si="33"/>
        <v>2.53E-2</v>
      </c>
      <c r="Z86" s="1178">
        <f t="shared" si="33"/>
        <v>2.9499999999999998E-2</v>
      </c>
      <c r="AA86" s="1178">
        <f t="shared" si="33"/>
        <v>3.3500000000000002E-2</v>
      </c>
      <c r="AB86" s="1178">
        <f t="shared" si="33"/>
        <v>3.9E-2</v>
      </c>
      <c r="AC86" s="562"/>
      <c r="AD86" s="562"/>
      <c r="AE86" s="1161"/>
      <c r="AF86" s="1170"/>
      <c r="AG86" s="1171"/>
      <c r="AH86" s="1172"/>
      <c r="AI86" s="1172"/>
      <c r="AJ86" s="1172"/>
      <c r="AK86" s="1172"/>
      <c r="AL86" s="1172"/>
      <c r="AM86" s="1172"/>
      <c r="AN86" s="1174"/>
      <c r="AO86" s="1174"/>
      <c r="AP86" s="1174"/>
      <c r="AQ86" s="1172"/>
      <c r="AR86" s="1172"/>
      <c r="AS86" s="1172"/>
      <c r="AT86" s="1172"/>
      <c r="AU86" s="1172"/>
      <c r="AV86" s="1172"/>
      <c r="AW86" s="1172"/>
      <c r="AX86" s="1172"/>
      <c r="AY86" s="1175"/>
    </row>
    <row r="87" spans="1:51" ht="27" x14ac:dyDescent="0.25">
      <c r="A87" s="743"/>
      <c r="B87" s="743"/>
      <c r="C87" s="745"/>
      <c r="D87" s="545" t="s">
        <v>45</v>
      </c>
      <c r="E87" s="1165"/>
      <c r="F87" s="1165"/>
      <c r="G87" s="1162"/>
      <c r="H87" s="1161">
        <v>36356599.530937701</v>
      </c>
      <c r="I87" s="1161">
        <v>24893909.131331868</v>
      </c>
      <c r="J87" s="1161">
        <v>42060038.329999998</v>
      </c>
      <c r="K87" s="1163">
        <f t="shared" si="32"/>
        <v>59614981.290571325</v>
      </c>
      <c r="L87" s="1165">
        <f t="shared" si="32"/>
        <v>59614981.290571325</v>
      </c>
      <c r="M87" s="1161">
        <f t="shared" si="32"/>
        <v>62990428.155595042</v>
      </c>
      <c r="N87" s="1164">
        <f t="shared" si="32"/>
        <v>62990428.155595042</v>
      </c>
      <c r="O87" s="1164">
        <f t="shared" si="32"/>
        <v>61922818.842062242</v>
      </c>
      <c r="P87" s="1164"/>
      <c r="Q87" s="1161"/>
      <c r="R87" s="1165"/>
      <c r="S87" s="1165"/>
      <c r="T87" s="1165"/>
      <c r="U87" s="1161">
        <v>36356599.530937701</v>
      </c>
      <c r="V87" s="1179">
        <v>24893909.131331868</v>
      </c>
      <c r="W87" s="1161">
        <v>42060038.329999998</v>
      </c>
      <c r="X87" s="1163">
        <f t="shared" si="33"/>
        <v>57802948.285571314</v>
      </c>
      <c r="Y87" s="1165">
        <f t="shared" si="33"/>
        <v>59614981.290571325</v>
      </c>
      <c r="Z87" s="1165">
        <f t="shared" si="33"/>
        <v>62990428.155595042</v>
      </c>
      <c r="AA87" s="1165">
        <f t="shared" si="33"/>
        <v>61341209.185524456</v>
      </c>
      <c r="AB87" s="1165">
        <f t="shared" si="33"/>
        <v>61922818.842062242</v>
      </c>
      <c r="AC87" s="542"/>
      <c r="AD87" s="542"/>
      <c r="AE87" s="1165"/>
      <c r="AF87" s="1170"/>
      <c r="AG87" s="1171"/>
      <c r="AH87" s="1172"/>
      <c r="AI87" s="1172"/>
      <c r="AJ87" s="1172"/>
      <c r="AK87" s="1172"/>
      <c r="AL87" s="1172"/>
      <c r="AM87" s="1172"/>
      <c r="AN87" s="1174"/>
      <c r="AO87" s="1174"/>
      <c r="AP87" s="1174"/>
      <c r="AQ87" s="1172"/>
      <c r="AR87" s="1172"/>
      <c r="AS87" s="1172"/>
      <c r="AT87" s="1172"/>
      <c r="AU87" s="1172"/>
      <c r="AV87" s="1172"/>
      <c r="AW87" s="1172"/>
      <c r="AX87" s="1172"/>
      <c r="AY87" s="1175"/>
    </row>
    <row r="88" spans="1:51" ht="18" customHeight="1" x14ac:dyDescent="0.25">
      <c r="A88" s="743"/>
      <c r="B88" s="743"/>
      <c r="C88" s="745" t="s">
        <v>510</v>
      </c>
      <c r="D88" s="546" t="s">
        <v>41</v>
      </c>
      <c r="E88" s="1161"/>
      <c r="F88" s="1162"/>
      <c r="G88" s="1162"/>
      <c r="H88" s="1161">
        <v>0.05</v>
      </c>
      <c r="I88" s="1161">
        <v>0.05</v>
      </c>
      <c r="J88" s="1161">
        <v>0.05</v>
      </c>
      <c r="K88" s="1163">
        <v>0.05</v>
      </c>
      <c r="L88" s="1164">
        <v>0.05</v>
      </c>
      <c r="M88" s="1161">
        <v>0.05</v>
      </c>
      <c r="N88" s="1164">
        <v>0.05</v>
      </c>
      <c r="O88" s="1164">
        <v>0.05</v>
      </c>
      <c r="P88" s="1164"/>
      <c r="Q88" s="1165"/>
      <c r="R88" s="1161"/>
      <c r="S88" s="1166"/>
      <c r="T88" s="1166"/>
      <c r="U88" s="1167">
        <v>8.6999999999999994E-3</v>
      </c>
      <c r="V88" s="1167">
        <v>1.2500000000000001E-2</v>
      </c>
      <c r="W88" s="1167">
        <v>1.6300000000000002E-2</v>
      </c>
      <c r="X88" s="1168">
        <v>2.01E-2</v>
      </c>
      <c r="Y88" s="1169">
        <v>2.53E-2</v>
      </c>
      <c r="Z88" s="1167">
        <v>2.9499999999999998E-2</v>
      </c>
      <c r="AA88" s="1167">
        <v>3.3500000000000002E-2</v>
      </c>
      <c r="AB88" s="1167">
        <v>3.9E-2</v>
      </c>
      <c r="AC88" s="560"/>
      <c r="AD88" s="561"/>
      <c r="AE88" s="1161"/>
      <c r="AF88" s="1170" t="s">
        <v>700</v>
      </c>
      <c r="AG88" s="1171" t="s">
        <v>446</v>
      </c>
      <c r="AH88" s="1172" t="s">
        <v>567</v>
      </c>
      <c r="AI88" s="1172" t="s">
        <v>647</v>
      </c>
      <c r="AJ88" s="1172" t="s">
        <v>656</v>
      </c>
      <c r="AK88" s="1172" t="s">
        <v>435</v>
      </c>
      <c r="AL88" s="1172" t="s">
        <v>557</v>
      </c>
      <c r="AM88" s="1172" t="s">
        <v>71</v>
      </c>
      <c r="AN88" s="1174">
        <f t="shared" ref="AN88" si="34">SUM(AO88:AP93)</f>
        <v>77943.945326548768</v>
      </c>
      <c r="AO88" s="1174">
        <v>38163.189754458443</v>
      </c>
      <c r="AP88" s="1174">
        <v>39780.755572090333</v>
      </c>
      <c r="AQ88" s="1172" t="s">
        <v>71</v>
      </c>
      <c r="AR88" s="1172" t="s">
        <v>71</v>
      </c>
      <c r="AS88" s="1172" t="s">
        <v>71</v>
      </c>
      <c r="AT88" s="1172" t="s">
        <v>71</v>
      </c>
      <c r="AU88" s="1172" t="s">
        <v>71</v>
      </c>
      <c r="AV88" s="1172" t="s">
        <v>71</v>
      </c>
      <c r="AW88" s="1172" t="s">
        <v>71</v>
      </c>
      <c r="AX88" s="1172" t="s">
        <v>71</v>
      </c>
      <c r="AY88" s="1175"/>
    </row>
    <row r="89" spans="1:51" ht="18" x14ac:dyDescent="0.25">
      <c r="A89" s="743"/>
      <c r="B89" s="743"/>
      <c r="C89" s="745"/>
      <c r="D89" s="545" t="s">
        <v>3</v>
      </c>
      <c r="E89" s="1165"/>
      <c r="F89" s="1165"/>
      <c r="G89" s="1162"/>
      <c r="H89" s="1161">
        <v>17886590.617139809</v>
      </c>
      <c r="I89" s="1161">
        <v>60125564.675450236</v>
      </c>
      <c r="J89" s="1161">
        <v>56192710.789999999</v>
      </c>
      <c r="K89" s="1163">
        <v>43450842.971463211</v>
      </c>
      <c r="L89" s="1165">
        <v>43450842.971463211</v>
      </c>
      <c r="M89" s="1165">
        <v>36098542.392086878</v>
      </c>
      <c r="N89" s="1164">
        <v>36098542.392086878</v>
      </c>
      <c r="O89" s="1164">
        <v>31006380.33950825</v>
      </c>
      <c r="P89" s="1164"/>
      <c r="Q89" s="1165"/>
      <c r="R89" s="1165"/>
      <c r="S89" s="564"/>
      <c r="T89" s="564"/>
      <c r="U89" s="565">
        <v>17886590.617139809</v>
      </c>
      <c r="V89" s="540">
        <v>60125564.675450236</v>
      </c>
      <c r="W89" s="565">
        <v>56192710.789999999</v>
      </c>
      <c r="X89" s="1176">
        <v>43292145.583801202</v>
      </c>
      <c r="Y89" s="564">
        <v>43450842.971463211</v>
      </c>
      <c r="Z89" s="564">
        <v>36098542.392086878</v>
      </c>
      <c r="AA89" s="564">
        <v>32250091.223243684</v>
      </c>
      <c r="AB89" s="563">
        <v>31006380.33950825</v>
      </c>
      <c r="AC89" s="562"/>
      <c r="AD89" s="562"/>
      <c r="AE89" s="1165"/>
      <c r="AF89" s="1170"/>
      <c r="AG89" s="1171"/>
      <c r="AH89" s="1172"/>
      <c r="AI89" s="1172"/>
      <c r="AJ89" s="1172"/>
      <c r="AK89" s="1172"/>
      <c r="AL89" s="1172"/>
      <c r="AM89" s="1172"/>
      <c r="AN89" s="1174"/>
      <c r="AO89" s="1174"/>
      <c r="AP89" s="1174"/>
      <c r="AQ89" s="1172"/>
      <c r="AR89" s="1172"/>
      <c r="AS89" s="1172"/>
      <c r="AT89" s="1172"/>
      <c r="AU89" s="1172"/>
      <c r="AV89" s="1172"/>
      <c r="AW89" s="1172"/>
      <c r="AX89" s="1172"/>
      <c r="AY89" s="1175"/>
    </row>
    <row r="90" spans="1:51" ht="27" x14ac:dyDescent="0.25">
      <c r="A90" s="743"/>
      <c r="B90" s="743"/>
      <c r="C90" s="745"/>
      <c r="D90" s="544" t="s">
        <v>42</v>
      </c>
      <c r="E90" s="1161"/>
      <c r="F90" s="1161"/>
      <c r="G90" s="1162"/>
      <c r="H90" s="1161">
        <v>0</v>
      </c>
      <c r="I90" s="1161">
        <v>0</v>
      </c>
      <c r="J90" s="1161">
        <v>0</v>
      </c>
      <c r="K90" s="1163">
        <v>0</v>
      </c>
      <c r="L90" s="1161">
        <v>0</v>
      </c>
      <c r="M90" s="1161">
        <v>0</v>
      </c>
      <c r="N90" s="1164">
        <v>0</v>
      </c>
      <c r="O90" s="1164">
        <v>0</v>
      </c>
      <c r="P90" s="1164"/>
      <c r="Q90" s="1161"/>
      <c r="R90" s="1161"/>
      <c r="S90" s="1178"/>
      <c r="T90" s="1178"/>
      <c r="U90" s="1179">
        <v>0</v>
      </c>
      <c r="V90" s="1179">
        <v>0</v>
      </c>
      <c r="W90" s="1179">
        <v>0</v>
      </c>
      <c r="X90" s="1180">
        <v>0</v>
      </c>
      <c r="Y90" s="1178">
        <v>0</v>
      </c>
      <c r="Z90" s="1178">
        <v>0</v>
      </c>
      <c r="AA90" s="1178">
        <v>0</v>
      </c>
      <c r="AB90" s="1178">
        <v>0</v>
      </c>
      <c r="AC90" s="562"/>
      <c r="AD90" s="562"/>
      <c r="AE90" s="1161"/>
      <c r="AF90" s="1170"/>
      <c r="AG90" s="1171"/>
      <c r="AH90" s="1172"/>
      <c r="AI90" s="1172"/>
      <c r="AJ90" s="1172"/>
      <c r="AK90" s="1172"/>
      <c r="AL90" s="1172"/>
      <c r="AM90" s="1172"/>
      <c r="AN90" s="1174"/>
      <c r="AO90" s="1174"/>
      <c r="AP90" s="1174"/>
      <c r="AQ90" s="1172"/>
      <c r="AR90" s="1172"/>
      <c r="AS90" s="1172"/>
      <c r="AT90" s="1172"/>
      <c r="AU90" s="1172"/>
      <c r="AV90" s="1172"/>
      <c r="AW90" s="1172"/>
      <c r="AX90" s="1172"/>
      <c r="AY90" s="1175"/>
    </row>
    <row r="91" spans="1:51" ht="27" x14ac:dyDescent="0.25">
      <c r="A91" s="743"/>
      <c r="B91" s="743"/>
      <c r="C91" s="745"/>
      <c r="D91" s="545" t="s">
        <v>4</v>
      </c>
      <c r="E91" s="1161"/>
      <c r="F91" s="1161"/>
      <c r="G91" s="1162"/>
      <c r="H91" s="1161">
        <v>0</v>
      </c>
      <c r="I91" s="1161">
        <v>0</v>
      </c>
      <c r="J91" s="1161">
        <v>0</v>
      </c>
      <c r="K91" s="1163">
        <v>0</v>
      </c>
      <c r="L91" s="1161">
        <v>0</v>
      </c>
      <c r="M91" s="1161">
        <v>0</v>
      </c>
      <c r="N91" s="1164">
        <v>0</v>
      </c>
      <c r="O91" s="1164">
        <v>0</v>
      </c>
      <c r="P91" s="1164"/>
      <c r="Q91" s="1161"/>
      <c r="R91" s="1161"/>
      <c r="S91" s="1178"/>
      <c r="T91" s="1178"/>
      <c r="U91" s="1179">
        <v>0</v>
      </c>
      <c r="V91" s="1179">
        <v>0</v>
      </c>
      <c r="W91" s="1179">
        <v>0</v>
      </c>
      <c r="X91" s="1180">
        <v>0</v>
      </c>
      <c r="Y91" s="1178">
        <v>0</v>
      </c>
      <c r="Z91" s="1178">
        <v>0</v>
      </c>
      <c r="AA91" s="1178">
        <v>0</v>
      </c>
      <c r="AB91" s="1178">
        <v>0</v>
      </c>
      <c r="AC91" s="562"/>
      <c r="AD91" s="562"/>
      <c r="AE91" s="1161"/>
      <c r="AF91" s="1170"/>
      <c r="AG91" s="1171"/>
      <c r="AH91" s="1172"/>
      <c r="AI91" s="1172"/>
      <c r="AJ91" s="1172"/>
      <c r="AK91" s="1172"/>
      <c r="AL91" s="1172"/>
      <c r="AM91" s="1172"/>
      <c r="AN91" s="1174"/>
      <c r="AO91" s="1174"/>
      <c r="AP91" s="1174"/>
      <c r="AQ91" s="1172"/>
      <c r="AR91" s="1172"/>
      <c r="AS91" s="1172"/>
      <c r="AT91" s="1172"/>
      <c r="AU91" s="1172"/>
      <c r="AV91" s="1172"/>
      <c r="AW91" s="1172"/>
      <c r="AX91" s="1172"/>
      <c r="AY91" s="1175"/>
    </row>
    <row r="92" spans="1:51" ht="27" x14ac:dyDescent="0.25">
      <c r="A92" s="743"/>
      <c r="B92" s="743"/>
      <c r="C92" s="745"/>
      <c r="D92" s="544" t="s">
        <v>43</v>
      </c>
      <c r="E92" s="1161"/>
      <c r="F92" s="1161"/>
      <c r="G92" s="1162"/>
      <c r="H92" s="1161">
        <v>0.05</v>
      </c>
      <c r="I92" s="1161">
        <v>0.05</v>
      </c>
      <c r="J92" s="1161">
        <v>0.05</v>
      </c>
      <c r="K92" s="1163">
        <f t="shared" ref="K92:O93" si="35">K88+K90</f>
        <v>0.05</v>
      </c>
      <c r="L92" s="1161">
        <f t="shared" si="35"/>
        <v>0.05</v>
      </c>
      <c r="M92" s="1161">
        <f t="shared" si="35"/>
        <v>0.05</v>
      </c>
      <c r="N92" s="1164">
        <f t="shared" si="35"/>
        <v>0.05</v>
      </c>
      <c r="O92" s="1164">
        <f t="shared" si="35"/>
        <v>0.05</v>
      </c>
      <c r="P92" s="1164"/>
      <c r="Q92" s="1161"/>
      <c r="R92" s="1161"/>
      <c r="S92" s="1178"/>
      <c r="T92" s="1178"/>
      <c r="U92" s="1181">
        <v>8.6999999999999994E-3</v>
      </c>
      <c r="V92" s="1181">
        <v>1.2500000000000001E-2</v>
      </c>
      <c r="W92" s="1179">
        <v>1.6300000000000002E-2</v>
      </c>
      <c r="X92" s="1180">
        <f t="shared" ref="X92:AB93" si="36">X88+X90</f>
        <v>2.01E-2</v>
      </c>
      <c r="Y92" s="1178">
        <f t="shared" si="36"/>
        <v>2.53E-2</v>
      </c>
      <c r="Z92" s="1178">
        <f t="shared" si="36"/>
        <v>2.9499999999999998E-2</v>
      </c>
      <c r="AA92" s="1178">
        <f t="shared" si="36"/>
        <v>3.3500000000000002E-2</v>
      </c>
      <c r="AB92" s="1178">
        <f t="shared" si="36"/>
        <v>3.9E-2</v>
      </c>
      <c r="AC92" s="562"/>
      <c r="AD92" s="562"/>
      <c r="AE92" s="1161"/>
      <c r="AF92" s="1170"/>
      <c r="AG92" s="1171"/>
      <c r="AH92" s="1172"/>
      <c r="AI92" s="1172"/>
      <c r="AJ92" s="1172"/>
      <c r="AK92" s="1172"/>
      <c r="AL92" s="1172"/>
      <c r="AM92" s="1172"/>
      <c r="AN92" s="1174"/>
      <c r="AO92" s="1174"/>
      <c r="AP92" s="1174"/>
      <c r="AQ92" s="1172"/>
      <c r="AR92" s="1172"/>
      <c r="AS92" s="1172"/>
      <c r="AT92" s="1172"/>
      <c r="AU92" s="1172"/>
      <c r="AV92" s="1172"/>
      <c r="AW92" s="1172"/>
      <c r="AX92" s="1172"/>
      <c r="AY92" s="1175"/>
    </row>
    <row r="93" spans="1:51" ht="27" x14ac:dyDescent="0.25">
      <c r="A93" s="743"/>
      <c r="B93" s="743"/>
      <c r="C93" s="745"/>
      <c r="D93" s="545" t="s">
        <v>45</v>
      </c>
      <c r="E93" s="1165"/>
      <c r="F93" s="1165"/>
      <c r="G93" s="1162"/>
      <c r="H93" s="1161">
        <v>17886590.617139809</v>
      </c>
      <c r="I93" s="1161">
        <v>60125564.675450236</v>
      </c>
      <c r="J93" s="1161">
        <v>56192710.789999999</v>
      </c>
      <c r="K93" s="1163">
        <f t="shared" si="35"/>
        <v>43450842.971463211</v>
      </c>
      <c r="L93" s="1165">
        <f t="shared" si="35"/>
        <v>43450842.971463211</v>
      </c>
      <c r="M93" s="1161">
        <f t="shared" si="35"/>
        <v>36098542.392086878</v>
      </c>
      <c r="N93" s="1164">
        <f t="shared" si="35"/>
        <v>36098542.392086878</v>
      </c>
      <c r="O93" s="1164">
        <f t="shared" si="35"/>
        <v>31006380.33950825</v>
      </c>
      <c r="P93" s="1164"/>
      <c r="Q93" s="1161"/>
      <c r="R93" s="1165"/>
      <c r="S93" s="1165"/>
      <c r="T93" s="1165"/>
      <c r="U93" s="1161">
        <v>17886590.617139809</v>
      </c>
      <c r="V93" s="1179">
        <v>60125564.675450236</v>
      </c>
      <c r="W93" s="1161">
        <v>56192710.789999999</v>
      </c>
      <c r="X93" s="1163">
        <f t="shared" si="36"/>
        <v>43292145.583801202</v>
      </c>
      <c r="Y93" s="1165">
        <f t="shared" si="36"/>
        <v>43450842.971463211</v>
      </c>
      <c r="Z93" s="1165">
        <f t="shared" si="36"/>
        <v>36098542.392086878</v>
      </c>
      <c r="AA93" s="1165">
        <f t="shared" si="36"/>
        <v>32250091.223243684</v>
      </c>
      <c r="AB93" s="1165">
        <f t="shared" si="36"/>
        <v>31006380.33950825</v>
      </c>
      <c r="AC93" s="542"/>
      <c r="AD93" s="542"/>
      <c r="AE93" s="1165"/>
      <c r="AF93" s="1170"/>
      <c r="AG93" s="1171"/>
      <c r="AH93" s="1172"/>
      <c r="AI93" s="1172"/>
      <c r="AJ93" s="1172"/>
      <c r="AK93" s="1172"/>
      <c r="AL93" s="1172"/>
      <c r="AM93" s="1172"/>
      <c r="AN93" s="1174"/>
      <c r="AO93" s="1174"/>
      <c r="AP93" s="1174"/>
      <c r="AQ93" s="1172"/>
      <c r="AR93" s="1172"/>
      <c r="AS93" s="1172"/>
      <c r="AT93" s="1172"/>
      <c r="AU93" s="1172"/>
      <c r="AV93" s="1172"/>
      <c r="AW93" s="1172"/>
      <c r="AX93" s="1172"/>
      <c r="AY93" s="1175"/>
    </row>
    <row r="94" spans="1:51" ht="18" customHeight="1" x14ac:dyDescent="0.25">
      <c r="A94" s="743"/>
      <c r="B94" s="743"/>
      <c r="C94" s="745" t="s">
        <v>511</v>
      </c>
      <c r="D94" s="546" t="s">
        <v>41</v>
      </c>
      <c r="E94" s="1161"/>
      <c r="F94" s="1162"/>
      <c r="G94" s="1162"/>
      <c r="H94" s="1161">
        <v>0.05</v>
      </c>
      <c r="I94" s="1161">
        <v>0.05</v>
      </c>
      <c r="J94" s="1161">
        <v>0.05</v>
      </c>
      <c r="K94" s="1163">
        <v>0.05</v>
      </c>
      <c r="L94" s="1164">
        <v>0.05</v>
      </c>
      <c r="M94" s="1161">
        <v>0.05</v>
      </c>
      <c r="N94" s="1164">
        <v>0.05</v>
      </c>
      <c r="O94" s="1164">
        <v>0.05</v>
      </c>
      <c r="P94" s="1164"/>
      <c r="Q94" s="1165"/>
      <c r="R94" s="1161"/>
      <c r="S94" s="1166"/>
      <c r="T94" s="1166"/>
      <c r="U94" s="1167">
        <v>8.6999999999999994E-3</v>
      </c>
      <c r="V94" s="1167">
        <v>1.2500000000000001E-2</v>
      </c>
      <c r="W94" s="1167">
        <v>1.6300000000000002E-2</v>
      </c>
      <c r="X94" s="1168">
        <v>2.01E-2</v>
      </c>
      <c r="Y94" s="1169">
        <v>2.53E-2</v>
      </c>
      <c r="Z94" s="1167">
        <v>2.9499999999999998E-2</v>
      </c>
      <c r="AA94" s="1182">
        <v>2.9499999999999998E-2</v>
      </c>
      <c r="AB94" s="1167">
        <v>3.9E-2</v>
      </c>
      <c r="AC94" s="1167"/>
      <c r="AD94" s="1182"/>
      <c r="AE94" s="1161"/>
      <c r="AF94" s="1170" t="s">
        <v>701</v>
      </c>
      <c r="AG94" s="1171" t="s">
        <v>438</v>
      </c>
      <c r="AH94" s="1172" t="s">
        <v>558</v>
      </c>
      <c r="AI94" s="1172" t="s">
        <v>648</v>
      </c>
      <c r="AJ94" s="1172" t="s">
        <v>656</v>
      </c>
      <c r="AK94" s="1172" t="s">
        <v>435</v>
      </c>
      <c r="AL94" s="1172" t="s">
        <v>557</v>
      </c>
      <c r="AM94" s="1172" t="s">
        <v>71</v>
      </c>
      <c r="AN94" s="1174">
        <f t="shared" ref="AN94" si="37">SUM(AO94:AP99)</f>
        <v>85189.570636040124</v>
      </c>
      <c r="AO94" s="1174">
        <v>40744.788824209485</v>
      </c>
      <c r="AP94" s="1174">
        <v>44444.781811830631</v>
      </c>
      <c r="AQ94" s="1172" t="s">
        <v>71</v>
      </c>
      <c r="AR94" s="1172" t="s">
        <v>71</v>
      </c>
      <c r="AS94" s="1172" t="s">
        <v>71</v>
      </c>
      <c r="AT94" s="1172" t="s">
        <v>71</v>
      </c>
      <c r="AU94" s="1172" t="s">
        <v>71</v>
      </c>
      <c r="AV94" s="1172" t="s">
        <v>71</v>
      </c>
      <c r="AW94" s="1172" t="s">
        <v>71</v>
      </c>
      <c r="AX94" s="1172" t="s">
        <v>71</v>
      </c>
      <c r="AY94" s="1191"/>
    </row>
    <row r="95" spans="1:51" ht="18" x14ac:dyDescent="0.25">
      <c r="A95" s="743"/>
      <c r="B95" s="743"/>
      <c r="C95" s="745"/>
      <c r="D95" s="545" t="s">
        <v>3</v>
      </c>
      <c r="E95" s="1165"/>
      <c r="F95" s="1165"/>
      <c r="G95" s="1162"/>
      <c r="H95" s="1161">
        <v>43211410.167868517</v>
      </c>
      <c r="I95" s="1161">
        <v>18744227.976615239</v>
      </c>
      <c r="J95" s="1161">
        <v>13330320.41</v>
      </c>
      <c r="K95" s="1163">
        <v>9039448.2645107936</v>
      </c>
      <c r="L95" s="1165">
        <v>9039448.2645107936</v>
      </c>
      <c r="M95" s="1165">
        <v>10626776.764333285</v>
      </c>
      <c r="N95" s="1164">
        <v>10626776.764333285</v>
      </c>
      <c r="O95" s="1164">
        <v>12410905.344051102</v>
      </c>
      <c r="P95" s="1164"/>
      <c r="Q95" s="1165"/>
      <c r="R95" s="1165"/>
      <c r="S95" s="564"/>
      <c r="T95" s="564"/>
      <c r="U95" s="565">
        <v>43211410.167868517</v>
      </c>
      <c r="V95" s="540">
        <v>18744227.976615239</v>
      </c>
      <c r="W95" s="565">
        <v>13330320.41</v>
      </c>
      <c r="X95" s="1176">
        <v>9675289.1853031758</v>
      </c>
      <c r="Y95" s="564">
        <v>9039448.2645107936</v>
      </c>
      <c r="Z95" s="564">
        <v>10626776.764333285</v>
      </c>
      <c r="AA95" s="564">
        <v>9643142.6070462894</v>
      </c>
      <c r="AB95" s="563">
        <v>12410905.344051102</v>
      </c>
      <c r="AC95" s="562"/>
      <c r="AD95" s="562"/>
      <c r="AE95" s="1165"/>
      <c r="AF95" s="1170"/>
      <c r="AG95" s="1171"/>
      <c r="AH95" s="1172"/>
      <c r="AI95" s="1172"/>
      <c r="AJ95" s="1172"/>
      <c r="AK95" s="1172"/>
      <c r="AL95" s="1172"/>
      <c r="AM95" s="1172"/>
      <c r="AN95" s="1174"/>
      <c r="AO95" s="1174"/>
      <c r="AP95" s="1174"/>
      <c r="AQ95" s="1172"/>
      <c r="AR95" s="1172"/>
      <c r="AS95" s="1172"/>
      <c r="AT95" s="1172"/>
      <c r="AU95" s="1172"/>
      <c r="AV95" s="1172"/>
      <c r="AW95" s="1172"/>
      <c r="AX95" s="1172"/>
      <c r="AY95" s="1175"/>
    </row>
    <row r="96" spans="1:51" ht="27" x14ac:dyDescent="0.25">
      <c r="A96" s="743"/>
      <c r="B96" s="743"/>
      <c r="C96" s="745"/>
      <c r="D96" s="544" t="s">
        <v>42</v>
      </c>
      <c r="E96" s="1161"/>
      <c r="F96" s="1161"/>
      <c r="G96" s="1162"/>
      <c r="H96" s="1161">
        <v>0</v>
      </c>
      <c r="I96" s="1161">
        <v>0</v>
      </c>
      <c r="J96" s="1161">
        <v>0</v>
      </c>
      <c r="K96" s="1163">
        <v>0</v>
      </c>
      <c r="L96" s="1161">
        <v>0</v>
      </c>
      <c r="M96" s="1161">
        <v>0</v>
      </c>
      <c r="N96" s="1164">
        <v>0</v>
      </c>
      <c r="O96" s="1164">
        <v>0</v>
      </c>
      <c r="P96" s="1164"/>
      <c r="Q96" s="1161"/>
      <c r="R96" s="1161"/>
      <c r="S96" s="1178"/>
      <c r="T96" s="1178"/>
      <c r="U96" s="1179">
        <v>0</v>
      </c>
      <c r="V96" s="1179">
        <v>0</v>
      </c>
      <c r="W96" s="1179">
        <v>0</v>
      </c>
      <c r="X96" s="1180">
        <v>0</v>
      </c>
      <c r="Y96" s="1178">
        <v>0</v>
      </c>
      <c r="Z96" s="1178">
        <v>0</v>
      </c>
      <c r="AA96" s="1178">
        <v>0</v>
      </c>
      <c r="AB96" s="1178">
        <v>0</v>
      </c>
      <c r="AC96" s="562"/>
      <c r="AD96" s="562"/>
      <c r="AE96" s="1161"/>
      <c r="AF96" s="1170"/>
      <c r="AG96" s="1171"/>
      <c r="AH96" s="1172"/>
      <c r="AI96" s="1172"/>
      <c r="AJ96" s="1172"/>
      <c r="AK96" s="1172"/>
      <c r="AL96" s="1172"/>
      <c r="AM96" s="1172"/>
      <c r="AN96" s="1174"/>
      <c r="AO96" s="1174"/>
      <c r="AP96" s="1174"/>
      <c r="AQ96" s="1172"/>
      <c r="AR96" s="1172"/>
      <c r="AS96" s="1172"/>
      <c r="AT96" s="1172"/>
      <c r="AU96" s="1172"/>
      <c r="AV96" s="1172"/>
      <c r="AW96" s="1172"/>
      <c r="AX96" s="1172"/>
      <c r="AY96" s="1175"/>
    </row>
    <row r="97" spans="1:51" ht="27" x14ac:dyDescent="0.25">
      <c r="A97" s="743"/>
      <c r="B97" s="743"/>
      <c r="C97" s="745"/>
      <c r="D97" s="545" t="s">
        <v>4</v>
      </c>
      <c r="E97" s="1161"/>
      <c r="F97" s="1161"/>
      <c r="G97" s="1162"/>
      <c r="H97" s="1161">
        <v>0</v>
      </c>
      <c r="I97" s="1161">
        <v>0</v>
      </c>
      <c r="J97" s="1161">
        <v>0</v>
      </c>
      <c r="K97" s="1163">
        <v>0</v>
      </c>
      <c r="L97" s="1161">
        <v>0</v>
      </c>
      <c r="M97" s="1161">
        <v>0</v>
      </c>
      <c r="N97" s="1164">
        <v>0</v>
      </c>
      <c r="O97" s="1164">
        <v>0</v>
      </c>
      <c r="P97" s="1164"/>
      <c r="Q97" s="1161"/>
      <c r="R97" s="1161"/>
      <c r="S97" s="1178"/>
      <c r="T97" s="1178"/>
      <c r="U97" s="1179">
        <v>0</v>
      </c>
      <c r="V97" s="1179">
        <v>0</v>
      </c>
      <c r="W97" s="1179">
        <v>0</v>
      </c>
      <c r="X97" s="1180">
        <v>0</v>
      </c>
      <c r="Y97" s="1178">
        <v>0</v>
      </c>
      <c r="Z97" s="1178">
        <v>0</v>
      </c>
      <c r="AA97" s="1178">
        <v>0</v>
      </c>
      <c r="AB97" s="1178">
        <v>0</v>
      </c>
      <c r="AC97" s="562"/>
      <c r="AD97" s="562"/>
      <c r="AE97" s="1161"/>
      <c r="AF97" s="1170"/>
      <c r="AG97" s="1171"/>
      <c r="AH97" s="1172"/>
      <c r="AI97" s="1172"/>
      <c r="AJ97" s="1172"/>
      <c r="AK97" s="1172"/>
      <c r="AL97" s="1172"/>
      <c r="AM97" s="1172"/>
      <c r="AN97" s="1174"/>
      <c r="AO97" s="1174"/>
      <c r="AP97" s="1174"/>
      <c r="AQ97" s="1172"/>
      <c r="AR97" s="1172"/>
      <c r="AS97" s="1172"/>
      <c r="AT97" s="1172"/>
      <c r="AU97" s="1172"/>
      <c r="AV97" s="1172"/>
      <c r="AW97" s="1172"/>
      <c r="AX97" s="1172"/>
      <c r="AY97" s="1175"/>
    </row>
    <row r="98" spans="1:51" ht="27" x14ac:dyDescent="0.25">
      <c r="A98" s="743"/>
      <c r="B98" s="743"/>
      <c r="C98" s="745"/>
      <c r="D98" s="544" t="s">
        <v>43</v>
      </c>
      <c r="E98" s="1161"/>
      <c r="F98" s="1161"/>
      <c r="G98" s="1162"/>
      <c r="H98" s="1161">
        <v>0.05</v>
      </c>
      <c r="I98" s="1161">
        <v>0.05</v>
      </c>
      <c r="J98" s="1161">
        <v>0.05</v>
      </c>
      <c r="K98" s="1163">
        <f t="shared" ref="K98:O99" si="38">K94+K96</f>
        <v>0.05</v>
      </c>
      <c r="L98" s="1161">
        <f t="shared" si="38"/>
        <v>0.05</v>
      </c>
      <c r="M98" s="1161">
        <f t="shared" si="38"/>
        <v>0.05</v>
      </c>
      <c r="N98" s="1164">
        <f t="shared" si="38"/>
        <v>0.05</v>
      </c>
      <c r="O98" s="1164">
        <f t="shared" si="38"/>
        <v>0.05</v>
      </c>
      <c r="P98" s="1164"/>
      <c r="Q98" s="1161"/>
      <c r="R98" s="1161"/>
      <c r="S98" s="1178"/>
      <c r="T98" s="1178"/>
      <c r="U98" s="1181">
        <v>8.6999999999999994E-3</v>
      </c>
      <c r="V98" s="1181">
        <v>1.2500000000000001E-2</v>
      </c>
      <c r="W98" s="1179">
        <v>1.6300000000000002E-2</v>
      </c>
      <c r="X98" s="1180">
        <f t="shared" ref="X98:AB99" si="39">X94+X96</f>
        <v>2.01E-2</v>
      </c>
      <c r="Y98" s="1178">
        <f t="shared" si="39"/>
        <v>2.53E-2</v>
      </c>
      <c r="Z98" s="1178">
        <f t="shared" si="39"/>
        <v>2.9499999999999998E-2</v>
      </c>
      <c r="AA98" s="1178">
        <f t="shared" si="39"/>
        <v>2.9499999999999998E-2</v>
      </c>
      <c r="AB98" s="1178">
        <f t="shared" si="39"/>
        <v>3.9E-2</v>
      </c>
      <c r="AC98" s="562"/>
      <c r="AD98" s="562"/>
      <c r="AE98" s="1161"/>
      <c r="AF98" s="1170"/>
      <c r="AG98" s="1171"/>
      <c r="AH98" s="1172"/>
      <c r="AI98" s="1172"/>
      <c r="AJ98" s="1172"/>
      <c r="AK98" s="1172"/>
      <c r="AL98" s="1172"/>
      <c r="AM98" s="1172"/>
      <c r="AN98" s="1174"/>
      <c r="AO98" s="1174"/>
      <c r="AP98" s="1174"/>
      <c r="AQ98" s="1172"/>
      <c r="AR98" s="1172"/>
      <c r="AS98" s="1172"/>
      <c r="AT98" s="1172"/>
      <c r="AU98" s="1172"/>
      <c r="AV98" s="1172"/>
      <c r="AW98" s="1172"/>
      <c r="AX98" s="1172"/>
      <c r="AY98" s="1175"/>
    </row>
    <row r="99" spans="1:51" ht="27" x14ac:dyDescent="0.25">
      <c r="A99" s="743"/>
      <c r="B99" s="743"/>
      <c r="C99" s="745"/>
      <c r="D99" s="545" t="s">
        <v>45</v>
      </c>
      <c r="E99" s="1165"/>
      <c r="F99" s="1165"/>
      <c r="G99" s="1162"/>
      <c r="H99" s="1161">
        <v>43211410.167868517</v>
      </c>
      <c r="I99" s="1161">
        <v>18744227.976615239</v>
      </c>
      <c r="J99" s="1161">
        <v>13330320.41</v>
      </c>
      <c r="K99" s="1163">
        <f t="shared" si="38"/>
        <v>9039448.2645107936</v>
      </c>
      <c r="L99" s="1165">
        <f t="shared" si="38"/>
        <v>9039448.2645107936</v>
      </c>
      <c r="M99" s="1161">
        <f t="shared" si="38"/>
        <v>10626776.764333285</v>
      </c>
      <c r="N99" s="1164">
        <f t="shared" si="38"/>
        <v>10626776.764333285</v>
      </c>
      <c r="O99" s="1164">
        <f t="shared" si="38"/>
        <v>12410905.344051102</v>
      </c>
      <c r="P99" s="1164"/>
      <c r="Q99" s="1161"/>
      <c r="R99" s="1165"/>
      <c r="S99" s="1165"/>
      <c r="T99" s="1165"/>
      <c r="U99" s="1161">
        <v>43211410.167868517</v>
      </c>
      <c r="V99" s="1179">
        <v>18744227.976615239</v>
      </c>
      <c r="W99" s="1179">
        <v>13330320.41</v>
      </c>
      <c r="X99" s="1180">
        <f t="shared" si="39"/>
        <v>9675289.1853031758</v>
      </c>
      <c r="Y99" s="1165">
        <f t="shared" si="39"/>
        <v>9039448.2645107936</v>
      </c>
      <c r="Z99" s="1165">
        <f t="shared" si="39"/>
        <v>10626776.764333285</v>
      </c>
      <c r="AA99" s="1165">
        <f t="shared" si="39"/>
        <v>9643142.6070462894</v>
      </c>
      <c r="AB99" s="1165">
        <f t="shared" si="39"/>
        <v>12410905.344051102</v>
      </c>
      <c r="AC99" s="542"/>
      <c r="AD99" s="542"/>
      <c r="AE99" s="1165"/>
      <c r="AF99" s="1170"/>
      <c r="AG99" s="1171"/>
      <c r="AH99" s="1172"/>
      <c r="AI99" s="1172"/>
      <c r="AJ99" s="1172"/>
      <c r="AK99" s="1172"/>
      <c r="AL99" s="1172"/>
      <c r="AM99" s="1172"/>
      <c r="AN99" s="1174"/>
      <c r="AO99" s="1174"/>
      <c r="AP99" s="1174"/>
      <c r="AQ99" s="1172"/>
      <c r="AR99" s="1172"/>
      <c r="AS99" s="1172"/>
      <c r="AT99" s="1172"/>
      <c r="AU99" s="1172"/>
      <c r="AV99" s="1172"/>
      <c r="AW99" s="1172"/>
      <c r="AX99" s="1172"/>
      <c r="AY99" s="1175"/>
    </row>
    <row r="100" spans="1:51" ht="18" customHeight="1" x14ac:dyDescent="0.25">
      <c r="A100" s="743"/>
      <c r="B100" s="743"/>
      <c r="C100" s="745" t="s">
        <v>512</v>
      </c>
      <c r="D100" s="546" t="s">
        <v>41</v>
      </c>
      <c r="E100" s="1161"/>
      <c r="F100" s="1162"/>
      <c r="G100" s="1162"/>
      <c r="H100" s="1161">
        <v>0.05</v>
      </c>
      <c r="I100" s="1161">
        <v>0.05</v>
      </c>
      <c r="J100" s="1161">
        <v>0.05</v>
      </c>
      <c r="K100" s="1163">
        <v>0.05</v>
      </c>
      <c r="L100" s="1164">
        <v>0.05</v>
      </c>
      <c r="M100" s="1161">
        <v>0.05</v>
      </c>
      <c r="N100" s="1164">
        <v>0.05</v>
      </c>
      <c r="O100" s="1164">
        <v>0.05</v>
      </c>
      <c r="P100" s="1164"/>
      <c r="Q100" s="1165"/>
      <c r="R100" s="1161"/>
      <c r="S100" s="1166"/>
      <c r="T100" s="1166"/>
      <c r="U100" s="1167">
        <v>8.6999999999999994E-3</v>
      </c>
      <c r="V100" s="1167">
        <v>1.2500000000000001E-2</v>
      </c>
      <c r="W100" s="1167">
        <v>1.6300000000000002E-2</v>
      </c>
      <c r="X100" s="1168">
        <v>2.01E-2</v>
      </c>
      <c r="Y100" s="1169">
        <v>2.53E-2</v>
      </c>
      <c r="Z100" s="1167">
        <v>2.9499999999999998E-2</v>
      </c>
      <c r="AA100" s="1167">
        <v>3.3500000000000002E-2</v>
      </c>
      <c r="AB100" s="1167">
        <v>3.9E-2</v>
      </c>
      <c r="AC100" s="541"/>
      <c r="AD100" s="542"/>
      <c r="AE100" s="1161"/>
      <c r="AF100" s="1170" t="s">
        <v>702</v>
      </c>
      <c r="AG100" s="1171" t="s">
        <v>447</v>
      </c>
      <c r="AH100" s="1172" t="s">
        <v>636</v>
      </c>
      <c r="AI100" s="1172" t="s">
        <v>666</v>
      </c>
      <c r="AJ100" s="1172" t="s">
        <v>656</v>
      </c>
      <c r="AK100" s="1172" t="s">
        <v>435</v>
      </c>
      <c r="AL100" s="1172" t="s">
        <v>557</v>
      </c>
      <c r="AM100" s="1172" t="s">
        <v>71</v>
      </c>
      <c r="AN100" s="1174">
        <f t="shared" si="19"/>
        <v>258768.19467086013</v>
      </c>
      <c r="AO100" s="1174">
        <v>122145.6444162822</v>
      </c>
      <c r="AP100" s="1174">
        <v>136622.55025457792</v>
      </c>
      <c r="AQ100" s="1172" t="s">
        <v>71</v>
      </c>
      <c r="AR100" s="1172" t="s">
        <v>71</v>
      </c>
      <c r="AS100" s="1172" t="s">
        <v>71</v>
      </c>
      <c r="AT100" s="1172" t="s">
        <v>71</v>
      </c>
      <c r="AU100" s="1172" t="s">
        <v>71</v>
      </c>
      <c r="AV100" s="1172" t="s">
        <v>71</v>
      </c>
      <c r="AW100" s="1172" t="s">
        <v>71</v>
      </c>
      <c r="AX100" s="1172" t="s">
        <v>71</v>
      </c>
      <c r="AY100" s="1175"/>
    </row>
    <row r="101" spans="1:51" ht="18" x14ac:dyDescent="0.25">
      <c r="A101" s="743"/>
      <c r="B101" s="743"/>
      <c r="C101" s="745"/>
      <c r="D101" s="545" t="s">
        <v>3</v>
      </c>
      <c r="E101" s="1165"/>
      <c r="F101" s="1165"/>
      <c r="G101" s="1162"/>
      <c r="H101" s="1161">
        <v>115667793.37408628</v>
      </c>
      <c r="I101" s="1161">
        <v>124397783.14617135</v>
      </c>
      <c r="J101" s="1161">
        <v>166755436.55000001</v>
      </c>
      <c r="K101" s="1163">
        <v>117289500.77208823</v>
      </c>
      <c r="L101" s="1165">
        <v>117289500.77208823</v>
      </c>
      <c r="M101" s="1165">
        <v>107547941.7654625</v>
      </c>
      <c r="N101" s="1164">
        <v>107547941.7654625</v>
      </c>
      <c r="O101" s="1164">
        <v>83391891.559504598</v>
      </c>
      <c r="P101" s="1164"/>
      <c r="Q101" s="1165"/>
      <c r="R101" s="1165"/>
      <c r="S101" s="564"/>
      <c r="T101" s="564"/>
      <c r="U101" s="565">
        <v>115667793.37408628</v>
      </c>
      <c r="V101" s="540">
        <v>124397783.14617135</v>
      </c>
      <c r="W101" s="565">
        <v>166755436.55000001</v>
      </c>
      <c r="X101" s="1176">
        <v>141808413.37071666</v>
      </c>
      <c r="Y101" s="564">
        <v>117289500.77208823</v>
      </c>
      <c r="Z101" s="564">
        <v>107547941.7654625</v>
      </c>
      <c r="AA101" s="564">
        <v>95870269.574914441</v>
      </c>
      <c r="AB101" s="563">
        <v>83391891.559504598</v>
      </c>
      <c r="AC101" s="562"/>
      <c r="AD101" s="562"/>
      <c r="AE101" s="1165"/>
      <c r="AF101" s="1170"/>
      <c r="AG101" s="1171"/>
      <c r="AH101" s="1172"/>
      <c r="AI101" s="1172"/>
      <c r="AJ101" s="1172"/>
      <c r="AK101" s="1172"/>
      <c r="AL101" s="1172"/>
      <c r="AM101" s="1172"/>
      <c r="AN101" s="1174"/>
      <c r="AO101" s="1174"/>
      <c r="AP101" s="1174"/>
      <c r="AQ101" s="1172"/>
      <c r="AR101" s="1172"/>
      <c r="AS101" s="1172"/>
      <c r="AT101" s="1172"/>
      <c r="AU101" s="1172"/>
      <c r="AV101" s="1172"/>
      <c r="AW101" s="1172"/>
      <c r="AX101" s="1172"/>
      <c r="AY101" s="1175"/>
    </row>
    <row r="102" spans="1:51" ht="27" x14ac:dyDescent="0.25">
      <c r="A102" s="743"/>
      <c r="B102" s="743"/>
      <c r="C102" s="745"/>
      <c r="D102" s="544" t="s">
        <v>42</v>
      </c>
      <c r="E102" s="1161"/>
      <c r="F102" s="1161"/>
      <c r="G102" s="1162"/>
      <c r="H102" s="1161">
        <v>0</v>
      </c>
      <c r="I102" s="1161">
        <v>0</v>
      </c>
      <c r="J102" s="1161">
        <v>0</v>
      </c>
      <c r="K102" s="1163">
        <v>0</v>
      </c>
      <c r="L102" s="1161">
        <v>0</v>
      </c>
      <c r="M102" s="1161">
        <v>0</v>
      </c>
      <c r="N102" s="1164">
        <v>0</v>
      </c>
      <c r="O102" s="1164">
        <v>0</v>
      </c>
      <c r="P102" s="1164"/>
      <c r="Q102" s="1161"/>
      <c r="R102" s="1161"/>
      <c r="S102" s="1178"/>
      <c r="T102" s="1178"/>
      <c r="U102" s="1179">
        <v>0</v>
      </c>
      <c r="V102" s="1179">
        <v>0</v>
      </c>
      <c r="W102" s="1179">
        <v>0</v>
      </c>
      <c r="X102" s="1180">
        <v>0</v>
      </c>
      <c r="Y102" s="1178">
        <v>0</v>
      </c>
      <c r="Z102" s="1178">
        <v>0</v>
      </c>
      <c r="AA102" s="1178">
        <v>0</v>
      </c>
      <c r="AB102" s="1178">
        <v>0</v>
      </c>
      <c r="AC102" s="562"/>
      <c r="AD102" s="562"/>
      <c r="AE102" s="1161"/>
      <c r="AF102" s="1170"/>
      <c r="AG102" s="1171"/>
      <c r="AH102" s="1172"/>
      <c r="AI102" s="1172"/>
      <c r="AJ102" s="1172"/>
      <c r="AK102" s="1172"/>
      <c r="AL102" s="1172"/>
      <c r="AM102" s="1172"/>
      <c r="AN102" s="1174"/>
      <c r="AO102" s="1174"/>
      <c r="AP102" s="1174"/>
      <c r="AQ102" s="1172"/>
      <c r="AR102" s="1172"/>
      <c r="AS102" s="1172"/>
      <c r="AT102" s="1172"/>
      <c r="AU102" s="1172"/>
      <c r="AV102" s="1172"/>
      <c r="AW102" s="1172"/>
      <c r="AX102" s="1172"/>
      <c r="AY102" s="1175"/>
    </row>
    <row r="103" spans="1:51" ht="27" x14ac:dyDescent="0.25">
      <c r="A103" s="743"/>
      <c r="B103" s="743"/>
      <c r="C103" s="745"/>
      <c r="D103" s="545" t="s">
        <v>4</v>
      </c>
      <c r="E103" s="1161"/>
      <c r="F103" s="1161"/>
      <c r="G103" s="1162"/>
      <c r="H103" s="1161">
        <v>0</v>
      </c>
      <c r="I103" s="1161">
        <v>0</v>
      </c>
      <c r="J103" s="1161">
        <v>0</v>
      </c>
      <c r="K103" s="1163">
        <v>0</v>
      </c>
      <c r="L103" s="1161">
        <v>0</v>
      </c>
      <c r="M103" s="1161">
        <v>0</v>
      </c>
      <c r="N103" s="1164">
        <v>0</v>
      </c>
      <c r="O103" s="1164">
        <v>0</v>
      </c>
      <c r="P103" s="1164"/>
      <c r="Q103" s="1161"/>
      <c r="R103" s="1161"/>
      <c r="S103" s="1178"/>
      <c r="T103" s="1178"/>
      <c r="U103" s="1179">
        <v>0</v>
      </c>
      <c r="V103" s="1179">
        <v>0</v>
      </c>
      <c r="W103" s="1179">
        <v>0</v>
      </c>
      <c r="X103" s="1180">
        <v>0</v>
      </c>
      <c r="Y103" s="1178">
        <v>0</v>
      </c>
      <c r="Z103" s="1178">
        <v>0</v>
      </c>
      <c r="AA103" s="1178">
        <v>0</v>
      </c>
      <c r="AB103" s="1178">
        <v>0</v>
      </c>
      <c r="AC103" s="562"/>
      <c r="AD103" s="562"/>
      <c r="AE103" s="1161"/>
      <c r="AF103" s="1170"/>
      <c r="AG103" s="1171"/>
      <c r="AH103" s="1172"/>
      <c r="AI103" s="1172"/>
      <c r="AJ103" s="1172"/>
      <c r="AK103" s="1172"/>
      <c r="AL103" s="1172"/>
      <c r="AM103" s="1172"/>
      <c r="AN103" s="1174"/>
      <c r="AO103" s="1174"/>
      <c r="AP103" s="1174"/>
      <c r="AQ103" s="1172"/>
      <c r="AR103" s="1172"/>
      <c r="AS103" s="1172"/>
      <c r="AT103" s="1172"/>
      <c r="AU103" s="1172"/>
      <c r="AV103" s="1172"/>
      <c r="AW103" s="1172"/>
      <c r="AX103" s="1172"/>
      <c r="AY103" s="1175"/>
    </row>
    <row r="104" spans="1:51" ht="27" x14ac:dyDescent="0.25">
      <c r="A104" s="743"/>
      <c r="B104" s="743"/>
      <c r="C104" s="745"/>
      <c r="D104" s="544" t="s">
        <v>43</v>
      </c>
      <c r="E104" s="1161"/>
      <c r="F104" s="1161"/>
      <c r="G104" s="1162"/>
      <c r="H104" s="1161">
        <v>0.05</v>
      </c>
      <c r="I104" s="1161">
        <v>0.05</v>
      </c>
      <c r="J104" s="1161">
        <v>0.05</v>
      </c>
      <c r="K104" s="1163">
        <f t="shared" ref="K104:O105" si="40">K100+K102</f>
        <v>0.05</v>
      </c>
      <c r="L104" s="1161">
        <f t="shared" si="40"/>
        <v>0.05</v>
      </c>
      <c r="M104" s="1161">
        <f t="shared" si="40"/>
        <v>0.05</v>
      </c>
      <c r="N104" s="1164">
        <f t="shared" si="40"/>
        <v>0.05</v>
      </c>
      <c r="O104" s="1164">
        <f t="shared" si="40"/>
        <v>0.05</v>
      </c>
      <c r="P104" s="1164"/>
      <c r="Q104" s="1161"/>
      <c r="R104" s="1161"/>
      <c r="S104" s="1178"/>
      <c r="T104" s="1178"/>
      <c r="U104" s="1181">
        <v>8.6999999999999994E-3</v>
      </c>
      <c r="V104" s="1181">
        <v>1.2500000000000001E-2</v>
      </c>
      <c r="W104" s="1179">
        <v>1.6300000000000002E-2</v>
      </c>
      <c r="X104" s="1180">
        <f t="shared" ref="X104:AB105" si="41">X100+X102</f>
        <v>2.01E-2</v>
      </c>
      <c r="Y104" s="1178">
        <f t="shared" si="41"/>
        <v>2.53E-2</v>
      </c>
      <c r="Z104" s="1178">
        <f t="shared" si="41"/>
        <v>2.9499999999999998E-2</v>
      </c>
      <c r="AA104" s="1178">
        <f t="shared" si="41"/>
        <v>3.3500000000000002E-2</v>
      </c>
      <c r="AB104" s="1178">
        <f t="shared" si="41"/>
        <v>3.9E-2</v>
      </c>
      <c r="AC104" s="562"/>
      <c r="AD104" s="562"/>
      <c r="AE104" s="1161"/>
      <c r="AF104" s="1170"/>
      <c r="AG104" s="1171"/>
      <c r="AH104" s="1172"/>
      <c r="AI104" s="1172"/>
      <c r="AJ104" s="1172"/>
      <c r="AK104" s="1172"/>
      <c r="AL104" s="1172"/>
      <c r="AM104" s="1172"/>
      <c r="AN104" s="1174"/>
      <c r="AO104" s="1174"/>
      <c r="AP104" s="1174"/>
      <c r="AQ104" s="1172"/>
      <c r="AR104" s="1172"/>
      <c r="AS104" s="1172"/>
      <c r="AT104" s="1172"/>
      <c r="AU104" s="1172"/>
      <c r="AV104" s="1172"/>
      <c r="AW104" s="1172"/>
      <c r="AX104" s="1172"/>
      <c r="AY104" s="1175"/>
    </row>
    <row r="105" spans="1:51" ht="27" x14ac:dyDescent="0.25">
      <c r="A105" s="743"/>
      <c r="B105" s="743"/>
      <c r="C105" s="745"/>
      <c r="D105" s="545" t="s">
        <v>45</v>
      </c>
      <c r="E105" s="1165"/>
      <c r="F105" s="1165"/>
      <c r="G105" s="1162"/>
      <c r="H105" s="1161">
        <v>115667793.37408628</v>
      </c>
      <c r="I105" s="1161">
        <v>124397783.14617135</v>
      </c>
      <c r="J105" s="1161">
        <v>166755436.55000001</v>
      </c>
      <c r="K105" s="1163">
        <f t="shared" si="40"/>
        <v>117289500.77208823</v>
      </c>
      <c r="L105" s="1165">
        <f t="shared" si="40"/>
        <v>117289500.77208823</v>
      </c>
      <c r="M105" s="1161">
        <f t="shared" si="40"/>
        <v>107547941.7654625</v>
      </c>
      <c r="N105" s="1164">
        <f t="shared" si="40"/>
        <v>107547941.7654625</v>
      </c>
      <c r="O105" s="1164">
        <f t="shared" si="40"/>
        <v>83391891.559504598</v>
      </c>
      <c r="P105" s="1164"/>
      <c r="Q105" s="1161"/>
      <c r="R105" s="1165"/>
      <c r="S105" s="1165"/>
      <c r="T105" s="1165"/>
      <c r="U105" s="1161">
        <v>115667793.37408628</v>
      </c>
      <c r="V105" s="1179">
        <v>124397783.14617135</v>
      </c>
      <c r="W105" s="1161">
        <v>166755436.55000001</v>
      </c>
      <c r="X105" s="1163">
        <f t="shared" si="41"/>
        <v>141808413.37071666</v>
      </c>
      <c r="Y105" s="1165">
        <f t="shared" si="41"/>
        <v>117289500.77208823</v>
      </c>
      <c r="Z105" s="1165">
        <f t="shared" si="41"/>
        <v>107547941.7654625</v>
      </c>
      <c r="AA105" s="1165">
        <f t="shared" si="41"/>
        <v>95870269.574914441</v>
      </c>
      <c r="AB105" s="1165">
        <f t="shared" si="41"/>
        <v>83391891.559504598</v>
      </c>
      <c r="AC105" s="542"/>
      <c r="AD105" s="542"/>
      <c r="AE105" s="1165"/>
      <c r="AF105" s="1170"/>
      <c r="AG105" s="1171"/>
      <c r="AH105" s="1172"/>
      <c r="AI105" s="1172"/>
      <c r="AJ105" s="1172"/>
      <c r="AK105" s="1172"/>
      <c r="AL105" s="1172"/>
      <c r="AM105" s="1172"/>
      <c r="AN105" s="1174"/>
      <c r="AO105" s="1174"/>
      <c r="AP105" s="1174"/>
      <c r="AQ105" s="1172"/>
      <c r="AR105" s="1172"/>
      <c r="AS105" s="1172"/>
      <c r="AT105" s="1172"/>
      <c r="AU105" s="1172"/>
      <c r="AV105" s="1172"/>
      <c r="AW105" s="1172"/>
      <c r="AX105" s="1172"/>
      <c r="AY105" s="1175"/>
    </row>
    <row r="106" spans="1:51" ht="18" customHeight="1" x14ac:dyDescent="0.25">
      <c r="A106" s="743"/>
      <c r="B106" s="743"/>
      <c r="C106" s="745" t="s">
        <v>513</v>
      </c>
      <c r="D106" s="546" t="s">
        <v>41</v>
      </c>
      <c r="E106" s="1161"/>
      <c r="F106" s="1162"/>
      <c r="G106" s="1162"/>
      <c r="H106" s="1161">
        <v>0.05</v>
      </c>
      <c r="I106" s="1161">
        <v>0.05</v>
      </c>
      <c r="J106" s="1161">
        <v>0.05</v>
      </c>
      <c r="K106" s="1163">
        <v>0.05</v>
      </c>
      <c r="L106" s="1164">
        <v>0.05</v>
      </c>
      <c r="M106" s="1161">
        <v>0.05</v>
      </c>
      <c r="N106" s="1164">
        <v>0.05</v>
      </c>
      <c r="O106" s="1164">
        <v>0.05</v>
      </c>
      <c r="P106" s="1164"/>
      <c r="Q106" s="1165"/>
      <c r="R106" s="1161"/>
      <c r="S106" s="1166"/>
      <c r="T106" s="1166"/>
      <c r="U106" s="1167">
        <v>8.6999999999999994E-3</v>
      </c>
      <c r="V106" s="1167">
        <v>1.2500000000000001E-2</v>
      </c>
      <c r="W106" s="1167">
        <v>1.6300000000000002E-2</v>
      </c>
      <c r="X106" s="1168">
        <v>2.01E-2</v>
      </c>
      <c r="Y106" s="1169">
        <v>2.53E-2</v>
      </c>
      <c r="Z106" s="1167">
        <v>2.9499999999999998E-2</v>
      </c>
      <c r="AA106" s="1182">
        <v>3.3500000000000002E-2</v>
      </c>
      <c r="AB106" s="1167">
        <v>3.9E-2</v>
      </c>
      <c r="AC106" s="541"/>
      <c r="AD106" s="542"/>
      <c r="AE106" s="1161"/>
      <c r="AF106" s="1170" t="s">
        <v>703</v>
      </c>
      <c r="AG106" s="1171" t="s">
        <v>441</v>
      </c>
      <c r="AH106" s="1172">
        <v>94</v>
      </c>
      <c r="AI106" s="1172" t="s">
        <v>624</v>
      </c>
      <c r="AJ106" s="1172" t="s">
        <v>656</v>
      </c>
      <c r="AK106" s="1172" t="s">
        <v>435</v>
      </c>
      <c r="AL106" s="1172" t="s">
        <v>557</v>
      </c>
      <c r="AM106" s="1172" t="s">
        <v>71</v>
      </c>
      <c r="AN106" s="1174">
        <f t="shared" si="22"/>
        <v>19238.115539607385</v>
      </c>
      <c r="AO106" s="1174">
        <v>9835.700458121064</v>
      </c>
      <c r="AP106" s="1174">
        <v>9402.4150814863206</v>
      </c>
      <c r="AQ106" s="1172" t="s">
        <v>71</v>
      </c>
      <c r="AR106" s="1172" t="s">
        <v>71</v>
      </c>
      <c r="AS106" s="1172" t="s">
        <v>71</v>
      </c>
      <c r="AT106" s="1172" t="s">
        <v>71</v>
      </c>
      <c r="AU106" s="1172" t="s">
        <v>71</v>
      </c>
      <c r="AV106" s="1172" t="s">
        <v>71</v>
      </c>
      <c r="AW106" s="1172" t="s">
        <v>71</v>
      </c>
      <c r="AX106" s="1172" t="s">
        <v>71</v>
      </c>
      <c r="AY106" s="1175"/>
    </row>
    <row r="107" spans="1:51" ht="18" x14ac:dyDescent="0.25">
      <c r="A107" s="743"/>
      <c r="B107" s="743"/>
      <c r="C107" s="745"/>
      <c r="D107" s="545" t="s">
        <v>3</v>
      </c>
      <c r="E107" s="1165"/>
      <c r="F107" s="1165"/>
      <c r="G107" s="1162"/>
      <c r="H107" s="1161">
        <v>0</v>
      </c>
      <c r="I107" s="1161">
        <v>12625684.423264237</v>
      </c>
      <c r="J107" s="1161">
        <v>8338545.5599999996</v>
      </c>
      <c r="K107" s="1163">
        <v>8440601.0251415689</v>
      </c>
      <c r="L107" s="1165">
        <v>8440601.0251415689</v>
      </c>
      <c r="M107" s="1165">
        <v>14027820.966560932</v>
      </c>
      <c r="N107" s="1164">
        <v>14027820.966560932</v>
      </c>
      <c r="O107" s="1164">
        <v>10059750.250833405</v>
      </c>
      <c r="P107" s="1164"/>
      <c r="Q107" s="1165"/>
      <c r="R107" s="1165"/>
      <c r="S107" s="564"/>
      <c r="T107" s="564"/>
      <c r="U107" s="565">
        <v>0</v>
      </c>
      <c r="V107" s="540">
        <v>12625684.423264237</v>
      </c>
      <c r="W107" s="565">
        <v>8338545.5599999996</v>
      </c>
      <c r="X107" s="1176">
        <v>10888629.835535742</v>
      </c>
      <c r="Y107" s="564">
        <v>8440601.0251415689</v>
      </c>
      <c r="Z107" s="564">
        <v>14027820.966560932</v>
      </c>
      <c r="AA107" s="564">
        <v>11567335.532266853</v>
      </c>
      <c r="AB107" s="563">
        <v>10059750.250833405</v>
      </c>
      <c r="AC107" s="562"/>
      <c r="AD107" s="562"/>
      <c r="AE107" s="1165"/>
      <c r="AF107" s="1170"/>
      <c r="AG107" s="1171"/>
      <c r="AH107" s="1172"/>
      <c r="AI107" s="1172"/>
      <c r="AJ107" s="1172"/>
      <c r="AK107" s="1172"/>
      <c r="AL107" s="1172"/>
      <c r="AM107" s="1172"/>
      <c r="AN107" s="1174"/>
      <c r="AO107" s="1174"/>
      <c r="AP107" s="1174"/>
      <c r="AQ107" s="1172"/>
      <c r="AR107" s="1172"/>
      <c r="AS107" s="1172"/>
      <c r="AT107" s="1172"/>
      <c r="AU107" s="1172"/>
      <c r="AV107" s="1172"/>
      <c r="AW107" s="1172"/>
      <c r="AX107" s="1172"/>
      <c r="AY107" s="1175"/>
    </row>
    <row r="108" spans="1:51" ht="27" x14ac:dyDescent="0.25">
      <c r="A108" s="743"/>
      <c r="B108" s="743"/>
      <c r="C108" s="745"/>
      <c r="D108" s="544" t="s">
        <v>42</v>
      </c>
      <c r="E108" s="1161"/>
      <c r="F108" s="1161"/>
      <c r="G108" s="1162"/>
      <c r="H108" s="1161">
        <v>0</v>
      </c>
      <c r="I108" s="1161">
        <v>0</v>
      </c>
      <c r="J108" s="1161">
        <v>0</v>
      </c>
      <c r="K108" s="1163">
        <v>0</v>
      </c>
      <c r="L108" s="1161">
        <v>0</v>
      </c>
      <c r="M108" s="1161">
        <v>0</v>
      </c>
      <c r="N108" s="1164">
        <v>0</v>
      </c>
      <c r="O108" s="1164">
        <v>0</v>
      </c>
      <c r="P108" s="1164"/>
      <c r="Q108" s="1161"/>
      <c r="R108" s="1161"/>
      <c r="S108" s="1178"/>
      <c r="T108" s="1178"/>
      <c r="U108" s="1179">
        <v>0</v>
      </c>
      <c r="V108" s="1179">
        <v>0</v>
      </c>
      <c r="W108" s="1179">
        <v>0</v>
      </c>
      <c r="X108" s="1180">
        <v>0</v>
      </c>
      <c r="Y108" s="1178">
        <v>0</v>
      </c>
      <c r="Z108" s="1178">
        <v>0</v>
      </c>
      <c r="AA108" s="1178">
        <v>0</v>
      </c>
      <c r="AB108" s="1178">
        <v>0</v>
      </c>
      <c r="AC108" s="562"/>
      <c r="AD108" s="562"/>
      <c r="AE108" s="1161"/>
      <c r="AF108" s="1170"/>
      <c r="AG108" s="1171"/>
      <c r="AH108" s="1172"/>
      <c r="AI108" s="1172"/>
      <c r="AJ108" s="1172"/>
      <c r="AK108" s="1172"/>
      <c r="AL108" s="1172"/>
      <c r="AM108" s="1172"/>
      <c r="AN108" s="1174"/>
      <c r="AO108" s="1174"/>
      <c r="AP108" s="1174"/>
      <c r="AQ108" s="1172"/>
      <c r="AR108" s="1172"/>
      <c r="AS108" s="1172"/>
      <c r="AT108" s="1172"/>
      <c r="AU108" s="1172"/>
      <c r="AV108" s="1172"/>
      <c r="AW108" s="1172"/>
      <c r="AX108" s="1172"/>
      <c r="AY108" s="1175"/>
    </row>
    <row r="109" spans="1:51" ht="27" x14ac:dyDescent="0.25">
      <c r="A109" s="743"/>
      <c r="B109" s="743"/>
      <c r="C109" s="745"/>
      <c r="D109" s="545" t="s">
        <v>4</v>
      </c>
      <c r="E109" s="1161"/>
      <c r="F109" s="1161"/>
      <c r="G109" s="1162"/>
      <c r="H109" s="1161">
        <v>0</v>
      </c>
      <c r="I109" s="1161">
        <v>0</v>
      </c>
      <c r="J109" s="1161">
        <v>0</v>
      </c>
      <c r="K109" s="1163">
        <v>0</v>
      </c>
      <c r="L109" s="1161">
        <v>0</v>
      </c>
      <c r="M109" s="1161">
        <v>0</v>
      </c>
      <c r="N109" s="1164">
        <v>0</v>
      </c>
      <c r="O109" s="1164">
        <v>0</v>
      </c>
      <c r="P109" s="1164"/>
      <c r="Q109" s="1161"/>
      <c r="R109" s="1161"/>
      <c r="S109" s="1178"/>
      <c r="T109" s="1178"/>
      <c r="U109" s="1179">
        <v>0</v>
      </c>
      <c r="V109" s="1179">
        <v>0</v>
      </c>
      <c r="W109" s="1179">
        <v>0</v>
      </c>
      <c r="X109" s="1180">
        <v>0</v>
      </c>
      <c r="Y109" s="1178">
        <v>0</v>
      </c>
      <c r="Z109" s="1178">
        <v>0</v>
      </c>
      <c r="AA109" s="1178">
        <v>0</v>
      </c>
      <c r="AB109" s="1178">
        <v>0</v>
      </c>
      <c r="AC109" s="562"/>
      <c r="AD109" s="562"/>
      <c r="AE109" s="1161"/>
      <c r="AF109" s="1170"/>
      <c r="AG109" s="1171"/>
      <c r="AH109" s="1172"/>
      <c r="AI109" s="1172"/>
      <c r="AJ109" s="1172"/>
      <c r="AK109" s="1172"/>
      <c r="AL109" s="1172"/>
      <c r="AM109" s="1172"/>
      <c r="AN109" s="1174"/>
      <c r="AO109" s="1174"/>
      <c r="AP109" s="1174"/>
      <c r="AQ109" s="1172"/>
      <c r="AR109" s="1172"/>
      <c r="AS109" s="1172"/>
      <c r="AT109" s="1172"/>
      <c r="AU109" s="1172"/>
      <c r="AV109" s="1172"/>
      <c r="AW109" s="1172"/>
      <c r="AX109" s="1172"/>
      <c r="AY109" s="1175"/>
    </row>
    <row r="110" spans="1:51" ht="27" x14ac:dyDescent="0.25">
      <c r="A110" s="743"/>
      <c r="B110" s="743"/>
      <c r="C110" s="745"/>
      <c r="D110" s="544" t="s">
        <v>43</v>
      </c>
      <c r="E110" s="1161"/>
      <c r="F110" s="1161"/>
      <c r="G110" s="1162"/>
      <c r="H110" s="1161">
        <v>0.5</v>
      </c>
      <c r="I110" s="1161">
        <v>0.5</v>
      </c>
      <c r="J110" s="1161">
        <v>0.05</v>
      </c>
      <c r="K110" s="1163">
        <f t="shared" ref="K110:O111" si="42">K106+K108</f>
        <v>0.05</v>
      </c>
      <c r="L110" s="1161">
        <f t="shared" si="42"/>
        <v>0.05</v>
      </c>
      <c r="M110" s="1161">
        <f t="shared" si="42"/>
        <v>0.05</v>
      </c>
      <c r="N110" s="1164">
        <f t="shared" si="42"/>
        <v>0.05</v>
      </c>
      <c r="O110" s="1164">
        <f t="shared" si="42"/>
        <v>0.05</v>
      </c>
      <c r="P110" s="1164"/>
      <c r="Q110" s="1161"/>
      <c r="R110" s="1161"/>
      <c r="S110" s="1178"/>
      <c r="T110" s="1178"/>
      <c r="U110" s="1181">
        <v>8.6999999999999994E-3</v>
      </c>
      <c r="V110" s="1181">
        <v>1.2500000000000001E-2</v>
      </c>
      <c r="W110" s="1179">
        <v>1.6300000000000002E-2</v>
      </c>
      <c r="X110" s="1180">
        <f t="shared" ref="X110:AB111" si="43">X106+X108</f>
        <v>2.01E-2</v>
      </c>
      <c r="Y110" s="1178">
        <f t="shared" si="43"/>
        <v>2.53E-2</v>
      </c>
      <c r="Z110" s="1178">
        <f t="shared" si="43"/>
        <v>2.9499999999999998E-2</v>
      </c>
      <c r="AA110" s="1178">
        <f t="shared" si="43"/>
        <v>3.3500000000000002E-2</v>
      </c>
      <c r="AB110" s="1178">
        <f t="shared" si="43"/>
        <v>3.9E-2</v>
      </c>
      <c r="AC110" s="562"/>
      <c r="AD110" s="562"/>
      <c r="AE110" s="1161"/>
      <c r="AF110" s="1170"/>
      <c r="AG110" s="1171"/>
      <c r="AH110" s="1172"/>
      <c r="AI110" s="1172"/>
      <c r="AJ110" s="1172"/>
      <c r="AK110" s="1172"/>
      <c r="AL110" s="1172"/>
      <c r="AM110" s="1172"/>
      <c r="AN110" s="1174"/>
      <c r="AO110" s="1174"/>
      <c r="AP110" s="1174"/>
      <c r="AQ110" s="1172"/>
      <c r="AR110" s="1172"/>
      <c r="AS110" s="1172"/>
      <c r="AT110" s="1172"/>
      <c r="AU110" s="1172"/>
      <c r="AV110" s="1172"/>
      <c r="AW110" s="1172"/>
      <c r="AX110" s="1172"/>
      <c r="AY110" s="1175"/>
    </row>
    <row r="111" spans="1:51" ht="27" x14ac:dyDescent="0.25">
      <c r="A111" s="743"/>
      <c r="B111" s="743"/>
      <c r="C111" s="745"/>
      <c r="D111" s="545" t="s">
        <v>45</v>
      </c>
      <c r="E111" s="1165"/>
      <c r="F111" s="1165"/>
      <c r="G111" s="1162"/>
      <c r="H111" s="1161">
        <v>0</v>
      </c>
      <c r="I111" s="1161">
        <v>12625684.423264237</v>
      </c>
      <c r="J111" s="1161">
        <v>8338545.5599999996</v>
      </c>
      <c r="K111" s="1163">
        <f t="shared" si="42"/>
        <v>8440601.0251415689</v>
      </c>
      <c r="L111" s="1165">
        <f t="shared" si="42"/>
        <v>8440601.0251415689</v>
      </c>
      <c r="M111" s="1161">
        <f t="shared" si="42"/>
        <v>14027820.966560932</v>
      </c>
      <c r="N111" s="1164">
        <f t="shared" si="42"/>
        <v>14027820.966560932</v>
      </c>
      <c r="O111" s="1164">
        <f t="shared" si="42"/>
        <v>10059750.250833405</v>
      </c>
      <c r="P111" s="1164"/>
      <c r="Q111" s="1161"/>
      <c r="R111" s="1165"/>
      <c r="S111" s="1165"/>
      <c r="T111" s="1165"/>
      <c r="U111" s="1161">
        <v>0</v>
      </c>
      <c r="V111" s="1179">
        <v>12625684.423264237</v>
      </c>
      <c r="W111" s="1161">
        <v>8338545.5599999996</v>
      </c>
      <c r="X111" s="1163">
        <f t="shared" si="43"/>
        <v>10888629.835535742</v>
      </c>
      <c r="Y111" s="1165">
        <f t="shared" si="43"/>
        <v>8440601.0251415689</v>
      </c>
      <c r="Z111" s="1165">
        <f t="shared" si="43"/>
        <v>14027820.966560932</v>
      </c>
      <c r="AA111" s="1165">
        <f t="shared" si="43"/>
        <v>11567335.532266853</v>
      </c>
      <c r="AB111" s="1165">
        <f t="shared" si="43"/>
        <v>10059750.250833405</v>
      </c>
      <c r="AC111" s="542"/>
      <c r="AD111" s="542"/>
      <c r="AE111" s="1165"/>
      <c r="AF111" s="1170"/>
      <c r="AG111" s="1171"/>
      <c r="AH111" s="1172"/>
      <c r="AI111" s="1172"/>
      <c r="AJ111" s="1172"/>
      <c r="AK111" s="1172"/>
      <c r="AL111" s="1172"/>
      <c r="AM111" s="1172"/>
      <c r="AN111" s="1174"/>
      <c r="AO111" s="1174"/>
      <c r="AP111" s="1174"/>
      <c r="AQ111" s="1172"/>
      <c r="AR111" s="1172"/>
      <c r="AS111" s="1172"/>
      <c r="AT111" s="1172"/>
      <c r="AU111" s="1172"/>
      <c r="AV111" s="1172"/>
      <c r="AW111" s="1172"/>
      <c r="AX111" s="1172"/>
      <c r="AY111" s="1175"/>
    </row>
    <row r="112" spans="1:51" ht="18" customHeight="1" x14ac:dyDescent="0.25">
      <c r="A112" s="743"/>
      <c r="B112" s="743"/>
      <c r="C112" s="745" t="s">
        <v>514</v>
      </c>
      <c r="D112" s="546" t="s">
        <v>41</v>
      </c>
      <c r="E112" s="1161"/>
      <c r="F112" s="1162"/>
      <c r="G112" s="1162"/>
      <c r="H112" s="1161">
        <v>0.05</v>
      </c>
      <c r="I112" s="1161">
        <v>0.05</v>
      </c>
      <c r="J112" s="1161">
        <v>0.05</v>
      </c>
      <c r="K112" s="1163">
        <v>0.05</v>
      </c>
      <c r="L112" s="1164">
        <v>0.05</v>
      </c>
      <c r="M112" s="1161">
        <v>0.05</v>
      </c>
      <c r="N112" s="1164">
        <v>0.05</v>
      </c>
      <c r="O112" s="1164">
        <v>0.05</v>
      </c>
      <c r="P112" s="1164"/>
      <c r="Q112" s="1165"/>
      <c r="R112" s="1161"/>
      <c r="S112" s="1166"/>
      <c r="T112" s="1166"/>
      <c r="U112" s="1167">
        <v>8.6999999999999994E-3</v>
      </c>
      <c r="V112" s="1167">
        <v>1.2500000000000001E-2</v>
      </c>
      <c r="W112" s="1167">
        <v>1.6300000000000002E-2</v>
      </c>
      <c r="X112" s="1168">
        <v>2.01E-2</v>
      </c>
      <c r="Y112" s="1169">
        <v>2.53E-2</v>
      </c>
      <c r="Z112" s="1167">
        <v>2.9499999999999998E-2</v>
      </c>
      <c r="AA112" s="1182">
        <v>3.3500000000000002E-2</v>
      </c>
      <c r="AB112" s="1167">
        <v>3.9E-2</v>
      </c>
      <c r="AC112" s="526"/>
      <c r="AD112" s="561"/>
      <c r="AE112" s="1161"/>
      <c r="AF112" s="1170" t="s">
        <v>704</v>
      </c>
      <c r="AG112" s="1171" t="s">
        <v>448</v>
      </c>
      <c r="AH112" s="1172" t="s">
        <v>568</v>
      </c>
      <c r="AI112" s="1172" t="s">
        <v>649</v>
      </c>
      <c r="AJ112" s="1172" t="s">
        <v>656</v>
      </c>
      <c r="AK112" s="1172" t="s">
        <v>435</v>
      </c>
      <c r="AL112" s="1172">
        <v>6</v>
      </c>
      <c r="AM112" s="1172" t="s">
        <v>71</v>
      </c>
      <c r="AN112" s="1174">
        <f t="shared" ref="AN112" si="44">SUM(AO112:AP117)</f>
        <v>383278.4281180636</v>
      </c>
      <c r="AO112" s="1174">
        <v>185012.57635156851</v>
      </c>
      <c r="AP112" s="1174">
        <v>198265.85176649512</v>
      </c>
      <c r="AQ112" s="1172" t="s">
        <v>71</v>
      </c>
      <c r="AR112" s="1172" t="s">
        <v>71</v>
      </c>
      <c r="AS112" s="1172" t="s">
        <v>71</v>
      </c>
      <c r="AT112" s="1172" t="s">
        <v>71</v>
      </c>
      <c r="AU112" s="1172" t="s">
        <v>71</v>
      </c>
      <c r="AV112" s="1172" t="s">
        <v>71</v>
      </c>
      <c r="AW112" s="1172" t="s">
        <v>71</v>
      </c>
      <c r="AX112" s="1172" t="s">
        <v>71</v>
      </c>
      <c r="AY112" s="1175"/>
    </row>
    <row r="113" spans="1:54" ht="18" x14ac:dyDescent="0.25">
      <c r="A113" s="743"/>
      <c r="B113" s="743"/>
      <c r="C113" s="745"/>
      <c r="D113" s="545" t="s">
        <v>3</v>
      </c>
      <c r="E113" s="1165"/>
      <c r="F113" s="1165"/>
      <c r="G113" s="1162"/>
      <c r="H113" s="1161">
        <v>36198.906547043669</v>
      </c>
      <c r="I113" s="1161">
        <v>74392620.188519239</v>
      </c>
      <c r="J113" s="1161">
        <v>52706988.640000001</v>
      </c>
      <c r="K113" s="1163">
        <v>37560508.07117255</v>
      </c>
      <c r="L113" s="1165">
        <v>37560508.07117255</v>
      </c>
      <c r="M113" s="1165">
        <v>48231960.38641379</v>
      </c>
      <c r="N113" s="1164">
        <v>48231960.38641379</v>
      </c>
      <c r="O113" s="1164">
        <v>44187287.106496289</v>
      </c>
      <c r="P113" s="1164"/>
      <c r="Q113" s="1165"/>
      <c r="R113" s="1165"/>
      <c r="S113" s="564"/>
      <c r="T113" s="564"/>
      <c r="U113" s="565">
        <v>36198.906547043669</v>
      </c>
      <c r="V113" s="540">
        <v>74392620.188519239</v>
      </c>
      <c r="W113" s="565">
        <v>52706988.640000001</v>
      </c>
      <c r="X113" s="1176">
        <v>38381774.154901177</v>
      </c>
      <c r="Y113" s="564">
        <v>37560508.07117255</v>
      </c>
      <c r="Z113" s="564">
        <v>48231960.38641379</v>
      </c>
      <c r="AA113" s="564">
        <v>50981314.641944997</v>
      </c>
      <c r="AB113" s="563">
        <v>44187287.106496289</v>
      </c>
      <c r="AC113" s="562"/>
      <c r="AD113" s="562"/>
      <c r="AE113" s="1165"/>
      <c r="AF113" s="1170"/>
      <c r="AG113" s="1171"/>
      <c r="AH113" s="1172"/>
      <c r="AI113" s="1172"/>
      <c r="AJ113" s="1172"/>
      <c r="AK113" s="1172"/>
      <c r="AL113" s="1172"/>
      <c r="AM113" s="1172"/>
      <c r="AN113" s="1174"/>
      <c r="AO113" s="1174"/>
      <c r="AP113" s="1174"/>
      <c r="AQ113" s="1172"/>
      <c r="AR113" s="1172"/>
      <c r="AS113" s="1172"/>
      <c r="AT113" s="1172"/>
      <c r="AU113" s="1172"/>
      <c r="AV113" s="1172"/>
      <c r="AW113" s="1172"/>
      <c r="AX113" s="1172"/>
      <c r="AY113" s="1175"/>
    </row>
    <row r="114" spans="1:54" ht="27" x14ac:dyDescent="0.25">
      <c r="A114" s="743"/>
      <c r="B114" s="743"/>
      <c r="C114" s="745"/>
      <c r="D114" s="544" t="s">
        <v>42</v>
      </c>
      <c r="E114" s="1161"/>
      <c r="F114" s="1161"/>
      <c r="G114" s="1162"/>
      <c r="H114" s="1161">
        <v>0</v>
      </c>
      <c r="I114" s="1161">
        <v>0</v>
      </c>
      <c r="J114" s="1161">
        <v>0</v>
      </c>
      <c r="K114" s="1163">
        <v>0</v>
      </c>
      <c r="L114" s="1161">
        <v>0</v>
      </c>
      <c r="M114" s="1161">
        <v>0</v>
      </c>
      <c r="N114" s="1164">
        <v>0</v>
      </c>
      <c r="O114" s="1164">
        <v>0</v>
      </c>
      <c r="P114" s="1164"/>
      <c r="Q114" s="1161"/>
      <c r="R114" s="1161"/>
      <c r="S114" s="1178"/>
      <c r="T114" s="1178"/>
      <c r="U114" s="1179">
        <v>0</v>
      </c>
      <c r="V114" s="1179">
        <v>0</v>
      </c>
      <c r="W114" s="1179">
        <v>0</v>
      </c>
      <c r="X114" s="1180">
        <v>0</v>
      </c>
      <c r="Y114" s="1178">
        <v>0</v>
      </c>
      <c r="Z114" s="1178">
        <v>0</v>
      </c>
      <c r="AA114" s="1178">
        <v>0</v>
      </c>
      <c r="AB114" s="1178">
        <v>0</v>
      </c>
      <c r="AC114" s="562"/>
      <c r="AD114" s="562"/>
      <c r="AE114" s="1161"/>
      <c r="AF114" s="1170"/>
      <c r="AG114" s="1171"/>
      <c r="AH114" s="1172"/>
      <c r="AI114" s="1172"/>
      <c r="AJ114" s="1172"/>
      <c r="AK114" s="1172"/>
      <c r="AL114" s="1172"/>
      <c r="AM114" s="1172"/>
      <c r="AN114" s="1174"/>
      <c r="AO114" s="1174"/>
      <c r="AP114" s="1174"/>
      <c r="AQ114" s="1172"/>
      <c r="AR114" s="1172"/>
      <c r="AS114" s="1172"/>
      <c r="AT114" s="1172"/>
      <c r="AU114" s="1172"/>
      <c r="AV114" s="1172"/>
      <c r="AW114" s="1172"/>
      <c r="AX114" s="1172"/>
      <c r="AY114" s="1175"/>
    </row>
    <row r="115" spans="1:54" ht="27" x14ac:dyDescent="0.25">
      <c r="A115" s="743"/>
      <c r="B115" s="743"/>
      <c r="C115" s="745"/>
      <c r="D115" s="545" t="s">
        <v>4</v>
      </c>
      <c r="E115" s="1161"/>
      <c r="F115" s="1161"/>
      <c r="G115" s="1162"/>
      <c r="H115" s="1161">
        <v>0</v>
      </c>
      <c r="I115" s="1161">
        <v>0</v>
      </c>
      <c r="J115" s="1161">
        <v>0</v>
      </c>
      <c r="K115" s="1163">
        <v>0</v>
      </c>
      <c r="L115" s="1161">
        <v>0</v>
      </c>
      <c r="M115" s="1161">
        <v>0</v>
      </c>
      <c r="N115" s="1164">
        <v>0</v>
      </c>
      <c r="O115" s="1164">
        <v>0</v>
      </c>
      <c r="P115" s="1164"/>
      <c r="Q115" s="1161"/>
      <c r="R115" s="1161"/>
      <c r="S115" s="1178"/>
      <c r="T115" s="1178"/>
      <c r="U115" s="1179">
        <v>0</v>
      </c>
      <c r="V115" s="1179">
        <v>0</v>
      </c>
      <c r="W115" s="1179">
        <v>0</v>
      </c>
      <c r="X115" s="1180">
        <v>0</v>
      </c>
      <c r="Y115" s="1178">
        <v>0</v>
      </c>
      <c r="Z115" s="1178">
        <v>0</v>
      </c>
      <c r="AA115" s="1178">
        <v>0</v>
      </c>
      <c r="AB115" s="1178">
        <v>0</v>
      </c>
      <c r="AC115" s="562"/>
      <c r="AD115" s="562"/>
      <c r="AE115" s="1161"/>
      <c r="AF115" s="1170"/>
      <c r="AG115" s="1171"/>
      <c r="AH115" s="1172"/>
      <c r="AI115" s="1172"/>
      <c r="AJ115" s="1172"/>
      <c r="AK115" s="1172"/>
      <c r="AL115" s="1172"/>
      <c r="AM115" s="1172"/>
      <c r="AN115" s="1174"/>
      <c r="AO115" s="1174"/>
      <c r="AP115" s="1174"/>
      <c r="AQ115" s="1172"/>
      <c r="AR115" s="1172"/>
      <c r="AS115" s="1172"/>
      <c r="AT115" s="1172"/>
      <c r="AU115" s="1172"/>
      <c r="AV115" s="1172"/>
      <c r="AW115" s="1172"/>
      <c r="AX115" s="1172"/>
      <c r="AY115" s="1175"/>
    </row>
    <row r="116" spans="1:54" ht="27" x14ac:dyDescent="0.25">
      <c r="A116" s="743"/>
      <c r="B116" s="743"/>
      <c r="C116" s="745"/>
      <c r="D116" s="544" t="s">
        <v>43</v>
      </c>
      <c r="E116" s="1161"/>
      <c r="F116" s="1161"/>
      <c r="G116" s="1162"/>
      <c r="H116" s="1161">
        <v>0.05</v>
      </c>
      <c r="I116" s="1161">
        <v>0.05</v>
      </c>
      <c r="J116" s="1161">
        <v>0.05</v>
      </c>
      <c r="K116" s="1163">
        <f t="shared" ref="K116:O117" si="45">K112+K114</f>
        <v>0.05</v>
      </c>
      <c r="L116" s="1161">
        <f t="shared" si="45"/>
        <v>0.05</v>
      </c>
      <c r="M116" s="1161">
        <f t="shared" si="45"/>
        <v>0.05</v>
      </c>
      <c r="N116" s="1164">
        <f t="shared" si="45"/>
        <v>0.05</v>
      </c>
      <c r="O116" s="1164">
        <f t="shared" si="45"/>
        <v>0.05</v>
      </c>
      <c r="P116" s="1164"/>
      <c r="Q116" s="1161"/>
      <c r="R116" s="1161"/>
      <c r="S116" s="1178"/>
      <c r="T116" s="1178"/>
      <c r="U116" s="1181">
        <v>8.6999999999999994E-3</v>
      </c>
      <c r="V116" s="1181">
        <v>1.2500000000000001E-2</v>
      </c>
      <c r="W116" s="1179">
        <v>1.6300000000000002E-2</v>
      </c>
      <c r="X116" s="1180">
        <f t="shared" ref="X116:AB117" si="46">X112+X114</f>
        <v>2.01E-2</v>
      </c>
      <c r="Y116" s="1178">
        <f t="shared" si="46"/>
        <v>2.53E-2</v>
      </c>
      <c r="Z116" s="1178">
        <f t="shared" si="46"/>
        <v>2.9499999999999998E-2</v>
      </c>
      <c r="AA116" s="1178">
        <f t="shared" si="46"/>
        <v>3.3500000000000002E-2</v>
      </c>
      <c r="AB116" s="1178">
        <f t="shared" si="46"/>
        <v>3.9E-2</v>
      </c>
      <c r="AC116" s="562"/>
      <c r="AD116" s="562"/>
      <c r="AE116" s="1161"/>
      <c r="AF116" s="1170"/>
      <c r="AG116" s="1171"/>
      <c r="AH116" s="1172"/>
      <c r="AI116" s="1172"/>
      <c r="AJ116" s="1172"/>
      <c r="AK116" s="1172"/>
      <c r="AL116" s="1172"/>
      <c r="AM116" s="1172"/>
      <c r="AN116" s="1174"/>
      <c r="AO116" s="1174"/>
      <c r="AP116" s="1174"/>
      <c r="AQ116" s="1172"/>
      <c r="AR116" s="1172"/>
      <c r="AS116" s="1172"/>
      <c r="AT116" s="1172"/>
      <c r="AU116" s="1172"/>
      <c r="AV116" s="1172"/>
      <c r="AW116" s="1172"/>
      <c r="AX116" s="1172"/>
      <c r="AY116" s="1175"/>
    </row>
    <row r="117" spans="1:54" ht="27" x14ac:dyDescent="0.25">
      <c r="A117" s="743"/>
      <c r="B117" s="743"/>
      <c r="C117" s="745"/>
      <c r="D117" s="545" t="s">
        <v>45</v>
      </c>
      <c r="E117" s="1165"/>
      <c r="F117" s="1165"/>
      <c r="G117" s="1162"/>
      <c r="H117" s="1161">
        <v>36198.906547043669</v>
      </c>
      <c r="I117" s="1161">
        <v>74392620.188519239</v>
      </c>
      <c r="J117" s="1161">
        <v>1.2500000000000001E-2</v>
      </c>
      <c r="K117" s="1163">
        <f t="shared" si="45"/>
        <v>37560508.07117255</v>
      </c>
      <c r="L117" s="1165">
        <f t="shared" si="45"/>
        <v>37560508.07117255</v>
      </c>
      <c r="M117" s="1161">
        <f t="shared" si="45"/>
        <v>48231960.38641379</v>
      </c>
      <c r="N117" s="1164">
        <f t="shared" si="45"/>
        <v>48231960.38641379</v>
      </c>
      <c r="O117" s="1164">
        <f t="shared" si="45"/>
        <v>44187287.106496289</v>
      </c>
      <c r="P117" s="1164"/>
      <c r="Q117" s="1161"/>
      <c r="R117" s="1165"/>
      <c r="S117" s="1165"/>
      <c r="T117" s="1165"/>
      <c r="U117" s="1164">
        <v>8.6499999999999997E-3</v>
      </c>
      <c r="V117" s="1181">
        <v>1.2500000000000001E-2</v>
      </c>
      <c r="W117" s="1161">
        <v>1.2500000000000001E-2</v>
      </c>
      <c r="X117" s="1163">
        <f t="shared" si="46"/>
        <v>38381774.154901177</v>
      </c>
      <c r="Y117" s="1165">
        <f t="shared" si="46"/>
        <v>37560508.07117255</v>
      </c>
      <c r="Z117" s="1165">
        <f t="shared" si="46"/>
        <v>48231960.38641379</v>
      </c>
      <c r="AA117" s="1165">
        <f t="shared" si="46"/>
        <v>50981314.641944997</v>
      </c>
      <c r="AB117" s="1165">
        <f t="shared" si="46"/>
        <v>44187287.106496289</v>
      </c>
      <c r="AC117" s="542"/>
      <c r="AD117" s="542"/>
      <c r="AE117" s="1165"/>
      <c r="AF117" s="1170"/>
      <c r="AG117" s="1171"/>
      <c r="AH117" s="1172"/>
      <c r="AI117" s="1172"/>
      <c r="AJ117" s="1172"/>
      <c r="AK117" s="1172"/>
      <c r="AL117" s="1172"/>
      <c r="AM117" s="1172"/>
      <c r="AN117" s="1174"/>
      <c r="AO117" s="1174"/>
      <c r="AP117" s="1174"/>
      <c r="AQ117" s="1172"/>
      <c r="AR117" s="1172"/>
      <c r="AS117" s="1172"/>
      <c r="AT117" s="1172"/>
      <c r="AU117" s="1172"/>
      <c r="AV117" s="1172"/>
      <c r="AW117" s="1172"/>
      <c r="AX117" s="1172"/>
      <c r="AY117" s="1175"/>
    </row>
    <row r="118" spans="1:54" ht="18" customHeight="1" x14ac:dyDescent="0.25">
      <c r="A118" s="743"/>
      <c r="B118" s="743"/>
      <c r="C118" s="745" t="s">
        <v>515</v>
      </c>
      <c r="D118" s="546" t="s">
        <v>41</v>
      </c>
      <c r="E118" s="1161"/>
      <c r="F118" s="1162"/>
      <c r="G118" s="1162"/>
      <c r="H118" s="1161">
        <v>0.05</v>
      </c>
      <c r="I118" s="1161">
        <v>0.05</v>
      </c>
      <c r="J118" s="1161">
        <v>0.05</v>
      </c>
      <c r="K118" s="1163">
        <v>0.05</v>
      </c>
      <c r="L118" s="1164">
        <v>0.05</v>
      </c>
      <c r="M118" s="1161">
        <v>0.05</v>
      </c>
      <c r="N118" s="1164">
        <v>0.05</v>
      </c>
      <c r="O118" s="1164">
        <v>0.05</v>
      </c>
      <c r="P118" s="1164"/>
      <c r="Q118" s="1165"/>
      <c r="R118" s="1161"/>
      <c r="S118" s="1166"/>
      <c r="T118" s="1166"/>
      <c r="U118" s="1167">
        <v>8.6999999999999994E-3</v>
      </c>
      <c r="V118" s="1167">
        <v>1.2500000000000001E-2</v>
      </c>
      <c r="W118" s="1167">
        <v>1.6300000000000002E-2</v>
      </c>
      <c r="X118" s="1168">
        <v>2.01E-2</v>
      </c>
      <c r="Y118" s="1169">
        <v>2.53E-2</v>
      </c>
      <c r="Z118" s="1167">
        <v>2.9499999999999998E-2</v>
      </c>
      <c r="AA118" s="1182">
        <v>3.3500000000000002E-2</v>
      </c>
      <c r="AB118" s="1167">
        <v>3.9E-2</v>
      </c>
      <c r="AC118" s="539"/>
      <c r="AD118" s="542"/>
      <c r="AE118" s="1161"/>
      <c r="AF118" s="1170" t="s">
        <v>705</v>
      </c>
      <c r="AG118" s="1171" t="s">
        <v>443</v>
      </c>
      <c r="AH118" s="1172" t="s">
        <v>637</v>
      </c>
      <c r="AI118" s="1172" t="s">
        <v>667</v>
      </c>
      <c r="AJ118" s="1172" t="s">
        <v>656</v>
      </c>
      <c r="AK118" s="1172" t="s">
        <v>435</v>
      </c>
      <c r="AL118" s="1172">
        <v>3</v>
      </c>
      <c r="AM118" s="1172" t="s">
        <v>71</v>
      </c>
      <c r="AN118" s="1174">
        <f t="shared" ref="AN118" si="47">SUM(AO118:AP123)</f>
        <v>639145.69900265138</v>
      </c>
      <c r="AO118" s="1174">
        <v>311958.96102613024</v>
      </c>
      <c r="AP118" s="1174">
        <v>327186.73797652114</v>
      </c>
      <c r="AQ118" s="1172" t="s">
        <v>71</v>
      </c>
      <c r="AR118" s="1172" t="s">
        <v>71</v>
      </c>
      <c r="AS118" s="1172" t="s">
        <v>71</v>
      </c>
      <c r="AT118" s="1172" t="s">
        <v>71</v>
      </c>
      <c r="AU118" s="1172" t="s">
        <v>71</v>
      </c>
      <c r="AV118" s="1172" t="s">
        <v>71</v>
      </c>
      <c r="AW118" s="1172" t="s">
        <v>71</v>
      </c>
      <c r="AX118" s="1172" t="s">
        <v>71</v>
      </c>
      <c r="AY118" s="1175"/>
    </row>
    <row r="119" spans="1:54" ht="18" x14ac:dyDescent="0.25">
      <c r="A119" s="743"/>
      <c r="B119" s="743"/>
      <c r="C119" s="745"/>
      <c r="D119" s="545" t="s">
        <v>3</v>
      </c>
      <c r="E119" s="1165"/>
      <c r="F119" s="1165"/>
      <c r="G119" s="1162"/>
      <c r="H119" s="1161">
        <v>31608.600580853887</v>
      </c>
      <c r="I119" s="1161">
        <v>174355450.75855529</v>
      </c>
      <c r="J119" s="1161">
        <v>184208915.40000001</v>
      </c>
      <c r="K119" s="1163">
        <v>106855644.51745848</v>
      </c>
      <c r="L119" s="1165">
        <v>106855644.51745848</v>
      </c>
      <c r="M119" s="1165">
        <v>110802069.450986</v>
      </c>
      <c r="N119" s="1164">
        <v>110802069.450986</v>
      </c>
      <c r="O119" s="1164">
        <v>105090056.36568664</v>
      </c>
      <c r="P119" s="1164"/>
      <c r="Q119" s="1165"/>
      <c r="R119" s="1165"/>
      <c r="S119" s="564"/>
      <c r="T119" s="564"/>
      <c r="U119" s="565">
        <v>31608.600580853887</v>
      </c>
      <c r="V119" s="540">
        <v>174355450.75855529</v>
      </c>
      <c r="W119" s="565">
        <v>184208915.40000001</v>
      </c>
      <c r="X119" s="1176">
        <v>135974086.65013736</v>
      </c>
      <c r="Y119" s="564">
        <v>106855644.51745848</v>
      </c>
      <c r="Z119" s="564">
        <v>110802069.450986</v>
      </c>
      <c r="AA119" s="564">
        <v>94178734.146540329</v>
      </c>
      <c r="AB119" s="563">
        <v>105090056.36568664</v>
      </c>
      <c r="AC119" s="562"/>
      <c r="AD119" s="562"/>
      <c r="AE119" s="1165"/>
      <c r="AF119" s="1170"/>
      <c r="AG119" s="1171"/>
      <c r="AH119" s="1172"/>
      <c r="AI119" s="1172"/>
      <c r="AJ119" s="1172"/>
      <c r="AK119" s="1172"/>
      <c r="AL119" s="1172"/>
      <c r="AM119" s="1172"/>
      <c r="AN119" s="1174"/>
      <c r="AO119" s="1174"/>
      <c r="AP119" s="1174"/>
      <c r="AQ119" s="1172"/>
      <c r="AR119" s="1172"/>
      <c r="AS119" s="1172"/>
      <c r="AT119" s="1172"/>
      <c r="AU119" s="1172"/>
      <c r="AV119" s="1172"/>
      <c r="AW119" s="1172"/>
      <c r="AX119" s="1172"/>
      <c r="AY119" s="1175"/>
    </row>
    <row r="120" spans="1:54" ht="27" x14ac:dyDescent="0.25">
      <c r="A120" s="743"/>
      <c r="B120" s="743"/>
      <c r="C120" s="745"/>
      <c r="D120" s="544" t="s">
        <v>42</v>
      </c>
      <c r="E120" s="1161"/>
      <c r="F120" s="1161"/>
      <c r="G120" s="1162"/>
      <c r="H120" s="1161">
        <v>0</v>
      </c>
      <c r="I120" s="1161">
        <v>0</v>
      </c>
      <c r="J120" s="1161">
        <v>0</v>
      </c>
      <c r="K120" s="1163">
        <v>0</v>
      </c>
      <c r="L120" s="1161">
        <v>0</v>
      </c>
      <c r="M120" s="1161">
        <v>0</v>
      </c>
      <c r="N120" s="1164">
        <v>0</v>
      </c>
      <c r="O120" s="1164">
        <v>0</v>
      </c>
      <c r="P120" s="1164"/>
      <c r="Q120" s="1161"/>
      <c r="R120" s="1161"/>
      <c r="S120" s="1178"/>
      <c r="T120" s="1178"/>
      <c r="U120" s="1179">
        <v>0</v>
      </c>
      <c r="V120" s="1179">
        <v>0</v>
      </c>
      <c r="W120" s="1179">
        <v>0</v>
      </c>
      <c r="X120" s="1180">
        <v>0</v>
      </c>
      <c r="Y120" s="1178">
        <v>0</v>
      </c>
      <c r="Z120" s="1178">
        <v>0</v>
      </c>
      <c r="AA120" s="1178">
        <v>0</v>
      </c>
      <c r="AB120" s="1178">
        <v>0</v>
      </c>
      <c r="AC120" s="562"/>
      <c r="AD120" s="562"/>
      <c r="AE120" s="1161"/>
      <c r="AF120" s="1170"/>
      <c r="AG120" s="1171"/>
      <c r="AH120" s="1172"/>
      <c r="AI120" s="1172"/>
      <c r="AJ120" s="1172"/>
      <c r="AK120" s="1172"/>
      <c r="AL120" s="1172"/>
      <c r="AM120" s="1172"/>
      <c r="AN120" s="1174"/>
      <c r="AO120" s="1174"/>
      <c r="AP120" s="1174"/>
      <c r="AQ120" s="1172"/>
      <c r="AR120" s="1172"/>
      <c r="AS120" s="1172"/>
      <c r="AT120" s="1172"/>
      <c r="AU120" s="1172"/>
      <c r="AV120" s="1172"/>
      <c r="AW120" s="1172"/>
      <c r="AX120" s="1172"/>
      <c r="AY120" s="1175"/>
    </row>
    <row r="121" spans="1:54" ht="27" x14ac:dyDescent="0.25">
      <c r="A121" s="743"/>
      <c r="B121" s="743"/>
      <c r="C121" s="745"/>
      <c r="D121" s="545" t="s">
        <v>4</v>
      </c>
      <c r="E121" s="1161"/>
      <c r="F121" s="1161"/>
      <c r="G121" s="1162"/>
      <c r="H121" s="1161">
        <v>0</v>
      </c>
      <c r="I121" s="1161">
        <v>0</v>
      </c>
      <c r="J121" s="1161">
        <v>0</v>
      </c>
      <c r="K121" s="1163">
        <v>0</v>
      </c>
      <c r="L121" s="1161">
        <v>0</v>
      </c>
      <c r="M121" s="1161">
        <v>0</v>
      </c>
      <c r="N121" s="1164">
        <v>0</v>
      </c>
      <c r="O121" s="1164">
        <v>0</v>
      </c>
      <c r="P121" s="1164"/>
      <c r="Q121" s="1161"/>
      <c r="R121" s="1161"/>
      <c r="S121" s="1178"/>
      <c r="T121" s="1178"/>
      <c r="U121" s="1179">
        <v>0</v>
      </c>
      <c r="V121" s="1179">
        <v>0</v>
      </c>
      <c r="W121" s="1179">
        <v>0</v>
      </c>
      <c r="X121" s="1180">
        <v>0</v>
      </c>
      <c r="Y121" s="1178">
        <v>0</v>
      </c>
      <c r="Z121" s="1178">
        <v>0</v>
      </c>
      <c r="AA121" s="1178">
        <v>0</v>
      </c>
      <c r="AB121" s="1178">
        <v>0</v>
      </c>
      <c r="AC121" s="562"/>
      <c r="AD121" s="562"/>
      <c r="AE121" s="1161"/>
      <c r="AF121" s="1170"/>
      <c r="AG121" s="1171"/>
      <c r="AH121" s="1172"/>
      <c r="AI121" s="1172"/>
      <c r="AJ121" s="1172"/>
      <c r="AK121" s="1172"/>
      <c r="AL121" s="1172"/>
      <c r="AM121" s="1172"/>
      <c r="AN121" s="1174"/>
      <c r="AO121" s="1174"/>
      <c r="AP121" s="1174"/>
      <c r="AQ121" s="1172"/>
      <c r="AR121" s="1172"/>
      <c r="AS121" s="1172"/>
      <c r="AT121" s="1172"/>
      <c r="AU121" s="1172"/>
      <c r="AV121" s="1172"/>
      <c r="AW121" s="1172"/>
      <c r="AX121" s="1172"/>
      <c r="AY121" s="1175"/>
    </row>
    <row r="122" spans="1:54" ht="27" x14ac:dyDescent="0.25">
      <c r="A122" s="743"/>
      <c r="B122" s="743"/>
      <c r="C122" s="745"/>
      <c r="D122" s="544" t="s">
        <v>43</v>
      </c>
      <c r="E122" s="1161"/>
      <c r="F122" s="1161"/>
      <c r="G122" s="1162"/>
      <c r="H122" s="1161">
        <v>0.5</v>
      </c>
      <c r="I122" s="1161">
        <v>0.5</v>
      </c>
      <c r="J122" s="1161">
        <v>0.05</v>
      </c>
      <c r="K122" s="1163">
        <f t="shared" ref="K122:O123" si="48">K118+K120</f>
        <v>0.05</v>
      </c>
      <c r="L122" s="1161">
        <f t="shared" si="48"/>
        <v>0.05</v>
      </c>
      <c r="M122" s="1161">
        <f t="shared" si="48"/>
        <v>0.05</v>
      </c>
      <c r="N122" s="1164">
        <f t="shared" si="48"/>
        <v>0.05</v>
      </c>
      <c r="O122" s="1164">
        <f t="shared" si="48"/>
        <v>0.05</v>
      </c>
      <c r="P122" s="1164"/>
      <c r="Q122" s="1161"/>
      <c r="R122" s="1161"/>
      <c r="S122" s="1178"/>
      <c r="T122" s="1178"/>
      <c r="U122" s="1181">
        <v>8.6999999999999994E-3</v>
      </c>
      <c r="V122" s="1181">
        <v>1.2500000000000001E-2</v>
      </c>
      <c r="W122" s="1179">
        <v>1.6300000000000002E-2</v>
      </c>
      <c r="X122" s="1180">
        <f t="shared" ref="X122:AB123" si="49">X118+X120</f>
        <v>2.01E-2</v>
      </c>
      <c r="Y122" s="1178">
        <f t="shared" si="49"/>
        <v>2.53E-2</v>
      </c>
      <c r="Z122" s="1178">
        <f t="shared" si="49"/>
        <v>2.9499999999999998E-2</v>
      </c>
      <c r="AA122" s="1178">
        <f t="shared" si="49"/>
        <v>3.3500000000000002E-2</v>
      </c>
      <c r="AB122" s="1178">
        <f t="shared" si="49"/>
        <v>3.9E-2</v>
      </c>
      <c r="AC122" s="562"/>
      <c r="AD122" s="562"/>
      <c r="AE122" s="1161"/>
      <c r="AF122" s="1170"/>
      <c r="AG122" s="1171"/>
      <c r="AH122" s="1172"/>
      <c r="AI122" s="1172"/>
      <c r="AJ122" s="1172"/>
      <c r="AK122" s="1172"/>
      <c r="AL122" s="1172"/>
      <c r="AM122" s="1172"/>
      <c r="AN122" s="1174"/>
      <c r="AO122" s="1174"/>
      <c r="AP122" s="1174"/>
      <c r="AQ122" s="1172"/>
      <c r="AR122" s="1172"/>
      <c r="AS122" s="1172"/>
      <c r="AT122" s="1172"/>
      <c r="AU122" s="1172"/>
      <c r="AV122" s="1172"/>
      <c r="AW122" s="1172"/>
      <c r="AX122" s="1172"/>
      <c r="AY122" s="1175"/>
    </row>
    <row r="123" spans="1:54" ht="27" x14ac:dyDescent="0.25">
      <c r="A123" s="743"/>
      <c r="B123" s="743"/>
      <c r="C123" s="745"/>
      <c r="D123" s="545" t="s">
        <v>45</v>
      </c>
      <c r="E123" s="1165"/>
      <c r="F123" s="1165"/>
      <c r="G123" s="1162"/>
      <c r="H123" s="1161">
        <v>31608.600580853887</v>
      </c>
      <c r="I123" s="1161">
        <v>174355450.75855529</v>
      </c>
      <c r="J123" s="1161">
        <v>184208915.40000001</v>
      </c>
      <c r="K123" s="1163">
        <f t="shared" si="48"/>
        <v>106855644.51745848</v>
      </c>
      <c r="L123" s="1165">
        <f t="shared" si="48"/>
        <v>106855644.51745848</v>
      </c>
      <c r="M123" s="1161">
        <f t="shared" si="48"/>
        <v>110802069.450986</v>
      </c>
      <c r="N123" s="1164">
        <f t="shared" si="48"/>
        <v>110802069.450986</v>
      </c>
      <c r="O123" s="1164">
        <f t="shared" si="48"/>
        <v>105090056.36568664</v>
      </c>
      <c r="P123" s="1164"/>
      <c r="Q123" s="1161"/>
      <c r="R123" s="1165"/>
      <c r="S123" s="1165"/>
      <c r="T123" s="1165"/>
      <c r="U123" s="1161">
        <v>31608.600580853887</v>
      </c>
      <c r="V123" s="1179">
        <v>174355450.75855529</v>
      </c>
      <c r="W123" s="1161">
        <v>184208915.40000001</v>
      </c>
      <c r="X123" s="1163">
        <f t="shared" si="49"/>
        <v>135974086.65013736</v>
      </c>
      <c r="Y123" s="1165">
        <f t="shared" si="49"/>
        <v>106855644.51745848</v>
      </c>
      <c r="Z123" s="1165">
        <f t="shared" si="49"/>
        <v>110802069.450986</v>
      </c>
      <c r="AA123" s="1165">
        <f t="shared" si="49"/>
        <v>94178734.146540329</v>
      </c>
      <c r="AB123" s="1165">
        <f t="shared" si="49"/>
        <v>105090056.36568664</v>
      </c>
      <c r="AC123" s="542"/>
      <c r="AD123" s="542"/>
      <c r="AE123" s="1165"/>
      <c r="AF123" s="1170"/>
      <c r="AG123" s="1171"/>
      <c r="AH123" s="1172"/>
      <c r="AI123" s="1172"/>
      <c r="AJ123" s="1172"/>
      <c r="AK123" s="1172"/>
      <c r="AL123" s="1172"/>
      <c r="AM123" s="1172"/>
      <c r="AN123" s="1174"/>
      <c r="AO123" s="1174"/>
      <c r="AP123" s="1174"/>
      <c r="AQ123" s="1172"/>
      <c r="AR123" s="1172"/>
      <c r="AS123" s="1172"/>
      <c r="AT123" s="1172"/>
      <c r="AU123" s="1172"/>
      <c r="AV123" s="1172"/>
      <c r="AW123" s="1172"/>
      <c r="AX123" s="1172"/>
      <c r="AY123" s="1175"/>
      <c r="BB123" s="736"/>
    </row>
    <row r="124" spans="1:54" ht="18" customHeight="1" x14ac:dyDescent="0.25">
      <c r="A124" s="743"/>
      <c r="B124" s="743"/>
      <c r="C124" s="745" t="s">
        <v>486</v>
      </c>
      <c r="D124" s="546" t="s">
        <v>41</v>
      </c>
      <c r="E124" s="1161"/>
      <c r="F124" s="1162"/>
      <c r="G124" s="1165"/>
      <c r="H124" s="1161">
        <v>0.05</v>
      </c>
      <c r="I124" s="1161">
        <v>0.05</v>
      </c>
      <c r="J124" s="1161">
        <v>0.05</v>
      </c>
      <c r="K124" s="1163">
        <v>0.05</v>
      </c>
      <c r="L124" s="1164">
        <v>0.05</v>
      </c>
      <c r="M124" s="1161">
        <v>0.05</v>
      </c>
      <c r="N124" s="1164">
        <v>0.05</v>
      </c>
      <c r="O124" s="1164">
        <v>0.05</v>
      </c>
      <c r="P124" s="1164"/>
      <c r="Q124" s="1165"/>
      <c r="R124" s="1161"/>
      <c r="S124" s="1166"/>
      <c r="T124" s="1178"/>
      <c r="U124" s="1167">
        <v>8.6999999999999994E-3</v>
      </c>
      <c r="V124" s="1167">
        <v>1.2500000000000001E-2</v>
      </c>
      <c r="W124" s="1167">
        <v>1.6300000000000002E-2</v>
      </c>
      <c r="X124" s="1168">
        <v>2.01E-2</v>
      </c>
      <c r="Y124" s="1169">
        <v>2.53E-2</v>
      </c>
      <c r="Z124" s="1167">
        <v>2.9499999999999998E-2</v>
      </c>
      <c r="AA124" s="1182">
        <v>3.3500000000000002E-2</v>
      </c>
      <c r="AB124" s="1167">
        <v>3.9E-2</v>
      </c>
      <c r="AC124" s="1167"/>
      <c r="AD124" s="1182"/>
      <c r="AE124" s="1161"/>
      <c r="AF124" s="1170" t="s">
        <v>706</v>
      </c>
      <c r="AG124" s="1171" t="s">
        <v>487</v>
      </c>
      <c r="AH124" s="1172" t="s">
        <v>71</v>
      </c>
      <c r="AI124" s="1192" t="s">
        <v>71</v>
      </c>
      <c r="AJ124" s="1172" t="s">
        <v>668</v>
      </c>
      <c r="AK124" s="1172" t="s">
        <v>435</v>
      </c>
      <c r="AL124" s="1192" t="s">
        <v>71</v>
      </c>
      <c r="AM124" s="1172" t="s">
        <v>71</v>
      </c>
      <c r="AN124" s="1172" t="s">
        <v>71</v>
      </c>
      <c r="AO124" s="1192" t="s">
        <v>71</v>
      </c>
      <c r="AP124" s="1192" t="s">
        <v>71</v>
      </c>
      <c r="AQ124" s="1192" t="s">
        <v>71</v>
      </c>
      <c r="AR124" s="1192" t="s">
        <v>71</v>
      </c>
      <c r="AS124" s="1172" t="s">
        <v>71</v>
      </c>
      <c r="AT124" s="1172" t="s">
        <v>71</v>
      </c>
      <c r="AU124" s="1172" t="s">
        <v>71</v>
      </c>
      <c r="AV124" s="1193" t="s">
        <v>71</v>
      </c>
      <c r="AW124" s="1172" t="s">
        <v>71</v>
      </c>
      <c r="AX124" s="1172" t="s">
        <v>71</v>
      </c>
      <c r="AY124" s="1175"/>
    </row>
    <row r="125" spans="1:54" ht="18" x14ac:dyDescent="0.25">
      <c r="A125" s="743"/>
      <c r="B125" s="743"/>
      <c r="C125" s="745"/>
      <c r="D125" s="545" t="s">
        <v>3</v>
      </c>
      <c r="E125" s="1165"/>
      <c r="F125" s="1165"/>
      <c r="G125" s="1165"/>
      <c r="H125" s="1161">
        <v>2422773506.20889</v>
      </c>
      <c r="I125" s="1161">
        <v>1454420496.84163</v>
      </c>
      <c r="J125" s="1161">
        <v>1114517451.6199999</v>
      </c>
      <c r="K125" s="1163">
        <v>1122168587.4874599</v>
      </c>
      <c r="L125" s="1165">
        <v>1109995787.79</v>
      </c>
      <c r="M125" s="1165">
        <v>1164456063.9673741</v>
      </c>
      <c r="N125" s="1164">
        <v>1164456063.9673741</v>
      </c>
      <c r="O125" s="1164">
        <v>1097598252.527946</v>
      </c>
      <c r="P125" s="1164"/>
      <c r="Q125" s="1165"/>
      <c r="R125" s="1165"/>
      <c r="S125" s="564"/>
      <c r="T125" s="1178"/>
      <c r="U125" s="565">
        <v>1349649506.2088907</v>
      </c>
      <c r="V125" s="565">
        <v>1205903496.8416326</v>
      </c>
      <c r="W125" s="565">
        <v>914590451.62</v>
      </c>
      <c r="X125" s="1176">
        <v>924937465.72799361</v>
      </c>
      <c r="Y125" s="564">
        <v>1002805787.7868248</v>
      </c>
      <c r="Z125" s="564">
        <v>1057266063.9641984</v>
      </c>
      <c r="AA125" s="564">
        <v>950749278.2945776</v>
      </c>
      <c r="AB125" s="563">
        <v>995408252.52794623</v>
      </c>
      <c r="AC125" s="562"/>
      <c r="AD125" s="562"/>
      <c r="AE125" s="1165"/>
      <c r="AF125" s="1170"/>
      <c r="AG125" s="1171"/>
      <c r="AH125" s="1172"/>
      <c r="AI125" s="1192"/>
      <c r="AJ125" s="1172"/>
      <c r="AK125" s="1172"/>
      <c r="AL125" s="1192"/>
      <c r="AM125" s="1172"/>
      <c r="AN125" s="1172"/>
      <c r="AO125" s="1192"/>
      <c r="AP125" s="1192"/>
      <c r="AQ125" s="1192"/>
      <c r="AR125" s="1192"/>
      <c r="AS125" s="1172"/>
      <c r="AT125" s="1172"/>
      <c r="AU125" s="1172"/>
      <c r="AV125" s="1194"/>
      <c r="AW125" s="1172"/>
      <c r="AX125" s="1172"/>
      <c r="AY125" s="1175"/>
    </row>
    <row r="126" spans="1:54" ht="27" x14ac:dyDescent="0.25">
      <c r="A126" s="743"/>
      <c r="B126" s="743"/>
      <c r="C126" s="745"/>
      <c r="D126" s="544" t="s">
        <v>42</v>
      </c>
      <c r="E126" s="1161"/>
      <c r="F126" s="1161"/>
      <c r="G126" s="1165"/>
      <c r="H126" s="1161">
        <v>0</v>
      </c>
      <c r="I126" s="1161">
        <v>0</v>
      </c>
      <c r="J126" s="1161">
        <v>0</v>
      </c>
      <c r="K126" s="1163">
        <v>0</v>
      </c>
      <c r="L126" s="1161">
        <v>0</v>
      </c>
      <c r="M126" s="1161">
        <v>0</v>
      </c>
      <c r="N126" s="1164">
        <v>0</v>
      </c>
      <c r="O126" s="1164">
        <v>0</v>
      </c>
      <c r="P126" s="1164"/>
      <c r="Q126" s="1161"/>
      <c r="R126" s="1161"/>
      <c r="S126" s="1178"/>
      <c r="T126" s="1178"/>
      <c r="U126" s="1179">
        <v>0</v>
      </c>
      <c r="V126" s="1179">
        <v>0</v>
      </c>
      <c r="W126" s="1179">
        <v>0</v>
      </c>
      <c r="X126" s="1180">
        <v>0</v>
      </c>
      <c r="Y126" s="1178">
        <v>0</v>
      </c>
      <c r="Z126" s="1178">
        <v>0</v>
      </c>
      <c r="AA126" s="1178">
        <v>0</v>
      </c>
      <c r="AB126" s="1178">
        <v>0</v>
      </c>
      <c r="AC126" s="562"/>
      <c r="AD126" s="562"/>
      <c r="AE126" s="1161"/>
      <c r="AF126" s="1170"/>
      <c r="AG126" s="1171"/>
      <c r="AH126" s="1172"/>
      <c r="AI126" s="1192"/>
      <c r="AJ126" s="1172"/>
      <c r="AK126" s="1172"/>
      <c r="AL126" s="1192"/>
      <c r="AM126" s="1172"/>
      <c r="AN126" s="1172"/>
      <c r="AO126" s="1192"/>
      <c r="AP126" s="1192"/>
      <c r="AQ126" s="1192"/>
      <c r="AR126" s="1192"/>
      <c r="AS126" s="1172"/>
      <c r="AT126" s="1172"/>
      <c r="AU126" s="1172"/>
      <c r="AV126" s="1194"/>
      <c r="AW126" s="1172"/>
      <c r="AX126" s="1172"/>
      <c r="AY126" s="1175"/>
    </row>
    <row r="127" spans="1:54" ht="27" x14ac:dyDescent="0.25">
      <c r="A127" s="743"/>
      <c r="B127" s="743"/>
      <c r="C127" s="745"/>
      <c r="D127" s="545" t="s">
        <v>4</v>
      </c>
      <c r="E127" s="1161"/>
      <c r="F127" s="1161"/>
      <c r="G127" s="1165"/>
      <c r="H127" s="1161">
        <v>451167707</v>
      </c>
      <c r="I127" s="1161">
        <v>451167707</v>
      </c>
      <c r="J127" s="1195">
        <v>451167707</v>
      </c>
      <c r="K127" s="1196">
        <v>441857707</v>
      </c>
      <c r="L127" s="1196">
        <v>441857707</v>
      </c>
      <c r="M127" s="1161">
        <v>441857707</v>
      </c>
      <c r="N127" s="1164">
        <v>441857707</v>
      </c>
      <c r="O127" s="1164">
        <v>441857707</v>
      </c>
      <c r="P127" s="1164"/>
      <c r="Q127" s="1161"/>
      <c r="R127" s="1161"/>
      <c r="S127" s="1197"/>
      <c r="T127" s="1178"/>
      <c r="U127" s="1179">
        <v>299531244</v>
      </c>
      <c r="V127" s="1179">
        <v>333805824</v>
      </c>
      <c r="W127" s="1179">
        <v>358109949</v>
      </c>
      <c r="X127" s="1180">
        <v>394162074</v>
      </c>
      <c r="Y127" s="1165">
        <v>399229342</v>
      </c>
      <c r="Z127" s="1197">
        <v>405821276</v>
      </c>
      <c r="AA127" s="1179">
        <v>408398707</v>
      </c>
      <c r="AB127" s="1179">
        <v>412022607</v>
      </c>
      <c r="AC127" s="562"/>
      <c r="AD127" s="562"/>
      <c r="AE127" s="1161"/>
      <c r="AF127" s="1170"/>
      <c r="AG127" s="1171"/>
      <c r="AH127" s="1172"/>
      <c r="AI127" s="1192"/>
      <c r="AJ127" s="1172"/>
      <c r="AK127" s="1172"/>
      <c r="AL127" s="1192"/>
      <c r="AM127" s="1172"/>
      <c r="AN127" s="1172"/>
      <c r="AO127" s="1192"/>
      <c r="AP127" s="1192"/>
      <c r="AQ127" s="1192"/>
      <c r="AR127" s="1192"/>
      <c r="AS127" s="1172"/>
      <c r="AT127" s="1172"/>
      <c r="AU127" s="1172"/>
      <c r="AV127" s="1194"/>
      <c r="AW127" s="1172"/>
      <c r="AX127" s="1172"/>
      <c r="AY127" s="1175"/>
    </row>
    <row r="128" spans="1:54" ht="27" x14ac:dyDescent="0.25">
      <c r="A128" s="743"/>
      <c r="B128" s="743"/>
      <c r="C128" s="745"/>
      <c r="D128" s="544" t="s">
        <v>43</v>
      </c>
      <c r="E128" s="1161"/>
      <c r="F128" s="1161"/>
      <c r="G128" s="1165"/>
      <c r="H128" s="1161">
        <v>0.05</v>
      </c>
      <c r="I128" s="1161">
        <v>0.05</v>
      </c>
      <c r="J128" s="1161">
        <v>0.05</v>
      </c>
      <c r="K128" s="1163">
        <f t="shared" ref="K128:O129" si="50">K124+K126</f>
        <v>0.05</v>
      </c>
      <c r="L128" s="1161">
        <f t="shared" si="50"/>
        <v>0.05</v>
      </c>
      <c r="M128" s="1161">
        <f t="shared" si="50"/>
        <v>0.05</v>
      </c>
      <c r="N128" s="1164">
        <f t="shared" si="50"/>
        <v>0.05</v>
      </c>
      <c r="O128" s="1164">
        <f t="shared" si="50"/>
        <v>0.05</v>
      </c>
      <c r="P128" s="1164"/>
      <c r="Q128" s="1165"/>
      <c r="R128" s="1161"/>
      <c r="S128" s="1178"/>
      <c r="T128" s="1178"/>
      <c r="U128" s="1181">
        <v>8.6999999999999994E-3</v>
      </c>
      <c r="V128" s="1181">
        <v>1.2500000000000001E-2</v>
      </c>
      <c r="W128" s="1179">
        <v>1.6300000000000002E-2</v>
      </c>
      <c r="X128" s="1180">
        <f t="shared" ref="X128:AB129" si="51">X124+X126</f>
        <v>2.01E-2</v>
      </c>
      <c r="Y128" s="1178">
        <f t="shared" si="51"/>
        <v>2.53E-2</v>
      </c>
      <c r="Z128" s="1178">
        <f t="shared" si="51"/>
        <v>2.9499999999999998E-2</v>
      </c>
      <c r="AA128" s="1178">
        <f t="shared" si="51"/>
        <v>3.3500000000000002E-2</v>
      </c>
      <c r="AB128" s="1178">
        <f t="shared" si="51"/>
        <v>3.9E-2</v>
      </c>
      <c r="AC128" s="541"/>
      <c r="AD128" s="541"/>
      <c r="AE128" s="542"/>
      <c r="AF128" s="1170"/>
      <c r="AG128" s="1171"/>
      <c r="AH128" s="1172"/>
      <c r="AI128" s="1192"/>
      <c r="AJ128" s="1172"/>
      <c r="AK128" s="1172"/>
      <c r="AL128" s="1192"/>
      <c r="AM128" s="1172"/>
      <c r="AN128" s="1172"/>
      <c r="AO128" s="1192"/>
      <c r="AP128" s="1192"/>
      <c r="AQ128" s="1192"/>
      <c r="AR128" s="1192"/>
      <c r="AS128" s="1172"/>
      <c r="AT128" s="1172"/>
      <c r="AU128" s="1172"/>
      <c r="AV128" s="1194"/>
      <c r="AW128" s="1172"/>
      <c r="AX128" s="1172"/>
      <c r="AY128" s="1175"/>
    </row>
    <row r="129" spans="1:51" ht="27" x14ac:dyDescent="0.25">
      <c r="A129" s="743"/>
      <c r="B129" s="743"/>
      <c r="C129" s="745"/>
      <c r="D129" s="545" t="s">
        <v>45</v>
      </c>
      <c r="E129" s="1165"/>
      <c r="F129" s="1165"/>
      <c r="G129" s="1165"/>
      <c r="H129" s="1161">
        <v>2422773506.20889</v>
      </c>
      <c r="I129" s="1161">
        <v>1905588203.84163</v>
      </c>
      <c r="J129" s="1161">
        <v>1565685158.6199999</v>
      </c>
      <c r="K129" s="1163">
        <f t="shared" si="50"/>
        <v>1564026294.4874599</v>
      </c>
      <c r="L129" s="1161">
        <f t="shared" si="50"/>
        <v>1551853494.79</v>
      </c>
      <c r="M129" s="1165">
        <f t="shared" si="50"/>
        <v>1606313770.9673741</v>
      </c>
      <c r="N129" s="1164">
        <f t="shared" si="50"/>
        <v>1606313770.9673741</v>
      </c>
      <c r="O129" s="1164">
        <f>O125+O127</f>
        <v>1539455959.527946</v>
      </c>
      <c r="P129" s="1164"/>
      <c r="Q129" s="1165"/>
      <c r="R129" s="1165"/>
      <c r="S129" s="1165"/>
      <c r="T129" s="1178"/>
      <c r="U129" s="1161">
        <v>1649180750.2088907</v>
      </c>
      <c r="V129" s="1161">
        <v>1539709320.8416326</v>
      </c>
      <c r="W129" s="1161">
        <v>1272700400.6199999</v>
      </c>
      <c r="X129" s="1163">
        <f t="shared" si="51"/>
        <v>1319099539.7279935</v>
      </c>
      <c r="Y129" s="1165">
        <f t="shared" si="51"/>
        <v>1402035129.7868247</v>
      </c>
      <c r="Z129" s="1165">
        <f t="shared" si="51"/>
        <v>1463087339.9641984</v>
      </c>
      <c r="AA129" s="1165">
        <f>AA125+AA127</f>
        <v>1359147985.2945776</v>
      </c>
      <c r="AB129" s="1165">
        <f>AB125+AB127</f>
        <v>1407430859.5279462</v>
      </c>
      <c r="AC129" s="538"/>
      <c r="AD129" s="553"/>
      <c r="AE129" s="1165"/>
      <c r="AF129" s="1170"/>
      <c r="AG129" s="1171"/>
      <c r="AH129" s="1172"/>
      <c r="AI129" s="1192"/>
      <c r="AJ129" s="1172"/>
      <c r="AK129" s="1172"/>
      <c r="AL129" s="1192"/>
      <c r="AM129" s="1172"/>
      <c r="AN129" s="1172"/>
      <c r="AO129" s="1192"/>
      <c r="AP129" s="1192"/>
      <c r="AQ129" s="1192"/>
      <c r="AR129" s="1192"/>
      <c r="AS129" s="1172"/>
      <c r="AT129" s="1172"/>
      <c r="AU129" s="1172"/>
      <c r="AV129" s="1194"/>
      <c r="AW129" s="1172"/>
      <c r="AX129" s="1172"/>
      <c r="AY129" s="1175"/>
    </row>
    <row r="130" spans="1:51" ht="18" customHeight="1" x14ac:dyDescent="0.25">
      <c r="A130" s="743"/>
      <c r="B130" s="743"/>
      <c r="C130" s="745" t="s">
        <v>45</v>
      </c>
      <c r="D130" s="546" t="s">
        <v>41</v>
      </c>
      <c r="E130" s="1165">
        <v>1</v>
      </c>
      <c r="F130" s="1165">
        <v>1</v>
      </c>
      <c r="G130" s="1165">
        <v>1</v>
      </c>
      <c r="H130" s="1198">
        <v>1.0000000000000002</v>
      </c>
      <c r="I130" s="1198">
        <v>1.0000000000000002</v>
      </c>
      <c r="J130" s="1161">
        <v>1.0000000000000002</v>
      </c>
      <c r="K130" s="1163">
        <f>(K124+K118+K112+K106+K100+K94+K88+K82+K76+K70+K64+K58+K52+K46+K40+K34+K28+K22+K16+K10)</f>
        <v>1.0000000000000002</v>
      </c>
      <c r="L130" s="1164">
        <f>(L124+L118+L112+L106+L100+L94+L88+L82+L76+L70+L64+L58+L52+L46+L40+L34+L28+L22+L16+L10)</f>
        <v>1.0000000000000002</v>
      </c>
      <c r="M130" s="1161">
        <f>(M124+M118+M112+M106+M100+M94+M88+M82+M76+M70+M64+M58+M52+M46+M40+M34+M28+M22+M16+M10)</f>
        <v>1.0000000000000002</v>
      </c>
      <c r="N130" s="1161">
        <f>(N124+N118+N112+N106+N100+N94+N88+N82+N76+N70+N64+N58+N52+N46+N40+N34+N28+N22+N16+N10)</f>
        <v>1.0000000000000002</v>
      </c>
      <c r="O130" s="1164">
        <f>(O124+O118+O112+O106+O100+O94+O88+O82+O76+O70+O64+O58+O52+O46+O40+O34+O28+O22+O16+O10)</f>
        <v>1.0000000000000002</v>
      </c>
      <c r="P130" s="1161"/>
      <c r="Q130" s="1162"/>
      <c r="R130" s="1165"/>
      <c r="S130" s="1165"/>
      <c r="T130" s="1164">
        <v>2.7709000000000004E-2</v>
      </c>
      <c r="U130" s="1162">
        <v>0.17399999999999993</v>
      </c>
      <c r="V130" s="1164">
        <v>0.25000000000000006</v>
      </c>
      <c r="W130" s="1162">
        <v>0.32600000000000001</v>
      </c>
      <c r="X130" s="1199">
        <f>(X124+X118+X112+X106+X100+X94+X88+X82+X76+X70+X64+X58+X52+X46+X40+X34+X28+X22+X16+X10)</f>
        <v>0.40200000000000008</v>
      </c>
      <c r="Y130" s="1164">
        <f>(Y124+Y118+Y112+Y106+Y100+Y94+Y88+Y82+Y76+Y70+Y64+Y58+Y52+Y46+Y40+Y34+Y28+Y22+Y16+Y10)</f>
        <v>0.50599999999999989</v>
      </c>
      <c r="Z130" s="1161">
        <f>(Z124+Z118+Z112+Z106+Z100+Z94+Z88+Z82+Z76+Z70+Z64+Z58+Z52+Z46+Z40+Z34+Z28+Z22+Z16+Z10)</f>
        <v>0.58579999999999965</v>
      </c>
      <c r="AA130" s="1161">
        <f>(AA124+AA118+AA112+AA106+AA100+AA94+AA88+AA82+AA76+AA70+AA64+AA58+AA52+AA46+AA40+AA34+AA28+AA22+AA16+AA10)</f>
        <v>0.6659999999999997</v>
      </c>
      <c r="AB130" s="1161">
        <f>(AB124+AB118+AB112+AB106+AB100+AB94+AB88+AB82+AB76+AB70+AB64+AB58+AB52+AB46+AB40+AB34+AB28+AB22+AB16+AB10)</f>
        <v>0.78000000000000014</v>
      </c>
      <c r="AC130" s="1161"/>
      <c r="AD130" s="1182"/>
      <c r="AE130" s="1179"/>
      <c r="AF130" s="1170" t="s">
        <v>687</v>
      </c>
      <c r="AG130" s="1172" t="s">
        <v>516</v>
      </c>
      <c r="AH130" s="1172" t="s">
        <v>517</v>
      </c>
      <c r="AI130" s="1192" t="s">
        <v>71</v>
      </c>
      <c r="AJ130" s="1172" t="s">
        <v>669</v>
      </c>
      <c r="AK130" s="1172" t="s">
        <v>559</v>
      </c>
      <c r="AL130" s="1172" t="s">
        <v>625</v>
      </c>
      <c r="AM130" s="1172" t="s">
        <v>71</v>
      </c>
      <c r="AN130" s="1174">
        <f>SUM(AN10:AN123)</f>
        <v>7936531.9999999981</v>
      </c>
      <c r="AO130" s="1174">
        <f>SUM(AO10:AO123)</f>
        <v>3784651.7745908946</v>
      </c>
      <c r="AP130" s="1174">
        <f>SUM(AP10:AP123)</f>
        <v>4151880.225409105</v>
      </c>
      <c r="AQ130" s="1172" t="s">
        <v>71</v>
      </c>
      <c r="AR130" s="1172" t="s">
        <v>71</v>
      </c>
      <c r="AS130" s="1172" t="s">
        <v>71</v>
      </c>
      <c r="AT130" s="1174" t="s">
        <v>71</v>
      </c>
      <c r="AU130" s="1172" t="s">
        <v>71</v>
      </c>
      <c r="AV130" s="1193" t="s">
        <v>71</v>
      </c>
      <c r="AW130" s="1172" t="s">
        <v>71</v>
      </c>
      <c r="AX130" s="1172" t="s">
        <v>71</v>
      </c>
      <c r="AY130" s="1175"/>
    </row>
    <row r="131" spans="1:51" ht="18" x14ac:dyDescent="0.25">
      <c r="A131" s="743"/>
      <c r="B131" s="743"/>
      <c r="C131" s="745"/>
      <c r="D131" s="545" t="s">
        <v>3</v>
      </c>
      <c r="E131" s="1165">
        <v>4481764000</v>
      </c>
      <c r="F131" s="1165">
        <v>4481764000</v>
      </c>
      <c r="G131" s="1165">
        <v>4481764000</v>
      </c>
      <c r="H131" s="1161">
        <v>4481763999.999999</v>
      </c>
      <c r="I131" s="1161">
        <v>4481763999.9999971</v>
      </c>
      <c r="J131" s="1161">
        <v>4481763999.999999</v>
      </c>
      <c r="K131" s="1163">
        <f t="shared" ref="K131:O132" si="52">K125+K119+K113+K107+K101+K95+K89+K83+K77+K71+K65+K59+K53+K47+K41+K35+K29+K23+K17+K11</f>
        <v>4481763999.999999</v>
      </c>
      <c r="L131" s="1165">
        <f t="shared" si="52"/>
        <v>4481764000.0031757</v>
      </c>
      <c r="M131" s="1200">
        <f t="shared" si="52"/>
        <v>4481764000.0031757</v>
      </c>
      <c r="N131" s="1200">
        <f t="shared" si="52"/>
        <v>4481764000.0031757</v>
      </c>
      <c r="O131" s="1164">
        <f>O125+O119+O113+O107+O101+O95+O89+O83+O77+O71+O65+O59+O53+O47+O41+O35+O29+O23+O17+O11</f>
        <v>4481763999.999999</v>
      </c>
      <c r="P131" s="1161"/>
      <c r="Q131" s="1165"/>
      <c r="R131" s="1165"/>
      <c r="S131" s="1165"/>
      <c r="T131" s="1165">
        <v>1369056000</v>
      </c>
      <c r="U131" s="559">
        <v>3408640000</v>
      </c>
      <c r="V131" s="1197">
        <v>4233247000</v>
      </c>
      <c r="W131" s="1161">
        <v>4281836999.999999</v>
      </c>
      <c r="X131" s="1163">
        <f t="shared" ref="X131:AB132" si="53">X125+X119+X113+X107+X101+X95+X89+X83+X77+X71+X65+X59+X53+X47+X41+X35+X29+X23+X17+X11</f>
        <v>4374574000.000001</v>
      </c>
      <c r="Y131" s="1165">
        <f t="shared" si="53"/>
        <v>4374574000</v>
      </c>
      <c r="Z131" s="1165">
        <f t="shared" si="53"/>
        <v>4374574000</v>
      </c>
      <c r="AA131" s="1165">
        <f>AA125+AA119+AA113+AA107+AA101+AA95+AA89+AA83+AA77+AA71+AA65+AA59+AA53+AA47+AA41+AA35+AA29+AA23+AA17+AA11</f>
        <v>4379574000.000001</v>
      </c>
      <c r="AB131" s="1165">
        <f>AB125+AB119+AB113+AB107+AB101+AB95+AB89+AB83+AB77+AB71+AB65+AB59+AB53+AB47+AB41+AB35+AB29+AB23+AB17+AB11</f>
        <v>4379573999.999999</v>
      </c>
      <c r="AC131" s="559"/>
      <c r="AD131" s="562"/>
      <c r="AE131" s="558"/>
      <c r="AF131" s="1170"/>
      <c r="AG131" s="1172"/>
      <c r="AH131" s="1172"/>
      <c r="AI131" s="1192"/>
      <c r="AJ131" s="1172"/>
      <c r="AK131" s="1172"/>
      <c r="AL131" s="1172"/>
      <c r="AM131" s="1172"/>
      <c r="AN131" s="1174"/>
      <c r="AO131" s="1174"/>
      <c r="AP131" s="1174"/>
      <c r="AQ131" s="1172"/>
      <c r="AR131" s="1172"/>
      <c r="AS131" s="1172"/>
      <c r="AT131" s="1174"/>
      <c r="AU131" s="1172"/>
      <c r="AV131" s="1194"/>
      <c r="AW131" s="1172"/>
      <c r="AX131" s="1172"/>
      <c r="AY131" s="1175"/>
    </row>
    <row r="132" spans="1:51" ht="27" x14ac:dyDescent="0.25">
      <c r="A132" s="743"/>
      <c r="B132" s="743"/>
      <c r="C132" s="745"/>
      <c r="D132" s="544" t="s">
        <v>42</v>
      </c>
      <c r="E132" s="1162">
        <v>0</v>
      </c>
      <c r="F132" s="1162">
        <v>0</v>
      </c>
      <c r="G132" s="1162">
        <v>0</v>
      </c>
      <c r="H132" s="1161">
        <v>0</v>
      </c>
      <c r="I132" s="1161">
        <v>0</v>
      </c>
      <c r="J132" s="1161">
        <v>0</v>
      </c>
      <c r="K132" s="1163">
        <f t="shared" si="52"/>
        <v>0</v>
      </c>
      <c r="L132" s="1165">
        <f t="shared" si="52"/>
        <v>0</v>
      </c>
      <c r="M132" s="1161">
        <f t="shared" si="52"/>
        <v>0</v>
      </c>
      <c r="N132" s="1164">
        <f t="shared" si="52"/>
        <v>0</v>
      </c>
      <c r="O132" s="1164">
        <f t="shared" si="52"/>
        <v>0</v>
      </c>
      <c r="P132" s="1164"/>
      <c r="Q132" s="1161"/>
      <c r="R132" s="1161"/>
      <c r="S132" s="1165"/>
      <c r="T132" s="1161">
        <v>0</v>
      </c>
      <c r="U132" s="1161">
        <v>0</v>
      </c>
      <c r="V132" s="1201">
        <v>0</v>
      </c>
      <c r="W132" s="1161">
        <v>0</v>
      </c>
      <c r="X132" s="1163">
        <f t="shared" si="53"/>
        <v>0</v>
      </c>
      <c r="Y132" s="1165">
        <f t="shared" si="53"/>
        <v>0</v>
      </c>
      <c r="Z132" s="1165">
        <f t="shared" si="53"/>
        <v>0</v>
      </c>
      <c r="AA132" s="1161">
        <f t="shared" si="53"/>
        <v>0</v>
      </c>
      <c r="AB132" s="1161">
        <f t="shared" si="53"/>
        <v>0</v>
      </c>
      <c r="AC132" s="562"/>
      <c r="AD132" s="562"/>
      <c r="AE132" s="1178"/>
      <c r="AF132" s="1170"/>
      <c r="AG132" s="1172"/>
      <c r="AH132" s="1172"/>
      <c r="AI132" s="1192"/>
      <c r="AJ132" s="1172"/>
      <c r="AK132" s="1172"/>
      <c r="AL132" s="1172"/>
      <c r="AM132" s="1172"/>
      <c r="AN132" s="1174"/>
      <c r="AO132" s="1174"/>
      <c r="AP132" s="1174"/>
      <c r="AQ132" s="1172"/>
      <c r="AR132" s="1172"/>
      <c r="AS132" s="1172"/>
      <c r="AT132" s="1174"/>
      <c r="AU132" s="1172"/>
      <c r="AV132" s="1194"/>
      <c r="AW132" s="1172"/>
      <c r="AX132" s="1172"/>
      <c r="AY132" s="1175"/>
    </row>
    <row r="133" spans="1:51" ht="27" x14ac:dyDescent="0.25">
      <c r="A133" s="743"/>
      <c r="B133" s="743"/>
      <c r="C133" s="745"/>
      <c r="D133" s="545" t="s">
        <v>4</v>
      </c>
      <c r="E133" s="1161">
        <v>451167707</v>
      </c>
      <c r="F133" s="1161">
        <v>451167707</v>
      </c>
      <c r="G133" s="1161">
        <v>451167707</v>
      </c>
      <c r="H133" s="1161">
        <v>451167707</v>
      </c>
      <c r="I133" s="1161">
        <v>451167707</v>
      </c>
      <c r="J133" s="1161">
        <v>451167707</v>
      </c>
      <c r="K133" s="1163">
        <v>441857707</v>
      </c>
      <c r="L133" s="1165">
        <f>L127</f>
        <v>441857707</v>
      </c>
      <c r="M133" s="1161">
        <f>M127</f>
        <v>441857707</v>
      </c>
      <c r="N133" s="1164">
        <f>N127</f>
        <v>441857707</v>
      </c>
      <c r="O133" s="1164">
        <f>O127</f>
        <v>441857707</v>
      </c>
      <c r="P133" s="1164"/>
      <c r="Q133" s="1161"/>
      <c r="R133" s="1161"/>
      <c r="S133" s="1165"/>
      <c r="T133" s="1161">
        <v>106914766</v>
      </c>
      <c r="U133" s="559">
        <v>299531244</v>
      </c>
      <c r="V133" s="1197">
        <v>333805824</v>
      </c>
      <c r="W133" s="1161">
        <v>358109949</v>
      </c>
      <c r="X133" s="1163">
        <f>X127</f>
        <v>394162074</v>
      </c>
      <c r="Y133" s="1165">
        <f>Y127</f>
        <v>399229342</v>
      </c>
      <c r="Z133" s="1165">
        <f>Z127</f>
        <v>405821276</v>
      </c>
      <c r="AA133" s="1165">
        <f>AA127</f>
        <v>408398707</v>
      </c>
      <c r="AB133" s="1165">
        <f>AB127</f>
        <v>412022607</v>
      </c>
      <c r="AC133" s="562"/>
      <c r="AD133" s="562"/>
      <c r="AE133" s="1179"/>
      <c r="AF133" s="1170"/>
      <c r="AG133" s="1172"/>
      <c r="AH133" s="1172"/>
      <c r="AI133" s="1192"/>
      <c r="AJ133" s="1172"/>
      <c r="AK133" s="1172"/>
      <c r="AL133" s="1172"/>
      <c r="AM133" s="1172"/>
      <c r="AN133" s="1174"/>
      <c r="AO133" s="1174"/>
      <c r="AP133" s="1174"/>
      <c r="AQ133" s="1172"/>
      <c r="AR133" s="1172"/>
      <c r="AS133" s="1172"/>
      <c r="AT133" s="1174"/>
      <c r="AU133" s="1172"/>
      <c r="AV133" s="1194"/>
      <c r="AW133" s="1172"/>
      <c r="AX133" s="1172"/>
      <c r="AY133" s="1175"/>
    </row>
    <row r="134" spans="1:51" ht="27" x14ac:dyDescent="0.25">
      <c r="A134" s="743"/>
      <c r="B134" s="743"/>
      <c r="C134" s="745"/>
      <c r="D134" s="544" t="s">
        <v>43</v>
      </c>
      <c r="E134" s="1165">
        <v>1</v>
      </c>
      <c r="F134" s="1165">
        <v>1</v>
      </c>
      <c r="G134" s="1165">
        <v>1</v>
      </c>
      <c r="H134" s="1161">
        <v>1.0000000000000002</v>
      </c>
      <c r="I134" s="1161">
        <v>1.0000000000000002</v>
      </c>
      <c r="J134" s="1161">
        <v>1.0000000000000002</v>
      </c>
      <c r="K134" s="1199">
        <f>K130+K132</f>
        <v>1.0000000000000002</v>
      </c>
      <c r="L134" s="1165">
        <f>L130+L132</f>
        <v>1.0000000000000002</v>
      </c>
      <c r="M134" s="1165">
        <f>M130+M132</f>
        <v>1.0000000000000002</v>
      </c>
      <c r="N134" s="1164">
        <f>N130+N132</f>
        <v>1.0000000000000002</v>
      </c>
      <c r="O134" s="1164">
        <f>O130+O132</f>
        <v>1.0000000000000002</v>
      </c>
      <c r="P134" s="1164"/>
      <c r="Q134" s="1165"/>
      <c r="R134" s="1165"/>
      <c r="S134" s="1165"/>
      <c r="T134" s="1165">
        <v>2.7709000000000004E-2</v>
      </c>
      <c r="U134" s="1161">
        <v>0.17399999999999993</v>
      </c>
      <c r="V134" s="1161">
        <v>0.25000000000000006</v>
      </c>
      <c r="W134" s="1162">
        <v>0.32600000000000001</v>
      </c>
      <c r="X134" s="1199">
        <f>X130+X132</f>
        <v>0.40200000000000008</v>
      </c>
      <c r="Y134" s="1164">
        <f>Y130+Y132</f>
        <v>0.50599999999999989</v>
      </c>
      <c r="Z134" s="1161">
        <f>Z130+Z132</f>
        <v>0.58579999999999965</v>
      </c>
      <c r="AA134" s="1161">
        <f>AA130+AA132</f>
        <v>0.6659999999999997</v>
      </c>
      <c r="AB134" s="1161">
        <f>AB130+AB132</f>
        <v>0.78000000000000014</v>
      </c>
      <c r="AC134" s="537"/>
      <c r="AD134" s="542"/>
      <c r="AE134" s="1178"/>
      <c r="AF134" s="1170"/>
      <c r="AG134" s="1172"/>
      <c r="AH134" s="1172"/>
      <c r="AI134" s="1192"/>
      <c r="AJ134" s="1172"/>
      <c r="AK134" s="1172"/>
      <c r="AL134" s="1172"/>
      <c r="AM134" s="1172"/>
      <c r="AN134" s="1174"/>
      <c r="AO134" s="1174"/>
      <c r="AP134" s="1174"/>
      <c r="AQ134" s="1172"/>
      <c r="AR134" s="1172"/>
      <c r="AS134" s="1172"/>
      <c r="AT134" s="1174"/>
      <c r="AU134" s="1172"/>
      <c r="AV134" s="1194"/>
      <c r="AW134" s="1172"/>
      <c r="AX134" s="1172"/>
      <c r="AY134" s="1175"/>
    </row>
    <row r="135" spans="1:51" ht="27.75" thickBot="1" x14ac:dyDescent="0.3">
      <c r="A135" s="743"/>
      <c r="B135" s="743"/>
      <c r="C135" s="745"/>
      <c r="D135" s="545" t="s">
        <v>45</v>
      </c>
      <c r="E135" s="1165">
        <v>4932931707</v>
      </c>
      <c r="F135" s="1165">
        <v>4932931707</v>
      </c>
      <c r="G135" s="1165">
        <v>4932931707</v>
      </c>
      <c r="H135" s="1161">
        <v>4932931706.999999</v>
      </c>
      <c r="I135" s="1161">
        <v>4932931706.9999971</v>
      </c>
      <c r="J135" s="1161">
        <v>4932931706.999999</v>
      </c>
      <c r="K135" s="1163">
        <f>K131+K133</f>
        <v>4923621706.999999</v>
      </c>
      <c r="L135" s="1163">
        <f>(L129+L123+L117+L111+L105+L99+L93+L87+L81+L75+L69+L63+L57+L51+L45+L39+L33+L27+L21+L15)</f>
        <v>4923621707.0031757</v>
      </c>
      <c r="M135" s="1161">
        <f>(M129+M123+M117+M111+M105+M99+M93+M87+M81+M75+M69+M63+M57+M51+M45+M39+M33+M27+M21+M15)</f>
        <v>4923621707.0031767</v>
      </c>
      <c r="N135" s="1164">
        <f>(N129+N123+N117+N111+N105+N99+N93+N87+N81+N75+N69+N63+N57+N51+N45+N39+N33+N27+N21+N15)</f>
        <v>4923621707.0031767</v>
      </c>
      <c r="O135" s="1164">
        <f>(O129+O123+O117+O111+O105+O99+O93+O87+O81+O75+O69+O63+O57+O51+O45+O39+O33+O27+O21+O15)</f>
        <v>4923621706.999999</v>
      </c>
      <c r="P135" s="1164"/>
      <c r="Q135" s="1165"/>
      <c r="R135" s="1165"/>
      <c r="S135" s="1165"/>
      <c r="T135" s="1165">
        <v>1475970766</v>
      </c>
      <c r="U135" s="559">
        <v>3708171244</v>
      </c>
      <c r="V135" s="559">
        <v>4567052824</v>
      </c>
      <c r="W135" s="1161">
        <v>4639946948.999999</v>
      </c>
      <c r="X135" s="1163">
        <f>(X129+X123+X117+X111+X105+X99+X93+X87+X81+X75+X69+X63+X57+X51+X45+X39+X33+X27+X21+X15)</f>
        <v>4768736074.000001</v>
      </c>
      <c r="Y135" s="1165">
        <f>(Y129+Y123+Y117+Y111+Y105+Y99+Y93+Y87+Y81+Y75+Y69+Y63+Y57+Y51+Y45+Y39+Y33+Y27+Y21+Y15)</f>
        <v>4773803342</v>
      </c>
      <c r="Z135" s="1165">
        <f t="shared" ref="Z135" si="54">(Z129+Z123+Z117+Z111+Z105+Z99+Z93+Z87+Z81+Z75+Z69+Z63+Z57+Z51+Z45+Z39+Z33+Z27+Z21+Z15)</f>
        <v>4780395276.000001</v>
      </c>
      <c r="AA135" s="1165">
        <f>(AA129+AA123+AA117+AA111+AA105+AA99+AA93+AA87+AA81+AA75+AA69+AA63+AA57+AA51+AA45+AA39+AA33+AA27+AA21+AA15)</f>
        <v>4787972707</v>
      </c>
      <c r="AB135" s="1165">
        <f>(AB129+AB123+AB117+AB111+AB105+AB99+AB93+AB87+AB81+AB75+AB69+AB63+AB57+AB51+AB45+AB39+AB33+AB27+AB21+AB15)</f>
        <v>4791596607</v>
      </c>
      <c r="AC135" s="553"/>
      <c r="AD135" s="553"/>
      <c r="AE135" s="553"/>
      <c r="AF135" s="1170"/>
      <c r="AG135" s="1172"/>
      <c r="AH135" s="1172"/>
      <c r="AI135" s="1192"/>
      <c r="AJ135" s="1172"/>
      <c r="AK135" s="1172"/>
      <c r="AL135" s="1172"/>
      <c r="AM135" s="1172"/>
      <c r="AN135" s="1174"/>
      <c r="AO135" s="1174"/>
      <c r="AP135" s="1174"/>
      <c r="AQ135" s="1172"/>
      <c r="AR135" s="1172"/>
      <c r="AS135" s="1172"/>
      <c r="AT135" s="1174"/>
      <c r="AU135" s="1172"/>
      <c r="AV135" s="1194"/>
      <c r="AW135" s="1172"/>
      <c r="AX135" s="1172"/>
      <c r="AY135" s="1175"/>
    </row>
    <row r="136" spans="1:51" ht="18" x14ac:dyDescent="0.25">
      <c r="A136" s="743">
        <v>2</v>
      </c>
      <c r="B136" s="743" t="s">
        <v>394</v>
      </c>
      <c r="C136" s="744" t="s">
        <v>395</v>
      </c>
      <c r="D136" s="546" t="s">
        <v>41</v>
      </c>
      <c r="E136" s="1165">
        <v>25</v>
      </c>
      <c r="F136" s="1165">
        <v>25</v>
      </c>
      <c r="G136" s="1165">
        <v>25</v>
      </c>
      <c r="H136" s="1165">
        <v>25</v>
      </c>
      <c r="I136" s="1161">
        <v>25</v>
      </c>
      <c r="J136" s="1165">
        <v>25</v>
      </c>
      <c r="K136" s="1163">
        <v>25</v>
      </c>
      <c r="L136" s="1165">
        <v>25</v>
      </c>
      <c r="M136" s="1161">
        <v>25</v>
      </c>
      <c r="N136" s="1164">
        <v>25</v>
      </c>
      <c r="O136" s="1164">
        <v>25</v>
      </c>
      <c r="P136" s="1164"/>
      <c r="Q136" s="1161"/>
      <c r="R136" s="1161"/>
      <c r="S136" s="1166"/>
      <c r="T136" s="1202">
        <v>0</v>
      </c>
      <c r="U136" s="1182">
        <v>0</v>
      </c>
      <c r="V136" s="1182">
        <v>1.28</v>
      </c>
      <c r="W136" s="1182">
        <v>4.88</v>
      </c>
      <c r="X136" s="1203">
        <v>7.4399999999999995</v>
      </c>
      <c r="Y136" s="1182">
        <v>9.94</v>
      </c>
      <c r="Z136" s="1161">
        <v>12.49</v>
      </c>
      <c r="AA136" s="1182">
        <v>14.99</v>
      </c>
      <c r="AB136" s="1204">
        <v>17.5</v>
      </c>
      <c r="AC136" s="1204"/>
      <c r="AD136" s="1205"/>
      <c r="AE136" s="1204"/>
      <c r="AF136" s="1206" t="s">
        <v>686</v>
      </c>
      <c r="AG136" s="1207" t="s">
        <v>560</v>
      </c>
      <c r="AH136" s="1208" t="s">
        <v>71</v>
      </c>
      <c r="AI136" s="1208" t="s">
        <v>71</v>
      </c>
      <c r="AJ136" s="1172"/>
      <c r="AK136" s="1208" t="s">
        <v>435</v>
      </c>
      <c r="AL136" s="1172" t="s">
        <v>71</v>
      </c>
      <c r="AM136" s="1172" t="s">
        <v>71</v>
      </c>
      <c r="AN136" s="1174" t="s">
        <v>71</v>
      </c>
      <c r="AO136" s="1174" t="s">
        <v>71</v>
      </c>
      <c r="AP136" s="1209" t="s">
        <v>71</v>
      </c>
      <c r="AQ136" s="1172" t="s">
        <v>71</v>
      </c>
      <c r="AR136" s="1172" t="s">
        <v>71</v>
      </c>
      <c r="AS136" s="1172" t="s">
        <v>71</v>
      </c>
      <c r="AT136" s="1174" t="s">
        <v>71</v>
      </c>
      <c r="AU136" s="1210" t="s">
        <v>71</v>
      </c>
      <c r="AV136" s="1193" t="s">
        <v>71</v>
      </c>
      <c r="AW136" s="1193" t="s">
        <v>71</v>
      </c>
      <c r="AX136" s="1193" t="s">
        <v>71</v>
      </c>
      <c r="AY136" s="1175"/>
    </row>
    <row r="137" spans="1:51" ht="18" x14ac:dyDescent="0.25">
      <c r="A137" s="743"/>
      <c r="B137" s="743"/>
      <c r="C137" s="744"/>
      <c r="D137" s="545" t="s">
        <v>3</v>
      </c>
      <c r="E137" s="1161">
        <v>335366000</v>
      </c>
      <c r="F137" s="1161">
        <v>335366000</v>
      </c>
      <c r="G137" s="1165">
        <v>335366000</v>
      </c>
      <c r="H137" s="1165">
        <v>335366000</v>
      </c>
      <c r="I137" s="1161">
        <v>335366000</v>
      </c>
      <c r="J137" s="1165">
        <v>335366000</v>
      </c>
      <c r="K137" s="1211">
        <v>335366000</v>
      </c>
      <c r="L137" s="1165">
        <v>335366000</v>
      </c>
      <c r="M137" s="1200">
        <v>335366000</v>
      </c>
      <c r="N137" s="1212">
        <v>335366000</v>
      </c>
      <c r="O137" s="1212">
        <v>335366000</v>
      </c>
      <c r="P137" s="1212"/>
      <c r="Q137" s="1200"/>
      <c r="R137" s="1200"/>
      <c r="S137" s="563"/>
      <c r="T137" s="649">
        <v>0</v>
      </c>
      <c r="U137" s="563">
        <v>171232000</v>
      </c>
      <c r="V137" s="563">
        <v>306083000</v>
      </c>
      <c r="W137" s="557">
        <v>306083000</v>
      </c>
      <c r="X137" s="1213">
        <v>306083000</v>
      </c>
      <c r="Y137" s="557">
        <v>328128000</v>
      </c>
      <c r="Z137" s="1161">
        <v>328128000</v>
      </c>
      <c r="AA137" s="557">
        <v>328128000</v>
      </c>
      <c r="AB137" s="1165">
        <v>328128000</v>
      </c>
      <c r="AC137" s="556"/>
      <c r="AD137" s="555"/>
      <c r="AE137" s="555"/>
      <c r="AF137" s="1214"/>
      <c r="AG137" s="1215"/>
      <c r="AH137" s="1216"/>
      <c r="AI137" s="1216"/>
      <c r="AJ137" s="1172"/>
      <c r="AK137" s="1216"/>
      <c r="AL137" s="1172"/>
      <c r="AM137" s="1172"/>
      <c r="AN137" s="1174"/>
      <c r="AO137" s="1174"/>
      <c r="AP137" s="1209"/>
      <c r="AQ137" s="1172"/>
      <c r="AR137" s="1172"/>
      <c r="AS137" s="1172"/>
      <c r="AT137" s="1174"/>
      <c r="AU137" s="1210"/>
      <c r="AV137" s="1217"/>
      <c r="AW137" s="1217"/>
      <c r="AX137" s="1217"/>
      <c r="AY137" s="1175"/>
    </row>
    <row r="138" spans="1:51" ht="27" x14ac:dyDescent="0.25">
      <c r="A138" s="743"/>
      <c r="B138" s="743"/>
      <c r="C138" s="744"/>
      <c r="D138" s="544" t="s">
        <v>42</v>
      </c>
      <c r="E138" s="1161">
        <v>0.47</v>
      </c>
      <c r="F138" s="1161">
        <v>0.47</v>
      </c>
      <c r="G138" s="1161">
        <v>0.47</v>
      </c>
      <c r="H138" s="1161">
        <v>0.47</v>
      </c>
      <c r="I138" s="1161">
        <v>0.47</v>
      </c>
      <c r="J138" s="1161">
        <v>0.47</v>
      </c>
      <c r="K138" s="1163">
        <v>0.47</v>
      </c>
      <c r="L138" s="1161">
        <v>0.47</v>
      </c>
      <c r="M138" s="1204">
        <v>0.47</v>
      </c>
      <c r="N138" s="1164">
        <v>0.47</v>
      </c>
      <c r="O138" s="1212">
        <v>0.47</v>
      </c>
      <c r="P138" s="1212"/>
      <c r="Q138" s="1200"/>
      <c r="R138" s="1200"/>
      <c r="S138" s="1178"/>
      <c r="T138" s="649">
        <v>0.16</v>
      </c>
      <c r="U138" s="1161">
        <v>0.39</v>
      </c>
      <c r="V138" s="1161">
        <v>0.39</v>
      </c>
      <c r="W138" s="1179">
        <v>0.39</v>
      </c>
      <c r="X138" s="1163">
        <v>0.47000000000000003</v>
      </c>
      <c r="Y138" s="1161">
        <v>0.47000000000000003</v>
      </c>
      <c r="Z138" s="1179">
        <v>0.47000000000000003</v>
      </c>
      <c r="AA138" s="1161">
        <v>0.55000000000000004</v>
      </c>
      <c r="AB138" s="556">
        <v>0.47000000000000003</v>
      </c>
      <c r="AC138" s="1204"/>
      <c r="AD138" s="1178"/>
      <c r="AE138" s="1218"/>
      <c r="AF138" s="1214"/>
      <c r="AG138" s="1215"/>
      <c r="AH138" s="1216"/>
      <c r="AI138" s="1216"/>
      <c r="AJ138" s="1172"/>
      <c r="AK138" s="1216"/>
      <c r="AL138" s="1172"/>
      <c r="AM138" s="1172"/>
      <c r="AN138" s="1174"/>
      <c r="AO138" s="1174"/>
      <c r="AP138" s="1209"/>
      <c r="AQ138" s="1172"/>
      <c r="AR138" s="1172"/>
      <c r="AS138" s="1172"/>
      <c r="AT138" s="1174"/>
      <c r="AU138" s="1210"/>
      <c r="AV138" s="1217"/>
      <c r="AW138" s="1217"/>
      <c r="AX138" s="1217"/>
      <c r="AY138" s="1219"/>
    </row>
    <row r="139" spans="1:51" ht="27" x14ac:dyDescent="0.25">
      <c r="A139" s="743"/>
      <c r="B139" s="743"/>
      <c r="C139" s="744"/>
      <c r="D139" s="545" t="s">
        <v>4</v>
      </c>
      <c r="E139" s="1165">
        <v>40812200</v>
      </c>
      <c r="F139" s="1165">
        <v>40812200</v>
      </c>
      <c r="G139" s="1161">
        <v>40812200</v>
      </c>
      <c r="H139" s="1165">
        <v>40812200</v>
      </c>
      <c r="I139" s="1161">
        <v>40812200</v>
      </c>
      <c r="J139" s="1161">
        <v>40812200</v>
      </c>
      <c r="K139" s="1163">
        <v>40812200</v>
      </c>
      <c r="L139" s="1161">
        <v>40812200</v>
      </c>
      <c r="M139" s="1200">
        <v>40812200</v>
      </c>
      <c r="N139" s="1164">
        <v>40812200</v>
      </c>
      <c r="O139" s="1164">
        <v>40812200</v>
      </c>
      <c r="P139" s="1212"/>
      <c r="Q139" s="1161"/>
      <c r="R139" s="1200"/>
      <c r="S139" s="1178"/>
      <c r="T139" s="649">
        <v>12973900</v>
      </c>
      <c r="U139" s="1182">
        <v>25134500</v>
      </c>
      <c r="V139" s="1161">
        <v>26654200</v>
      </c>
      <c r="W139" s="1161">
        <v>26654200</v>
      </c>
      <c r="X139" s="1203">
        <v>26654200</v>
      </c>
      <c r="Y139" s="1161">
        <v>26654200</v>
      </c>
      <c r="Z139" s="1179">
        <v>26654200</v>
      </c>
      <c r="AA139" s="1161">
        <v>26654200</v>
      </c>
      <c r="AB139" s="1204">
        <v>26654200</v>
      </c>
      <c r="AC139" s="1205"/>
      <c r="AD139" s="1205"/>
      <c r="AE139" s="1218"/>
      <c r="AF139" s="1214"/>
      <c r="AG139" s="1215"/>
      <c r="AH139" s="1216"/>
      <c r="AI139" s="1216"/>
      <c r="AJ139" s="1172"/>
      <c r="AK139" s="1216"/>
      <c r="AL139" s="1172"/>
      <c r="AM139" s="1172"/>
      <c r="AN139" s="1174"/>
      <c r="AO139" s="1174"/>
      <c r="AP139" s="1209"/>
      <c r="AQ139" s="1172"/>
      <c r="AR139" s="1172"/>
      <c r="AS139" s="1172"/>
      <c r="AT139" s="1174"/>
      <c r="AU139" s="1210"/>
      <c r="AV139" s="1217"/>
      <c r="AW139" s="1217"/>
      <c r="AX139" s="1217"/>
      <c r="AY139" s="1219"/>
    </row>
    <row r="140" spans="1:51" ht="27" x14ac:dyDescent="0.25">
      <c r="A140" s="743"/>
      <c r="B140" s="743"/>
      <c r="C140" s="744"/>
      <c r="D140" s="544" t="s">
        <v>43</v>
      </c>
      <c r="E140" s="1161">
        <v>25.47</v>
      </c>
      <c r="F140" s="1161">
        <v>25.47</v>
      </c>
      <c r="G140" s="1161">
        <v>25.47</v>
      </c>
      <c r="H140" s="1161">
        <v>25.47</v>
      </c>
      <c r="I140" s="1161">
        <v>25.47</v>
      </c>
      <c r="J140" s="1161">
        <v>25.47</v>
      </c>
      <c r="K140" s="1163">
        <v>25.47</v>
      </c>
      <c r="L140" s="1161">
        <v>25.47</v>
      </c>
      <c r="M140" s="1161">
        <v>25.47</v>
      </c>
      <c r="N140" s="1164">
        <v>25.47</v>
      </c>
      <c r="O140" s="1164">
        <v>25.47</v>
      </c>
      <c r="P140" s="1164"/>
      <c r="Q140" s="1220"/>
      <c r="R140" s="1161"/>
      <c r="S140" s="1165"/>
      <c r="T140" s="1161">
        <v>0.16</v>
      </c>
      <c r="U140" s="1161">
        <v>0.39</v>
      </c>
      <c r="V140" s="1161">
        <v>1.67</v>
      </c>
      <c r="W140" s="1161">
        <v>5.27</v>
      </c>
      <c r="X140" s="1213">
        <v>7.91</v>
      </c>
      <c r="Y140" s="1182">
        <v>10.41</v>
      </c>
      <c r="Z140" s="1161">
        <v>12.96</v>
      </c>
      <c r="AA140" s="1161">
        <v>15.540000000000001</v>
      </c>
      <c r="AB140" s="552">
        <v>17.97</v>
      </c>
      <c r="AC140" s="552"/>
      <c r="AD140" s="552"/>
      <c r="AE140" s="553"/>
      <c r="AF140" s="1214"/>
      <c r="AG140" s="1215"/>
      <c r="AH140" s="1216"/>
      <c r="AI140" s="1216"/>
      <c r="AJ140" s="1172"/>
      <c r="AK140" s="1216"/>
      <c r="AL140" s="1172"/>
      <c r="AM140" s="1172"/>
      <c r="AN140" s="1174"/>
      <c r="AO140" s="1174"/>
      <c r="AP140" s="1209"/>
      <c r="AQ140" s="1172"/>
      <c r="AR140" s="1172"/>
      <c r="AS140" s="1172"/>
      <c r="AT140" s="1174"/>
      <c r="AU140" s="1210"/>
      <c r="AV140" s="1217"/>
      <c r="AW140" s="1217"/>
      <c r="AX140" s="1217"/>
      <c r="AY140" s="1221"/>
    </row>
    <row r="141" spans="1:51" ht="27" x14ac:dyDescent="0.25">
      <c r="A141" s="743"/>
      <c r="B141" s="743"/>
      <c r="C141" s="744"/>
      <c r="D141" s="545" t="s">
        <v>45</v>
      </c>
      <c r="E141" s="1222">
        <v>376178200</v>
      </c>
      <c r="F141" s="1222">
        <v>376178200</v>
      </c>
      <c r="G141" s="1223">
        <v>376178200</v>
      </c>
      <c r="H141" s="1165">
        <v>376178200</v>
      </c>
      <c r="I141" s="1222">
        <v>376178200</v>
      </c>
      <c r="J141" s="1222">
        <v>376178200</v>
      </c>
      <c r="K141" s="1224">
        <v>376178200</v>
      </c>
      <c r="L141" s="1222">
        <v>376178200</v>
      </c>
      <c r="M141" s="1225">
        <v>376178200</v>
      </c>
      <c r="N141" s="1226">
        <v>376178200</v>
      </c>
      <c r="O141" s="1226">
        <v>376178200</v>
      </c>
      <c r="P141" s="1226"/>
      <c r="Q141" s="1225"/>
      <c r="R141" s="1225"/>
      <c r="S141" s="1223"/>
      <c r="T141" s="684">
        <v>12973900</v>
      </c>
      <c r="U141" s="1182">
        <v>196366500</v>
      </c>
      <c r="V141" s="559">
        <v>332737200</v>
      </c>
      <c r="W141" s="1166">
        <v>332737200</v>
      </c>
      <c r="X141" s="1180">
        <v>332737200</v>
      </c>
      <c r="Y141" s="557">
        <v>354782200</v>
      </c>
      <c r="Z141" s="1161">
        <v>354782200</v>
      </c>
      <c r="AA141" s="1161">
        <v>354782200</v>
      </c>
      <c r="AB141" s="1204">
        <v>354782200</v>
      </c>
      <c r="AC141" s="1204"/>
      <c r="AD141" s="1200"/>
      <c r="AE141" s="1166"/>
      <c r="AF141" s="1227"/>
      <c r="AG141" s="1215"/>
      <c r="AH141" s="1228"/>
      <c r="AI141" s="1228"/>
      <c r="AJ141" s="1172"/>
      <c r="AK141" s="1228"/>
      <c r="AL141" s="1172"/>
      <c r="AM141" s="1172"/>
      <c r="AN141" s="1174"/>
      <c r="AO141" s="1174"/>
      <c r="AP141" s="1209"/>
      <c r="AQ141" s="1172"/>
      <c r="AR141" s="1172"/>
      <c r="AS141" s="1172"/>
      <c r="AT141" s="1174"/>
      <c r="AU141" s="1210"/>
      <c r="AV141" s="1217"/>
      <c r="AW141" s="1217"/>
      <c r="AX141" s="1217"/>
      <c r="AY141" s="1175"/>
    </row>
    <row r="142" spans="1:51" ht="18" x14ac:dyDescent="0.25">
      <c r="A142" s="743">
        <v>3</v>
      </c>
      <c r="B142" s="743" t="s">
        <v>381</v>
      </c>
      <c r="C142" s="744" t="s">
        <v>561</v>
      </c>
      <c r="D142" s="546" t="s">
        <v>41</v>
      </c>
      <c r="E142" s="1229">
        <v>12</v>
      </c>
      <c r="F142" s="1229">
        <v>12</v>
      </c>
      <c r="G142" s="1229">
        <v>12</v>
      </c>
      <c r="H142" s="1161">
        <v>12</v>
      </c>
      <c r="I142" s="1161">
        <v>12</v>
      </c>
      <c r="J142" s="1165">
        <v>12</v>
      </c>
      <c r="K142" s="1211">
        <v>12</v>
      </c>
      <c r="L142" s="1165">
        <v>12</v>
      </c>
      <c r="M142" s="1220">
        <v>12</v>
      </c>
      <c r="N142" s="1164">
        <v>12</v>
      </c>
      <c r="O142" s="1164">
        <v>12</v>
      </c>
      <c r="P142" s="1164"/>
      <c r="Q142" s="1220"/>
      <c r="R142" s="1161"/>
      <c r="S142" s="1200"/>
      <c r="T142" s="554">
        <v>0</v>
      </c>
      <c r="U142" s="1229">
        <v>5</v>
      </c>
      <c r="V142" s="1229">
        <v>11</v>
      </c>
      <c r="W142" s="1182">
        <v>12</v>
      </c>
      <c r="X142" s="1230">
        <v>12</v>
      </c>
      <c r="Y142" s="1178">
        <v>12</v>
      </c>
      <c r="Z142" s="1161">
        <v>12</v>
      </c>
      <c r="AA142" s="1182">
        <v>12</v>
      </c>
      <c r="AB142" s="553">
        <v>12</v>
      </c>
      <c r="AC142" s="552"/>
      <c r="AD142" s="553"/>
      <c r="AE142" s="551"/>
      <c r="AF142" s="1170" t="s">
        <v>708</v>
      </c>
      <c r="AG142" s="1208" t="s">
        <v>560</v>
      </c>
      <c r="AH142" s="1208" t="s">
        <v>71</v>
      </c>
      <c r="AI142" s="1208" t="s">
        <v>71</v>
      </c>
      <c r="AJ142" s="1208" t="s">
        <v>562</v>
      </c>
      <c r="AK142" s="1208" t="s">
        <v>435</v>
      </c>
      <c r="AL142" s="1208" t="s">
        <v>71</v>
      </c>
      <c r="AM142" s="1208" t="s">
        <v>71</v>
      </c>
      <c r="AN142" s="1208" t="s">
        <v>71</v>
      </c>
      <c r="AO142" s="1208" t="s">
        <v>71</v>
      </c>
      <c r="AP142" s="1208" t="s">
        <v>71</v>
      </c>
      <c r="AQ142" s="1208" t="s">
        <v>71</v>
      </c>
      <c r="AR142" s="1208" t="s">
        <v>71</v>
      </c>
      <c r="AS142" s="1208" t="s">
        <v>71</v>
      </c>
      <c r="AT142" s="1208" t="s">
        <v>71</v>
      </c>
      <c r="AU142" s="1208" t="s">
        <v>71</v>
      </c>
      <c r="AV142" s="1208" t="s">
        <v>71</v>
      </c>
      <c r="AW142" s="1208" t="s">
        <v>71</v>
      </c>
      <c r="AX142" s="1208" t="s">
        <v>71</v>
      </c>
      <c r="AY142" s="1175"/>
    </row>
    <row r="143" spans="1:51" ht="18" x14ac:dyDescent="0.25">
      <c r="A143" s="743"/>
      <c r="B143" s="743"/>
      <c r="C143" s="744"/>
      <c r="D143" s="545" t="s">
        <v>3</v>
      </c>
      <c r="E143" s="1161">
        <v>244532000</v>
      </c>
      <c r="F143" s="1161">
        <v>244532000</v>
      </c>
      <c r="G143" s="1161">
        <v>244532000</v>
      </c>
      <c r="H143" s="1161">
        <v>244532000</v>
      </c>
      <c r="I143" s="1161">
        <v>244532000</v>
      </c>
      <c r="J143" s="1165">
        <v>244532000</v>
      </c>
      <c r="K143" s="1211">
        <v>244532000</v>
      </c>
      <c r="L143" s="1165">
        <v>244532000</v>
      </c>
      <c r="M143" s="1220">
        <v>244532000</v>
      </c>
      <c r="N143" s="1164">
        <v>244532000</v>
      </c>
      <c r="O143" s="1164">
        <v>244532000</v>
      </c>
      <c r="P143" s="1164"/>
      <c r="Q143" s="1220"/>
      <c r="R143" s="1200"/>
      <c r="S143" s="550"/>
      <c r="T143" s="584">
        <v>0</v>
      </c>
      <c r="U143" s="584">
        <v>196875000</v>
      </c>
      <c r="V143" s="584">
        <v>236005000</v>
      </c>
      <c r="W143" s="584">
        <v>236005000</v>
      </c>
      <c r="X143" s="1231">
        <v>236005000</v>
      </c>
      <c r="Y143" s="1161">
        <v>236005000</v>
      </c>
      <c r="Z143" s="1165">
        <v>236005000</v>
      </c>
      <c r="AA143" s="557">
        <v>236005000</v>
      </c>
      <c r="AB143" s="1204">
        <v>236005000</v>
      </c>
      <c r="AC143" s="549"/>
      <c r="AD143" s="562"/>
      <c r="AE143" s="558"/>
      <c r="AF143" s="1170"/>
      <c r="AG143" s="1216"/>
      <c r="AH143" s="1216"/>
      <c r="AI143" s="1216"/>
      <c r="AJ143" s="1216"/>
      <c r="AK143" s="1216"/>
      <c r="AL143" s="1216"/>
      <c r="AM143" s="1216"/>
      <c r="AN143" s="1216"/>
      <c r="AO143" s="1216"/>
      <c r="AP143" s="1216"/>
      <c r="AQ143" s="1216"/>
      <c r="AR143" s="1216"/>
      <c r="AS143" s="1216"/>
      <c r="AT143" s="1216"/>
      <c r="AU143" s="1216"/>
      <c r="AV143" s="1216"/>
      <c r="AW143" s="1216"/>
      <c r="AX143" s="1216"/>
      <c r="AY143" s="1175"/>
    </row>
    <row r="144" spans="1:51" ht="27" x14ac:dyDescent="0.25">
      <c r="A144" s="743"/>
      <c r="B144" s="743"/>
      <c r="C144" s="744"/>
      <c r="D144" s="544" t="s">
        <v>42</v>
      </c>
      <c r="E144" s="1161">
        <v>0</v>
      </c>
      <c r="F144" s="1161">
        <v>0</v>
      </c>
      <c r="G144" s="1161">
        <v>0</v>
      </c>
      <c r="H144" s="1229">
        <v>0</v>
      </c>
      <c r="I144" s="1161">
        <v>0</v>
      </c>
      <c r="J144" s="1161">
        <v>0</v>
      </c>
      <c r="K144" s="1163">
        <v>0</v>
      </c>
      <c r="L144" s="1161">
        <v>0</v>
      </c>
      <c r="M144" s="1220">
        <v>0</v>
      </c>
      <c r="N144" s="1212">
        <v>0</v>
      </c>
      <c r="O144" s="1164">
        <v>0</v>
      </c>
      <c r="P144" s="1164"/>
      <c r="Q144" s="1232"/>
      <c r="R144" s="1200"/>
      <c r="S144" s="1233"/>
      <c r="T144" s="1204">
        <v>0</v>
      </c>
      <c r="U144" s="1229">
        <v>0</v>
      </c>
      <c r="V144" s="1229">
        <v>0</v>
      </c>
      <c r="W144" s="1182">
        <v>0</v>
      </c>
      <c r="X144" s="1163">
        <v>0</v>
      </c>
      <c r="Y144" s="1234">
        <v>0</v>
      </c>
      <c r="Z144" s="1165">
        <v>0</v>
      </c>
      <c r="AA144" s="1178">
        <v>0</v>
      </c>
      <c r="AB144" s="1204">
        <v>0</v>
      </c>
      <c r="AC144" s="1204"/>
      <c r="AD144" s="1200"/>
      <c r="AE144" s="1197"/>
      <c r="AF144" s="1170"/>
      <c r="AG144" s="1216"/>
      <c r="AH144" s="1216"/>
      <c r="AI144" s="1216"/>
      <c r="AJ144" s="1216"/>
      <c r="AK144" s="1216"/>
      <c r="AL144" s="1216"/>
      <c r="AM144" s="1216"/>
      <c r="AN144" s="1216"/>
      <c r="AO144" s="1216"/>
      <c r="AP144" s="1216"/>
      <c r="AQ144" s="1216"/>
      <c r="AR144" s="1216"/>
      <c r="AS144" s="1216"/>
      <c r="AT144" s="1216"/>
      <c r="AU144" s="1216"/>
      <c r="AV144" s="1216"/>
      <c r="AW144" s="1216"/>
      <c r="AX144" s="1216"/>
      <c r="AY144" s="1175"/>
    </row>
    <row r="145" spans="1:51" ht="27" x14ac:dyDescent="0.25">
      <c r="A145" s="743"/>
      <c r="B145" s="743"/>
      <c r="C145" s="744"/>
      <c r="D145" s="545" t="s">
        <v>4</v>
      </c>
      <c r="E145" s="1235">
        <v>20352433</v>
      </c>
      <c r="F145" s="1235">
        <v>20352433</v>
      </c>
      <c r="G145" s="1235">
        <v>20352433</v>
      </c>
      <c r="H145" s="1236">
        <v>20352433</v>
      </c>
      <c r="I145" s="1237">
        <v>20352433</v>
      </c>
      <c r="J145" s="1161">
        <v>20352433</v>
      </c>
      <c r="K145" s="1163">
        <v>20352433</v>
      </c>
      <c r="L145" s="1232">
        <v>19859242</v>
      </c>
      <c r="M145" s="1220">
        <v>19859242</v>
      </c>
      <c r="N145" s="1212">
        <v>19859242</v>
      </c>
      <c r="O145" s="1164">
        <v>19859242</v>
      </c>
      <c r="P145" s="1164"/>
      <c r="Q145" s="1220"/>
      <c r="R145" s="1200"/>
      <c r="S145" s="1233"/>
      <c r="T145" s="554">
        <v>12536634</v>
      </c>
      <c r="U145" s="548">
        <v>17657164</v>
      </c>
      <c r="V145" s="1238">
        <v>17713214</v>
      </c>
      <c r="W145" s="559">
        <v>17769814</v>
      </c>
      <c r="X145" s="1211">
        <v>19856747</v>
      </c>
      <c r="Y145" s="1239">
        <v>19856747</v>
      </c>
      <c r="Z145" s="1165">
        <v>19856747</v>
      </c>
      <c r="AA145" s="1161">
        <v>19856747</v>
      </c>
      <c r="AB145" s="553">
        <v>19856747</v>
      </c>
      <c r="AC145" s="552"/>
      <c r="AD145" s="553"/>
      <c r="AE145" s="1161"/>
      <c r="AF145" s="1170"/>
      <c r="AG145" s="1216"/>
      <c r="AH145" s="1216"/>
      <c r="AI145" s="1216"/>
      <c r="AJ145" s="1216"/>
      <c r="AK145" s="1216"/>
      <c r="AL145" s="1216"/>
      <c r="AM145" s="1216"/>
      <c r="AN145" s="1216"/>
      <c r="AO145" s="1216"/>
      <c r="AP145" s="1216"/>
      <c r="AQ145" s="1216"/>
      <c r="AR145" s="1216"/>
      <c r="AS145" s="1216"/>
      <c r="AT145" s="1216"/>
      <c r="AU145" s="1216"/>
      <c r="AV145" s="1216"/>
      <c r="AW145" s="1216"/>
      <c r="AX145" s="1216"/>
      <c r="AY145" s="1175"/>
    </row>
    <row r="146" spans="1:51" ht="27" x14ac:dyDescent="0.25">
      <c r="A146" s="743"/>
      <c r="B146" s="743"/>
      <c r="C146" s="744"/>
      <c r="D146" s="544" t="s">
        <v>43</v>
      </c>
      <c r="E146" s="1239">
        <v>12</v>
      </c>
      <c r="F146" s="1239">
        <v>12</v>
      </c>
      <c r="G146" s="1239">
        <v>12</v>
      </c>
      <c r="H146" s="1229">
        <v>12</v>
      </c>
      <c r="I146" s="1161">
        <v>12</v>
      </c>
      <c r="J146" s="1232">
        <v>12</v>
      </c>
      <c r="K146" s="1240">
        <v>12</v>
      </c>
      <c r="L146" s="1161">
        <v>12</v>
      </c>
      <c r="M146" s="1232">
        <v>12</v>
      </c>
      <c r="N146" s="1212">
        <v>12</v>
      </c>
      <c r="O146" s="1212">
        <v>12</v>
      </c>
      <c r="P146" s="1164"/>
      <c r="Q146" s="1239"/>
      <c r="R146" s="1232"/>
      <c r="S146" s="1165"/>
      <c r="T146" s="1161">
        <v>0</v>
      </c>
      <c r="U146" s="1229">
        <v>5</v>
      </c>
      <c r="V146" s="1229">
        <v>11</v>
      </c>
      <c r="W146" s="1182">
        <v>12</v>
      </c>
      <c r="X146" s="1211">
        <v>12</v>
      </c>
      <c r="Y146" s="1234">
        <v>12</v>
      </c>
      <c r="Z146" s="1165">
        <v>12</v>
      </c>
      <c r="AA146" s="1161">
        <v>12</v>
      </c>
      <c r="AB146" s="1161">
        <v>12</v>
      </c>
      <c r="AC146" s="1241"/>
      <c r="AD146" s="1234"/>
      <c r="AE146" s="1234"/>
      <c r="AF146" s="1170"/>
      <c r="AG146" s="1216"/>
      <c r="AH146" s="1216"/>
      <c r="AI146" s="1216"/>
      <c r="AJ146" s="1216"/>
      <c r="AK146" s="1216"/>
      <c r="AL146" s="1216"/>
      <c r="AM146" s="1216"/>
      <c r="AN146" s="1216"/>
      <c r="AO146" s="1216"/>
      <c r="AP146" s="1216"/>
      <c r="AQ146" s="1216"/>
      <c r="AR146" s="1216"/>
      <c r="AS146" s="1216"/>
      <c r="AT146" s="1216"/>
      <c r="AU146" s="1216"/>
      <c r="AV146" s="1216"/>
      <c r="AW146" s="1216"/>
      <c r="AX146" s="1216"/>
      <c r="AY146" s="1175"/>
    </row>
    <row r="147" spans="1:51" ht="27" x14ac:dyDescent="0.25">
      <c r="A147" s="743"/>
      <c r="B147" s="743"/>
      <c r="C147" s="744"/>
      <c r="D147" s="545" t="s">
        <v>45</v>
      </c>
      <c r="E147" s="1239">
        <v>264884433</v>
      </c>
      <c r="F147" s="1239">
        <v>264884433.33333334</v>
      </c>
      <c r="G147" s="1239">
        <v>264884433.33333334</v>
      </c>
      <c r="H147" s="1229">
        <v>264884433.33333334</v>
      </c>
      <c r="I147" s="1161">
        <v>264884433</v>
      </c>
      <c r="J147" s="1161">
        <v>264884433</v>
      </c>
      <c r="K147" s="1163">
        <v>264884433</v>
      </c>
      <c r="L147" s="1239">
        <f>L143+L145</f>
        <v>264391242</v>
      </c>
      <c r="M147" s="1220">
        <v>264391242</v>
      </c>
      <c r="N147" s="1212">
        <v>264391242</v>
      </c>
      <c r="O147" s="1212">
        <v>264391242</v>
      </c>
      <c r="P147" s="1164"/>
      <c r="Q147" s="1239"/>
      <c r="R147" s="1220"/>
      <c r="S147" s="1165"/>
      <c r="T147" s="1229">
        <v>12536634</v>
      </c>
      <c r="U147" s="547">
        <v>214532164</v>
      </c>
      <c r="V147" s="547">
        <v>253718214</v>
      </c>
      <c r="W147" s="1239">
        <v>253774814</v>
      </c>
      <c r="X147" s="1231">
        <v>255861747</v>
      </c>
      <c r="Y147" s="1239">
        <v>255861747</v>
      </c>
      <c r="Z147" s="1165">
        <v>255861747</v>
      </c>
      <c r="AA147" s="1165">
        <v>255861747</v>
      </c>
      <c r="AB147" s="1239">
        <v>255861747</v>
      </c>
      <c r="AC147" s="1204"/>
      <c r="AD147" s="1239"/>
      <c r="AE147" s="1239"/>
      <c r="AF147" s="1170"/>
      <c r="AG147" s="1228"/>
      <c r="AH147" s="1228"/>
      <c r="AI147" s="1228"/>
      <c r="AJ147" s="1228"/>
      <c r="AK147" s="1228"/>
      <c r="AL147" s="1228"/>
      <c r="AM147" s="1228"/>
      <c r="AN147" s="1228"/>
      <c r="AO147" s="1228"/>
      <c r="AP147" s="1228"/>
      <c r="AQ147" s="1228"/>
      <c r="AR147" s="1228"/>
      <c r="AS147" s="1228"/>
      <c r="AT147" s="1228"/>
      <c r="AU147" s="1228"/>
      <c r="AV147" s="1228"/>
      <c r="AW147" s="1228"/>
      <c r="AX147" s="1228"/>
      <c r="AY147" s="1242"/>
    </row>
    <row r="148" spans="1:51" ht="36" x14ac:dyDescent="0.25">
      <c r="A148" s="737" t="s">
        <v>22</v>
      </c>
      <c r="B148" s="738"/>
      <c r="C148" s="738"/>
      <c r="D148" s="577" t="s">
        <v>34</v>
      </c>
      <c r="E148" s="536">
        <f t="shared" ref="E148:O148" si="55">E131+E137+E143</f>
        <v>5061662000</v>
      </c>
      <c r="F148" s="536">
        <f t="shared" si="55"/>
        <v>5061662000</v>
      </c>
      <c r="G148" s="536">
        <f t="shared" si="55"/>
        <v>5061662000</v>
      </c>
      <c r="H148" s="536">
        <f t="shared" si="55"/>
        <v>5061661999.999999</v>
      </c>
      <c r="I148" s="536">
        <f t="shared" si="55"/>
        <v>5061661999.9999971</v>
      </c>
      <c r="J148" s="536">
        <f t="shared" si="55"/>
        <v>5061661999.999999</v>
      </c>
      <c r="K148" s="536">
        <f t="shared" si="55"/>
        <v>5061661999.999999</v>
      </c>
      <c r="L148" s="536">
        <f t="shared" si="55"/>
        <v>5061662000.0031757</v>
      </c>
      <c r="M148" s="536">
        <f t="shared" si="55"/>
        <v>5061662000.0031757</v>
      </c>
      <c r="N148" s="536">
        <f t="shared" si="55"/>
        <v>5061662000.0031757</v>
      </c>
      <c r="O148" s="536">
        <f t="shared" si="55"/>
        <v>5061661999.999999</v>
      </c>
      <c r="P148" s="536"/>
      <c r="Q148" s="536"/>
      <c r="R148" s="536"/>
      <c r="S148" s="535"/>
      <c r="T148" s="535">
        <v>1369056000</v>
      </c>
      <c r="U148" s="535">
        <v>3776747000</v>
      </c>
      <c r="V148" s="535">
        <v>4775335000</v>
      </c>
      <c r="W148" s="535">
        <v>4823924999.999999</v>
      </c>
      <c r="X148" s="535">
        <f>X131+X137+X143</f>
        <v>4916662000.000001</v>
      </c>
      <c r="Y148" s="535">
        <f>Y131+Y137+Y143</f>
        <v>4938707000</v>
      </c>
      <c r="Z148" s="535">
        <f>Z131+Z137+Z143</f>
        <v>4938707000</v>
      </c>
      <c r="AA148" s="535">
        <f>AA131+AA137+AA143</f>
        <v>4943707000.000001</v>
      </c>
      <c r="AB148" s="535">
        <f>AB131+AB137+AB143</f>
        <v>4943706999.999999</v>
      </c>
      <c r="AC148" s="535"/>
      <c r="AD148" s="535"/>
      <c r="AE148" s="535"/>
      <c r="AF148" s="535"/>
      <c r="AG148" s="534"/>
      <c r="AH148" s="533"/>
      <c r="AI148" s="533"/>
      <c r="AJ148" s="533"/>
      <c r="AK148" s="533"/>
      <c r="AL148" s="533"/>
      <c r="AM148" s="533"/>
      <c r="AN148" s="533"/>
      <c r="AO148" s="533"/>
      <c r="AP148" s="578"/>
      <c r="AQ148" s="578"/>
      <c r="AR148" s="533"/>
      <c r="AS148" s="533"/>
      <c r="AT148" s="533"/>
      <c r="AU148" s="533"/>
      <c r="AV148" s="533"/>
      <c r="AW148" s="533"/>
      <c r="AX148" s="578"/>
      <c r="AY148" s="532"/>
    </row>
    <row r="149" spans="1:51" ht="36" x14ac:dyDescent="0.25">
      <c r="A149" s="739"/>
      <c r="B149" s="740"/>
      <c r="C149" s="740"/>
      <c r="D149" s="579" t="s">
        <v>33</v>
      </c>
      <c r="E149" s="531">
        <f t="shared" ref="E149:O149" si="56">E133++E139+E145</f>
        <v>512332340</v>
      </c>
      <c r="F149" s="531">
        <f t="shared" si="56"/>
        <v>512332340</v>
      </c>
      <c r="G149" s="531">
        <f t="shared" si="56"/>
        <v>512332340</v>
      </c>
      <c r="H149" s="531">
        <f t="shared" si="56"/>
        <v>512332340</v>
      </c>
      <c r="I149" s="531">
        <f t="shared" si="56"/>
        <v>512332340</v>
      </c>
      <c r="J149" s="531">
        <f t="shared" si="56"/>
        <v>512332340</v>
      </c>
      <c r="K149" s="531">
        <f t="shared" si="56"/>
        <v>503022340</v>
      </c>
      <c r="L149" s="531">
        <f t="shared" si="56"/>
        <v>502529149</v>
      </c>
      <c r="M149" s="531">
        <f t="shared" si="56"/>
        <v>502529149</v>
      </c>
      <c r="N149" s="531">
        <f t="shared" si="56"/>
        <v>502529149</v>
      </c>
      <c r="O149" s="531">
        <f t="shared" si="56"/>
        <v>502529149</v>
      </c>
      <c r="P149" s="531"/>
      <c r="Q149" s="531"/>
      <c r="R149" s="531"/>
      <c r="S149" s="530"/>
      <c r="T149" s="535">
        <v>132425300</v>
      </c>
      <c r="U149" s="535">
        <v>342322908</v>
      </c>
      <c r="V149" s="535">
        <v>378173238</v>
      </c>
      <c r="W149" s="535">
        <v>402533963</v>
      </c>
      <c r="X149" s="530">
        <f>X133++X139+X145</f>
        <v>440673021</v>
      </c>
      <c r="Y149" s="530">
        <f>Y133++Y139+Y145</f>
        <v>445740289</v>
      </c>
      <c r="Z149" s="530">
        <f>Z133++Z139+Z145</f>
        <v>452332223</v>
      </c>
      <c r="AA149" s="530">
        <f>AA133++AA139+AA145</f>
        <v>454909654</v>
      </c>
      <c r="AB149" s="530">
        <f>AB133++AB139+AB145</f>
        <v>458533554</v>
      </c>
      <c r="AC149" s="530"/>
      <c r="AD149" s="530"/>
      <c r="AE149" s="530"/>
      <c r="AF149" s="530"/>
      <c r="AG149" s="534"/>
      <c r="AH149" s="533"/>
      <c r="AI149" s="533"/>
      <c r="AJ149" s="533"/>
      <c r="AK149" s="533"/>
      <c r="AL149" s="533"/>
      <c r="AM149" s="533"/>
      <c r="AN149" s="533"/>
      <c r="AO149" s="533"/>
      <c r="AP149" s="578"/>
      <c r="AQ149" s="578"/>
      <c r="AR149" s="533"/>
      <c r="AS149" s="533"/>
      <c r="AT149" s="533"/>
      <c r="AU149" s="533"/>
      <c r="AV149" s="533"/>
      <c r="AW149" s="533"/>
      <c r="AX149" s="578"/>
      <c r="AY149" s="532"/>
    </row>
    <row r="150" spans="1:51" ht="36.75" thickBot="1" x14ac:dyDescent="0.3">
      <c r="A150" s="741"/>
      <c r="B150" s="742"/>
      <c r="C150" s="742"/>
      <c r="D150" s="580" t="s">
        <v>32</v>
      </c>
      <c r="E150" s="531">
        <f t="shared" ref="E150:O150" si="57">E148+E149</f>
        <v>5573994340</v>
      </c>
      <c r="F150" s="531">
        <f t="shared" si="57"/>
        <v>5573994340</v>
      </c>
      <c r="G150" s="531">
        <f t="shared" si="57"/>
        <v>5573994340</v>
      </c>
      <c r="H150" s="531">
        <f t="shared" si="57"/>
        <v>5573994339.999999</v>
      </c>
      <c r="I150" s="531">
        <f t="shared" si="57"/>
        <v>5573994339.9999971</v>
      </c>
      <c r="J150" s="531">
        <f t="shared" si="57"/>
        <v>5573994339.999999</v>
      </c>
      <c r="K150" s="531">
        <f t="shared" si="57"/>
        <v>5564684339.999999</v>
      </c>
      <c r="L150" s="531">
        <f t="shared" si="57"/>
        <v>5564191149.0031757</v>
      </c>
      <c r="M150" s="531">
        <f t="shared" si="57"/>
        <v>5564191149.0031757</v>
      </c>
      <c r="N150" s="531">
        <f t="shared" si="57"/>
        <v>5564191149.0031757</v>
      </c>
      <c r="O150" s="531">
        <f t="shared" si="57"/>
        <v>5564191148.999999</v>
      </c>
      <c r="P150" s="531"/>
      <c r="Q150" s="531"/>
      <c r="R150" s="531"/>
      <c r="S150" s="530"/>
      <c r="T150" s="530">
        <v>1501481300</v>
      </c>
      <c r="U150" s="530">
        <v>4119069908</v>
      </c>
      <c r="V150" s="530">
        <v>5153508238</v>
      </c>
      <c r="W150" s="530">
        <v>5226458962.999999</v>
      </c>
      <c r="X150" s="530">
        <f>X148+X149</f>
        <v>5357335021.000001</v>
      </c>
      <c r="Y150" s="530">
        <f>Y148+Y149</f>
        <v>5384447289</v>
      </c>
      <c r="Z150" s="530">
        <f>Z148+Z149</f>
        <v>5391039223</v>
      </c>
      <c r="AA150" s="530">
        <f>AA148+AA149</f>
        <v>5398616654.000001</v>
      </c>
      <c r="AB150" s="530">
        <f>AB148+AB149</f>
        <v>5402240553.999999</v>
      </c>
      <c r="AC150" s="530"/>
      <c r="AD150" s="530"/>
      <c r="AE150" s="530"/>
      <c r="AF150" s="530"/>
      <c r="AG150" s="529"/>
      <c r="AH150" s="528"/>
      <c r="AI150" s="528"/>
      <c r="AJ150" s="528"/>
      <c r="AK150" s="528"/>
      <c r="AL150" s="528"/>
      <c r="AM150" s="528"/>
      <c r="AN150" s="528"/>
      <c r="AO150" s="528"/>
      <c r="AP150" s="581"/>
      <c r="AQ150" s="581"/>
      <c r="AR150" s="528"/>
      <c r="AS150" s="528"/>
      <c r="AT150" s="528"/>
      <c r="AU150" s="528"/>
      <c r="AV150" s="528"/>
      <c r="AW150" s="528"/>
      <c r="AX150" s="581"/>
      <c r="AY150" s="527"/>
    </row>
    <row r="151" spans="1:51" x14ac:dyDescent="0.25">
      <c r="R151" s="566"/>
      <c r="S151" s="566"/>
      <c r="T151" s="566"/>
      <c r="U151" s="566"/>
      <c r="V151" s="566"/>
      <c r="W151" s="566"/>
      <c r="X151" s="566"/>
      <c r="Y151" s="566"/>
      <c r="Z151" s="566"/>
      <c r="AA151" s="566"/>
      <c r="AB151" s="566"/>
      <c r="AC151" s="566"/>
      <c r="AD151" s="566"/>
    </row>
    <row r="152" spans="1:51" x14ac:dyDescent="0.25">
      <c r="U152" s="566"/>
      <c r="V152" s="566"/>
      <c r="W152" s="566"/>
      <c r="X152" s="566"/>
      <c r="Y152" s="566"/>
      <c r="Z152" s="566"/>
      <c r="AA152" s="566"/>
      <c r="AB152" s="566"/>
      <c r="AC152" s="566"/>
      <c r="AD152" s="566"/>
    </row>
    <row r="153" spans="1:51" x14ac:dyDescent="0.25">
      <c r="U153" s="566"/>
      <c r="V153" s="566"/>
      <c r="W153" s="566"/>
      <c r="X153" s="566"/>
      <c r="Y153" s="566"/>
      <c r="Z153" s="566"/>
      <c r="AA153" s="566"/>
      <c r="AB153" s="566"/>
      <c r="AC153" s="566"/>
      <c r="AD153" s="566"/>
    </row>
    <row r="154" spans="1:51" x14ac:dyDescent="0.25">
      <c r="U154" s="566"/>
      <c r="V154" s="566"/>
      <c r="W154" s="566"/>
      <c r="X154" s="566"/>
      <c r="Y154" s="566"/>
      <c r="Z154" s="566"/>
      <c r="AA154" s="566"/>
      <c r="AB154" s="566"/>
      <c r="AC154" s="566"/>
      <c r="AD154" s="566"/>
    </row>
    <row r="155" spans="1:51" x14ac:dyDescent="0.25">
      <c r="R155" s="566"/>
      <c r="S155" s="566"/>
      <c r="T155" s="566"/>
      <c r="U155" s="566"/>
      <c r="V155" s="566"/>
      <c r="W155" s="566"/>
      <c r="X155" s="566"/>
      <c r="Y155" s="566"/>
      <c r="Z155" s="566"/>
      <c r="AA155" s="566"/>
      <c r="AB155" s="566"/>
      <c r="AC155" s="566"/>
      <c r="AD155" s="566"/>
    </row>
    <row r="156" spans="1:51" x14ac:dyDescent="0.25">
      <c r="R156" s="566"/>
      <c r="S156" s="566"/>
      <c r="T156" s="566"/>
      <c r="U156" s="566"/>
      <c r="V156" s="566"/>
      <c r="W156" s="566"/>
      <c r="X156" s="566"/>
      <c r="Y156" s="566"/>
      <c r="Z156" s="566"/>
      <c r="AA156" s="566"/>
      <c r="AB156" s="566"/>
      <c r="AC156" s="566"/>
      <c r="AD156" s="566"/>
    </row>
    <row r="157" spans="1:51" x14ac:dyDescent="0.25">
      <c r="R157" s="566"/>
      <c r="S157" s="566"/>
      <c r="T157" s="566"/>
      <c r="U157" s="566"/>
      <c r="V157" s="566"/>
      <c r="W157" s="566"/>
      <c r="X157" s="566"/>
      <c r="Y157" s="566"/>
      <c r="Z157" s="566"/>
      <c r="AA157" s="566"/>
      <c r="AB157" s="566"/>
      <c r="AC157" s="566"/>
      <c r="AD157" s="566"/>
    </row>
    <row r="158" spans="1:51" x14ac:dyDescent="0.25">
      <c r="R158" s="566"/>
      <c r="S158" s="566"/>
      <c r="T158" s="566"/>
      <c r="U158" s="566"/>
      <c r="V158" s="566"/>
      <c r="W158" s="566"/>
      <c r="X158" s="566"/>
      <c r="Y158" s="566"/>
      <c r="Z158" s="566"/>
      <c r="AA158" s="566"/>
      <c r="AB158" s="566"/>
      <c r="AC158" s="566"/>
      <c r="AD158" s="566"/>
    </row>
    <row r="159" spans="1:51" x14ac:dyDescent="0.25">
      <c r="R159" s="566"/>
      <c r="S159" s="566"/>
      <c r="T159" s="566"/>
      <c r="U159" s="566"/>
      <c r="V159" s="566"/>
      <c r="W159" s="566"/>
      <c r="X159" s="566"/>
      <c r="Y159" s="566"/>
      <c r="Z159" s="566"/>
      <c r="AA159" s="566"/>
      <c r="AB159" s="566"/>
      <c r="AC159" s="566"/>
      <c r="AD159" s="566"/>
    </row>
    <row r="160" spans="1:51" x14ac:dyDescent="0.25">
      <c r="R160" s="566"/>
      <c r="S160" s="566"/>
      <c r="T160" s="566"/>
      <c r="U160" s="566"/>
      <c r="V160" s="566"/>
      <c r="W160" s="566"/>
      <c r="X160" s="566"/>
      <c r="Y160" s="566"/>
      <c r="Z160" s="566"/>
      <c r="AA160" s="566"/>
      <c r="AB160" s="566"/>
      <c r="AC160" s="566"/>
      <c r="AD160" s="566"/>
    </row>
    <row r="161" spans="18:30" x14ac:dyDescent="0.25">
      <c r="R161" s="566"/>
      <c r="S161" s="566"/>
      <c r="T161" s="566"/>
      <c r="U161" s="566"/>
      <c r="V161" s="566"/>
      <c r="W161" s="566"/>
      <c r="X161" s="566"/>
      <c r="Y161" s="566"/>
      <c r="Z161" s="566"/>
      <c r="AA161" s="566"/>
      <c r="AB161" s="566"/>
      <c r="AC161" s="566"/>
      <c r="AD161" s="566"/>
    </row>
    <row r="162" spans="18:30" x14ac:dyDescent="0.25">
      <c r="R162" s="566"/>
      <c r="S162" s="566"/>
      <c r="T162" s="566"/>
      <c r="U162" s="566"/>
      <c r="V162" s="566"/>
      <c r="W162" s="566"/>
      <c r="X162" s="566"/>
      <c r="Y162" s="566"/>
      <c r="Z162" s="566"/>
      <c r="AA162" s="566"/>
      <c r="AB162" s="566"/>
      <c r="AC162" s="566"/>
      <c r="AD162" s="566"/>
    </row>
    <row r="163" spans="18:30" x14ac:dyDescent="0.25">
      <c r="R163" s="566"/>
      <c r="S163" s="566"/>
      <c r="T163" s="566"/>
      <c r="U163" s="566"/>
      <c r="V163" s="566"/>
      <c r="W163" s="566"/>
      <c r="X163" s="566"/>
      <c r="Y163" s="566"/>
      <c r="Z163" s="566"/>
      <c r="AA163" s="566"/>
      <c r="AB163" s="566"/>
      <c r="AC163" s="566"/>
      <c r="AD163" s="566"/>
    </row>
    <row r="164" spans="18:30" x14ac:dyDescent="0.25">
      <c r="R164" s="566"/>
      <c r="S164" s="566"/>
      <c r="T164" s="566"/>
      <c r="U164" s="566"/>
      <c r="V164" s="566"/>
      <c r="W164" s="566"/>
      <c r="X164" s="566"/>
      <c r="Y164" s="566"/>
      <c r="Z164" s="566"/>
      <c r="AA164" s="566"/>
      <c r="AB164" s="566"/>
      <c r="AC164" s="566"/>
      <c r="AD164" s="566"/>
    </row>
    <row r="165" spans="18:30" x14ac:dyDescent="0.25">
      <c r="R165" s="566"/>
      <c r="S165" s="566"/>
      <c r="T165" s="566"/>
      <c r="U165" s="566"/>
      <c r="V165" s="566"/>
      <c r="W165" s="566"/>
      <c r="X165" s="566"/>
      <c r="Y165" s="566"/>
      <c r="Z165" s="566"/>
      <c r="AA165" s="566"/>
      <c r="AB165" s="566"/>
      <c r="AC165" s="566"/>
      <c r="AD165" s="566"/>
    </row>
    <row r="166" spans="18:30" x14ac:dyDescent="0.25">
      <c r="R166" s="566"/>
      <c r="S166" s="566"/>
      <c r="T166" s="566"/>
      <c r="U166" s="566"/>
      <c r="V166" s="566"/>
      <c r="W166" s="566"/>
      <c r="X166" s="566"/>
      <c r="Y166" s="566"/>
      <c r="Z166" s="566"/>
      <c r="AA166" s="566"/>
      <c r="AB166" s="566"/>
      <c r="AC166" s="566"/>
      <c r="AD166" s="566"/>
    </row>
    <row r="167" spans="18:30" x14ac:dyDescent="0.25">
      <c r="R167" s="566"/>
      <c r="S167" s="566"/>
      <c r="T167" s="566"/>
      <c r="U167" s="566"/>
      <c r="V167" s="566"/>
      <c r="W167" s="566"/>
      <c r="X167" s="566"/>
      <c r="Y167" s="566"/>
      <c r="Z167" s="566"/>
      <c r="AA167" s="566"/>
      <c r="AB167" s="566"/>
      <c r="AC167" s="566"/>
      <c r="AD167" s="566"/>
    </row>
    <row r="168" spans="18:30" x14ac:dyDescent="0.25">
      <c r="R168" s="566"/>
      <c r="S168" s="566"/>
      <c r="T168" s="566"/>
      <c r="U168" s="566"/>
      <c r="V168" s="566"/>
      <c r="W168" s="566"/>
      <c r="X168" s="566"/>
      <c r="Y168" s="566"/>
      <c r="Z168" s="566"/>
      <c r="AA168" s="566"/>
      <c r="AB168" s="566"/>
      <c r="AC168" s="566"/>
      <c r="AD168" s="566"/>
    </row>
    <row r="169" spans="18:30" x14ac:dyDescent="0.25">
      <c r="R169" s="566"/>
      <c r="S169" s="566"/>
      <c r="T169" s="566"/>
      <c r="U169" s="566"/>
      <c r="V169" s="566"/>
      <c r="W169" s="566"/>
      <c r="X169" s="566"/>
      <c r="Y169" s="566"/>
      <c r="Z169" s="566"/>
      <c r="AA169" s="566"/>
      <c r="AB169" s="566"/>
      <c r="AC169" s="566"/>
      <c r="AD169" s="566"/>
    </row>
    <row r="170" spans="18:30" x14ac:dyDescent="0.25">
      <c r="R170" s="566"/>
      <c r="S170" s="566"/>
      <c r="T170" s="566"/>
      <c r="U170" s="566"/>
      <c r="V170" s="566"/>
      <c r="W170" s="566"/>
      <c r="X170" s="566"/>
      <c r="Y170" s="566"/>
      <c r="Z170" s="566"/>
      <c r="AA170" s="566"/>
      <c r="AB170" s="566"/>
      <c r="AC170" s="566"/>
      <c r="AD170" s="566"/>
    </row>
    <row r="171" spans="18:30" x14ac:dyDescent="0.25">
      <c r="R171" s="566"/>
      <c r="S171" s="566"/>
      <c r="T171" s="566"/>
      <c r="U171" s="566"/>
      <c r="V171" s="566"/>
      <c r="W171" s="566"/>
      <c r="X171" s="566"/>
      <c r="Y171" s="566"/>
      <c r="Z171" s="566"/>
      <c r="AA171" s="566"/>
      <c r="AB171" s="566"/>
      <c r="AC171" s="566"/>
      <c r="AD171" s="566"/>
    </row>
    <row r="172" spans="18:30" x14ac:dyDescent="0.25">
      <c r="R172" s="566"/>
      <c r="S172" s="566"/>
      <c r="T172" s="566"/>
      <c r="U172" s="566"/>
      <c r="V172" s="566"/>
      <c r="W172" s="566"/>
      <c r="X172" s="566"/>
      <c r="Y172" s="566"/>
      <c r="Z172" s="566"/>
      <c r="AA172" s="566"/>
      <c r="AB172" s="566"/>
      <c r="AC172" s="566"/>
      <c r="AD172" s="566"/>
    </row>
    <row r="173" spans="18:30" x14ac:dyDescent="0.25">
      <c r="R173" s="566"/>
      <c r="S173" s="566"/>
      <c r="T173" s="566"/>
      <c r="U173" s="566"/>
      <c r="V173" s="566"/>
      <c r="W173" s="566"/>
      <c r="X173" s="566"/>
      <c r="Y173" s="566"/>
      <c r="Z173" s="566"/>
      <c r="AA173" s="566"/>
      <c r="AB173" s="566"/>
      <c r="AC173" s="566"/>
      <c r="AD173" s="566"/>
    </row>
    <row r="174" spans="18:30" x14ac:dyDescent="0.25">
      <c r="R174" s="566"/>
      <c r="S174" s="566"/>
      <c r="T174" s="566"/>
      <c r="U174" s="566"/>
      <c r="V174" s="566"/>
      <c r="W174" s="566"/>
      <c r="X174" s="566"/>
      <c r="Y174" s="566"/>
      <c r="Z174" s="566"/>
      <c r="AA174" s="566"/>
      <c r="AB174" s="566"/>
      <c r="AC174" s="566"/>
      <c r="AD174" s="566"/>
    </row>
    <row r="175" spans="18:30" x14ac:dyDescent="0.25">
      <c r="R175" s="566"/>
      <c r="S175" s="566"/>
      <c r="T175" s="566"/>
      <c r="U175" s="566"/>
      <c r="V175" s="566"/>
      <c r="W175" s="566"/>
      <c r="X175" s="566"/>
      <c r="Y175" s="566"/>
      <c r="Z175" s="566"/>
      <c r="AA175" s="566"/>
      <c r="AB175" s="566"/>
      <c r="AC175" s="566"/>
      <c r="AD175" s="566"/>
    </row>
    <row r="176" spans="18:30" x14ac:dyDescent="0.25">
      <c r="R176" s="566"/>
      <c r="S176" s="566"/>
      <c r="T176" s="566"/>
      <c r="U176" s="566"/>
      <c r="V176" s="566"/>
      <c r="W176" s="566"/>
      <c r="X176" s="566"/>
      <c r="Y176" s="566"/>
      <c r="Z176" s="566"/>
      <c r="AA176" s="566"/>
      <c r="AB176" s="566"/>
      <c r="AC176" s="566"/>
      <c r="AD176" s="566"/>
    </row>
    <row r="177" spans="18:30" x14ac:dyDescent="0.25">
      <c r="R177" s="566"/>
      <c r="S177" s="566"/>
      <c r="T177" s="566"/>
      <c r="U177" s="566"/>
      <c r="V177" s="566"/>
      <c r="W177" s="566"/>
      <c r="X177" s="566"/>
      <c r="Y177" s="566"/>
      <c r="Z177" s="566"/>
      <c r="AA177" s="566"/>
      <c r="AB177" s="566"/>
      <c r="AC177" s="566"/>
      <c r="AD177" s="566"/>
    </row>
    <row r="178" spans="18:30" x14ac:dyDescent="0.25">
      <c r="R178" s="566"/>
      <c r="S178" s="566"/>
      <c r="T178" s="566"/>
      <c r="U178" s="566"/>
      <c r="V178" s="566"/>
      <c r="W178" s="566"/>
      <c r="X178" s="566"/>
      <c r="Y178" s="566"/>
      <c r="Z178" s="566"/>
      <c r="AA178" s="566"/>
      <c r="AB178" s="566"/>
      <c r="AC178" s="566"/>
      <c r="AD178" s="566"/>
    </row>
    <row r="179" spans="18:30" x14ac:dyDescent="0.25">
      <c r="R179" s="566"/>
      <c r="S179" s="566"/>
      <c r="T179" s="566"/>
      <c r="U179" s="566"/>
      <c r="V179" s="566"/>
      <c r="W179" s="566"/>
      <c r="X179" s="566"/>
      <c r="Y179" s="566"/>
      <c r="Z179" s="566"/>
      <c r="AA179" s="566"/>
      <c r="AB179" s="566"/>
      <c r="AC179" s="566"/>
      <c r="AD179" s="566"/>
    </row>
    <row r="180" spans="18:30" x14ac:dyDescent="0.25">
      <c r="R180" s="566"/>
      <c r="S180" s="566"/>
      <c r="T180" s="566"/>
      <c r="U180" s="566"/>
      <c r="V180" s="566"/>
      <c r="W180" s="566"/>
      <c r="X180" s="566"/>
      <c r="Y180" s="566"/>
      <c r="Z180" s="566"/>
      <c r="AA180" s="566"/>
      <c r="AB180" s="566"/>
      <c r="AC180" s="566"/>
      <c r="AD180" s="566"/>
    </row>
    <row r="181" spans="18:30" x14ac:dyDescent="0.25">
      <c r="R181" s="566"/>
      <c r="S181" s="566"/>
      <c r="T181" s="566"/>
      <c r="U181" s="566"/>
      <c r="V181" s="566"/>
      <c r="W181" s="566"/>
      <c r="X181" s="566"/>
      <c r="Y181" s="566"/>
      <c r="Z181" s="566"/>
      <c r="AA181" s="566"/>
      <c r="AB181" s="566"/>
      <c r="AC181" s="566"/>
      <c r="AD181" s="566"/>
    </row>
    <row r="182" spans="18:30" x14ac:dyDescent="0.25">
      <c r="R182" s="566"/>
      <c r="S182" s="566"/>
      <c r="T182" s="566"/>
      <c r="U182" s="566"/>
      <c r="V182" s="566"/>
      <c r="W182" s="566"/>
      <c r="X182" s="566"/>
      <c r="Y182" s="566"/>
      <c r="Z182" s="566"/>
      <c r="AA182" s="566"/>
      <c r="AB182" s="566"/>
      <c r="AC182" s="566"/>
      <c r="AD182" s="566"/>
    </row>
    <row r="183" spans="18:30" x14ac:dyDescent="0.25">
      <c r="R183" s="566"/>
      <c r="S183" s="566"/>
      <c r="T183" s="566"/>
      <c r="U183" s="566"/>
      <c r="V183" s="566"/>
      <c r="W183" s="566"/>
      <c r="X183" s="566"/>
      <c r="Y183" s="566"/>
      <c r="Z183" s="566"/>
      <c r="AA183" s="566"/>
      <c r="AB183" s="566"/>
      <c r="AC183" s="566"/>
      <c r="AD183" s="566"/>
    </row>
    <row r="184" spans="18:30" x14ac:dyDescent="0.25">
      <c r="R184" s="566"/>
      <c r="S184" s="566"/>
      <c r="T184" s="566"/>
      <c r="U184" s="566"/>
      <c r="V184" s="566"/>
      <c r="W184" s="566"/>
      <c r="X184" s="566"/>
      <c r="Y184" s="566"/>
      <c r="Z184" s="566"/>
      <c r="AA184" s="566"/>
      <c r="AB184" s="566"/>
      <c r="AC184" s="566"/>
      <c r="AD184" s="566"/>
    </row>
    <row r="185" spans="18:30" x14ac:dyDescent="0.25">
      <c r="R185" s="566"/>
      <c r="S185" s="566"/>
      <c r="T185" s="566"/>
      <c r="U185" s="566"/>
      <c r="V185" s="566"/>
      <c r="W185" s="566"/>
      <c r="X185" s="566"/>
      <c r="Y185" s="566"/>
      <c r="Z185" s="566"/>
      <c r="AA185" s="566"/>
      <c r="AB185" s="566"/>
      <c r="AC185" s="566"/>
      <c r="AD185" s="566"/>
    </row>
    <row r="186" spans="18:30" x14ac:dyDescent="0.25">
      <c r="R186" s="566"/>
      <c r="S186" s="566"/>
      <c r="T186" s="566"/>
      <c r="U186" s="566"/>
      <c r="V186" s="566"/>
      <c r="W186" s="566"/>
      <c r="X186" s="566"/>
      <c r="Y186" s="566"/>
      <c r="Z186" s="566"/>
      <c r="AA186" s="566"/>
      <c r="AB186" s="566"/>
      <c r="AC186" s="566"/>
      <c r="AD186" s="566"/>
    </row>
    <row r="187" spans="18:30" x14ac:dyDescent="0.25">
      <c r="R187" s="566"/>
      <c r="S187" s="566"/>
      <c r="T187" s="566"/>
      <c r="U187" s="566"/>
      <c r="V187" s="566"/>
      <c r="W187" s="566"/>
      <c r="X187" s="566"/>
      <c r="Y187" s="566"/>
      <c r="Z187" s="566"/>
      <c r="AA187" s="566"/>
      <c r="AB187" s="566"/>
      <c r="AC187" s="566"/>
      <c r="AD187" s="566"/>
    </row>
    <row r="188" spans="18:30" x14ac:dyDescent="0.25">
      <c r="R188" s="566"/>
      <c r="S188" s="566"/>
      <c r="T188" s="566"/>
      <c r="U188" s="566"/>
      <c r="V188" s="566"/>
      <c r="W188" s="566"/>
      <c r="X188" s="566"/>
      <c r="Y188" s="566"/>
      <c r="Z188" s="566"/>
      <c r="AA188" s="566"/>
      <c r="AB188" s="566"/>
      <c r="AC188" s="566"/>
      <c r="AD188" s="566"/>
    </row>
    <row r="189" spans="18:30" x14ac:dyDescent="0.25">
      <c r="R189" s="566"/>
      <c r="S189" s="566"/>
      <c r="T189" s="566"/>
      <c r="U189" s="566"/>
      <c r="V189" s="566"/>
      <c r="W189" s="566"/>
      <c r="X189" s="566"/>
      <c r="Y189" s="566"/>
      <c r="Z189" s="566"/>
      <c r="AA189" s="566"/>
      <c r="AB189" s="566"/>
      <c r="AC189" s="566"/>
      <c r="AD189" s="566"/>
    </row>
    <row r="190" spans="18:30" x14ac:dyDescent="0.25">
      <c r="R190" s="566"/>
      <c r="S190" s="566"/>
      <c r="T190" s="566"/>
      <c r="U190" s="566"/>
      <c r="V190" s="566"/>
      <c r="W190" s="566"/>
      <c r="X190" s="566"/>
      <c r="Y190" s="566"/>
      <c r="Z190" s="566"/>
      <c r="AA190" s="566"/>
      <c r="AB190" s="566"/>
      <c r="AC190" s="566"/>
      <c r="AD190" s="566"/>
    </row>
    <row r="191" spans="18:30" x14ac:dyDescent="0.25">
      <c r="R191" s="566"/>
      <c r="S191" s="566"/>
      <c r="T191" s="566"/>
      <c r="U191" s="566"/>
      <c r="V191" s="566"/>
      <c r="W191" s="566"/>
      <c r="X191" s="566"/>
      <c r="Y191" s="566"/>
      <c r="Z191" s="566"/>
      <c r="AA191" s="566"/>
      <c r="AB191" s="566"/>
      <c r="AC191" s="566"/>
      <c r="AD191" s="566"/>
    </row>
    <row r="192" spans="18:30" x14ac:dyDescent="0.25">
      <c r="R192" s="566"/>
      <c r="S192" s="566"/>
      <c r="T192" s="566"/>
      <c r="U192" s="566"/>
      <c r="V192" s="566"/>
      <c r="W192" s="566"/>
      <c r="X192" s="566"/>
      <c r="Y192" s="566"/>
      <c r="Z192" s="566"/>
      <c r="AA192" s="566"/>
      <c r="AB192" s="566"/>
      <c r="AC192" s="566"/>
      <c r="AD192" s="566"/>
    </row>
    <row r="193" spans="18:30" x14ac:dyDescent="0.25">
      <c r="R193" s="566"/>
      <c r="S193" s="566"/>
      <c r="T193" s="566"/>
      <c r="U193" s="566"/>
      <c r="V193" s="566"/>
      <c r="W193" s="566"/>
      <c r="X193" s="566"/>
      <c r="Y193" s="566"/>
      <c r="Z193" s="566"/>
      <c r="AA193" s="566"/>
      <c r="AB193" s="566"/>
      <c r="AC193" s="566"/>
      <c r="AD193" s="566"/>
    </row>
    <row r="194" spans="18:30" x14ac:dyDescent="0.25">
      <c r="R194" s="566"/>
      <c r="S194" s="566"/>
      <c r="T194" s="566"/>
      <c r="U194" s="566"/>
      <c r="V194" s="566"/>
      <c r="W194" s="566"/>
      <c r="X194" s="566"/>
      <c r="Y194" s="566"/>
      <c r="Z194" s="566"/>
      <c r="AA194" s="566"/>
      <c r="AB194" s="566"/>
      <c r="AC194" s="566"/>
      <c r="AD194" s="566"/>
    </row>
    <row r="195" spans="18:30" x14ac:dyDescent="0.25">
      <c r="R195" s="566"/>
      <c r="S195" s="566"/>
      <c r="T195" s="566"/>
      <c r="U195" s="566"/>
      <c r="V195" s="566"/>
      <c r="W195" s="566"/>
      <c r="X195" s="566"/>
      <c r="Y195" s="566"/>
      <c r="Z195" s="566"/>
      <c r="AA195" s="566"/>
      <c r="AB195" s="566"/>
      <c r="AC195" s="566"/>
      <c r="AD195" s="566"/>
    </row>
    <row r="196" spans="18:30" x14ac:dyDescent="0.25">
      <c r="R196" s="566"/>
      <c r="S196" s="566"/>
      <c r="T196" s="566"/>
      <c r="U196" s="566"/>
      <c r="V196" s="566"/>
      <c r="W196" s="566"/>
      <c r="X196" s="566"/>
      <c r="Y196" s="566"/>
      <c r="Z196" s="566"/>
      <c r="AA196" s="566"/>
      <c r="AB196" s="566"/>
      <c r="AC196" s="566"/>
      <c r="AD196" s="566"/>
    </row>
    <row r="197" spans="18:30" x14ac:dyDescent="0.25">
      <c r="R197" s="566"/>
      <c r="S197" s="566"/>
      <c r="T197" s="566"/>
      <c r="U197" s="566"/>
      <c r="V197" s="566"/>
      <c r="W197" s="566"/>
      <c r="X197" s="566"/>
      <c r="Y197" s="566"/>
      <c r="Z197" s="566"/>
      <c r="AA197" s="566"/>
      <c r="AB197" s="566"/>
      <c r="AC197" s="566"/>
      <c r="AD197" s="566"/>
    </row>
    <row r="198" spans="18:30" x14ac:dyDescent="0.25">
      <c r="R198" s="566"/>
      <c r="S198" s="566"/>
      <c r="T198" s="566"/>
      <c r="U198" s="566"/>
      <c r="V198" s="566"/>
      <c r="W198" s="566"/>
      <c r="X198" s="566"/>
      <c r="Y198" s="566"/>
      <c r="Z198" s="566"/>
      <c r="AA198" s="566"/>
      <c r="AB198" s="566"/>
      <c r="AC198" s="566"/>
      <c r="AD198" s="566"/>
    </row>
    <row r="199" spans="18:30" x14ac:dyDescent="0.25">
      <c r="R199" s="566"/>
      <c r="S199" s="566"/>
      <c r="T199" s="566"/>
      <c r="U199" s="566"/>
      <c r="V199" s="566"/>
      <c r="W199" s="566"/>
      <c r="X199" s="566"/>
      <c r="Y199" s="566"/>
      <c r="Z199" s="566"/>
      <c r="AA199" s="566"/>
      <c r="AB199" s="566"/>
      <c r="AC199" s="566"/>
      <c r="AD199" s="566"/>
    </row>
    <row r="200" spans="18:30" x14ac:dyDescent="0.25">
      <c r="R200" s="566"/>
      <c r="S200" s="566"/>
      <c r="T200" s="566"/>
      <c r="U200" s="566"/>
      <c r="V200" s="566"/>
      <c r="W200" s="566"/>
      <c r="X200" s="566"/>
      <c r="Y200" s="566"/>
      <c r="Z200" s="566"/>
      <c r="AA200" s="566"/>
      <c r="AB200" s="566"/>
      <c r="AC200" s="566"/>
      <c r="AD200" s="566"/>
    </row>
    <row r="201" spans="18:30" x14ac:dyDescent="0.25">
      <c r="R201" s="566"/>
      <c r="S201" s="566"/>
      <c r="T201" s="566"/>
      <c r="U201" s="566"/>
      <c r="V201" s="566"/>
      <c r="W201" s="566"/>
      <c r="X201" s="566"/>
      <c r="Y201" s="566"/>
      <c r="Z201" s="566"/>
      <c r="AA201" s="566"/>
      <c r="AB201" s="566"/>
      <c r="AC201" s="566"/>
      <c r="AD201" s="566"/>
    </row>
    <row r="202" spans="18:30" x14ac:dyDescent="0.25">
      <c r="R202" s="566"/>
      <c r="S202" s="566"/>
      <c r="T202" s="566"/>
      <c r="U202" s="566"/>
      <c r="V202" s="566"/>
      <c r="W202" s="566"/>
      <c r="X202" s="566"/>
      <c r="Y202" s="566"/>
      <c r="Z202" s="566"/>
      <c r="AA202" s="566"/>
      <c r="AB202" s="566"/>
      <c r="AC202" s="566"/>
      <c r="AD202" s="566"/>
    </row>
    <row r="203" spans="18:30" x14ac:dyDescent="0.25">
      <c r="R203" s="566"/>
      <c r="S203" s="566"/>
      <c r="T203" s="566"/>
      <c r="U203" s="566"/>
      <c r="V203" s="566"/>
      <c r="W203" s="566"/>
      <c r="X203" s="566"/>
      <c r="Y203" s="566"/>
      <c r="Z203" s="566"/>
      <c r="AA203" s="566"/>
      <c r="AB203" s="566"/>
      <c r="AC203" s="566"/>
      <c r="AD203" s="566"/>
    </row>
    <row r="204" spans="18:30" x14ac:dyDescent="0.25">
      <c r="R204" s="566"/>
      <c r="S204" s="566"/>
      <c r="T204" s="566"/>
      <c r="U204" s="566"/>
      <c r="V204" s="566"/>
      <c r="W204" s="566"/>
      <c r="X204" s="566"/>
      <c r="Y204" s="566"/>
      <c r="Z204" s="566"/>
      <c r="AA204" s="566"/>
      <c r="AB204" s="566"/>
      <c r="AC204" s="566"/>
      <c r="AD204" s="566"/>
    </row>
    <row r="205" spans="18:30" x14ac:dyDescent="0.25">
      <c r="R205" s="566"/>
      <c r="S205" s="566"/>
      <c r="T205" s="566"/>
      <c r="U205" s="566"/>
      <c r="V205" s="566"/>
      <c r="W205" s="566"/>
      <c r="X205" s="566"/>
      <c r="Y205" s="566"/>
      <c r="Z205" s="566"/>
      <c r="AA205" s="566"/>
      <c r="AB205" s="566"/>
      <c r="AC205" s="566"/>
      <c r="AD205" s="566"/>
    </row>
    <row r="206" spans="18:30" x14ac:dyDescent="0.25">
      <c r="R206" s="566"/>
      <c r="S206" s="566"/>
      <c r="T206" s="566"/>
      <c r="U206" s="566"/>
      <c r="V206" s="566"/>
      <c r="W206" s="566"/>
      <c r="X206" s="566"/>
      <c r="Y206" s="566"/>
      <c r="Z206" s="566"/>
      <c r="AA206" s="566"/>
      <c r="AB206" s="566"/>
      <c r="AC206" s="566"/>
      <c r="AD206" s="566"/>
    </row>
    <row r="207" spans="18:30" x14ac:dyDescent="0.25">
      <c r="R207" s="566"/>
      <c r="S207" s="566"/>
      <c r="T207" s="566"/>
      <c r="U207" s="566"/>
      <c r="V207" s="566"/>
      <c r="W207" s="566"/>
      <c r="X207" s="566"/>
      <c r="Y207" s="566"/>
      <c r="Z207" s="566"/>
      <c r="AA207" s="566"/>
      <c r="AB207" s="566"/>
      <c r="AC207" s="566"/>
      <c r="AD207" s="566"/>
    </row>
    <row r="208" spans="18:30" x14ac:dyDescent="0.25">
      <c r="R208" s="566"/>
      <c r="S208" s="566"/>
      <c r="T208" s="566"/>
      <c r="U208" s="566"/>
      <c r="V208" s="566"/>
      <c r="W208" s="566"/>
      <c r="X208" s="566"/>
      <c r="Y208" s="566"/>
      <c r="Z208" s="566"/>
      <c r="AA208" s="566"/>
      <c r="AB208" s="566"/>
      <c r="AC208" s="566"/>
      <c r="AD208" s="566"/>
    </row>
    <row r="209" spans="18:30" x14ac:dyDescent="0.25">
      <c r="R209" s="566"/>
      <c r="S209" s="566"/>
      <c r="T209" s="566"/>
      <c r="U209" s="566"/>
      <c r="V209" s="566"/>
      <c r="W209" s="566"/>
      <c r="X209" s="566"/>
      <c r="Y209" s="566"/>
      <c r="Z209" s="566"/>
      <c r="AA209" s="566"/>
      <c r="AB209" s="566"/>
      <c r="AC209" s="566"/>
      <c r="AD209" s="566"/>
    </row>
    <row r="210" spans="18:30" x14ac:dyDescent="0.25">
      <c r="R210" s="566"/>
      <c r="S210" s="566"/>
      <c r="T210" s="566"/>
      <c r="U210" s="566"/>
      <c r="V210" s="566"/>
      <c r="W210" s="566"/>
      <c r="X210" s="566"/>
      <c r="Y210" s="566"/>
      <c r="Z210" s="566"/>
      <c r="AA210" s="566"/>
      <c r="AB210" s="566"/>
      <c r="AC210" s="566"/>
      <c r="AD210" s="566"/>
    </row>
    <row r="211" spans="18:30" x14ac:dyDescent="0.25">
      <c r="R211" s="566"/>
      <c r="S211" s="566"/>
      <c r="T211" s="566"/>
      <c r="U211" s="566"/>
      <c r="V211" s="566"/>
      <c r="W211" s="566"/>
      <c r="X211" s="566"/>
      <c r="Y211" s="566"/>
      <c r="Z211" s="566"/>
      <c r="AA211" s="566"/>
      <c r="AB211" s="566"/>
      <c r="AC211" s="566"/>
      <c r="AD211" s="566"/>
    </row>
    <row r="212" spans="18:30" x14ac:dyDescent="0.25">
      <c r="R212" s="566"/>
      <c r="S212" s="566"/>
      <c r="T212" s="566"/>
      <c r="U212" s="566"/>
      <c r="V212" s="566"/>
      <c r="W212" s="566"/>
      <c r="X212" s="566"/>
      <c r="Y212" s="566"/>
      <c r="Z212" s="566"/>
      <c r="AA212" s="566"/>
      <c r="AB212" s="566"/>
      <c r="AC212" s="566"/>
      <c r="AD212" s="566"/>
    </row>
    <row r="213" spans="18:30" x14ac:dyDescent="0.25">
      <c r="R213" s="566"/>
      <c r="S213" s="566"/>
      <c r="T213" s="566"/>
      <c r="U213" s="566"/>
      <c r="V213" s="566"/>
      <c r="W213" s="566"/>
      <c r="X213" s="566"/>
      <c r="Y213" s="566"/>
      <c r="Z213" s="566"/>
      <c r="AA213" s="566"/>
      <c r="AB213" s="566"/>
      <c r="AC213" s="566"/>
      <c r="AD213" s="566"/>
    </row>
    <row r="214" spans="18:30" x14ac:dyDescent="0.25">
      <c r="R214" s="566"/>
      <c r="S214" s="566"/>
      <c r="T214" s="566"/>
      <c r="U214" s="566"/>
      <c r="V214" s="566"/>
      <c r="W214" s="566"/>
      <c r="X214" s="566"/>
      <c r="Y214" s="566"/>
      <c r="Z214" s="566"/>
      <c r="AA214" s="566"/>
      <c r="AB214" s="566"/>
      <c r="AC214" s="566"/>
      <c r="AD214" s="566"/>
    </row>
    <row r="215" spans="18:30" x14ac:dyDescent="0.25">
      <c r="R215" s="566"/>
      <c r="S215" s="566"/>
      <c r="T215" s="566"/>
      <c r="U215" s="566"/>
      <c r="V215" s="566"/>
      <c r="W215" s="566"/>
      <c r="X215" s="566"/>
      <c r="Y215" s="566"/>
      <c r="Z215" s="566"/>
      <c r="AA215" s="566"/>
      <c r="AB215" s="566"/>
      <c r="AC215" s="566"/>
      <c r="AD215" s="566"/>
    </row>
    <row r="216" spans="18:30" x14ac:dyDescent="0.25">
      <c r="R216" s="566"/>
      <c r="S216" s="566"/>
      <c r="T216" s="566"/>
      <c r="U216" s="566"/>
      <c r="V216" s="566"/>
      <c r="W216" s="566"/>
      <c r="X216" s="566"/>
      <c r="Y216" s="566"/>
      <c r="Z216" s="566"/>
      <c r="AA216" s="566"/>
      <c r="AB216" s="566"/>
      <c r="AC216" s="566"/>
      <c r="AD216" s="566"/>
    </row>
    <row r="217" spans="18:30" x14ac:dyDescent="0.25">
      <c r="R217" s="566"/>
      <c r="S217" s="566"/>
      <c r="T217" s="566"/>
      <c r="U217" s="566"/>
      <c r="V217" s="566"/>
      <c r="W217" s="566"/>
      <c r="X217" s="566"/>
      <c r="Y217" s="566"/>
      <c r="Z217" s="566"/>
      <c r="AA217" s="566"/>
      <c r="AB217" s="566"/>
      <c r="AC217" s="566"/>
      <c r="AD217" s="566"/>
    </row>
    <row r="218" spans="18:30" x14ac:dyDescent="0.25">
      <c r="R218" s="566"/>
      <c r="S218" s="566"/>
      <c r="T218" s="566"/>
      <c r="U218" s="566"/>
      <c r="V218" s="566"/>
      <c r="W218" s="566"/>
      <c r="X218" s="566"/>
      <c r="Y218" s="566"/>
      <c r="Z218" s="566"/>
      <c r="AA218" s="566"/>
      <c r="AB218" s="566"/>
      <c r="AC218" s="566"/>
      <c r="AD218" s="566"/>
    </row>
    <row r="219" spans="18:30" x14ac:dyDescent="0.25">
      <c r="R219" s="566"/>
      <c r="S219" s="566"/>
      <c r="T219" s="566"/>
      <c r="U219" s="566"/>
      <c r="V219" s="566"/>
      <c r="W219" s="566"/>
      <c r="X219" s="566"/>
      <c r="Y219" s="566"/>
      <c r="Z219" s="566"/>
      <c r="AA219" s="566"/>
      <c r="AB219" s="566"/>
      <c r="AC219" s="566"/>
      <c r="AD219" s="566"/>
    </row>
    <row r="220" spans="18:30" x14ac:dyDescent="0.25">
      <c r="R220" s="566"/>
      <c r="S220" s="566"/>
      <c r="T220" s="566"/>
      <c r="U220" s="566"/>
      <c r="V220" s="566"/>
      <c r="W220" s="566"/>
      <c r="X220" s="566"/>
      <c r="Y220" s="566"/>
      <c r="Z220" s="566"/>
      <c r="AA220" s="566"/>
      <c r="AB220" s="566"/>
      <c r="AC220" s="566"/>
      <c r="AD220" s="566"/>
    </row>
    <row r="221" spans="18:30" x14ac:dyDescent="0.25">
      <c r="R221" s="566"/>
      <c r="S221" s="566"/>
      <c r="T221" s="566"/>
      <c r="U221" s="566"/>
      <c r="V221" s="566"/>
      <c r="W221" s="566"/>
      <c r="X221" s="566"/>
      <c r="Y221" s="566"/>
      <c r="Z221" s="566"/>
      <c r="AA221" s="566"/>
      <c r="AB221" s="566"/>
      <c r="AC221" s="566"/>
      <c r="AD221" s="566"/>
    </row>
    <row r="222" spans="18:30" x14ac:dyDescent="0.25">
      <c r="R222" s="566"/>
      <c r="S222" s="566"/>
      <c r="T222" s="566"/>
      <c r="U222" s="566"/>
      <c r="V222" s="566"/>
      <c r="W222" s="566"/>
      <c r="X222" s="566"/>
      <c r="Y222" s="566"/>
      <c r="Z222" s="566"/>
      <c r="AA222" s="566"/>
      <c r="AB222" s="566"/>
      <c r="AC222" s="566"/>
      <c r="AD222" s="566"/>
    </row>
    <row r="223" spans="18:30" x14ac:dyDescent="0.25">
      <c r="R223" s="566"/>
      <c r="S223" s="566"/>
      <c r="T223" s="566"/>
      <c r="U223" s="566"/>
      <c r="V223" s="566"/>
      <c r="W223" s="566"/>
      <c r="X223" s="566"/>
      <c r="Y223" s="566"/>
      <c r="Z223" s="566"/>
      <c r="AA223" s="566"/>
      <c r="AB223" s="566"/>
      <c r="AC223" s="566"/>
      <c r="AD223" s="566"/>
    </row>
    <row r="224" spans="18:30" x14ac:dyDescent="0.25">
      <c r="R224" s="566"/>
      <c r="S224" s="566"/>
      <c r="T224" s="566"/>
      <c r="U224" s="566"/>
      <c r="V224" s="566"/>
      <c r="W224" s="566"/>
      <c r="X224" s="566"/>
      <c r="Y224" s="566"/>
      <c r="Z224" s="566"/>
      <c r="AA224" s="566"/>
      <c r="AB224" s="566"/>
      <c r="AC224" s="566"/>
      <c r="AD224" s="566"/>
    </row>
    <row r="225" spans="18:30" x14ac:dyDescent="0.25">
      <c r="R225" s="566"/>
      <c r="S225" s="566"/>
      <c r="T225" s="566"/>
      <c r="U225" s="566"/>
      <c r="V225" s="566"/>
      <c r="W225" s="566"/>
      <c r="X225" s="566"/>
      <c r="Y225" s="566"/>
      <c r="Z225" s="566"/>
      <c r="AA225" s="566"/>
      <c r="AB225" s="566"/>
      <c r="AC225" s="566"/>
      <c r="AD225" s="566"/>
    </row>
    <row r="226" spans="18:30" x14ac:dyDescent="0.25">
      <c r="R226" s="566"/>
      <c r="S226" s="566"/>
      <c r="T226" s="566"/>
      <c r="U226" s="566"/>
      <c r="V226" s="566"/>
      <c r="W226" s="566"/>
      <c r="X226" s="566"/>
      <c r="Y226" s="566"/>
      <c r="Z226" s="566"/>
      <c r="AA226" s="566"/>
      <c r="AB226" s="566"/>
      <c r="AC226" s="566"/>
      <c r="AD226" s="566"/>
    </row>
    <row r="227" spans="18:30" x14ac:dyDescent="0.25">
      <c r="R227" s="566"/>
      <c r="S227" s="566"/>
      <c r="T227" s="566"/>
      <c r="U227" s="566"/>
      <c r="V227" s="566"/>
      <c r="W227" s="566"/>
      <c r="X227" s="566"/>
      <c r="Y227" s="566"/>
      <c r="Z227" s="566"/>
      <c r="AA227" s="566"/>
      <c r="AB227" s="566"/>
      <c r="AC227" s="566"/>
      <c r="AD227" s="566"/>
    </row>
    <row r="228" spans="18:30" x14ac:dyDescent="0.25">
      <c r="R228" s="566"/>
      <c r="S228" s="566"/>
      <c r="T228" s="566"/>
      <c r="U228" s="566"/>
      <c r="V228" s="566"/>
      <c r="W228" s="566"/>
      <c r="X228" s="566"/>
      <c r="Y228" s="566"/>
      <c r="Z228" s="566"/>
      <c r="AA228" s="566"/>
      <c r="AB228" s="566"/>
      <c r="AC228" s="566"/>
      <c r="AD228" s="566"/>
    </row>
    <row r="229" spans="18:30" x14ac:dyDescent="0.25">
      <c r="R229" s="566"/>
      <c r="S229" s="566"/>
      <c r="T229" s="566"/>
      <c r="U229" s="566"/>
      <c r="V229" s="566"/>
      <c r="W229" s="566"/>
      <c r="X229" s="566"/>
      <c r="Y229" s="566"/>
      <c r="Z229" s="566"/>
      <c r="AA229" s="566"/>
      <c r="AB229" s="566"/>
      <c r="AC229" s="566"/>
      <c r="AD229" s="566"/>
    </row>
    <row r="230" spans="18:30" x14ac:dyDescent="0.25">
      <c r="R230" s="566"/>
      <c r="S230" s="566"/>
      <c r="T230" s="566"/>
      <c r="U230" s="566"/>
      <c r="V230" s="566"/>
      <c r="W230" s="566"/>
      <c r="X230" s="566"/>
      <c r="Y230" s="566"/>
      <c r="Z230" s="566"/>
      <c r="AA230" s="566"/>
      <c r="AB230" s="566"/>
      <c r="AC230" s="566"/>
      <c r="AD230" s="566"/>
    </row>
    <row r="231" spans="18:30" x14ac:dyDescent="0.25">
      <c r="R231" s="566"/>
      <c r="S231" s="566"/>
      <c r="T231" s="566"/>
      <c r="U231" s="566"/>
      <c r="V231" s="566"/>
      <c r="W231" s="566"/>
      <c r="X231" s="566"/>
      <c r="Y231" s="566"/>
      <c r="Z231" s="566"/>
      <c r="AA231" s="566"/>
      <c r="AB231" s="566"/>
      <c r="AC231" s="566"/>
      <c r="AD231" s="566"/>
    </row>
    <row r="232" spans="18:30" x14ac:dyDescent="0.25">
      <c r="R232" s="566"/>
      <c r="S232" s="566"/>
      <c r="T232" s="566"/>
      <c r="U232" s="566"/>
      <c r="V232" s="566"/>
      <c r="W232" s="566"/>
      <c r="X232" s="566"/>
      <c r="Y232" s="566"/>
      <c r="Z232" s="566"/>
      <c r="AA232" s="566"/>
      <c r="AB232" s="566"/>
      <c r="AC232" s="566"/>
      <c r="AD232" s="566"/>
    </row>
    <row r="233" spans="18:30" x14ac:dyDescent="0.25">
      <c r="R233" s="566"/>
      <c r="S233" s="566"/>
      <c r="T233" s="566"/>
      <c r="U233" s="566"/>
      <c r="V233" s="566"/>
      <c r="W233" s="566"/>
      <c r="X233" s="566"/>
      <c r="Y233" s="566"/>
      <c r="Z233" s="566"/>
      <c r="AA233" s="566"/>
      <c r="AB233" s="566"/>
      <c r="AC233" s="566"/>
      <c r="AD233" s="566"/>
    </row>
    <row r="234" spans="18:30" x14ac:dyDescent="0.25">
      <c r="R234" s="566"/>
      <c r="S234" s="566"/>
      <c r="T234" s="566"/>
      <c r="U234" s="566"/>
      <c r="V234" s="566"/>
      <c r="W234" s="566"/>
      <c r="X234" s="566"/>
      <c r="Y234" s="566"/>
      <c r="Z234" s="566"/>
      <c r="AA234" s="566"/>
      <c r="AB234" s="566"/>
      <c r="AC234" s="566"/>
      <c r="AD234" s="566"/>
    </row>
    <row r="235" spans="18:30" x14ac:dyDescent="0.25">
      <c r="R235" s="566"/>
      <c r="S235" s="566"/>
      <c r="T235" s="566"/>
      <c r="U235" s="566"/>
      <c r="V235" s="566"/>
      <c r="W235" s="566"/>
      <c r="X235" s="566"/>
      <c r="Y235" s="566"/>
      <c r="Z235" s="566"/>
      <c r="AA235" s="566"/>
      <c r="AB235" s="566"/>
      <c r="AC235" s="566"/>
      <c r="AD235" s="566"/>
    </row>
    <row r="236" spans="18:30" x14ac:dyDescent="0.25">
      <c r="R236" s="566"/>
      <c r="S236" s="566"/>
      <c r="T236" s="566"/>
      <c r="U236" s="566"/>
      <c r="V236" s="566"/>
      <c r="W236" s="566"/>
      <c r="X236" s="566"/>
      <c r="Y236" s="566"/>
      <c r="Z236" s="566"/>
      <c r="AA236" s="566"/>
      <c r="AB236" s="566"/>
      <c r="AC236" s="566"/>
      <c r="AD236" s="566"/>
    </row>
    <row r="237" spans="18:30" x14ac:dyDescent="0.25">
      <c r="R237" s="566"/>
      <c r="S237" s="566"/>
      <c r="T237" s="566"/>
      <c r="U237" s="566"/>
      <c r="V237" s="566"/>
      <c r="W237" s="566"/>
      <c r="X237" s="566"/>
      <c r="Y237" s="566"/>
      <c r="Z237" s="566"/>
      <c r="AA237" s="566"/>
      <c r="AB237" s="566"/>
      <c r="AC237" s="566"/>
      <c r="AD237" s="566"/>
    </row>
    <row r="238" spans="18:30" x14ac:dyDescent="0.25">
      <c r="R238" s="566"/>
      <c r="S238" s="566"/>
      <c r="T238" s="566"/>
      <c r="U238" s="566"/>
      <c r="V238" s="566"/>
      <c r="W238" s="566"/>
      <c r="X238" s="566"/>
      <c r="Y238" s="566"/>
      <c r="Z238" s="566"/>
      <c r="AA238" s="566"/>
      <c r="AB238" s="566"/>
      <c r="AC238" s="566"/>
      <c r="AD238" s="566"/>
    </row>
    <row r="239" spans="18:30" x14ac:dyDescent="0.25">
      <c r="R239" s="566"/>
      <c r="S239" s="566"/>
      <c r="T239" s="566"/>
      <c r="U239" s="566"/>
      <c r="V239" s="566"/>
      <c r="W239" s="566"/>
      <c r="X239" s="566"/>
      <c r="Y239" s="566"/>
      <c r="Z239" s="566"/>
      <c r="AA239" s="566"/>
      <c r="AB239" s="566"/>
      <c r="AC239" s="566"/>
      <c r="AD239" s="566"/>
    </row>
    <row r="240" spans="18:30" x14ac:dyDescent="0.25">
      <c r="R240" s="566"/>
      <c r="S240" s="566"/>
      <c r="T240" s="566"/>
      <c r="U240" s="566"/>
      <c r="V240" s="566"/>
      <c r="W240" s="566"/>
      <c r="X240" s="566"/>
      <c r="Y240" s="566"/>
      <c r="Z240" s="566"/>
      <c r="AA240" s="566"/>
      <c r="AB240" s="566"/>
      <c r="AC240" s="566"/>
      <c r="AD240" s="566"/>
    </row>
    <row r="241" spans="18:30" x14ac:dyDescent="0.25">
      <c r="R241" s="566"/>
      <c r="S241" s="566"/>
      <c r="T241" s="566"/>
      <c r="U241" s="566"/>
      <c r="V241" s="566"/>
      <c r="W241" s="566"/>
      <c r="X241" s="566"/>
      <c r="Y241" s="566"/>
      <c r="Z241" s="566"/>
      <c r="AA241" s="566"/>
      <c r="AB241" s="566"/>
      <c r="AC241" s="566"/>
      <c r="AD241" s="566"/>
    </row>
    <row r="242" spans="18:30" x14ac:dyDescent="0.25">
      <c r="R242" s="566"/>
      <c r="S242" s="566"/>
      <c r="T242" s="566"/>
      <c r="U242" s="566"/>
      <c r="V242" s="566"/>
      <c r="W242" s="566"/>
      <c r="X242" s="566"/>
      <c r="Y242" s="566"/>
      <c r="Z242" s="566"/>
      <c r="AA242" s="566"/>
      <c r="AB242" s="566"/>
      <c r="AC242" s="566"/>
      <c r="AD242" s="566"/>
    </row>
    <row r="243" spans="18:30" x14ac:dyDescent="0.25">
      <c r="R243" s="566"/>
      <c r="S243" s="566"/>
      <c r="T243" s="566"/>
      <c r="U243" s="566"/>
      <c r="V243" s="566"/>
      <c r="W243" s="566"/>
      <c r="X243" s="566"/>
      <c r="Y243" s="566"/>
      <c r="Z243" s="566"/>
      <c r="AA243" s="566"/>
      <c r="AB243" s="566"/>
      <c r="AC243" s="566"/>
      <c r="AD243" s="566"/>
    </row>
    <row r="244" spans="18:30" x14ac:dyDescent="0.25">
      <c r="R244" s="566"/>
      <c r="S244" s="566"/>
      <c r="T244" s="566"/>
      <c r="U244" s="566"/>
      <c r="V244" s="566"/>
      <c r="W244" s="566"/>
      <c r="X244" s="566"/>
      <c r="Y244" s="566"/>
      <c r="Z244" s="566"/>
      <c r="AA244" s="566"/>
      <c r="AB244" s="566"/>
      <c r="AC244" s="566"/>
      <c r="AD244" s="566"/>
    </row>
    <row r="245" spans="18:30" x14ac:dyDescent="0.25">
      <c r="R245" s="566"/>
      <c r="S245" s="566"/>
      <c r="T245" s="566"/>
      <c r="U245" s="566"/>
      <c r="V245" s="566"/>
      <c r="W245" s="566"/>
      <c r="X245" s="566"/>
      <c r="Y245" s="566"/>
      <c r="Z245" s="566"/>
      <c r="AA245" s="566"/>
      <c r="AB245" s="566"/>
      <c r="AC245" s="566"/>
      <c r="AD245" s="566"/>
    </row>
    <row r="246" spans="18:30" x14ac:dyDescent="0.25">
      <c r="R246" s="566"/>
      <c r="S246" s="566"/>
      <c r="T246" s="566"/>
      <c r="U246" s="566"/>
      <c r="V246" s="566"/>
      <c r="W246" s="566"/>
      <c r="X246" s="566"/>
      <c r="Y246" s="566"/>
      <c r="Z246" s="566"/>
      <c r="AA246" s="566"/>
      <c r="AB246" s="566"/>
      <c r="AC246" s="566"/>
      <c r="AD246" s="566"/>
    </row>
    <row r="247" spans="18:30" x14ac:dyDescent="0.25">
      <c r="R247" s="566"/>
      <c r="S247" s="566"/>
      <c r="T247" s="566"/>
      <c r="U247" s="566"/>
      <c r="V247" s="566"/>
      <c r="W247" s="566"/>
      <c r="X247" s="566"/>
      <c r="Y247" s="566"/>
      <c r="Z247" s="566"/>
      <c r="AA247" s="566"/>
      <c r="AB247" s="566"/>
      <c r="AC247" s="566"/>
      <c r="AD247" s="566"/>
    </row>
    <row r="248" spans="18:30" x14ac:dyDescent="0.25">
      <c r="R248" s="566"/>
      <c r="S248" s="566"/>
      <c r="T248" s="566"/>
      <c r="U248" s="566"/>
      <c r="V248" s="566"/>
      <c r="W248" s="566"/>
      <c r="X248" s="566"/>
      <c r="Y248" s="566"/>
      <c r="Z248" s="566"/>
      <c r="AA248" s="566"/>
      <c r="AB248" s="566"/>
      <c r="AC248" s="566"/>
      <c r="AD248" s="566"/>
    </row>
    <row r="249" spans="18:30" x14ac:dyDescent="0.25">
      <c r="R249" s="566"/>
      <c r="S249" s="566"/>
      <c r="T249" s="566"/>
      <c r="U249" s="566"/>
      <c r="V249" s="566"/>
      <c r="W249" s="566"/>
      <c r="X249" s="566"/>
      <c r="Y249" s="566"/>
      <c r="Z249" s="566"/>
      <c r="AA249" s="566"/>
      <c r="AB249" s="566"/>
      <c r="AC249" s="566"/>
      <c r="AD249" s="566"/>
    </row>
    <row r="250" spans="18:30" x14ac:dyDescent="0.25">
      <c r="R250" s="566"/>
      <c r="S250" s="566"/>
      <c r="T250" s="566"/>
      <c r="U250" s="566"/>
      <c r="V250" s="566"/>
      <c r="W250" s="566"/>
      <c r="X250" s="566"/>
      <c r="Y250" s="566"/>
      <c r="Z250" s="566"/>
      <c r="AA250" s="566"/>
      <c r="AB250" s="566"/>
      <c r="AC250" s="566"/>
      <c r="AD250" s="566"/>
    </row>
    <row r="251" spans="18:30" x14ac:dyDescent="0.25">
      <c r="R251" s="566"/>
      <c r="S251" s="566"/>
      <c r="T251" s="566"/>
      <c r="U251" s="566"/>
      <c r="V251" s="566"/>
      <c r="W251" s="566"/>
      <c r="X251" s="566"/>
      <c r="Y251" s="566"/>
      <c r="Z251" s="566"/>
      <c r="AA251" s="566"/>
      <c r="AB251" s="566"/>
      <c r="AC251" s="566"/>
      <c r="AD251" s="566"/>
    </row>
    <row r="252" spans="18:30" x14ac:dyDescent="0.25">
      <c r="R252" s="566"/>
      <c r="S252" s="566"/>
      <c r="T252" s="566"/>
      <c r="U252" s="566"/>
      <c r="V252" s="566"/>
      <c r="W252" s="566"/>
      <c r="X252" s="566"/>
      <c r="Y252" s="566"/>
      <c r="Z252" s="566"/>
      <c r="AA252" s="566"/>
      <c r="AB252" s="566"/>
      <c r="AC252" s="566"/>
      <c r="AD252" s="566"/>
    </row>
    <row r="253" spans="18:30" x14ac:dyDescent="0.25">
      <c r="R253" s="566"/>
      <c r="S253" s="566"/>
      <c r="T253" s="566"/>
      <c r="U253" s="566"/>
      <c r="V253" s="566"/>
      <c r="W253" s="566"/>
      <c r="X253" s="566"/>
      <c r="Y253" s="566"/>
      <c r="Z253" s="566"/>
      <c r="AA253" s="566"/>
      <c r="AB253" s="566"/>
      <c r="AC253" s="566"/>
      <c r="AD253" s="566"/>
    </row>
    <row r="254" spans="18:30" x14ac:dyDescent="0.25">
      <c r="R254" s="566"/>
      <c r="S254" s="566"/>
      <c r="T254" s="566"/>
      <c r="U254" s="566"/>
      <c r="V254" s="566"/>
      <c r="W254" s="566"/>
      <c r="X254" s="566"/>
      <c r="Y254" s="566"/>
      <c r="Z254" s="566"/>
      <c r="AA254" s="566"/>
      <c r="AB254" s="566"/>
      <c r="AC254" s="566"/>
      <c r="AD254" s="566"/>
    </row>
    <row r="255" spans="18:30" x14ac:dyDescent="0.25">
      <c r="R255" s="566"/>
      <c r="S255" s="566"/>
      <c r="T255" s="566"/>
      <c r="U255" s="566"/>
      <c r="V255" s="566"/>
      <c r="W255" s="566"/>
      <c r="X255" s="566"/>
      <c r="Y255" s="566"/>
      <c r="Z255" s="566"/>
      <c r="AA255" s="566"/>
      <c r="AB255" s="566"/>
      <c r="AC255" s="566"/>
      <c r="AD255" s="566"/>
    </row>
    <row r="256" spans="18:30" x14ac:dyDescent="0.25">
      <c r="R256" s="566"/>
      <c r="S256" s="566"/>
      <c r="T256" s="566"/>
      <c r="U256" s="566"/>
      <c r="V256" s="566"/>
      <c r="W256" s="566"/>
      <c r="X256" s="566"/>
      <c r="Y256" s="566"/>
      <c r="Z256" s="566"/>
      <c r="AA256" s="566"/>
      <c r="AB256" s="566"/>
      <c r="AC256" s="566"/>
      <c r="AD256" s="566"/>
    </row>
    <row r="257" spans="18:30" x14ac:dyDescent="0.25">
      <c r="R257" s="566"/>
      <c r="S257" s="566"/>
      <c r="T257" s="566"/>
      <c r="U257" s="566"/>
      <c r="V257" s="566"/>
      <c r="W257" s="566"/>
      <c r="X257" s="566"/>
      <c r="Y257" s="566"/>
      <c r="Z257" s="566"/>
      <c r="AA257" s="566"/>
      <c r="AB257" s="566"/>
      <c r="AC257" s="566"/>
      <c r="AD257" s="566"/>
    </row>
    <row r="258" spans="18:30" x14ac:dyDescent="0.25">
      <c r="R258" s="566"/>
      <c r="S258" s="566"/>
      <c r="T258" s="566"/>
      <c r="U258" s="566"/>
      <c r="V258" s="566"/>
      <c r="W258" s="566"/>
      <c r="X258" s="566"/>
      <c r="Y258" s="566"/>
      <c r="Z258" s="566"/>
      <c r="AA258" s="566"/>
      <c r="AB258" s="566"/>
      <c r="AC258" s="566"/>
      <c r="AD258" s="566"/>
    </row>
    <row r="259" spans="18:30" x14ac:dyDescent="0.25">
      <c r="R259" s="566"/>
      <c r="S259" s="566"/>
      <c r="T259" s="566"/>
      <c r="U259" s="566"/>
      <c r="V259" s="566"/>
      <c r="W259" s="566"/>
      <c r="X259" s="566"/>
      <c r="Y259" s="566"/>
      <c r="Z259" s="566"/>
      <c r="AA259" s="566"/>
      <c r="AB259" s="566"/>
      <c r="AC259" s="566"/>
      <c r="AD259" s="566"/>
    </row>
    <row r="260" spans="18:30" x14ac:dyDescent="0.25">
      <c r="R260" s="566"/>
      <c r="S260" s="566"/>
      <c r="T260" s="566"/>
      <c r="U260" s="566"/>
      <c r="V260" s="566"/>
      <c r="W260" s="566"/>
      <c r="X260" s="566"/>
      <c r="Y260" s="566"/>
      <c r="Z260" s="566"/>
      <c r="AA260" s="566"/>
      <c r="AB260" s="566"/>
      <c r="AC260" s="566"/>
      <c r="AD260" s="566"/>
    </row>
    <row r="261" spans="18:30" x14ac:dyDescent="0.25">
      <c r="R261" s="566"/>
      <c r="S261" s="566"/>
      <c r="T261" s="566"/>
      <c r="U261" s="566"/>
      <c r="V261" s="566"/>
      <c r="W261" s="566"/>
      <c r="X261" s="566"/>
      <c r="Y261" s="566"/>
      <c r="Z261" s="566"/>
      <c r="AA261" s="566"/>
      <c r="AB261" s="566"/>
      <c r="AC261" s="566"/>
      <c r="AD261" s="566"/>
    </row>
    <row r="262" spans="18:30" x14ac:dyDescent="0.25">
      <c r="R262" s="566"/>
      <c r="S262" s="566"/>
      <c r="T262" s="566"/>
      <c r="U262" s="566"/>
      <c r="V262" s="566"/>
      <c r="W262" s="566"/>
      <c r="X262" s="566"/>
      <c r="Y262" s="566"/>
      <c r="Z262" s="566"/>
      <c r="AA262" s="566"/>
      <c r="AB262" s="566"/>
      <c r="AC262" s="566"/>
      <c r="AD262" s="566"/>
    </row>
    <row r="263" spans="18:30" x14ac:dyDescent="0.25">
      <c r="R263" s="566"/>
      <c r="S263" s="566"/>
      <c r="T263" s="566"/>
      <c r="U263" s="566"/>
      <c r="V263" s="566"/>
      <c r="W263" s="566"/>
      <c r="X263" s="566"/>
      <c r="Y263" s="566"/>
      <c r="Z263" s="566"/>
      <c r="AA263" s="566"/>
      <c r="AB263" s="566"/>
      <c r="AC263" s="566"/>
      <c r="AD263" s="566"/>
    </row>
    <row r="264" spans="18:30" x14ac:dyDescent="0.25">
      <c r="R264" s="566"/>
      <c r="S264" s="566"/>
      <c r="T264" s="566"/>
      <c r="U264" s="566"/>
      <c r="V264" s="566"/>
      <c r="W264" s="566"/>
      <c r="X264" s="566"/>
      <c r="Y264" s="566"/>
      <c r="Z264" s="566"/>
      <c r="AA264" s="566"/>
      <c r="AB264" s="566"/>
      <c r="AC264" s="566"/>
      <c r="AD264" s="566"/>
    </row>
    <row r="265" spans="18:30" x14ac:dyDescent="0.25">
      <c r="R265" s="566"/>
      <c r="S265" s="566"/>
      <c r="T265" s="566"/>
      <c r="U265" s="566"/>
      <c r="V265" s="566"/>
      <c r="W265" s="566"/>
      <c r="X265" s="566"/>
      <c r="Y265" s="566"/>
      <c r="Z265" s="566"/>
      <c r="AA265" s="566"/>
      <c r="AB265" s="566"/>
      <c r="AC265" s="566"/>
      <c r="AD265" s="566"/>
    </row>
    <row r="266" spans="18:30" x14ac:dyDescent="0.25">
      <c r="R266" s="566"/>
      <c r="S266" s="566"/>
      <c r="T266" s="566"/>
      <c r="U266" s="566"/>
      <c r="V266" s="566"/>
      <c r="W266" s="566"/>
      <c r="X266" s="566"/>
      <c r="Y266" s="566"/>
      <c r="Z266" s="566"/>
      <c r="AA266" s="566"/>
      <c r="AB266" s="566"/>
      <c r="AC266" s="566"/>
      <c r="AD266" s="566"/>
    </row>
    <row r="267" spans="18:30" x14ac:dyDescent="0.25">
      <c r="R267" s="566"/>
      <c r="S267" s="566"/>
      <c r="T267" s="566"/>
      <c r="U267" s="566"/>
      <c r="V267" s="566"/>
      <c r="W267" s="566"/>
      <c r="X267" s="566"/>
      <c r="Y267" s="566"/>
      <c r="Z267" s="566"/>
      <c r="AA267" s="566"/>
      <c r="AB267" s="566"/>
      <c r="AC267" s="566"/>
      <c r="AD267" s="566"/>
    </row>
    <row r="268" spans="18:30" x14ac:dyDescent="0.25">
      <c r="R268" s="566"/>
      <c r="S268" s="566"/>
      <c r="T268" s="566"/>
      <c r="U268" s="566"/>
      <c r="V268" s="566"/>
      <c r="W268" s="566"/>
      <c r="X268" s="566"/>
      <c r="Y268" s="566"/>
      <c r="Z268" s="566"/>
      <c r="AA268" s="566"/>
      <c r="AB268" s="566"/>
      <c r="AC268" s="566"/>
      <c r="AD268" s="566"/>
    </row>
    <row r="269" spans="18:30" x14ac:dyDescent="0.25">
      <c r="R269" s="566"/>
      <c r="S269" s="566"/>
      <c r="T269" s="566"/>
      <c r="U269" s="566"/>
      <c r="V269" s="566"/>
      <c r="W269" s="566"/>
      <c r="X269" s="566"/>
      <c r="Y269" s="566"/>
      <c r="Z269" s="566"/>
      <c r="AA269" s="566"/>
      <c r="AB269" s="566"/>
      <c r="AC269" s="566"/>
      <c r="AD269" s="566"/>
    </row>
    <row r="270" spans="18:30" x14ac:dyDescent="0.25">
      <c r="R270" s="566"/>
      <c r="S270" s="566"/>
      <c r="T270" s="566"/>
      <c r="U270" s="566"/>
      <c r="V270" s="566"/>
      <c r="W270" s="566"/>
      <c r="X270" s="566"/>
      <c r="Y270" s="566"/>
      <c r="Z270" s="566"/>
      <c r="AA270" s="566"/>
      <c r="AB270" s="566"/>
      <c r="AC270" s="566"/>
      <c r="AD270" s="566"/>
    </row>
    <row r="271" spans="18:30" x14ac:dyDescent="0.25">
      <c r="R271" s="566"/>
      <c r="S271" s="566"/>
      <c r="T271" s="566"/>
      <c r="U271" s="566"/>
      <c r="V271" s="566"/>
      <c r="W271" s="566"/>
      <c r="X271" s="566"/>
      <c r="Y271" s="566"/>
      <c r="Z271" s="566"/>
      <c r="AA271" s="566"/>
      <c r="AB271" s="566"/>
      <c r="AC271" s="566"/>
      <c r="AD271" s="566"/>
    </row>
    <row r="272" spans="18:30" x14ac:dyDescent="0.25">
      <c r="R272" s="566"/>
      <c r="S272" s="566"/>
      <c r="T272" s="566"/>
      <c r="U272" s="566"/>
      <c r="V272" s="566"/>
      <c r="W272" s="566"/>
      <c r="X272" s="566"/>
      <c r="Y272" s="566"/>
      <c r="Z272" s="566"/>
      <c r="AA272" s="566"/>
      <c r="AB272" s="566"/>
      <c r="AC272" s="566"/>
      <c r="AD272" s="566"/>
    </row>
    <row r="273" spans="18:30" x14ac:dyDescent="0.25">
      <c r="R273" s="566"/>
      <c r="S273" s="566"/>
      <c r="T273" s="566"/>
      <c r="U273" s="566"/>
      <c r="V273" s="566"/>
      <c r="W273" s="566"/>
      <c r="X273" s="566"/>
      <c r="Y273" s="566"/>
      <c r="Z273" s="566"/>
      <c r="AA273" s="566"/>
      <c r="AB273" s="566"/>
      <c r="AC273" s="566"/>
      <c r="AD273" s="566"/>
    </row>
    <row r="274" spans="18:30" x14ac:dyDescent="0.25">
      <c r="R274" s="566"/>
      <c r="S274" s="566"/>
      <c r="T274" s="566"/>
      <c r="U274" s="566"/>
      <c r="V274" s="566"/>
      <c r="W274" s="566"/>
      <c r="X274" s="566"/>
      <c r="Y274" s="566"/>
      <c r="Z274" s="566"/>
      <c r="AA274" s="566"/>
      <c r="AB274" s="566"/>
      <c r="AC274" s="566"/>
      <c r="AD274" s="566"/>
    </row>
    <row r="275" spans="18:30" x14ac:dyDescent="0.25">
      <c r="R275" s="566"/>
      <c r="S275" s="566"/>
      <c r="T275" s="566"/>
      <c r="U275" s="566"/>
      <c r="V275" s="566"/>
      <c r="W275" s="566"/>
      <c r="X275" s="566"/>
      <c r="Y275" s="566"/>
      <c r="Z275" s="566"/>
      <c r="AA275" s="566"/>
      <c r="AB275" s="566"/>
      <c r="AC275" s="566"/>
      <c r="AD275" s="566"/>
    </row>
    <row r="276" spans="18:30" x14ac:dyDescent="0.25">
      <c r="R276" s="566"/>
      <c r="S276" s="566"/>
      <c r="T276" s="566"/>
      <c r="U276" s="566"/>
      <c r="V276" s="566"/>
      <c r="W276" s="566"/>
      <c r="X276" s="566"/>
      <c r="Y276" s="566"/>
      <c r="Z276" s="566"/>
      <c r="AA276" s="566"/>
      <c r="AB276" s="566"/>
      <c r="AC276" s="566"/>
      <c r="AD276" s="566"/>
    </row>
    <row r="277" spans="18:30" x14ac:dyDescent="0.25">
      <c r="R277" s="566"/>
      <c r="S277" s="566"/>
      <c r="T277" s="566"/>
      <c r="U277" s="566"/>
      <c r="V277" s="566"/>
      <c r="W277" s="566"/>
      <c r="X277" s="566"/>
      <c r="Y277" s="566"/>
      <c r="Z277" s="566"/>
      <c r="AA277" s="566"/>
      <c r="AB277" s="566"/>
      <c r="AC277" s="566"/>
      <c r="AD277" s="566"/>
    </row>
    <row r="278" spans="18:30" x14ac:dyDescent="0.25">
      <c r="R278" s="566"/>
      <c r="S278" s="566"/>
      <c r="T278" s="566"/>
      <c r="U278" s="566"/>
      <c r="V278" s="566"/>
      <c r="W278" s="566"/>
      <c r="X278" s="566"/>
      <c r="Y278" s="566"/>
      <c r="Z278" s="566"/>
      <c r="AA278" s="566"/>
      <c r="AB278" s="566"/>
      <c r="AC278" s="566"/>
      <c r="AD278" s="566"/>
    </row>
    <row r="279" spans="18:30" x14ac:dyDescent="0.25">
      <c r="R279" s="566"/>
      <c r="S279" s="566"/>
      <c r="T279" s="566"/>
      <c r="U279" s="566"/>
      <c r="V279" s="566"/>
      <c r="W279" s="566"/>
      <c r="X279" s="566"/>
      <c r="Y279" s="566"/>
      <c r="Z279" s="566"/>
      <c r="AA279" s="566"/>
      <c r="AB279" s="566"/>
      <c r="AC279" s="566"/>
      <c r="AD279" s="566"/>
    </row>
    <row r="280" spans="18:30" x14ac:dyDescent="0.25">
      <c r="R280" s="566"/>
      <c r="S280" s="566"/>
      <c r="T280" s="566"/>
      <c r="U280" s="566"/>
      <c r="V280" s="566"/>
      <c r="W280" s="566"/>
      <c r="X280" s="566"/>
      <c r="Y280" s="566"/>
      <c r="Z280" s="566"/>
      <c r="AA280" s="566"/>
      <c r="AB280" s="566"/>
      <c r="AC280" s="566"/>
      <c r="AD280" s="566"/>
    </row>
    <row r="281" spans="18:30" x14ac:dyDescent="0.25">
      <c r="R281" s="566"/>
      <c r="S281" s="566"/>
      <c r="T281" s="566"/>
      <c r="U281" s="566"/>
      <c r="V281" s="566"/>
      <c r="W281" s="566"/>
      <c r="X281" s="566"/>
      <c r="Y281" s="566"/>
      <c r="Z281" s="566"/>
      <c r="AA281" s="566"/>
      <c r="AB281" s="566"/>
      <c r="AC281" s="566"/>
      <c r="AD281" s="566"/>
    </row>
    <row r="282" spans="18:30" x14ac:dyDescent="0.25">
      <c r="R282" s="566"/>
      <c r="S282" s="566"/>
      <c r="T282" s="566"/>
      <c r="U282" s="566"/>
      <c r="V282" s="566"/>
      <c r="W282" s="566"/>
      <c r="X282" s="566"/>
      <c r="Y282" s="566"/>
      <c r="Z282" s="566"/>
      <c r="AA282" s="566"/>
      <c r="AB282" s="566"/>
      <c r="AC282" s="566"/>
      <c r="AD282" s="566"/>
    </row>
    <row r="283" spans="18:30" x14ac:dyDescent="0.25">
      <c r="R283" s="566"/>
      <c r="S283" s="566"/>
      <c r="T283" s="566"/>
      <c r="U283" s="566"/>
      <c r="V283" s="566"/>
      <c r="W283" s="566"/>
      <c r="X283" s="566"/>
      <c r="Y283" s="566"/>
      <c r="Z283" s="566"/>
      <c r="AA283" s="566"/>
      <c r="AB283" s="566"/>
      <c r="AC283" s="566"/>
      <c r="AD283" s="566"/>
    </row>
    <row r="284" spans="18:30" x14ac:dyDescent="0.25">
      <c r="R284" s="566"/>
      <c r="S284" s="566"/>
      <c r="T284" s="566"/>
      <c r="U284" s="566"/>
      <c r="V284" s="566"/>
      <c r="W284" s="566"/>
      <c r="X284" s="566"/>
      <c r="Y284" s="566"/>
      <c r="Z284" s="566"/>
      <c r="AA284" s="566"/>
      <c r="AB284" s="566"/>
      <c r="AC284" s="566"/>
      <c r="AD284" s="566"/>
    </row>
    <row r="285" spans="18:30" x14ac:dyDescent="0.25">
      <c r="R285" s="566"/>
      <c r="S285" s="566"/>
      <c r="T285" s="566"/>
      <c r="U285" s="566"/>
      <c r="V285" s="566"/>
      <c r="W285" s="566"/>
      <c r="X285" s="566"/>
      <c r="Y285" s="566"/>
      <c r="Z285" s="566"/>
      <c r="AA285" s="566"/>
      <c r="AB285" s="566"/>
      <c r="AC285" s="566"/>
      <c r="AD285" s="566"/>
    </row>
    <row r="286" spans="18:30" x14ac:dyDescent="0.25">
      <c r="R286" s="566"/>
      <c r="S286" s="566"/>
      <c r="T286" s="566"/>
      <c r="U286" s="566"/>
      <c r="V286" s="566"/>
      <c r="W286" s="566"/>
      <c r="X286" s="566"/>
      <c r="Y286" s="566"/>
      <c r="Z286" s="566"/>
      <c r="AA286" s="566"/>
      <c r="AB286" s="566"/>
      <c r="AC286" s="566"/>
      <c r="AD286" s="566"/>
    </row>
    <row r="287" spans="18:30" x14ac:dyDescent="0.25">
      <c r="R287" s="566"/>
      <c r="S287" s="566"/>
      <c r="T287" s="566"/>
      <c r="U287" s="566"/>
      <c r="V287" s="566"/>
      <c r="W287" s="566"/>
      <c r="X287" s="566"/>
      <c r="Y287" s="566"/>
      <c r="Z287" s="566"/>
      <c r="AA287" s="566"/>
      <c r="AB287" s="566"/>
      <c r="AC287" s="566"/>
      <c r="AD287" s="566"/>
    </row>
    <row r="288" spans="18:30" x14ac:dyDescent="0.25">
      <c r="R288" s="566"/>
      <c r="S288" s="566"/>
      <c r="T288" s="566"/>
      <c r="U288" s="566"/>
      <c r="V288" s="566"/>
      <c r="W288" s="566"/>
      <c r="X288" s="566"/>
      <c r="Y288" s="566"/>
      <c r="Z288" s="566"/>
      <c r="AA288" s="566"/>
      <c r="AB288" s="566"/>
      <c r="AC288" s="566"/>
      <c r="AD288" s="566"/>
    </row>
    <row r="289" spans="18:30" x14ac:dyDescent="0.25">
      <c r="R289" s="566"/>
      <c r="S289" s="566"/>
      <c r="T289" s="566"/>
      <c r="U289" s="566"/>
      <c r="V289" s="566"/>
      <c r="W289" s="566"/>
      <c r="X289" s="566"/>
      <c r="Y289" s="566"/>
      <c r="Z289" s="566"/>
      <c r="AA289" s="566"/>
      <c r="AB289" s="566"/>
      <c r="AC289" s="566"/>
      <c r="AD289" s="566"/>
    </row>
    <row r="290" spans="18:30" x14ac:dyDescent="0.25">
      <c r="R290" s="566"/>
      <c r="S290" s="566"/>
      <c r="T290" s="566"/>
      <c r="U290" s="566"/>
      <c r="V290" s="566"/>
      <c r="W290" s="566"/>
      <c r="X290" s="566"/>
      <c r="Y290" s="566"/>
      <c r="Z290" s="566"/>
      <c r="AA290" s="566"/>
      <c r="AB290" s="566"/>
      <c r="AC290" s="566"/>
      <c r="AD290" s="566"/>
    </row>
    <row r="291" spans="18:30" x14ac:dyDescent="0.25">
      <c r="R291" s="566"/>
      <c r="S291" s="566"/>
      <c r="T291" s="566"/>
      <c r="U291" s="566"/>
      <c r="V291" s="566"/>
      <c r="W291" s="566"/>
      <c r="X291" s="566"/>
      <c r="Y291" s="566"/>
      <c r="Z291" s="566"/>
      <c r="AA291" s="566"/>
      <c r="AB291" s="566"/>
      <c r="AC291" s="566"/>
      <c r="AD291" s="566"/>
    </row>
    <row r="292" spans="18:30" x14ac:dyDescent="0.25">
      <c r="R292" s="566"/>
      <c r="S292" s="566"/>
      <c r="T292" s="566"/>
      <c r="U292" s="566"/>
      <c r="V292" s="566"/>
      <c r="W292" s="566"/>
      <c r="X292" s="566"/>
      <c r="Y292" s="566"/>
      <c r="Z292" s="566"/>
      <c r="AA292" s="566"/>
      <c r="AB292" s="566"/>
      <c r="AC292" s="566"/>
      <c r="AD292" s="566"/>
    </row>
    <row r="293" spans="18:30" x14ac:dyDescent="0.25">
      <c r="R293" s="566"/>
      <c r="S293" s="566"/>
      <c r="T293" s="566"/>
      <c r="U293" s="566"/>
      <c r="V293" s="566"/>
      <c r="W293" s="566"/>
      <c r="X293" s="566"/>
      <c r="Y293" s="566"/>
      <c r="Z293" s="566"/>
      <c r="AA293" s="566"/>
      <c r="AB293" s="566"/>
      <c r="AC293" s="566"/>
      <c r="AD293" s="566"/>
    </row>
    <row r="294" spans="18:30" x14ac:dyDescent="0.25">
      <c r="R294" s="566"/>
      <c r="S294" s="566"/>
      <c r="T294" s="566"/>
      <c r="U294" s="566"/>
      <c r="V294" s="566"/>
      <c r="W294" s="566"/>
      <c r="X294" s="566"/>
      <c r="Y294" s="566"/>
      <c r="Z294" s="566"/>
      <c r="AA294" s="566"/>
      <c r="AB294" s="566"/>
      <c r="AC294" s="566"/>
      <c r="AD294" s="566"/>
    </row>
    <row r="295" spans="18:30" x14ac:dyDescent="0.25">
      <c r="R295" s="566"/>
      <c r="S295" s="566"/>
      <c r="T295" s="566"/>
      <c r="U295" s="566"/>
      <c r="V295" s="566"/>
      <c r="W295" s="566"/>
      <c r="X295" s="566"/>
      <c r="Y295" s="566"/>
      <c r="Z295" s="566"/>
      <c r="AA295" s="566"/>
      <c r="AB295" s="566"/>
      <c r="AC295" s="566"/>
      <c r="AD295" s="566"/>
    </row>
    <row r="296" spans="18:30" x14ac:dyDescent="0.25">
      <c r="R296" s="566"/>
      <c r="S296" s="566"/>
      <c r="T296" s="566"/>
      <c r="U296" s="566"/>
      <c r="V296" s="566"/>
      <c r="W296" s="566"/>
      <c r="X296" s="566"/>
      <c r="Y296" s="566"/>
      <c r="Z296" s="566"/>
      <c r="AA296" s="566"/>
      <c r="AB296" s="566"/>
      <c r="AC296" s="566"/>
      <c r="AD296" s="566"/>
    </row>
    <row r="297" spans="18:30" x14ac:dyDescent="0.25">
      <c r="R297" s="566"/>
      <c r="S297" s="566"/>
      <c r="T297" s="566"/>
      <c r="U297" s="566"/>
      <c r="V297" s="566"/>
      <c r="W297" s="566"/>
      <c r="X297" s="566"/>
      <c r="Y297" s="566"/>
      <c r="Z297" s="566"/>
      <c r="AA297" s="566"/>
      <c r="AB297" s="566"/>
      <c r="AC297" s="566"/>
      <c r="AD297" s="566"/>
    </row>
    <row r="298" spans="18:30" x14ac:dyDescent="0.25">
      <c r="R298" s="566"/>
      <c r="S298" s="566"/>
      <c r="T298" s="566"/>
      <c r="U298" s="566"/>
      <c r="V298" s="566"/>
      <c r="W298" s="566"/>
      <c r="X298" s="566"/>
      <c r="Y298" s="566"/>
      <c r="Z298" s="566"/>
      <c r="AA298" s="566"/>
      <c r="AB298" s="566"/>
      <c r="AC298" s="566"/>
      <c r="AD298" s="566"/>
    </row>
    <row r="299" spans="18:30" x14ac:dyDescent="0.25">
      <c r="R299" s="566"/>
      <c r="S299" s="566"/>
      <c r="T299" s="566"/>
      <c r="U299" s="566"/>
      <c r="V299" s="566"/>
      <c r="W299" s="566"/>
      <c r="X299" s="566"/>
      <c r="Y299" s="566"/>
      <c r="Z299" s="566"/>
      <c r="AA299" s="566"/>
      <c r="AB299" s="566"/>
      <c r="AC299" s="566"/>
      <c r="AD299" s="566"/>
    </row>
    <row r="300" spans="18:30" x14ac:dyDescent="0.25">
      <c r="R300" s="566"/>
      <c r="S300" s="566"/>
      <c r="T300" s="566"/>
      <c r="U300" s="566"/>
      <c r="V300" s="566"/>
      <c r="W300" s="566"/>
      <c r="X300" s="566"/>
      <c r="Y300" s="566"/>
      <c r="Z300" s="566"/>
      <c r="AA300" s="566"/>
      <c r="AB300" s="566"/>
      <c r="AC300" s="566"/>
      <c r="AD300" s="566"/>
    </row>
    <row r="301" spans="18:30" x14ac:dyDescent="0.25">
      <c r="R301" s="566"/>
      <c r="S301" s="566"/>
      <c r="T301" s="566"/>
      <c r="U301" s="566"/>
      <c r="V301" s="566"/>
      <c r="W301" s="566"/>
      <c r="X301" s="566"/>
      <c r="Y301" s="566"/>
      <c r="Z301" s="566"/>
      <c r="AA301" s="566"/>
      <c r="AB301" s="566"/>
      <c r="AC301" s="566"/>
      <c r="AD301" s="566"/>
    </row>
    <row r="302" spans="18:30" x14ac:dyDescent="0.25">
      <c r="R302" s="566"/>
      <c r="S302" s="566"/>
      <c r="T302" s="566"/>
      <c r="U302" s="566"/>
      <c r="V302" s="566"/>
      <c r="W302" s="566"/>
      <c r="X302" s="566"/>
      <c r="Y302" s="566"/>
      <c r="Z302" s="566"/>
      <c r="AA302" s="566"/>
      <c r="AB302" s="566"/>
      <c r="AC302" s="566"/>
      <c r="AD302" s="566"/>
    </row>
    <row r="303" spans="18:30" x14ac:dyDescent="0.25">
      <c r="R303" s="566"/>
      <c r="S303" s="566"/>
      <c r="T303" s="566"/>
      <c r="U303" s="566"/>
      <c r="V303" s="566"/>
      <c r="W303" s="566"/>
      <c r="X303" s="566"/>
      <c r="Y303" s="566"/>
      <c r="Z303" s="566"/>
      <c r="AA303" s="566"/>
      <c r="AB303" s="566"/>
      <c r="AC303" s="566"/>
      <c r="AD303" s="566"/>
    </row>
    <row r="304" spans="18:30" x14ac:dyDescent="0.25">
      <c r="R304" s="566"/>
      <c r="S304" s="566"/>
      <c r="T304" s="566"/>
      <c r="U304" s="566"/>
      <c r="V304" s="566"/>
      <c r="W304" s="566"/>
      <c r="X304" s="566"/>
      <c r="Y304" s="566"/>
      <c r="Z304" s="566"/>
      <c r="AA304" s="566"/>
      <c r="AB304" s="566"/>
      <c r="AC304" s="566"/>
      <c r="AD304" s="566"/>
    </row>
    <row r="305" spans="18:30" x14ac:dyDescent="0.25">
      <c r="R305" s="566"/>
      <c r="S305" s="566"/>
      <c r="T305" s="566"/>
      <c r="U305" s="566"/>
      <c r="V305" s="566"/>
      <c r="W305" s="566"/>
      <c r="X305" s="566"/>
      <c r="Y305" s="566"/>
      <c r="Z305" s="566"/>
      <c r="AA305" s="566"/>
      <c r="AB305" s="566"/>
      <c r="AC305" s="566"/>
      <c r="AD305" s="566"/>
    </row>
    <row r="306" spans="18:30" x14ac:dyDescent="0.25">
      <c r="R306" s="566"/>
      <c r="S306" s="566"/>
      <c r="T306" s="566"/>
      <c r="U306" s="566"/>
      <c r="V306" s="566"/>
      <c r="W306" s="566"/>
      <c r="X306" s="566"/>
      <c r="Y306" s="566"/>
      <c r="Z306" s="566"/>
      <c r="AA306" s="566"/>
      <c r="AB306" s="566"/>
      <c r="AC306" s="566"/>
      <c r="AD306" s="566"/>
    </row>
    <row r="307" spans="18:30" x14ac:dyDescent="0.25">
      <c r="R307" s="566"/>
      <c r="S307" s="566"/>
      <c r="T307" s="566"/>
      <c r="U307" s="566"/>
      <c r="V307" s="566"/>
      <c r="W307" s="566"/>
      <c r="X307" s="566"/>
      <c r="Y307" s="566"/>
      <c r="Z307" s="566"/>
      <c r="AA307" s="566"/>
      <c r="AB307" s="566"/>
      <c r="AC307" s="566"/>
      <c r="AD307" s="566"/>
    </row>
    <row r="308" spans="18:30" x14ac:dyDescent="0.25">
      <c r="R308" s="566"/>
      <c r="S308" s="566"/>
      <c r="T308" s="566"/>
      <c r="U308" s="566"/>
      <c r="V308" s="566"/>
      <c r="W308" s="566"/>
      <c r="X308" s="566"/>
      <c r="Y308" s="566"/>
      <c r="Z308" s="566"/>
      <c r="AA308" s="566"/>
      <c r="AB308" s="566"/>
      <c r="AC308" s="566"/>
      <c r="AD308" s="566"/>
    </row>
    <row r="309" spans="18:30" x14ac:dyDescent="0.25">
      <c r="R309" s="566"/>
      <c r="S309" s="566"/>
      <c r="T309" s="566"/>
      <c r="U309" s="566"/>
      <c r="V309" s="566"/>
      <c r="W309" s="566"/>
      <c r="X309" s="566"/>
      <c r="Y309" s="566"/>
      <c r="Z309" s="566"/>
      <c r="AA309" s="566"/>
      <c r="AB309" s="566"/>
      <c r="AC309" s="566"/>
      <c r="AD309" s="566"/>
    </row>
    <row r="310" spans="18:30" x14ac:dyDescent="0.25">
      <c r="R310" s="566"/>
      <c r="S310" s="566"/>
      <c r="T310" s="566"/>
      <c r="U310" s="566"/>
      <c r="V310" s="566"/>
      <c r="W310" s="566"/>
      <c r="X310" s="566"/>
      <c r="Y310" s="566"/>
      <c r="Z310" s="566"/>
      <c r="AA310" s="566"/>
      <c r="AB310" s="566"/>
      <c r="AC310" s="566"/>
      <c r="AD310" s="566"/>
    </row>
    <row r="311" spans="18:30" x14ac:dyDescent="0.25">
      <c r="R311" s="566"/>
      <c r="S311" s="566"/>
      <c r="T311" s="566"/>
      <c r="U311" s="566"/>
      <c r="V311" s="566"/>
      <c r="W311" s="566"/>
      <c r="X311" s="566"/>
      <c r="Y311" s="566"/>
      <c r="Z311" s="566"/>
      <c r="AA311" s="566"/>
      <c r="AB311" s="566"/>
      <c r="AC311" s="566"/>
      <c r="AD311" s="566"/>
    </row>
    <row r="312" spans="18:30" x14ac:dyDescent="0.25">
      <c r="R312" s="566"/>
      <c r="S312" s="566"/>
      <c r="T312" s="566"/>
      <c r="U312" s="566"/>
      <c r="V312" s="566"/>
      <c r="W312" s="566"/>
      <c r="X312" s="566"/>
      <c r="Y312" s="566"/>
      <c r="Z312" s="566"/>
      <c r="AA312" s="566"/>
      <c r="AB312" s="566"/>
      <c r="AC312" s="566"/>
      <c r="AD312" s="566"/>
    </row>
    <row r="313" spans="18:30" x14ac:dyDescent="0.25">
      <c r="R313" s="566"/>
      <c r="S313" s="566"/>
      <c r="T313" s="566"/>
      <c r="U313" s="566"/>
      <c r="V313" s="566"/>
      <c r="W313" s="566"/>
      <c r="X313" s="566"/>
      <c r="Y313" s="566"/>
      <c r="Z313" s="566"/>
      <c r="AA313" s="566"/>
      <c r="AB313" s="566"/>
      <c r="AC313" s="566"/>
      <c r="AD313" s="566"/>
    </row>
    <row r="314" spans="18:30" x14ac:dyDescent="0.25">
      <c r="R314" s="566"/>
      <c r="S314" s="566"/>
      <c r="T314" s="566"/>
      <c r="U314" s="566"/>
      <c r="V314" s="566"/>
      <c r="W314" s="566"/>
      <c r="X314" s="566"/>
      <c r="Y314" s="566"/>
      <c r="Z314" s="566"/>
      <c r="AA314" s="566"/>
      <c r="AB314" s="566"/>
      <c r="AC314" s="566"/>
      <c r="AD314" s="566"/>
    </row>
    <row r="315" spans="18:30" x14ac:dyDescent="0.25">
      <c r="R315" s="566"/>
      <c r="S315" s="566"/>
      <c r="T315" s="566"/>
      <c r="U315" s="566"/>
      <c r="V315" s="566"/>
      <c r="W315" s="566"/>
      <c r="X315" s="566"/>
      <c r="Y315" s="566"/>
      <c r="Z315" s="566"/>
      <c r="AA315" s="566"/>
      <c r="AB315" s="566"/>
      <c r="AC315" s="566"/>
      <c r="AD315" s="566"/>
    </row>
    <row r="316" spans="18:30" x14ac:dyDescent="0.25">
      <c r="R316" s="566"/>
      <c r="S316" s="566"/>
      <c r="T316" s="566"/>
      <c r="U316" s="566"/>
      <c r="V316" s="566"/>
      <c r="W316" s="566"/>
      <c r="X316" s="566"/>
      <c r="Y316" s="566"/>
      <c r="Z316" s="566"/>
      <c r="AA316" s="566"/>
      <c r="AB316" s="566"/>
      <c r="AC316" s="566"/>
      <c r="AD316" s="566"/>
    </row>
    <row r="317" spans="18:30" x14ac:dyDescent="0.25">
      <c r="R317" s="566"/>
      <c r="S317" s="566"/>
      <c r="T317" s="566"/>
      <c r="U317" s="566"/>
      <c r="V317" s="566"/>
      <c r="W317" s="566"/>
      <c r="X317" s="566"/>
      <c r="Y317" s="566"/>
      <c r="Z317" s="566"/>
      <c r="AA317" s="566"/>
      <c r="AB317" s="566"/>
      <c r="AC317" s="566"/>
      <c r="AD317" s="566"/>
    </row>
    <row r="318" spans="18:30" x14ac:dyDescent="0.25">
      <c r="R318" s="566"/>
      <c r="S318" s="566"/>
      <c r="T318" s="566"/>
      <c r="U318" s="566"/>
      <c r="V318" s="566"/>
      <c r="W318" s="566"/>
      <c r="X318" s="566"/>
      <c r="Y318" s="566"/>
      <c r="Z318" s="566"/>
      <c r="AA318" s="566"/>
      <c r="AB318" s="566"/>
      <c r="AC318" s="566"/>
      <c r="AD318" s="566"/>
    </row>
    <row r="319" spans="18:30" x14ac:dyDescent="0.25">
      <c r="R319" s="566"/>
      <c r="S319" s="566"/>
      <c r="T319" s="566"/>
      <c r="U319" s="566"/>
      <c r="V319" s="566"/>
      <c r="W319" s="566"/>
      <c r="X319" s="566"/>
      <c r="Y319" s="566"/>
      <c r="Z319" s="566"/>
      <c r="AA319" s="566"/>
      <c r="AB319" s="566"/>
      <c r="AC319" s="566"/>
      <c r="AD319" s="566"/>
    </row>
    <row r="320" spans="18:30" x14ac:dyDescent="0.25">
      <c r="R320" s="566"/>
      <c r="S320" s="566"/>
      <c r="T320" s="566"/>
      <c r="U320" s="566"/>
      <c r="V320" s="566"/>
      <c r="W320" s="566"/>
      <c r="X320" s="566"/>
      <c r="Y320" s="566"/>
      <c r="Z320" s="566"/>
      <c r="AA320" s="566"/>
      <c r="AB320" s="566"/>
      <c r="AC320" s="566"/>
      <c r="AD320" s="566"/>
    </row>
    <row r="321" spans="18:30" x14ac:dyDescent="0.25">
      <c r="R321" s="566"/>
      <c r="S321" s="566"/>
      <c r="T321" s="566"/>
      <c r="U321" s="566"/>
      <c r="V321" s="566"/>
      <c r="W321" s="566"/>
      <c r="X321" s="566"/>
      <c r="Y321" s="566"/>
      <c r="Z321" s="566"/>
      <c r="AA321" s="566"/>
      <c r="AB321" s="566"/>
      <c r="AC321" s="566"/>
      <c r="AD321" s="566"/>
    </row>
    <row r="322" spans="18:30" x14ac:dyDescent="0.25">
      <c r="R322" s="566"/>
      <c r="S322" s="566"/>
      <c r="T322" s="566"/>
      <c r="U322" s="566"/>
      <c r="V322" s="566"/>
      <c r="W322" s="566"/>
      <c r="X322" s="566"/>
      <c r="Y322" s="566"/>
      <c r="Z322" s="566"/>
      <c r="AA322" s="566"/>
      <c r="AB322" s="566"/>
      <c r="AC322" s="566"/>
      <c r="AD322" s="566"/>
    </row>
    <row r="323" spans="18:30" x14ac:dyDescent="0.25">
      <c r="R323" s="566"/>
      <c r="S323" s="566"/>
      <c r="T323" s="566"/>
      <c r="U323" s="566"/>
      <c r="V323" s="566"/>
      <c r="W323" s="566"/>
      <c r="X323" s="566"/>
      <c r="Y323" s="566"/>
      <c r="Z323" s="566"/>
      <c r="AA323" s="566"/>
      <c r="AB323" s="566"/>
      <c r="AC323" s="566"/>
      <c r="AD323" s="566"/>
    </row>
    <row r="324" spans="18:30" x14ac:dyDescent="0.25">
      <c r="R324" s="566"/>
      <c r="S324" s="566"/>
      <c r="T324" s="566"/>
      <c r="U324" s="566"/>
      <c r="V324" s="566"/>
      <c r="W324" s="566"/>
      <c r="X324" s="566"/>
      <c r="Y324" s="566"/>
      <c r="Z324" s="566"/>
      <c r="AA324" s="566"/>
      <c r="AB324" s="566"/>
      <c r="AC324" s="566"/>
      <c r="AD324" s="566"/>
    </row>
    <row r="325" spans="18:30" x14ac:dyDescent="0.25">
      <c r="R325" s="566"/>
      <c r="S325" s="566"/>
      <c r="T325" s="566"/>
      <c r="U325" s="566"/>
      <c r="V325" s="566"/>
      <c r="W325" s="566"/>
      <c r="X325" s="566"/>
      <c r="Y325" s="566"/>
      <c r="Z325" s="566"/>
      <c r="AA325" s="566"/>
      <c r="AB325" s="566"/>
      <c r="AC325" s="566"/>
      <c r="AD325" s="566"/>
    </row>
    <row r="326" spans="18:30" x14ac:dyDescent="0.25">
      <c r="R326" s="566"/>
      <c r="S326" s="566"/>
      <c r="T326" s="566"/>
      <c r="U326" s="566"/>
      <c r="V326" s="566"/>
      <c r="W326" s="566"/>
      <c r="X326" s="566"/>
      <c r="Y326" s="566"/>
      <c r="Z326" s="566"/>
      <c r="AA326" s="566"/>
      <c r="AB326" s="566"/>
      <c r="AC326" s="566"/>
      <c r="AD326" s="566"/>
    </row>
    <row r="327" spans="18:30" x14ac:dyDescent="0.25">
      <c r="R327" s="566"/>
      <c r="S327" s="566"/>
      <c r="T327" s="566"/>
      <c r="U327" s="566"/>
      <c r="V327" s="566"/>
      <c r="W327" s="566"/>
      <c r="X327" s="566"/>
      <c r="Y327" s="566"/>
      <c r="Z327" s="566"/>
      <c r="AA327" s="566"/>
      <c r="AB327" s="566"/>
      <c r="AC327" s="566"/>
      <c r="AD327" s="566"/>
    </row>
    <row r="328" spans="18:30" x14ac:dyDescent="0.25">
      <c r="R328" s="566"/>
      <c r="S328" s="566"/>
      <c r="T328" s="566"/>
      <c r="U328" s="566"/>
      <c r="V328" s="566"/>
      <c r="W328" s="566"/>
      <c r="X328" s="566"/>
      <c r="Y328" s="566"/>
      <c r="Z328" s="566"/>
      <c r="AA328" s="566"/>
      <c r="AB328" s="566"/>
      <c r="AC328" s="566"/>
      <c r="AD328" s="566"/>
    </row>
    <row r="329" spans="18:30" x14ac:dyDescent="0.25">
      <c r="R329" s="566"/>
      <c r="S329" s="566"/>
      <c r="T329" s="566"/>
      <c r="U329" s="566"/>
      <c r="V329" s="566"/>
      <c r="W329" s="566"/>
      <c r="X329" s="566"/>
      <c r="Y329" s="566"/>
      <c r="Z329" s="566"/>
      <c r="AA329" s="566"/>
      <c r="AB329" s="566"/>
      <c r="AC329" s="566"/>
      <c r="AD329" s="566"/>
    </row>
    <row r="330" spans="18:30" x14ac:dyDescent="0.25">
      <c r="R330" s="566"/>
      <c r="S330" s="566"/>
      <c r="T330" s="566"/>
      <c r="U330" s="566"/>
      <c r="V330" s="566"/>
      <c r="W330" s="566"/>
      <c r="X330" s="566"/>
      <c r="Y330" s="566"/>
      <c r="Z330" s="566"/>
      <c r="AA330" s="566"/>
      <c r="AB330" s="566"/>
      <c r="AC330" s="566"/>
      <c r="AD330" s="566"/>
    </row>
    <row r="331" spans="18:30" x14ac:dyDescent="0.25">
      <c r="R331" s="566"/>
      <c r="S331" s="566"/>
      <c r="T331" s="566"/>
      <c r="U331" s="566"/>
      <c r="V331" s="566"/>
      <c r="W331" s="566"/>
      <c r="X331" s="566"/>
      <c r="Y331" s="566"/>
      <c r="Z331" s="566"/>
      <c r="AA331" s="566"/>
      <c r="AB331" s="566"/>
      <c r="AC331" s="566"/>
      <c r="AD331" s="566"/>
    </row>
    <row r="332" spans="18:30" x14ac:dyDescent="0.25">
      <c r="R332" s="566"/>
      <c r="S332" s="566"/>
      <c r="T332" s="566"/>
      <c r="U332" s="566"/>
      <c r="V332" s="566"/>
      <c r="W332" s="566"/>
      <c r="X332" s="566"/>
      <c r="Y332" s="566"/>
      <c r="Z332" s="566"/>
      <c r="AA332" s="566"/>
      <c r="AB332" s="566"/>
      <c r="AC332" s="566"/>
      <c r="AD332" s="566"/>
    </row>
    <row r="333" spans="18:30" x14ac:dyDescent="0.25">
      <c r="R333" s="566"/>
      <c r="S333" s="566"/>
      <c r="T333" s="566"/>
      <c r="U333" s="566"/>
      <c r="V333" s="566"/>
      <c r="W333" s="566"/>
      <c r="X333" s="566"/>
      <c r="Y333" s="566"/>
      <c r="Z333" s="566"/>
      <c r="AA333" s="566"/>
      <c r="AB333" s="566"/>
      <c r="AC333" s="566"/>
      <c r="AD333" s="566"/>
    </row>
    <row r="334" spans="18:30" x14ac:dyDescent="0.25">
      <c r="R334" s="566"/>
      <c r="S334" s="566"/>
      <c r="T334" s="566"/>
      <c r="U334" s="566"/>
      <c r="V334" s="566"/>
      <c r="W334" s="566"/>
      <c r="X334" s="566"/>
      <c r="Y334" s="566"/>
      <c r="Z334" s="566"/>
      <c r="AA334" s="566"/>
      <c r="AB334" s="566"/>
      <c r="AC334" s="566"/>
      <c r="AD334" s="566"/>
    </row>
    <row r="335" spans="18:30" x14ac:dyDescent="0.25">
      <c r="R335" s="566"/>
      <c r="S335" s="566"/>
      <c r="T335" s="566"/>
      <c r="U335" s="566"/>
      <c r="V335" s="566"/>
      <c r="W335" s="566"/>
      <c r="X335" s="566"/>
      <c r="Y335" s="566"/>
      <c r="Z335" s="566"/>
      <c r="AA335" s="566"/>
      <c r="AB335" s="566"/>
      <c r="AC335" s="566"/>
      <c r="AD335" s="566"/>
    </row>
    <row r="336" spans="18:30" x14ac:dyDescent="0.25">
      <c r="R336" s="566"/>
      <c r="S336" s="566"/>
      <c r="T336" s="566"/>
      <c r="U336" s="566"/>
      <c r="V336" s="566"/>
      <c r="W336" s="566"/>
      <c r="X336" s="566"/>
      <c r="Y336" s="566"/>
      <c r="Z336" s="566"/>
      <c r="AA336" s="566"/>
      <c r="AB336" s="566"/>
      <c r="AC336" s="566"/>
      <c r="AD336" s="566"/>
    </row>
    <row r="337" spans="18:30" x14ac:dyDescent="0.25">
      <c r="R337" s="566"/>
      <c r="S337" s="566"/>
      <c r="T337" s="566"/>
      <c r="U337" s="566"/>
      <c r="V337" s="566"/>
      <c r="W337" s="566"/>
      <c r="X337" s="566"/>
      <c r="Y337" s="566"/>
      <c r="Z337" s="566"/>
      <c r="AA337" s="566"/>
      <c r="AB337" s="566"/>
      <c r="AC337" s="566"/>
      <c r="AD337" s="566"/>
    </row>
    <row r="338" spans="18:30" x14ac:dyDescent="0.25">
      <c r="R338" s="566"/>
      <c r="S338" s="566"/>
      <c r="T338" s="566"/>
      <c r="U338" s="566"/>
      <c r="V338" s="566"/>
      <c r="W338" s="566"/>
      <c r="X338" s="566"/>
      <c r="Y338" s="566"/>
      <c r="Z338" s="566"/>
      <c r="AA338" s="566"/>
      <c r="AB338" s="566"/>
      <c r="AC338" s="566"/>
      <c r="AD338" s="566"/>
    </row>
    <row r="339" spans="18:30" x14ac:dyDescent="0.25">
      <c r="R339" s="566"/>
      <c r="S339" s="566"/>
      <c r="T339" s="566"/>
      <c r="U339" s="566"/>
      <c r="V339" s="566"/>
      <c r="W339" s="566"/>
      <c r="X339" s="566"/>
      <c r="Y339" s="566"/>
      <c r="Z339" s="566"/>
      <c r="AA339" s="566"/>
      <c r="AB339" s="566"/>
      <c r="AC339" s="566"/>
      <c r="AD339" s="566"/>
    </row>
    <row r="340" spans="18:30" x14ac:dyDescent="0.25">
      <c r="R340" s="566"/>
      <c r="S340" s="566"/>
      <c r="T340" s="566"/>
      <c r="U340" s="566"/>
      <c r="V340" s="566"/>
      <c r="W340" s="566"/>
      <c r="X340" s="566"/>
      <c r="Y340" s="566"/>
      <c r="Z340" s="566"/>
      <c r="AA340" s="566"/>
      <c r="AB340" s="566"/>
      <c r="AC340" s="566"/>
      <c r="AD340" s="566"/>
    </row>
    <row r="341" spans="18:30" x14ac:dyDescent="0.25">
      <c r="R341" s="566"/>
      <c r="S341" s="566"/>
      <c r="T341" s="566"/>
      <c r="U341" s="566"/>
      <c r="V341" s="566"/>
      <c r="W341" s="566"/>
      <c r="X341" s="566"/>
      <c r="Y341" s="566"/>
      <c r="Z341" s="566"/>
      <c r="AA341" s="566"/>
      <c r="AB341" s="566"/>
      <c r="AC341" s="566"/>
      <c r="AD341" s="566"/>
    </row>
    <row r="342" spans="18:30" x14ac:dyDescent="0.25">
      <c r="R342" s="566"/>
      <c r="S342" s="566"/>
      <c r="T342" s="566"/>
      <c r="U342" s="566"/>
      <c r="V342" s="566"/>
      <c r="W342" s="566"/>
      <c r="X342" s="566"/>
      <c r="Y342" s="566"/>
      <c r="Z342" s="566"/>
      <c r="AA342" s="566"/>
      <c r="AB342" s="566"/>
      <c r="AC342" s="566"/>
      <c r="AD342" s="566"/>
    </row>
    <row r="343" spans="18:30" x14ac:dyDescent="0.25">
      <c r="R343" s="566"/>
      <c r="S343" s="566"/>
      <c r="T343" s="566"/>
      <c r="U343" s="566"/>
      <c r="V343" s="566"/>
      <c r="W343" s="566"/>
      <c r="X343" s="566"/>
      <c r="Y343" s="566"/>
      <c r="Z343" s="566"/>
      <c r="AA343" s="566"/>
      <c r="AB343" s="566"/>
      <c r="AC343" s="566"/>
      <c r="AD343" s="566"/>
    </row>
    <row r="344" spans="18:30" x14ac:dyDescent="0.25">
      <c r="R344" s="566"/>
      <c r="S344" s="566"/>
      <c r="T344" s="566"/>
      <c r="U344" s="566"/>
      <c r="V344" s="566"/>
      <c r="W344" s="566"/>
      <c r="X344" s="566"/>
      <c r="Y344" s="566"/>
      <c r="Z344" s="566"/>
      <c r="AA344" s="566"/>
      <c r="AB344" s="566"/>
      <c r="AC344" s="566"/>
      <c r="AD344" s="566"/>
    </row>
    <row r="345" spans="18:30" x14ac:dyDescent="0.25">
      <c r="R345" s="566"/>
      <c r="S345" s="566"/>
      <c r="T345" s="566"/>
      <c r="U345" s="566"/>
      <c r="V345" s="566"/>
      <c r="W345" s="566"/>
      <c r="X345" s="566"/>
      <c r="Y345" s="566"/>
      <c r="Z345" s="566"/>
      <c r="AA345" s="566"/>
      <c r="AB345" s="566"/>
      <c r="AC345" s="566"/>
      <c r="AD345" s="566"/>
    </row>
    <row r="346" spans="18:30" x14ac:dyDescent="0.25">
      <c r="R346" s="566"/>
      <c r="S346" s="566"/>
      <c r="T346" s="566"/>
      <c r="U346" s="566"/>
      <c r="V346" s="566"/>
      <c r="W346" s="566"/>
      <c r="X346" s="566"/>
      <c r="Y346" s="566"/>
      <c r="Z346" s="566"/>
      <c r="AA346" s="566"/>
      <c r="AB346" s="566"/>
      <c r="AC346" s="566"/>
      <c r="AD346" s="566"/>
    </row>
    <row r="347" spans="18:30" x14ac:dyDescent="0.25">
      <c r="R347" s="566"/>
      <c r="S347" s="566"/>
      <c r="T347" s="566"/>
      <c r="U347" s="566"/>
      <c r="V347" s="566"/>
      <c r="W347" s="566"/>
      <c r="X347" s="566"/>
      <c r="Y347" s="566"/>
      <c r="Z347" s="566"/>
      <c r="AA347" s="566"/>
      <c r="AB347" s="566"/>
      <c r="AC347" s="566"/>
      <c r="AD347" s="566"/>
    </row>
    <row r="348" spans="18:30" x14ac:dyDescent="0.25">
      <c r="R348" s="566"/>
      <c r="S348" s="566"/>
      <c r="T348" s="566"/>
      <c r="U348" s="566"/>
      <c r="V348" s="566"/>
      <c r="W348" s="566"/>
      <c r="X348" s="566"/>
      <c r="Y348" s="566"/>
      <c r="Z348" s="566"/>
      <c r="AA348" s="566"/>
      <c r="AB348" s="566"/>
      <c r="AC348" s="566"/>
      <c r="AD348" s="566"/>
    </row>
    <row r="349" spans="18:30" x14ac:dyDescent="0.25">
      <c r="R349" s="566"/>
      <c r="S349" s="566"/>
      <c r="T349" s="566"/>
      <c r="U349" s="566"/>
      <c r="V349" s="566"/>
      <c r="W349" s="566"/>
      <c r="X349" s="566"/>
      <c r="Y349" s="566"/>
      <c r="Z349" s="566"/>
      <c r="AA349" s="566"/>
      <c r="AB349" s="566"/>
      <c r="AC349" s="566"/>
      <c r="AD349" s="566"/>
    </row>
    <row r="350" spans="18:30" x14ac:dyDescent="0.25">
      <c r="R350" s="566"/>
      <c r="S350" s="566"/>
      <c r="T350" s="566"/>
      <c r="U350" s="566"/>
      <c r="V350" s="566"/>
      <c r="W350" s="566"/>
      <c r="X350" s="566"/>
      <c r="Y350" s="566"/>
      <c r="Z350" s="566"/>
      <c r="AA350" s="566"/>
      <c r="AB350" s="566"/>
      <c r="AC350" s="566"/>
      <c r="AD350" s="566"/>
    </row>
    <row r="351" spans="18:30" x14ac:dyDescent="0.25">
      <c r="R351" s="566"/>
      <c r="S351" s="566"/>
      <c r="T351" s="566"/>
      <c r="U351" s="566"/>
      <c r="V351" s="566"/>
      <c r="W351" s="566"/>
      <c r="X351" s="566"/>
      <c r="Y351" s="566"/>
      <c r="Z351" s="566"/>
      <c r="AA351" s="566"/>
      <c r="AB351" s="566"/>
      <c r="AC351" s="566"/>
      <c r="AD351" s="566"/>
    </row>
    <row r="352" spans="18:30" x14ac:dyDescent="0.25">
      <c r="R352" s="566"/>
      <c r="S352" s="566"/>
      <c r="T352" s="566"/>
      <c r="U352" s="566"/>
      <c r="V352" s="566"/>
      <c r="W352" s="566"/>
      <c r="X352" s="566"/>
      <c r="Y352" s="566"/>
      <c r="Z352" s="566"/>
      <c r="AA352" s="566"/>
      <c r="AB352" s="566"/>
      <c r="AC352" s="566"/>
      <c r="AD352" s="566"/>
    </row>
    <row r="353" spans="18:30" x14ac:dyDescent="0.25">
      <c r="R353" s="566"/>
      <c r="S353" s="566"/>
      <c r="T353" s="566"/>
      <c r="U353" s="566"/>
      <c r="V353" s="566"/>
      <c r="W353" s="566"/>
      <c r="X353" s="566"/>
      <c r="Y353" s="566"/>
      <c r="Z353" s="566"/>
      <c r="AA353" s="566"/>
      <c r="AB353" s="566"/>
      <c r="AC353" s="566"/>
      <c r="AD353" s="566"/>
    </row>
    <row r="354" spans="18:30" x14ac:dyDescent="0.25">
      <c r="R354" s="566"/>
      <c r="S354" s="566"/>
      <c r="T354" s="566"/>
      <c r="U354" s="566"/>
      <c r="V354" s="566"/>
      <c r="W354" s="566"/>
      <c r="X354" s="566"/>
      <c r="Y354" s="566"/>
      <c r="Z354" s="566"/>
      <c r="AA354" s="566"/>
      <c r="AB354" s="566"/>
      <c r="AC354" s="566"/>
      <c r="AD354" s="566"/>
    </row>
    <row r="355" spans="18:30" x14ac:dyDescent="0.25">
      <c r="R355" s="566"/>
      <c r="S355" s="566"/>
      <c r="T355" s="566"/>
      <c r="U355" s="566"/>
      <c r="V355" s="566"/>
      <c r="W355" s="566"/>
      <c r="X355" s="566"/>
      <c r="Y355" s="566"/>
      <c r="Z355" s="566"/>
      <c r="AA355" s="566"/>
      <c r="AB355" s="566"/>
      <c r="AC355" s="566"/>
      <c r="AD355" s="566"/>
    </row>
    <row r="356" spans="18:30" x14ac:dyDescent="0.25">
      <c r="R356" s="566"/>
      <c r="S356" s="566"/>
      <c r="T356" s="566"/>
      <c r="U356" s="566"/>
      <c r="V356" s="566"/>
      <c r="W356" s="566"/>
      <c r="X356" s="566"/>
      <c r="Y356" s="566"/>
      <c r="Z356" s="566"/>
      <c r="AA356" s="566"/>
      <c r="AB356" s="566"/>
      <c r="AC356" s="566"/>
      <c r="AD356" s="566"/>
    </row>
    <row r="357" spans="18:30" x14ac:dyDescent="0.25">
      <c r="R357" s="566"/>
      <c r="S357" s="566"/>
      <c r="T357" s="566"/>
      <c r="U357" s="566"/>
      <c r="V357" s="566"/>
      <c r="W357" s="566"/>
      <c r="X357" s="566"/>
      <c r="Y357" s="566"/>
      <c r="Z357" s="566"/>
      <c r="AA357" s="566"/>
      <c r="AB357" s="566"/>
      <c r="AC357" s="566"/>
      <c r="AD357" s="566"/>
    </row>
    <row r="358" spans="18:30" x14ac:dyDescent="0.25">
      <c r="R358" s="566"/>
      <c r="S358" s="566"/>
      <c r="T358" s="566"/>
      <c r="U358" s="566"/>
      <c r="V358" s="566"/>
      <c r="W358" s="566"/>
      <c r="X358" s="566"/>
      <c r="Y358" s="566"/>
      <c r="Z358" s="566"/>
      <c r="AA358" s="566"/>
      <c r="AB358" s="566"/>
      <c r="AC358" s="566"/>
      <c r="AD358" s="566"/>
    </row>
    <row r="359" spans="18:30" x14ac:dyDescent="0.25">
      <c r="R359" s="566"/>
      <c r="S359" s="566"/>
      <c r="T359" s="566"/>
      <c r="U359" s="566"/>
      <c r="V359" s="566"/>
      <c r="W359" s="566"/>
      <c r="X359" s="566"/>
      <c r="Y359" s="566"/>
      <c r="Z359" s="566"/>
      <c r="AA359" s="566"/>
      <c r="AB359" s="566"/>
      <c r="AC359" s="566"/>
      <c r="AD359" s="566"/>
    </row>
    <row r="360" spans="18:30" x14ac:dyDescent="0.25">
      <c r="R360" s="566"/>
      <c r="S360" s="566"/>
      <c r="T360" s="566"/>
      <c r="U360" s="566"/>
      <c r="V360" s="566"/>
      <c r="W360" s="566"/>
      <c r="X360" s="566"/>
      <c r="Y360" s="566"/>
      <c r="Z360" s="566"/>
      <c r="AA360" s="566"/>
      <c r="AB360" s="566"/>
      <c r="AC360" s="566"/>
      <c r="AD360" s="566"/>
    </row>
    <row r="361" spans="18:30" x14ac:dyDescent="0.25">
      <c r="R361" s="566"/>
      <c r="S361" s="566"/>
      <c r="T361" s="566"/>
      <c r="U361" s="566"/>
      <c r="V361" s="566"/>
      <c r="W361" s="566"/>
      <c r="X361" s="566"/>
      <c r="Y361" s="566"/>
      <c r="Z361" s="566"/>
      <c r="AA361" s="566"/>
      <c r="AB361" s="566"/>
      <c r="AC361" s="566"/>
      <c r="AD361" s="566"/>
    </row>
    <row r="362" spans="18:30" x14ac:dyDescent="0.25">
      <c r="R362" s="566"/>
      <c r="S362" s="566"/>
      <c r="T362" s="566"/>
      <c r="U362" s="566"/>
      <c r="V362" s="566"/>
      <c r="W362" s="566"/>
      <c r="X362" s="566"/>
      <c r="Y362" s="566"/>
      <c r="Z362" s="566"/>
      <c r="AA362" s="566"/>
      <c r="AB362" s="566"/>
      <c r="AC362" s="566"/>
      <c r="AD362" s="566"/>
    </row>
    <row r="363" spans="18:30" x14ac:dyDescent="0.25">
      <c r="R363" s="566"/>
      <c r="S363" s="566"/>
      <c r="T363" s="566"/>
      <c r="U363" s="566"/>
      <c r="V363" s="566"/>
      <c r="W363" s="566"/>
      <c r="X363" s="566"/>
      <c r="Y363" s="566"/>
      <c r="Z363" s="566"/>
      <c r="AA363" s="566"/>
      <c r="AB363" s="566"/>
      <c r="AC363" s="566"/>
      <c r="AD363" s="566"/>
    </row>
    <row r="364" spans="18:30" x14ac:dyDescent="0.25">
      <c r="R364" s="566"/>
      <c r="S364" s="566"/>
      <c r="T364" s="566"/>
      <c r="U364" s="566"/>
      <c r="V364" s="566"/>
      <c r="W364" s="566"/>
      <c r="X364" s="566"/>
      <c r="Y364" s="566"/>
      <c r="Z364" s="566"/>
      <c r="AA364" s="566"/>
      <c r="AB364" s="566"/>
      <c r="AC364" s="566"/>
      <c r="AD364" s="566"/>
    </row>
    <row r="365" spans="18:30" x14ac:dyDescent="0.25">
      <c r="R365" s="566"/>
      <c r="S365" s="566"/>
      <c r="T365" s="566"/>
      <c r="U365" s="566"/>
      <c r="V365" s="566"/>
      <c r="W365" s="566"/>
      <c r="X365" s="566"/>
      <c r="Y365" s="566"/>
      <c r="Z365" s="566"/>
      <c r="AA365" s="566"/>
      <c r="AB365" s="566"/>
      <c r="AC365" s="566"/>
      <c r="AD365" s="566"/>
    </row>
    <row r="366" spans="18:30" x14ac:dyDescent="0.25">
      <c r="R366" s="566"/>
      <c r="S366" s="566"/>
      <c r="T366" s="566"/>
      <c r="U366" s="566"/>
      <c r="V366" s="566"/>
      <c r="W366" s="566"/>
      <c r="X366" s="566"/>
      <c r="Y366" s="566"/>
      <c r="Z366" s="566"/>
      <c r="AA366" s="566"/>
      <c r="AB366" s="566"/>
      <c r="AC366" s="566"/>
      <c r="AD366" s="566"/>
    </row>
    <row r="367" spans="18:30" x14ac:dyDescent="0.25">
      <c r="R367" s="566"/>
      <c r="S367" s="566"/>
      <c r="T367" s="566"/>
      <c r="U367" s="566"/>
      <c r="V367" s="566"/>
      <c r="W367" s="566"/>
      <c r="X367" s="566"/>
      <c r="Y367" s="566"/>
      <c r="Z367" s="566"/>
      <c r="AA367" s="566"/>
      <c r="AB367" s="566"/>
      <c r="AC367" s="566"/>
      <c r="AD367" s="566"/>
    </row>
    <row r="368" spans="18:30" x14ac:dyDescent="0.25">
      <c r="R368" s="566"/>
      <c r="S368" s="566"/>
      <c r="T368" s="566"/>
      <c r="U368" s="566"/>
      <c r="V368" s="566"/>
      <c r="W368" s="566"/>
      <c r="X368" s="566"/>
      <c r="Y368" s="566"/>
      <c r="Z368" s="566"/>
      <c r="AA368" s="566"/>
      <c r="AB368" s="566"/>
      <c r="AC368" s="566"/>
      <c r="AD368" s="566"/>
    </row>
    <row r="369" spans="18:30" x14ac:dyDescent="0.25">
      <c r="R369" s="566"/>
      <c r="S369" s="566"/>
      <c r="T369" s="566"/>
      <c r="U369" s="566"/>
      <c r="V369" s="566"/>
      <c r="W369" s="566"/>
      <c r="X369" s="566"/>
      <c r="Y369" s="566"/>
      <c r="Z369" s="566"/>
      <c r="AA369" s="566"/>
      <c r="AB369" s="566"/>
      <c r="AC369" s="566"/>
      <c r="AD369" s="566"/>
    </row>
    <row r="370" spans="18:30" x14ac:dyDescent="0.25">
      <c r="R370" s="566"/>
      <c r="S370" s="566"/>
      <c r="T370" s="566"/>
      <c r="U370" s="566"/>
      <c r="V370" s="566"/>
      <c r="W370" s="566"/>
      <c r="X370" s="566"/>
      <c r="Y370" s="566"/>
      <c r="Z370" s="566"/>
      <c r="AA370" s="566"/>
      <c r="AB370" s="566"/>
      <c r="AC370" s="566"/>
      <c r="AD370" s="566"/>
    </row>
    <row r="371" spans="18:30" x14ac:dyDescent="0.25">
      <c r="R371" s="566"/>
      <c r="S371" s="566"/>
      <c r="T371" s="566"/>
      <c r="U371" s="566"/>
      <c r="V371" s="566"/>
      <c r="W371" s="566"/>
      <c r="X371" s="566"/>
      <c r="Y371" s="566"/>
      <c r="Z371" s="566"/>
      <c r="AA371" s="566"/>
      <c r="AB371" s="566"/>
      <c r="AC371" s="566"/>
      <c r="AD371" s="566"/>
    </row>
    <row r="372" spans="18:30" x14ac:dyDescent="0.25">
      <c r="R372" s="566"/>
      <c r="S372" s="566"/>
      <c r="T372" s="566"/>
      <c r="U372" s="566"/>
      <c r="V372" s="566"/>
      <c r="W372" s="566"/>
      <c r="X372" s="566"/>
      <c r="Y372" s="566"/>
      <c r="Z372" s="566"/>
      <c r="AA372" s="566"/>
      <c r="AB372" s="566"/>
      <c r="AC372" s="566"/>
      <c r="AD372" s="566"/>
    </row>
    <row r="373" spans="18:30" x14ac:dyDescent="0.25">
      <c r="R373" s="566"/>
      <c r="S373" s="566"/>
      <c r="T373" s="566"/>
      <c r="U373" s="566"/>
      <c r="V373" s="566"/>
      <c r="W373" s="566"/>
      <c r="X373" s="566"/>
      <c r="Y373" s="566"/>
      <c r="Z373" s="566"/>
      <c r="AA373" s="566"/>
      <c r="AB373" s="566"/>
      <c r="AC373" s="566"/>
      <c r="AD373" s="566"/>
    </row>
    <row r="374" spans="18:30" x14ac:dyDescent="0.25">
      <c r="R374" s="566"/>
      <c r="S374" s="566"/>
      <c r="T374" s="566"/>
      <c r="U374" s="566"/>
      <c r="V374" s="566"/>
      <c r="W374" s="566"/>
      <c r="X374" s="566"/>
      <c r="Y374" s="566"/>
      <c r="Z374" s="566"/>
      <c r="AA374" s="566"/>
      <c r="AB374" s="566"/>
      <c r="AC374" s="566"/>
      <c r="AD374" s="566"/>
    </row>
    <row r="375" spans="18:30" x14ac:dyDescent="0.25">
      <c r="R375" s="566"/>
      <c r="S375" s="566"/>
      <c r="T375" s="566"/>
      <c r="U375" s="566"/>
      <c r="V375" s="566"/>
      <c r="W375" s="566"/>
      <c r="X375" s="566"/>
      <c r="Y375" s="566"/>
      <c r="Z375" s="566"/>
      <c r="AA375" s="566"/>
      <c r="AB375" s="566"/>
      <c r="AC375" s="566"/>
      <c r="AD375" s="566"/>
    </row>
    <row r="376" spans="18:30" x14ac:dyDescent="0.25">
      <c r="R376" s="566"/>
      <c r="S376" s="566"/>
      <c r="T376" s="566"/>
      <c r="U376" s="566"/>
      <c r="V376" s="566"/>
      <c r="W376" s="566"/>
      <c r="X376" s="566"/>
      <c r="Y376" s="566"/>
      <c r="Z376" s="566"/>
      <c r="AA376" s="566"/>
      <c r="AB376" s="566"/>
      <c r="AC376" s="566"/>
      <c r="AD376" s="566"/>
    </row>
    <row r="377" spans="18:30" x14ac:dyDescent="0.25">
      <c r="R377" s="566"/>
      <c r="S377" s="566"/>
      <c r="T377" s="566"/>
      <c r="U377" s="566"/>
      <c r="V377" s="566"/>
      <c r="W377" s="566"/>
      <c r="X377" s="566"/>
      <c r="Y377" s="566"/>
      <c r="Z377" s="566"/>
      <c r="AA377" s="566"/>
      <c r="AB377" s="566"/>
      <c r="AC377" s="566"/>
      <c r="AD377" s="566"/>
    </row>
    <row r="378" spans="18:30" x14ac:dyDescent="0.25">
      <c r="R378" s="566"/>
      <c r="S378" s="566"/>
      <c r="T378" s="566"/>
      <c r="U378" s="566"/>
      <c r="V378" s="566"/>
      <c r="W378" s="566"/>
      <c r="X378" s="566"/>
      <c r="Y378" s="566"/>
      <c r="Z378" s="566"/>
      <c r="AA378" s="566"/>
      <c r="AB378" s="566"/>
      <c r="AC378" s="566"/>
      <c r="AD378" s="566"/>
    </row>
    <row r="379" spans="18:30" x14ac:dyDescent="0.25">
      <c r="R379" s="566"/>
      <c r="S379" s="566"/>
      <c r="T379" s="566"/>
      <c r="U379" s="566"/>
      <c r="V379" s="566"/>
      <c r="W379" s="566"/>
      <c r="X379" s="566"/>
      <c r="Y379" s="566"/>
      <c r="Z379" s="566"/>
      <c r="AA379" s="566"/>
      <c r="AB379" s="566"/>
      <c r="AC379" s="566"/>
      <c r="AD379" s="566"/>
    </row>
    <row r="380" spans="18:30" x14ac:dyDescent="0.25">
      <c r="R380" s="566"/>
      <c r="S380" s="566"/>
      <c r="T380" s="566"/>
      <c r="U380" s="566"/>
      <c r="V380" s="566"/>
      <c r="W380" s="566"/>
      <c r="X380" s="566"/>
      <c r="Y380" s="566"/>
      <c r="Z380" s="566"/>
      <c r="AA380" s="566"/>
      <c r="AB380" s="566"/>
      <c r="AC380" s="566"/>
      <c r="AD380" s="566"/>
    </row>
    <row r="381" spans="18:30" x14ac:dyDescent="0.25">
      <c r="R381" s="566"/>
      <c r="S381" s="566"/>
      <c r="T381" s="566"/>
      <c r="U381" s="566"/>
      <c r="V381" s="566"/>
      <c r="W381" s="566"/>
      <c r="X381" s="566"/>
      <c r="Y381" s="566"/>
      <c r="Z381" s="566"/>
      <c r="AA381" s="566"/>
      <c r="AB381" s="566"/>
      <c r="AC381" s="566"/>
      <c r="AD381" s="566"/>
    </row>
    <row r="382" spans="18:30" x14ac:dyDescent="0.25">
      <c r="R382" s="566"/>
      <c r="S382" s="566"/>
      <c r="T382" s="566"/>
      <c r="U382" s="566"/>
      <c r="V382" s="566"/>
      <c r="W382" s="566"/>
      <c r="X382" s="566"/>
      <c r="Y382" s="566"/>
      <c r="Z382" s="566"/>
      <c r="AA382" s="566"/>
      <c r="AB382" s="566"/>
      <c r="AC382" s="566"/>
      <c r="AD382" s="566"/>
    </row>
    <row r="383" spans="18:30" x14ac:dyDescent="0.25">
      <c r="R383" s="566"/>
      <c r="S383" s="566"/>
      <c r="T383" s="566"/>
      <c r="U383" s="566"/>
      <c r="V383" s="566"/>
      <c r="W383" s="566"/>
      <c r="X383" s="566"/>
      <c r="Y383" s="566"/>
      <c r="Z383" s="566"/>
      <c r="AA383" s="566"/>
      <c r="AB383" s="566"/>
      <c r="AC383" s="566"/>
      <c r="AD383" s="566"/>
    </row>
    <row r="384" spans="18:30" x14ac:dyDescent="0.25">
      <c r="R384" s="566"/>
      <c r="S384" s="566"/>
      <c r="T384" s="566"/>
      <c r="U384" s="566"/>
      <c r="V384" s="566"/>
      <c r="W384" s="566"/>
      <c r="X384" s="566"/>
      <c r="Y384" s="566"/>
      <c r="Z384" s="566"/>
      <c r="AA384" s="566"/>
      <c r="AB384" s="566"/>
      <c r="AC384" s="566"/>
      <c r="AD384" s="566"/>
    </row>
    <row r="385" spans="18:30" x14ac:dyDescent="0.25">
      <c r="R385" s="566"/>
      <c r="S385" s="566"/>
      <c r="T385" s="566"/>
      <c r="U385" s="566"/>
      <c r="V385" s="566"/>
      <c r="W385" s="566"/>
      <c r="X385" s="566"/>
      <c r="Y385" s="566"/>
      <c r="Z385" s="566"/>
      <c r="AA385" s="566"/>
      <c r="AB385" s="566"/>
      <c r="AC385" s="566"/>
      <c r="AD385" s="566"/>
    </row>
    <row r="386" spans="18:30" x14ac:dyDescent="0.25">
      <c r="R386" s="566"/>
      <c r="S386" s="566"/>
      <c r="T386" s="566"/>
      <c r="U386" s="566"/>
      <c r="V386" s="566"/>
      <c r="W386" s="566"/>
      <c r="X386" s="566"/>
      <c r="Y386" s="566"/>
      <c r="Z386" s="566"/>
      <c r="AA386" s="566"/>
      <c r="AB386" s="566"/>
      <c r="AC386" s="566"/>
      <c r="AD386" s="566"/>
    </row>
    <row r="387" spans="18:30" x14ac:dyDescent="0.25">
      <c r="R387" s="566"/>
      <c r="S387" s="566"/>
      <c r="T387" s="566"/>
      <c r="U387" s="566"/>
      <c r="V387" s="566"/>
      <c r="W387" s="566"/>
      <c r="X387" s="566"/>
      <c r="Y387" s="566"/>
      <c r="Z387" s="566"/>
      <c r="AA387" s="566"/>
      <c r="AB387" s="566"/>
      <c r="AC387" s="566"/>
      <c r="AD387" s="566"/>
    </row>
    <row r="388" spans="18:30" x14ac:dyDescent="0.25">
      <c r="R388" s="566"/>
      <c r="S388" s="566"/>
      <c r="T388" s="566"/>
      <c r="U388" s="566"/>
      <c r="V388" s="566"/>
      <c r="W388" s="566"/>
      <c r="X388" s="566"/>
      <c r="Y388" s="566"/>
      <c r="Z388" s="566"/>
      <c r="AA388" s="566"/>
      <c r="AB388" s="566"/>
      <c r="AC388" s="566"/>
      <c r="AD388" s="566"/>
    </row>
    <row r="389" spans="18:30" x14ac:dyDescent="0.25">
      <c r="R389" s="566"/>
      <c r="S389" s="566"/>
      <c r="T389" s="566"/>
      <c r="U389" s="566"/>
      <c r="V389" s="566"/>
      <c r="W389" s="566"/>
      <c r="X389" s="566"/>
      <c r="Y389" s="566"/>
      <c r="Z389" s="566"/>
      <c r="AA389" s="566"/>
      <c r="AB389" s="566"/>
      <c r="AC389" s="566"/>
      <c r="AD389" s="566"/>
    </row>
    <row r="390" spans="18:30" x14ac:dyDescent="0.25">
      <c r="R390" s="566"/>
      <c r="S390" s="566"/>
      <c r="T390" s="566"/>
      <c r="U390" s="566"/>
      <c r="V390" s="566"/>
      <c r="W390" s="566"/>
      <c r="X390" s="566"/>
      <c r="Y390" s="566"/>
      <c r="Z390" s="566"/>
      <c r="AA390" s="566"/>
      <c r="AB390" s="566"/>
      <c r="AC390" s="566"/>
      <c r="AD390" s="566"/>
    </row>
    <row r="391" spans="18:30" x14ac:dyDescent="0.25">
      <c r="R391" s="566"/>
      <c r="S391" s="566"/>
      <c r="T391" s="566"/>
      <c r="U391" s="566"/>
      <c r="V391" s="566"/>
      <c r="W391" s="566"/>
      <c r="X391" s="566"/>
      <c r="Y391" s="566"/>
      <c r="Z391" s="566"/>
      <c r="AA391" s="566"/>
      <c r="AB391" s="566"/>
      <c r="AC391" s="566"/>
      <c r="AD391" s="566"/>
    </row>
    <row r="392" spans="18:30" x14ac:dyDescent="0.25">
      <c r="R392" s="566"/>
      <c r="S392" s="566"/>
      <c r="T392" s="566"/>
      <c r="U392" s="566"/>
      <c r="V392" s="566"/>
      <c r="W392" s="566"/>
      <c r="X392" s="566"/>
      <c r="Y392" s="566"/>
      <c r="Z392" s="566"/>
      <c r="AA392" s="566"/>
      <c r="AB392" s="566"/>
      <c r="AC392" s="566"/>
      <c r="AD392" s="566"/>
    </row>
    <row r="393" spans="18:30" x14ac:dyDescent="0.25">
      <c r="R393" s="566"/>
      <c r="S393" s="566"/>
      <c r="T393" s="566"/>
      <c r="U393" s="566"/>
      <c r="V393" s="566"/>
      <c r="W393" s="566"/>
      <c r="X393" s="566"/>
      <c r="Y393" s="566"/>
      <c r="Z393" s="566"/>
      <c r="AA393" s="566"/>
      <c r="AB393" s="566"/>
      <c r="AC393" s="566"/>
      <c r="AD393" s="566"/>
    </row>
    <row r="394" spans="18:30" x14ac:dyDescent="0.25">
      <c r="R394" s="566"/>
      <c r="S394" s="566"/>
      <c r="T394" s="566"/>
      <c r="U394" s="566"/>
      <c r="V394" s="566"/>
      <c r="W394" s="566"/>
      <c r="X394" s="566"/>
      <c r="Y394" s="566"/>
      <c r="Z394" s="566"/>
      <c r="AA394" s="566"/>
      <c r="AB394" s="566"/>
      <c r="AC394" s="566"/>
      <c r="AD394" s="566"/>
    </row>
    <row r="395" spans="18:30" x14ac:dyDescent="0.25">
      <c r="R395" s="566"/>
      <c r="S395" s="566"/>
      <c r="T395" s="566"/>
      <c r="U395" s="566"/>
      <c r="V395" s="566"/>
      <c r="W395" s="566"/>
      <c r="X395" s="566"/>
      <c r="Y395" s="566"/>
      <c r="Z395" s="566"/>
      <c r="AA395" s="566"/>
      <c r="AB395" s="566"/>
      <c r="AC395" s="566"/>
      <c r="AD395" s="566"/>
    </row>
    <row r="396" spans="18:30" x14ac:dyDescent="0.25">
      <c r="R396" s="566"/>
      <c r="S396" s="566"/>
      <c r="T396" s="566"/>
      <c r="U396" s="566"/>
      <c r="V396" s="566"/>
      <c r="W396" s="566"/>
      <c r="X396" s="566"/>
      <c r="Y396" s="566"/>
      <c r="Z396" s="566"/>
      <c r="AA396" s="566"/>
      <c r="AB396" s="566"/>
      <c r="AC396" s="566"/>
      <c r="AD396" s="566"/>
    </row>
    <row r="397" spans="18:30" x14ac:dyDescent="0.25">
      <c r="R397" s="566"/>
      <c r="S397" s="566"/>
      <c r="T397" s="566"/>
      <c r="U397" s="566"/>
      <c r="V397" s="566"/>
      <c r="W397" s="566"/>
      <c r="X397" s="566"/>
      <c r="Y397" s="566"/>
      <c r="Z397" s="566"/>
      <c r="AA397" s="566"/>
      <c r="AB397" s="566"/>
      <c r="AC397" s="566"/>
      <c r="AD397" s="566"/>
    </row>
    <row r="398" spans="18:30" x14ac:dyDescent="0.25">
      <c r="R398" s="566"/>
      <c r="S398" s="566"/>
      <c r="T398" s="566"/>
      <c r="U398" s="566"/>
      <c r="V398" s="566"/>
      <c r="W398" s="566"/>
      <c r="X398" s="566"/>
      <c r="Y398" s="566"/>
      <c r="Z398" s="566"/>
      <c r="AA398" s="566"/>
      <c r="AB398" s="566"/>
      <c r="AC398" s="566"/>
      <c r="AD398" s="566"/>
    </row>
    <row r="399" spans="18:30" x14ac:dyDescent="0.25">
      <c r="R399" s="566"/>
      <c r="S399" s="566"/>
      <c r="T399" s="566"/>
      <c r="U399" s="566"/>
      <c r="V399" s="566"/>
      <c r="W399" s="566"/>
      <c r="X399" s="566"/>
      <c r="Y399" s="566"/>
      <c r="Z399" s="566"/>
      <c r="AA399" s="566"/>
      <c r="AB399" s="566"/>
      <c r="AC399" s="566"/>
      <c r="AD399" s="566"/>
    </row>
    <row r="400" spans="18:30" x14ac:dyDescent="0.25">
      <c r="R400" s="566"/>
      <c r="S400" s="566"/>
      <c r="T400" s="566"/>
      <c r="U400" s="566"/>
      <c r="V400" s="566"/>
      <c r="W400" s="566"/>
      <c r="X400" s="566"/>
      <c r="Y400" s="566"/>
      <c r="Z400" s="566"/>
      <c r="AA400" s="566"/>
      <c r="AB400" s="566"/>
      <c r="AC400" s="566"/>
      <c r="AD400" s="566"/>
    </row>
    <row r="401" spans="18:30" x14ac:dyDescent="0.25">
      <c r="R401" s="566"/>
      <c r="S401" s="566"/>
      <c r="T401" s="566"/>
      <c r="U401" s="566"/>
      <c r="V401" s="566"/>
      <c r="W401" s="566"/>
      <c r="X401" s="566"/>
      <c r="Y401" s="566"/>
      <c r="Z401" s="566"/>
      <c r="AA401" s="566"/>
      <c r="AB401" s="566"/>
      <c r="AC401" s="566"/>
      <c r="AD401" s="566"/>
    </row>
    <row r="402" spans="18:30" x14ac:dyDescent="0.25">
      <c r="R402" s="566"/>
      <c r="S402" s="566"/>
      <c r="T402" s="566"/>
      <c r="U402" s="566"/>
      <c r="V402" s="566"/>
      <c r="W402" s="566"/>
      <c r="X402" s="566"/>
      <c r="Y402" s="566"/>
      <c r="Z402" s="566"/>
      <c r="AA402" s="566"/>
      <c r="AB402" s="566"/>
      <c r="AC402" s="566"/>
      <c r="AD402" s="566"/>
    </row>
    <row r="403" spans="18:30" x14ac:dyDescent="0.25">
      <c r="R403" s="566"/>
      <c r="S403" s="566"/>
      <c r="T403" s="566"/>
      <c r="U403" s="566"/>
      <c r="V403" s="566"/>
      <c r="W403" s="566"/>
      <c r="X403" s="566"/>
      <c r="Y403" s="566"/>
      <c r="Z403" s="566"/>
      <c r="AA403" s="566"/>
      <c r="AB403" s="566"/>
      <c r="AC403" s="566"/>
      <c r="AD403" s="566"/>
    </row>
    <row r="404" spans="18:30" x14ac:dyDescent="0.25">
      <c r="R404" s="566"/>
      <c r="S404" s="566"/>
      <c r="T404" s="566"/>
      <c r="U404" s="566"/>
      <c r="V404" s="566"/>
      <c r="W404" s="566"/>
      <c r="X404" s="566"/>
      <c r="Y404" s="566"/>
      <c r="Z404" s="566"/>
      <c r="AA404" s="566"/>
      <c r="AB404" s="566"/>
      <c r="AC404" s="566"/>
      <c r="AD404" s="566"/>
    </row>
    <row r="405" spans="18:30" x14ac:dyDescent="0.25">
      <c r="R405" s="566"/>
      <c r="S405" s="566"/>
      <c r="T405" s="566"/>
      <c r="U405" s="566"/>
      <c r="V405" s="566"/>
      <c r="W405" s="566"/>
      <c r="X405" s="566"/>
      <c r="Y405" s="566"/>
      <c r="Z405" s="566"/>
      <c r="AA405" s="566"/>
      <c r="AB405" s="566"/>
      <c r="AC405" s="566"/>
      <c r="AD405" s="566"/>
    </row>
    <row r="406" spans="18:30" x14ac:dyDescent="0.25">
      <c r="R406" s="566"/>
      <c r="S406" s="566"/>
      <c r="T406" s="566"/>
      <c r="U406" s="566"/>
      <c r="V406" s="566"/>
      <c r="W406" s="566"/>
      <c r="X406" s="566"/>
      <c r="Y406" s="566"/>
      <c r="Z406" s="566"/>
      <c r="AA406" s="566"/>
      <c r="AB406" s="566"/>
      <c r="AC406" s="566"/>
      <c r="AD406" s="566"/>
    </row>
    <row r="407" spans="18:30" x14ac:dyDescent="0.25">
      <c r="R407" s="566"/>
      <c r="S407" s="566"/>
      <c r="T407" s="566"/>
      <c r="U407" s="566"/>
      <c r="V407" s="566"/>
      <c r="W407" s="566"/>
      <c r="X407" s="566"/>
      <c r="Y407" s="566"/>
      <c r="Z407" s="566"/>
      <c r="AA407" s="566"/>
      <c r="AB407" s="566"/>
      <c r="AC407" s="566"/>
      <c r="AD407" s="566"/>
    </row>
    <row r="408" spans="18:30" x14ac:dyDescent="0.25">
      <c r="R408" s="566"/>
      <c r="S408" s="566"/>
      <c r="T408" s="566"/>
      <c r="U408" s="566"/>
      <c r="V408" s="566"/>
      <c r="W408" s="566"/>
      <c r="X408" s="566"/>
      <c r="Y408" s="566"/>
      <c r="Z408" s="566"/>
      <c r="AA408" s="566"/>
      <c r="AB408" s="566"/>
      <c r="AC408" s="566"/>
      <c r="AD408" s="566"/>
    </row>
    <row r="409" spans="18:30" x14ac:dyDescent="0.25">
      <c r="R409" s="566"/>
      <c r="S409" s="566"/>
      <c r="T409" s="566"/>
      <c r="U409" s="566"/>
      <c r="V409" s="566"/>
      <c r="W409" s="566"/>
      <c r="X409" s="566"/>
      <c r="Y409" s="566"/>
      <c r="Z409" s="566"/>
      <c r="AA409" s="566"/>
      <c r="AB409" s="566"/>
      <c r="AC409" s="566"/>
      <c r="AD409" s="566"/>
    </row>
    <row r="410" spans="18:30" x14ac:dyDescent="0.25">
      <c r="R410" s="566"/>
      <c r="S410" s="566"/>
      <c r="T410" s="566"/>
      <c r="U410" s="566"/>
      <c r="V410" s="566"/>
      <c r="W410" s="566"/>
      <c r="X410" s="566"/>
      <c r="Y410" s="566"/>
      <c r="Z410" s="566"/>
      <c r="AA410" s="566"/>
      <c r="AB410" s="566"/>
      <c r="AC410" s="566"/>
      <c r="AD410" s="566"/>
    </row>
    <row r="411" spans="18:30" x14ac:dyDescent="0.25">
      <c r="R411" s="566"/>
      <c r="S411" s="566"/>
      <c r="T411" s="566"/>
      <c r="U411" s="566"/>
      <c r="V411" s="566"/>
      <c r="W411" s="566"/>
      <c r="X411" s="566"/>
      <c r="Y411" s="566"/>
      <c r="Z411" s="566"/>
      <c r="AA411" s="566"/>
      <c r="AB411" s="566"/>
      <c r="AC411" s="566"/>
      <c r="AD411" s="566"/>
    </row>
    <row r="412" spans="18:30" x14ac:dyDescent="0.25">
      <c r="R412" s="566"/>
      <c r="S412" s="566"/>
      <c r="T412" s="566"/>
      <c r="U412" s="566"/>
      <c r="V412" s="566"/>
      <c r="W412" s="566"/>
      <c r="X412" s="566"/>
      <c r="Y412" s="566"/>
      <c r="Z412" s="566"/>
      <c r="AA412" s="566"/>
      <c r="AB412" s="566"/>
      <c r="AC412" s="566"/>
      <c r="AD412" s="566"/>
    </row>
    <row r="413" spans="18:30" x14ac:dyDescent="0.25">
      <c r="R413" s="566"/>
      <c r="S413" s="566"/>
      <c r="T413" s="566"/>
      <c r="U413" s="566"/>
      <c r="V413" s="566"/>
      <c r="W413" s="566"/>
      <c r="X413" s="566"/>
      <c r="Y413" s="566"/>
      <c r="Z413" s="566"/>
      <c r="AA413" s="566"/>
      <c r="AB413" s="566"/>
      <c r="AC413" s="566"/>
      <c r="AD413" s="566"/>
    </row>
    <row r="414" spans="18:30" x14ac:dyDescent="0.25">
      <c r="R414" s="566"/>
      <c r="S414" s="566"/>
      <c r="T414" s="566"/>
      <c r="U414" s="566"/>
      <c r="V414" s="566"/>
      <c r="W414" s="566"/>
      <c r="X414" s="566"/>
      <c r="Y414" s="566"/>
      <c r="Z414" s="566"/>
      <c r="AA414" s="566"/>
      <c r="AB414" s="566"/>
      <c r="AC414" s="566"/>
      <c r="AD414" s="566"/>
    </row>
    <row r="415" spans="18:30" x14ac:dyDescent="0.25">
      <c r="R415" s="566"/>
      <c r="S415" s="566"/>
      <c r="T415" s="566"/>
      <c r="U415" s="566"/>
      <c r="V415" s="566"/>
      <c r="W415" s="566"/>
      <c r="X415" s="566"/>
      <c r="Y415" s="566"/>
      <c r="Z415" s="566"/>
      <c r="AA415" s="566"/>
      <c r="AB415" s="566"/>
      <c r="AC415" s="566"/>
      <c r="AD415" s="566"/>
    </row>
    <row r="416" spans="18:30" x14ac:dyDescent="0.25">
      <c r="R416" s="566"/>
      <c r="S416" s="566"/>
      <c r="T416" s="566"/>
      <c r="U416" s="566"/>
      <c r="V416" s="566"/>
      <c r="W416" s="566"/>
      <c r="X416" s="566"/>
      <c r="Y416" s="566"/>
      <c r="Z416" s="566"/>
      <c r="AA416" s="566"/>
      <c r="AB416" s="566"/>
      <c r="AC416" s="566"/>
      <c r="AD416" s="566"/>
    </row>
    <row r="417" spans="18:30" x14ac:dyDescent="0.25">
      <c r="R417" s="566"/>
      <c r="S417" s="566"/>
      <c r="T417" s="566"/>
      <c r="U417" s="566"/>
      <c r="V417" s="566"/>
      <c r="W417" s="566"/>
      <c r="X417" s="566"/>
      <c r="Y417" s="566"/>
      <c r="Z417" s="566"/>
      <c r="AA417" s="566"/>
      <c r="AB417" s="566"/>
      <c r="AC417" s="566"/>
      <c r="AD417" s="566"/>
    </row>
    <row r="418" spans="18:30" x14ac:dyDescent="0.25">
      <c r="R418" s="566"/>
      <c r="S418" s="566"/>
      <c r="T418" s="566"/>
      <c r="U418" s="566"/>
      <c r="V418" s="566"/>
      <c r="W418" s="566"/>
      <c r="X418" s="566"/>
      <c r="Y418" s="566"/>
      <c r="Z418" s="566"/>
      <c r="AA418" s="566"/>
      <c r="AB418" s="566"/>
      <c r="AC418" s="566"/>
      <c r="AD418" s="566"/>
    </row>
    <row r="419" spans="18:30" x14ac:dyDescent="0.25">
      <c r="R419" s="566"/>
      <c r="S419" s="566"/>
      <c r="T419" s="566"/>
      <c r="U419" s="566"/>
      <c r="V419" s="566"/>
      <c r="W419" s="566"/>
      <c r="X419" s="566"/>
      <c r="Y419" s="566"/>
      <c r="Z419" s="566"/>
      <c r="AA419" s="566"/>
      <c r="AB419" s="566"/>
      <c r="AC419" s="566"/>
      <c r="AD419" s="566"/>
    </row>
    <row r="420" spans="18:30" x14ac:dyDescent="0.25">
      <c r="R420" s="566"/>
      <c r="S420" s="566"/>
      <c r="T420" s="566"/>
      <c r="U420" s="566"/>
      <c r="V420" s="566"/>
      <c r="W420" s="566"/>
      <c r="X420" s="566"/>
      <c r="Y420" s="566"/>
      <c r="Z420" s="566"/>
      <c r="AA420" s="566"/>
      <c r="AB420" s="566"/>
      <c r="AC420" s="566"/>
      <c r="AD420" s="566"/>
    </row>
    <row r="421" spans="18:30" x14ac:dyDescent="0.25">
      <c r="R421" s="566"/>
      <c r="S421" s="566"/>
      <c r="T421" s="566"/>
      <c r="U421" s="566"/>
      <c r="V421" s="566"/>
      <c r="W421" s="566"/>
      <c r="X421" s="566"/>
      <c r="Y421" s="566"/>
      <c r="Z421" s="566"/>
      <c r="AA421" s="566"/>
      <c r="AB421" s="566"/>
      <c r="AC421" s="566"/>
      <c r="AD421" s="566"/>
    </row>
    <row r="422" spans="18:30" x14ac:dyDescent="0.25">
      <c r="R422" s="566"/>
      <c r="S422" s="566"/>
      <c r="T422" s="566"/>
      <c r="U422" s="566"/>
      <c r="V422" s="566"/>
      <c r="W422" s="566"/>
      <c r="X422" s="566"/>
      <c r="Y422" s="566"/>
      <c r="Z422" s="566"/>
      <c r="AA422" s="566"/>
      <c r="AB422" s="566"/>
      <c r="AC422" s="566"/>
      <c r="AD422" s="566"/>
    </row>
    <row r="423" spans="18:30" x14ac:dyDescent="0.25">
      <c r="R423" s="566"/>
      <c r="S423" s="566"/>
      <c r="T423" s="566"/>
      <c r="U423" s="566"/>
      <c r="V423" s="566"/>
      <c r="W423" s="566"/>
      <c r="X423" s="566"/>
      <c r="Y423" s="566"/>
      <c r="Z423" s="566"/>
      <c r="AA423" s="566"/>
      <c r="AB423" s="566"/>
      <c r="AC423" s="566"/>
      <c r="AD423" s="566"/>
    </row>
    <row r="424" spans="18:30" x14ac:dyDescent="0.25">
      <c r="R424" s="566"/>
      <c r="S424" s="566"/>
      <c r="T424" s="566"/>
      <c r="U424" s="566"/>
      <c r="V424" s="566"/>
      <c r="W424" s="566"/>
      <c r="X424" s="566"/>
      <c r="Y424" s="566"/>
      <c r="Z424" s="566"/>
      <c r="AA424" s="566"/>
      <c r="AB424" s="566"/>
      <c r="AC424" s="566"/>
      <c r="AD424" s="566"/>
    </row>
    <row r="425" spans="18:30" x14ac:dyDescent="0.25">
      <c r="R425" s="566"/>
      <c r="S425" s="566"/>
      <c r="T425" s="566"/>
      <c r="U425" s="566"/>
      <c r="V425" s="566"/>
      <c r="W425" s="566"/>
      <c r="X425" s="566"/>
      <c r="Y425" s="566"/>
      <c r="Z425" s="566"/>
      <c r="AA425" s="566"/>
      <c r="AB425" s="566"/>
      <c r="AC425" s="566"/>
      <c r="AD425" s="566"/>
    </row>
    <row r="426" spans="18:30" x14ac:dyDescent="0.25">
      <c r="R426" s="566"/>
      <c r="S426" s="566"/>
      <c r="T426" s="566"/>
      <c r="U426" s="566"/>
      <c r="V426" s="566"/>
      <c r="W426" s="566"/>
      <c r="X426" s="566"/>
      <c r="Y426" s="566"/>
      <c r="Z426" s="566"/>
      <c r="AA426" s="566"/>
      <c r="AB426" s="566"/>
      <c r="AC426" s="566"/>
      <c r="AD426" s="566"/>
    </row>
    <row r="427" spans="18:30" x14ac:dyDescent="0.25">
      <c r="R427" s="566"/>
      <c r="S427" s="566"/>
      <c r="T427" s="566"/>
      <c r="U427" s="566"/>
      <c r="V427" s="566"/>
      <c r="W427" s="566"/>
      <c r="X427" s="566"/>
      <c r="Y427" s="566"/>
      <c r="Z427" s="566"/>
      <c r="AA427" s="566"/>
      <c r="AB427" s="566"/>
      <c r="AC427" s="566"/>
      <c r="AD427" s="566"/>
    </row>
    <row r="428" spans="18:30" x14ac:dyDescent="0.25">
      <c r="R428" s="566"/>
      <c r="S428" s="566"/>
      <c r="T428" s="566"/>
      <c r="U428" s="566"/>
      <c r="V428" s="566"/>
      <c r="W428" s="566"/>
      <c r="X428" s="566"/>
      <c r="Y428" s="566"/>
      <c r="Z428" s="566"/>
      <c r="AA428" s="566"/>
      <c r="AB428" s="566"/>
      <c r="AC428" s="566"/>
      <c r="AD428" s="566"/>
    </row>
    <row r="429" spans="18:30" x14ac:dyDescent="0.25">
      <c r="R429" s="566"/>
      <c r="S429" s="566"/>
      <c r="T429" s="566"/>
      <c r="U429" s="566"/>
      <c r="V429" s="566"/>
      <c r="W429" s="566"/>
      <c r="X429" s="566"/>
      <c r="Y429" s="566"/>
      <c r="Z429" s="566"/>
      <c r="AA429" s="566"/>
      <c r="AB429" s="566"/>
      <c r="AC429" s="566"/>
      <c r="AD429" s="566"/>
    </row>
    <row r="430" spans="18:30" x14ac:dyDescent="0.25">
      <c r="R430" s="566"/>
      <c r="S430" s="566"/>
      <c r="T430" s="566"/>
      <c r="U430" s="566"/>
      <c r="V430" s="566"/>
      <c r="W430" s="566"/>
      <c r="X430" s="566"/>
      <c r="Y430" s="566"/>
      <c r="Z430" s="566"/>
      <c r="AA430" s="566"/>
      <c r="AB430" s="566"/>
      <c r="AC430" s="566"/>
      <c r="AD430" s="566"/>
    </row>
    <row r="431" spans="18:30" x14ac:dyDescent="0.25">
      <c r="R431" s="566"/>
      <c r="S431" s="566"/>
      <c r="T431" s="566"/>
      <c r="U431" s="566"/>
      <c r="V431" s="566"/>
      <c r="W431" s="566"/>
      <c r="X431" s="566"/>
      <c r="Y431" s="566"/>
      <c r="Z431" s="566"/>
      <c r="AA431" s="566"/>
      <c r="AB431" s="566"/>
      <c r="AC431" s="566"/>
      <c r="AD431" s="566"/>
    </row>
    <row r="432" spans="18:30" x14ac:dyDescent="0.25">
      <c r="R432" s="566"/>
      <c r="S432" s="566"/>
      <c r="T432" s="566"/>
      <c r="U432" s="566"/>
      <c r="V432" s="566"/>
      <c r="W432" s="566"/>
      <c r="X432" s="566"/>
      <c r="Y432" s="566"/>
      <c r="Z432" s="566"/>
      <c r="AA432" s="566"/>
      <c r="AB432" s="566"/>
      <c r="AC432" s="566"/>
      <c r="AD432" s="566"/>
    </row>
    <row r="433" spans="18:30" x14ac:dyDescent="0.25">
      <c r="R433" s="566"/>
      <c r="S433" s="566"/>
      <c r="T433" s="566"/>
      <c r="U433" s="566"/>
      <c r="V433" s="566"/>
      <c r="W433" s="566"/>
      <c r="X433" s="566"/>
      <c r="Y433" s="566"/>
      <c r="Z433" s="566"/>
      <c r="AA433" s="566"/>
      <c r="AB433" s="566"/>
      <c r="AC433" s="566"/>
      <c r="AD433" s="566"/>
    </row>
    <row r="434" spans="18:30" x14ac:dyDescent="0.25">
      <c r="R434" s="566"/>
      <c r="S434" s="566"/>
      <c r="T434" s="566"/>
      <c r="U434" s="566"/>
      <c r="V434" s="566"/>
      <c r="W434" s="566"/>
      <c r="X434" s="566"/>
      <c r="Y434" s="566"/>
      <c r="Z434" s="566"/>
      <c r="AA434" s="566"/>
      <c r="AB434" s="566"/>
      <c r="AC434" s="566"/>
      <c r="AD434" s="566"/>
    </row>
    <row r="435" spans="18:30" x14ac:dyDescent="0.25">
      <c r="R435" s="566"/>
      <c r="S435" s="566"/>
      <c r="T435" s="566"/>
      <c r="U435" s="566"/>
      <c r="V435" s="566"/>
      <c r="W435" s="566"/>
      <c r="X435" s="566"/>
      <c r="Y435" s="566"/>
      <c r="Z435" s="566"/>
      <c r="AA435" s="566"/>
      <c r="AB435" s="566"/>
      <c r="AC435" s="566"/>
      <c r="AD435" s="566"/>
    </row>
    <row r="436" spans="18:30" x14ac:dyDescent="0.25">
      <c r="R436" s="566"/>
      <c r="S436" s="566"/>
      <c r="T436" s="566"/>
      <c r="U436" s="566"/>
      <c r="V436" s="566"/>
      <c r="W436" s="566"/>
      <c r="X436" s="566"/>
      <c r="Y436" s="566"/>
      <c r="Z436" s="566"/>
      <c r="AA436" s="566"/>
      <c r="AB436" s="566"/>
      <c r="AC436" s="566"/>
      <c r="AD436" s="566"/>
    </row>
    <row r="437" spans="18:30" x14ac:dyDescent="0.25">
      <c r="R437" s="566"/>
      <c r="S437" s="566"/>
      <c r="T437" s="566"/>
      <c r="U437" s="566"/>
      <c r="V437" s="566"/>
      <c r="W437" s="566"/>
      <c r="X437" s="566"/>
      <c r="Y437" s="566"/>
      <c r="Z437" s="566"/>
      <c r="AA437" s="566"/>
      <c r="AB437" s="566"/>
      <c r="AC437" s="566"/>
      <c r="AD437" s="566"/>
    </row>
    <row r="438" spans="18:30" x14ac:dyDescent="0.25">
      <c r="R438" s="566"/>
      <c r="S438" s="566"/>
      <c r="T438" s="566"/>
      <c r="U438" s="566"/>
      <c r="V438" s="566"/>
      <c r="W438" s="566"/>
      <c r="X438" s="566"/>
      <c r="Y438" s="566"/>
      <c r="Z438" s="566"/>
      <c r="AA438" s="566"/>
      <c r="AB438" s="566"/>
      <c r="AC438" s="566"/>
      <c r="AD438" s="566"/>
    </row>
    <row r="439" spans="18:30" x14ac:dyDescent="0.25">
      <c r="R439" s="566"/>
      <c r="S439" s="566"/>
      <c r="T439" s="566"/>
      <c r="U439" s="566"/>
      <c r="V439" s="566"/>
      <c r="W439" s="566"/>
      <c r="X439" s="566"/>
      <c r="Y439" s="566"/>
      <c r="Z439" s="566"/>
      <c r="AA439" s="566"/>
      <c r="AB439" s="566"/>
      <c r="AC439" s="566"/>
      <c r="AD439" s="566"/>
    </row>
    <row r="440" spans="18:30" x14ac:dyDescent="0.25">
      <c r="R440" s="566"/>
      <c r="S440" s="566"/>
      <c r="T440" s="566"/>
      <c r="U440" s="566"/>
      <c r="V440" s="566"/>
      <c r="W440" s="566"/>
      <c r="X440" s="566"/>
      <c r="Y440" s="566"/>
      <c r="Z440" s="566"/>
      <c r="AA440" s="566"/>
      <c r="AB440" s="566"/>
      <c r="AC440" s="566"/>
      <c r="AD440" s="566"/>
    </row>
    <row r="441" spans="18:30" x14ac:dyDescent="0.25">
      <c r="R441" s="566"/>
      <c r="S441" s="566"/>
      <c r="T441" s="566"/>
      <c r="U441" s="566"/>
      <c r="V441" s="566"/>
      <c r="W441" s="566"/>
      <c r="X441" s="566"/>
      <c r="Y441" s="566"/>
      <c r="Z441" s="566"/>
      <c r="AA441" s="566"/>
      <c r="AB441" s="566"/>
      <c r="AC441" s="566"/>
      <c r="AD441" s="566"/>
    </row>
    <row r="442" spans="18:30" x14ac:dyDescent="0.25">
      <c r="R442" s="566"/>
      <c r="S442" s="566"/>
      <c r="T442" s="566"/>
      <c r="U442" s="566"/>
      <c r="V442" s="566"/>
      <c r="W442" s="566"/>
      <c r="X442" s="566"/>
      <c r="Y442" s="566"/>
      <c r="Z442" s="566"/>
      <c r="AA442" s="566"/>
      <c r="AB442" s="566"/>
      <c r="AC442" s="566"/>
      <c r="AD442" s="566"/>
    </row>
    <row r="443" spans="18:30" x14ac:dyDescent="0.25">
      <c r="R443" s="566"/>
      <c r="S443" s="566"/>
      <c r="T443" s="566"/>
      <c r="U443" s="566"/>
      <c r="V443" s="566"/>
      <c r="W443" s="566"/>
      <c r="X443" s="566"/>
      <c r="Y443" s="566"/>
      <c r="Z443" s="566"/>
      <c r="AA443" s="566"/>
      <c r="AB443" s="566"/>
      <c r="AC443" s="566"/>
      <c r="AD443" s="566"/>
    </row>
    <row r="444" spans="18:30" x14ac:dyDescent="0.25">
      <c r="R444" s="566"/>
      <c r="S444" s="566"/>
      <c r="T444" s="566"/>
      <c r="U444" s="566"/>
      <c r="V444" s="566"/>
      <c r="W444" s="566"/>
      <c r="X444" s="566"/>
      <c r="Y444" s="566"/>
      <c r="Z444" s="566"/>
      <c r="AA444" s="566"/>
      <c r="AB444" s="566"/>
      <c r="AC444" s="566"/>
      <c r="AD444" s="566"/>
    </row>
    <row r="445" spans="18:30" x14ac:dyDescent="0.25">
      <c r="R445" s="566"/>
      <c r="S445" s="566"/>
      <c r="T445" s="566"/>
      <c r="U445" s="566"/>
      <c r="V445" s="566"/>
      <c r="W445" s="566"/>
      <c r="X445" s="566"/>
      <c r="Y445" s="566"/>
      <c r="Z445" s="566"/>
      <c r="AA445" s="566"/>
      <c r="AB445" s="566"/>
      <c r="AC445" s="566"/>
      <c r="AD445" s="566"/>
    </row>
    <row r="446" spans="18:30" x14ac:dyDescent="0.25">
      <c r="R446" s="566"/>
      <c r="S446" s="566"/>
      <c r="T446" s="566"/>
      <c r="U446" s="566"/>
      <c r="V446" s="566"/>
      <c r="W446" s="566"/>
      <c r="X446" s="566"/>
      <c r="Y446" s="566"/>
      <c r="Z446" s="566"/>
      <c r="AA446" s="566"/>
      <c r="AB446" s="566"/>
      <c r="AC446" s="566"/>
      <c r="AD446" s="566"/>
    </row>
    <row r="447" spans="18:30" x14ac:dyDescent="0.25">
      <c r="R447" s="566"/>
      <c r="S447" s="566"/>
      <c r="T447" s="566"/>
      <c r="U447" s="566"/>
      <c r="V447" s="566"/>
      <c r="W447" s="566"/>
      <c r="X447" s="566"/>
      <c r="Y447" s="566"/>
      <c r="Z447" s="566"/>
      <c r="AA447" s="566"/>
      <c r="AB447" s="566"/>
      <c r="AC447" s="566"/>
      <c r="AD447" s="566"/>
    </row>
    <row r="448" spans="18:30" x14ac:dyDescent="0.25">
      <c r="R448" s="566"/>
      <c r="S448" s="566"/>
      <c r="T448" s="566"/>
      <c r="U448" s="566"/>
      <c r="V448" s="566"/>
      <c r="W448" s="566"/>
      <c r="X448" s="566"/>
      <c r="Y448" s="566"/>
      <c r="Z448" s="566"/>
      <c r="AA448" s="566"/>
      <c r="AB448" s="566"/>
      <c r="AC448" s="566"/>
      <c r="AD448" s="566"/>
    </row>
    <row r="449" spans="18:30" x14ac:dyDescent="0.25">
      <c r="R449" s="566"/>
      <c r="S449" s="566"/>
      <c r="T449" s="566"/>
      <c r="U449" s="566"/>
      <c r="V449" s="566"/>
      <c r="W449" s="566"/>
      <c r="X449" s="566"/>
      <c r="Y449" s="566"/>
      <c r="Z449" s="566"/>
      <c r="AA449" s="566"/>
      <c r="AB449" s="566"/>
      <c r="AC449" s="566"/>
      <c r="AD449" s="566"/>
    </row>
    <row r="450" spans="18:30" x14ac:dyDescent="0.25">
      <c r="R450" s="566"/>
      <c r="S450" s="566"/>
      <c r="T450" s="566"/>
      <c r="U450" s="566"/>
      <c r="V450" s="566"/>
      <c r="W450" s="566"/>
      <c r="X450" s="566"/>
      <c r="Y450" s="566"/>
      <c r="Z450" s="566"/>
      <c r="AA450" s="566"/>
      <c r="AB450" s="566"/>
      <c r="AC450" s="566"/>
      <c r="AD450" s="566"/>
    </row>
    <row r="451" spans="18:30" x14ac:dyDescent="0.25">
      <c r="R451" s="566"/>
      <c r="S451" s="566"/>
      <c r="T451" s="566"/>
      <c r="U451" s="566"/>
      <c r="V451" s="566"/>
      <c r="W451" s="566"/>
      <c r="X451" s="566"/>
      <c r="Y451" s="566"/>
      <c r="Z451" s="566"/>
      <c r="AA451" s="566"/>
      <c r="AB451" s="566"/>
      <c r="AC451" s="566"/>
      <c r="AD451" s="566"/>
    </row>
    <row r="452" spans="18:30" x14ac:dyDescent="0.25">
      <c r="R452" s="566"/>
      <c r="S452" s="566"/>
      <c r="T452" s="566"/>
      <c r="U452" s="566"/>
      <c r="V452" s="566"/>
      <c r="W452" s="566"/>
      <c r="X452" s="566"/>
      <c r="Y452" s="566"/>
      <c r="Z452" s="566"/>
      <c r="AA452" s="566"/>
      <c r="AB452" s="566"/>
      <c r="AC452" s="566"/>
      <c r="AD452" s="566"/>
    </row>
    <row r="453" spans="18:30" x14ac:dyDescent="0.25">
      <c r="R453" s="566"/>
      <c r="S453" s="566"/>
      <c r="T453" s="566"/>
      <c r="U453" s="566"/>
      <c r="V453" s="566"/>
      <c r="W453" s="566"/>
      <c r="X453" s="566"/>
      <c r="Y453" s="566"/>
      <c r="Z453" s="566"/>
      <c r="AA453" s="566"/>
      <c r="AB453" s="566"/>
      <c r="AC453" s="566"/>
      <c r="AD453" s="566"/>
    </row>
    <row r="454" spans="18:30" x14ac:dyDescent="0.25">
      <c r="R454" s="566"/>
      <c r="S454" s="566"/>
      <c r="T454" s="566"/>
      <c r="U454" s="566"/>
      <c r="V454" s="566"/>
      <c r="W454" s="566"/>
      <c r="X454" s="566"/>
      <c r="Y454" s="566"/>
      <c r="Z454" s="566"/>
      <c r="AA454" s="566"/>
      <c r="AB454" s="566"/>
      <c r="AC454" s="566"/>
      <c r="AD454" s="566"/>
    </row>
    <row r="455" spans="18:30" x14ac:dyDescent="0.25">
      <c r="R455" s="566"/>
      <c r="S455" s="566"/>
      <c r="T455" s="566"/>
      <c r="U455" s="566"/>
      <c r="V455" s="566"/>
      <c r="W455" s="566"/>
      <c r="X455" s="566"/>
      <c r="Y455" s="566"/>
      <c r="Z455" s="566"/>
      <c r="AA455" s="566"/>
      <c r="AB455" s="566"/>
      <c r="AC455" s="566"/>
      <c r="AD455" s="566"/>
    </row>
    <row r="456" spans="18:30" x14ac:dyDescent="0.25">
      <c r="R456" s="566"/>
      <c r="S456" s="566"/>
      <c r="T456" s="566"/>
      <c r="U456" s="566"/>
      <c r="V456" s="566"/>
      <c r="W456" s="566"/>
      <c r="X456" s="566"/>
      <c r="Y456" s="566"/>
      <c r="Z456" s="566"/>
      <c r="AA456" s="566"/>
      <c r="AB456" s="566"/>
      <c r="AC456" s="566"/>
      <c r="AD456" s="566"/>
    </row>
    <row r="457" spans="18:30" x14ac:dyDescent="0.25">
      <c r="R457" s="566"/>
      <c r="S457" s="566"/>
      <c r="T457" s="566"/>
      <c r="U457" s="566"/>
      <c r="V457" s="566"/>
      <c r="W457" s="566"/>
      <c r="X457" s="566"/>
      <c r="Y457" s="566"/>
      <c r="Z457" s="566"/>
      <c r="AA457" s="566"/>
      <c r="AB457" s="566"/>
      <c r="AC457" s="566"/>
      <c r="AD457" s="566"/>
    </row>
    <row r="458" spans="18:30" x14ac:dyDescent="0.25">
      <c r="R458" s="566"/>
      <c r="S458" s="566"/>
      <c r="T458" s="566"/>
      <c r="U458" s="566"/>
      <c r="V458" s="566"/>
      <c r="W458" s="566"/>
      <c r="X458" s="566"/>
      <c r="Y458" s="566"/>
      <c r="Z458" s="566"/>
      <c r="AA458" s="566"/>
      <c r="AB458" s="566"/>
      <c r="AC458" s="566"/>
      <c r="AD458" s="566"/>
    </row>
    <row r="459" spans="18:30" x14ac:dyDescent="0.25">
      <c r="R459" s="566"/>
      <c r="S459" s="566"/>
      <c r="T459" s="566"/>
      <c r="U459" s="566"/>
      <c r="V459" s="566"/>
      <c r="W459" s="566"/>
      <c r="X459" s="566"/>
      <c r="Y459" s="566"/>
      <c r="Z459" s="566"/>
      <c r="AA459" s="566"/>
      <c r="AB459" s="566"/>
      <c r="AC459" s="566"/>
      <c r="AD459" s="566"/>
    </row>
    <row r="460" spans="18:30" x14ac:dyDescent="0.25">
      <c r="R460" s="566"/>
      <c r="S460" s="566"/>
      <c r="T460" s="566"/>
      <c r="U460" s="566"/>
      <c r="V460" s="566"/>
      <c r="W460" s="566"/>
      <c r="X460" s="566"/>
      <c r="Y460" s="566"/>
      <c r="Z460" s="566"/>
      <c r="AA460" s="566"/>
      <c r="AB460" s="566"/>
      <c r="AC460" s="566"/>
      <c r="AD460" s="566"/>
    </row>
    <row r="461" spans="18:30" x14ac:dyDescent="0.25">
      <c r="R461" s="566"/>
      <c r="S461" s="566"/>
      <c r="T461" s="566"/>
      <c r="U461" s="566"/>
      <c r="V461" s="566"/>
      <c r="W461" s="566"/>
      <c r="X461" s="566"/>
      <c r="Y461" s="566"/>
      <c r="Z461" s="566"/>
      <c r="AA461" s="566"/>
      <c r="AB461" s="566"/>
      <c r="AC461" s="566"/>
      <c r="AD461" s="566"/>
    </row>
    <row r="462" spans="18:30" x14ac:dyDescent="0.25">
      <c r="R462" s="566"/>
      <c r="S462" s="566"/>
      <c r="T462" s="566"/>
      <c r="U462" s="566"/>
      <c r="V462" s="566"/>
      <c r="W462" s="566"/>
      <c r="X462" s="566"/>
      <c r="Y462" s="566"/>
      <c r="Z462" s="566"/>
      <c r="AA462" s="566"/>
      <c r="AB462" s="566"/>
      <c r="AC462" s="566"/>
      <c r="AD462" s="566"/>
    </row>
    <row r="463" spans="18:30" x14ac:dyDescent="0.25">
      <c r="R463" s="566"/>
      <c r="S463" s="566"/>
      <c r="T463" s="566"/>
      <c r="U463" s="566"/>
      <c r="V463" s="566"/>
      <c r="W463" s="566"/>
      <c r="X463" s="566"/>
      <c r="Y463" s="566"/>
      <c r="Z463" s="566"/>
      <c r="AA463" s="566"/>
      <c r="AB463" s="566"/>
      <c r="AC463" s="566"/>
      <c r="AD463" s="566"/>
    </row>
    <row r="464" spans="18:30" x14ac:dyDescent="0.25">
      <c r="R464" s="566"/>
      <c r="S464" s="566"/>
      <c r="T464" s="566"/>
      <c r="U464" s="566"/>
      <c r="V464" s="566"/>
      <c r="W464" s="566"/>
      <c r="X464" s="566"/>
      <c r="Y464" s="566"/>
      <c r="Z464" s="566"/>
      <c r="AA464" s="566"/>
      <c r="AB464" s="566"/>
      <c r="AC464" s="566"/>
      <c r="AD464" s="566"/>
    </row>
    <row r="465" spans="18:30" x14ac:dyDescent="0.25">
      <c r="R465" s="566"/>
      <c r="S465" s="566"/>
      <c r="T465" s="566"/>
      <c r="U465" s="566"/>
      <c r="V465" s="566"/>
      <c r="W465" s="566"/>
      <c r="X465" s="566"/>
      <c r="Y465" s="566"/>
      <c r="Z465" s="566"/>
      <c r="AA465" s="566"/>
      <c r="AB465" s="566"/>
      <c r="AC465" s="566"/>
      <c r="AD465" s="566"/>
    </row>
    <row r="466" spans="18:30" x14ac:dyDescent="0.25">
      <c r="R466" s="566"/>
      <c r="S466" s="566"/>
      <c r="T466" s="566"/>
      <c r="U466" s="566"/>
      <c r="V466" s="566"/>
      <c r="W466" s="566"/>
      <c r="X466" s="566"/>
      <c r="Y466" s="566"/>
      <c r="Z466" s="566"/>
      <c r="AA466" s="566"/>
      <c r="AB466" s="566"/>
      <c r="AC466" s="566"/>
      <c r="AD466" s="566"/>
    </row>
    <row r="467" spans="18:30" x14ac:dyDescent="0.25">
      <c r="R467" s="566"/>
      <c r="S467" s="566"/>
      <c r="T467" s="566"/>
      <c r="U467" s="566"/>
      <c r="V467" s="566"/>
      <c r="W467" s="566"/>
      <c r="X467" s="566"/>
      <c r="Y467" s="566"/>
      <c r="Z467" s="566"/>
      <c r="AA467" s="566"/>
      <c r="AB467" s="566"/>
      <c r="AC467" s="566"/>
      <c r="AD467" s="566"/>
    </row>
    <row r="468" spans="18:30" x14ac:dyDescent="0.25">
      <c r="R468" s="566"/>
      <c r="S468" s="566"/>
      <c r="T468" s="566"/>
      <c r="U468" s="566"/>
      <c r="V468" s="566"/>
      <c r="W468" s="566"/>
      <c r="X468" s="566"/>
      <c r="Y468" s="566"/>
      <c r="Z468" s="566"/>
      <c r="AA468" s="566"/>
      <c r="AB468" s="566"/>
      <c r="AC468" s="566"/>
      <c r="AD468" s="566"/>
    </row>
    <row r="469" spans="18:30" x14ac:dyDescent="0.25">
      <c r="R469" s="566"/>
      <c r="S469" s="566"/>
      <c r="T469" s="566"/>
      <c r="U469" s="566"/>
      <c r="V469" s="566"/>
      <c r="W469" s="566"/>
      <c r="X469" s="566"/>
      <c r="Y469" s="566"/>
      <c r="Z469" s="566"/>
      <c r="AA469" s="566"/>
      <c r="AB469" s="566"/>
      <c r="AC469" s="566"/>
      <c r="AD469" s="566"/>
    </row>
    <row r="470" spans="18:30" x14ac:dyDescent="0.25">
      <c r="R470" s="566"/>
      <c r="S470" s="566"/>
      <c r="T470" s="566"/>
      <c r="U470" s="566"/>
      <c r="V470" s="566"/>
      <c r="W470" s="566"/>
      <c r="X470" s="566"/>
      <c r="Y470" s="566"/>
      <c r="Z470" s="566"/>
      <c r="AA470" s="566"/>
      <c r="AB470" s="566"/>
      <c r="AC470" s="566"/>
      <c r="AD470" s="566"/>
    </row>
    <row r="471" spans="18:30" x14ac:dyDescent="0.25">
      <c r="R471" s="566"/>
      <c r="S471" s="566"/>
      <c r="T471" s="566"/>
      <c r="U471" s="566"/>
      <c r="V471" s="566"/>
      <c r="W471" s="566"/>
      <c r="X471" s="566"/>
      <c r="Y471" s="566"/>
      <c r="Z471" s="566"/>
      <c r="AA471" s="566"/>
      <c r="AB471" s="566"/>
      <c r="AC471" s="566"/>
      <c r="AD471" s="566"/>
    </row>
    <row r="472" spans="18:30" x14ac:dyDescent="0.25">
      <c r="R472" s="566"/>
      <c r="S472" s="566"/>
      <c r="T472" s="566"/>
      <c r="U472" s="566"/>
      <c r="V472" s="566"/>
      <c r="W472" s="566"/>
      <c r="X472" s="566"/>
      <c r="Y472" s="566"/>
      <c r="Z472" s="566"/>
      <c r="AA472" s="566"/>
      <c r="AB472" s="566"/>
      <c r="AC472" s="566"/>
      <c r="AD472" s="566"/>
    </row>
    <row r="473" spans="18:30" x14ac:dyDescent="0.25">
      <c r="R473" s="566"/>
      <c r="S473" s="566"/>
      <c r="T473" s="566"/>
      <c r="U473" s="566"/>
      <c r="V473" s="566"/>
      <c r="W473" s="566"/>
      <c r="X473" s="566"/>
      <c r="Y473" s="566"/>
      <c r="Z473" s="566"/>
      <c r="AA473" s="566"/>
      <c r="AB473" s="566"/>
      <c r="AC473" s="566"/>
      <c r="AD473" s="566"/>
    </row>
    <row r="474" spans="18:30" x14ac:dyDescent="0.25">
      <c r="R474" s="566"/>
      <c r="S474" s="566"/>
      <c r="T474" s="566"/>
      <c r="U474" s="566"/>
      <c r="V474" s="566"/>
      <c r="W474" s="566"/>
      <c r="X474" s="566"/>
      <c r="Y474" s="566"/>
      <c r="Z474" s="566"/>
      <c r="AA474" s="566"/>
      <c r="AB474" s="566"/>
      <c r="AC474" s="566"/>
      <c r="AD474" s="566"/>
    </row>
    <row r="475" spans="18:30" x14ac:dyDescent="0.25">
      <c r="R475" s="566"/>
      <c r="S475" s="566"/>
      <c r="T475" s="566"/>
      <c r="U475" s="566"/>
      <c r="V475" s="566"/>
      <c r="W475" s="566"/>
      <c r="X475" s="566"/>
      <c r="Y475" s="566"/>
      <c r="Z475" s="566"/>
      <c r="AA475" s="566"/>
      <c r="AB475" s="566"/>
      <c r="AC475" s="566"/>
      <c r="AD475" s="566"/>
    </row>
    <row r="476" spans="18:30" x14ac:dyDescent="0.25">
      <c r="R476" s="566"/>
      <c r="S476" s="566"/>
      <c r="T476" s="566"/>
      <c r="U476" s="566"/>
      <c r="V476" s="566"/>
      <c r="W476" s="566"/>
      <c r="X476" s="566"/>
      <c r="Y476" s="566"/>
      <c r="Z476" s="566"/>
      <c r="AA476" s="566"/>
      <c r="AB476" s="566"/>
      <c r="AC476" s="566"/>
      <c r="AD476" s="566"/>
    </row>
    <row r="477" spans="18:30" x14ac:dyDescent="0.25">
      <c r="R477" s="566"/>
      <c r="S477" s="566"/>
      <c r="T477" s="566"/>
      <c r="U477" s="566"/>
      <c r="V477" s="566"/>
      <c r="W477" s="566"/>
      <c r="X477" s="566"/>
      <c r="Y477" s="566"/>
      <c r="Z477" s="566"/>
      <c r="AA477" s="566"/>
      <c r="AB477" s="566"/>
      <c r="AC477" s="566"/>
      <c r="AD477" s="566"/>
    </row>
    <row r="478" spans="18:30" x14ac:dyDescent="0.25">
      <c r="R478" s="566"/>
      <c r="S478" s="566"/>
      <c r="T478" s="566"/>
      <c r="U478" s="566"/>
      <c r="V478" s="566"/>
      <c r="W478" s="566"/>
      <c r="X478" s="566"/>
      <c r="Y478" s="566"/>
      <c r="Z478" s="566"/>
      <c r="AA478" s="566"/>
      <c r="AB478" s="566"/>
      <c r="AC478" s="566"/>
      <c r="AD478" s="566"/>
    </row>
    <row r="479" spans="18:30" x14ac:dyDescent="0.25">
      <c r="R479" s="566"/>
      <c r="S479" s="566"/>
      <c r="T479" s="566"/>
      <c r="U479" s="566"/>
      <c r="V479" s="566"/>
      <c r="W479" s="566"/>
      <c r="X479" s="566"/>
      <c r="Y479" s="566"/>
      <c r="Z479" s="566"/>
      <c r="AA479" s="566"/>
      <c r="AB479" s="566"/>
      <c r="AC479" s="566"/>
      <c r="AD479" s="566"/>
    </row>
    <row r="480" spans="18:30" x14ac:dyDescent="0.25">
      <c r="R480" s="566"/>
      <c r="S480" s="566"/>
      <c r="T480" s="566"/>
      <c r="U480" s="566"/>
      <c r="V480" s="566"/>
      <c r="W480" s="566"/>
      <c r="X480" s="566"/>
      <c r="Y480" s="566"/>
      <c r="Z480" s="566"/>
      <c r="AA480" s="566"/>
      <c r="AB480" s="566"/>
      <c r="AC480" s="566"/>
      <c r="AD480" s="566"/>
    </row>
    <row r="481" spans="18:30" x14ac:dyDescent="0.25">
      <c r="R481" s="566"/>
      <c r="S481" s="566"/>
      <c r="T481" s="566"/>
      <c r="U481" s="566"/>
      <c r="V481" s="566"/>
      <c r="W481" s="566"/>
      <c r="X481" s="566"/>
      <c r="Y481" s="566"/>
      <c r="Z481" s="566"/>
      <c r="AA481" s="566"/>
      <c r="AB481" s="566"/>
      <c r="AC481" s="566"/>
      <c r="AD481" s="566"/>
    </row>
    <row r="482" spans="18:30" x14ac:dyDescent="0.25">
      <c r="R482" s="566"/>
      <c r="S482" s="566"/>
      <c r="T482" s="566"/>
      <c r="U482" s="566"/>
      <c r="V482" s="566"/>
      <c r="W482" s="566"/>
      <c r="X482" s="566"/>
      <c r="Y482" s="566"/>
      <c r="Z482" s="566"/>
      <c r="AA482" s="566"/>
      <c r="AB482" s="566"/>
      <c r="AC482" s="566"/>
      <c r="AD482" s="566"/>
    </row>
    <row r="483" spans="18:30" x14ac:dyDescent="0.25">
      <c r="R483" s="566"/>
      <c r="S483" s="566"/>
      <c r="T483" s="566"/>
      <c r="U483" s="566"/>
      <c r="V483" s="566"/>
      <c r="W483" s="566"/>
      <c r="X483" s="566"/>
      <c r="Y483" s="566"/>
      <c r="Z483" s="566"/>
      <c r="AA483" s="566"/>
      <c r="AB483" s="566"/>
      <c r="AC483" s="566"/>
      <c r="AD483" s="566"/>
    </row>
    <row r="484" spans="18:30" x14ac:dyDescent="0.25">
      <c r="R484" s="566"/>
      <c r="S484" s="566"/>
      <c r="T484" s="566"/>
      <c r="U484" s="566"/>
      <c r="V484" s="566"/>
      <c r="W484" s="566"/>
      <c r="X484" s="566"/>
      <c r="Y484" s="566"/>
      <c r="Z484" s="566"/>
      <c r="AA484" s="566"/>
      <c r="AB484" s="566"/>
      <c r="AC484" s="566"/>
      <c r="AD484" s="566"/>
    </row>
    <row r="485" spans="18:30" x14ac:dyDescent="0.25">
      <c r="R485" s="566"/>
      <c r="S485" s="566"/>
      <c r="T485" s="566"/>
      <c r="U485" s="566"/>
      <c r="V485" s="566"/>
      <c r="W485" s="566"/>
      <c r="X485" s="566"/>
      <c r="Y485" s="566"/>
      <c r="Z485" s="566"/>
      <c r="AA485" s="566"/>
      <c r="AB485" s="566"/>
      <c r="AC485" s="566"/>
      <c r="AD485" s="566"/>
    </row>
    <row r="486" spans="18:30" x14ac:dyDescent="0.25">
      <c r="R486" s="566"/>
      <c r="S486" s="566"/>
      <c r="T486" s="566"/>
      <c r="U486" s="566"/>
      <c r="V486" s="566"/>
      <c r="W486" s="566"/>
      <c r="X486" s="566"/>
      <c r="Y486" s="566"/>
      <c r="Z486" s="566"/>
      <c r="AA486" s="566"/>
      <c r="AB486" s="566"/>
      <c r="AC486" s="566"/>
      <c r="AD486" s="566"/>
    </row>
    <row r="487" spans="18:30" x14ac:dyDescent="0.25">
      <c r="R487" s="566"/>
      <c r="S487" s="566"/>
      <c r="T487" s="566"/>
      <c r="U487" s="566"/>
      <c r="V487" s="566"/>
      <c r="W487" s="566"/>
      <c r="X487" s="566"/>
      <c r="Y487" s="566"/>
      <c r="Z487" s="566"/>
      <c r="AA487" s="566"/>
      <c r="AB487" s="566"/>
      <c r="AC487" s="566"/>
      <c r="AD487" s="566"/>
    </row>
    <row r="488" spans="18:30" x14ac:dyDescent="0.25">
      <c r="R488" s="566"/>
      <c r="S488" s="566"/>
      <c r="T488" s="566"/>
      <c r="U488" s="566"/>
      <c r="V488" s="566"/>
      <c r="W488" s="566"/>
      <c r="X488" s="566"/>
      <c r="Y488" s="566"/>
      <c r="Z488" s="566"/>
      <c r="AA488" s="566"/>
      <c r="AB488" s="566"/>
      <c r="AC488" s="566"/>
      <c r="AD488" s="566"/>
    </row>
    <row r="489" spans="18:30" x14ac:dyDescent="0.25">
      <c r="R489" s="566"/>
      <c r="S489" s="566"/>
      <c r="T489" s="566"/>
      <c r="U489" s="566"/>
      <c r="V489" s="566"/>
      <c r="W489" s="566"/>
      <c r="X489" s="566"/>
      <c r="Y489" s="566"/>
      <c r="Z489" s="566"/>
      <c r="AA489" s="566"/>
      <c r="AB489" s="566"/>
      <c r="AC489" s="566"/>
      <c r="AD489" s="566"/>
    </row>
    <row r="490" spans="18:30" x14ac:dyDescent="0.25">
      <c r="R490" s="566"/>
      <c r="S490" s="566"/>
      <c r="T490" s="566"/>
      <c r="U490" s="566"/>
      <c r="V490" s="566"/>
      <c r="W490" s="566"/>
      <c r="X490" s="566"/>
      <c r="Y490" s="566"/>
      <c r="Z490" s="566"/>
      <c r="AA490" s="566"/>
      <c r="AB490" s="566"/>
      <c r="AC490" s="566"/>
      <c r="AD490" s="566"/>
    </row>
    <row r="491" spans="18:30" x14ac:dyDescent="0.25">
      <c r="R491" s="566"/>
      <c r="S491" s="566"/>
      <c r="T491" s="566"/>
      <c r="U491" s="566"/>
      <c r="V491" s="566"/>
      <c r="W491" s="566"/>
      <c r="X491" s="566"/>
      <c r="Y491" s="566"/>
      <c r="Z491" s="566"/>
      <c r="AA491" s="566"/>
      <c r="AB491" s="566"/>
      <c r="AC491" s="566"/>
      <c r="AD491" s="566"/>
    </row>
    <row r="492" spans="18:30" x14ac:dyDescent="0.25">
      <c r="R492" s="566"/>
      <c r="S492" s="566"/>
      <c r="T492" s="566"/>
      <c r="U492" s="566"/>
      <c r="V492" s="566"/>
      <c r="W492" s="566"/>
      <c r="X492" s="566"/>
      <c r="Y492" s="566"/>
      <c r="Z492" s="566"/>
      <c r="AA492" s="566"/>
      <c r="AB492" s="566"/>
      <c r="AC492" s="566"/>
      <c r="AD492" s="566"/>
    </row>
    <row r="493" spans="18:30" x14ac:dyDescent="0.25">
      <c r="R493" s="566"/>
      <c r="S493" s="566"/>
      <c r="T493" s="566"/>
      <c r="U493" s="566"/>
      <c r="V493" s="566"/>
      <c r="W493" s="566"/>
      <c r="X493" s="566"/>
      <c r="Y493" s="566"/>
      <c r="Z493" s="566"/>
      <c r="AA493" s="566"/>
      <c r="AB493" s="566"/>
      <c r="AC493" s="566"/>
      <c r="AD493" s="566"/>
    </row>
    <row r="494" spans="18:30" x14ac:dyDescent="0.25">
      <c r="R494" s="566"/>
      <c r="S494" s="566"/>
      <c r="T494" s="566"/>
      <c r="U494" s="566"/>
      <c r="V494" s="566"/>
      <c r="W494" s="566"/>
      <c r="X494" s="566"/>
      <c r="Y494" s="566"/>
      <c r="Z494" s="566"/>
      <c r="AA494" s="566"/>
      <c r="AB494" s="566"/>
      <c r="AC494" s="566"/>
      <c r="AD494" s="566"/>
    </row>
    <row r="495" spans="18:30" x14ac:dyDescent="0.25">
      <c r="R495" s="566"/>
      <c r="S495" s="566"/>
      <c r="T495" s="566"/>
      <c r="U495" s="566"/>
      <c r="V495" s="566"/>
      <c r="W495" s="566"/>
      <c r="X495" s="566"/>
      <c r="Y495" s="566"/>
      <c r="Z495" s="566"/>
      <c r="AA495" s="566"/>
      <c r="AB495" s="566"/>
      <c r="AC495" s="566"/>
      <c r="AD495" s="566"/>
    </row>
    <row r="496" spans="18:30" x14ac:dyDescent="0.25">
      <c r="R496" s="566"/>
      <c r="S496" s="566"/>
      <c r="T496" s="566"/>
      <c r="U496" s="566"/>
      <c r="V496" s="566"/>
      <c r="W496" s="566"/>
      <c r="X496" s="566"/>
      <c r="Y496" s="566"/>
      <c r="Z496" s="566"/>
      <c r="AA496" s="566"/>
      <c r="AB496" s="566"/>
      <c r="AC496" s="566"/>
      <c r="AD496" s="566"/>
    </row>
    <row r="497" spans="18:30" x14ac:dyDescent="0.25">
      <c r="R497" s="566"/>
      <c r="S497" s="566"/>
      <c r="T497" s="566"/>
      <c r="U497" s="566"/>
      <c r="V497" s="566"/>
      <c r="W497" s="566"/>
      <c r="X497" s="566"/>
      <c r="Y497" s="566"/>
      <c r="Z497" s="566"/>
      <c r="AA497" s="566"/>
      <c r="AB497" s="566"/>
      <c r="AC497" s="566"/>
      <c r="AD497" s="566"/>
    </row>
    <row r="498" spans="18:30" x14ac:dyDescent="0.25">
      <c r="R498" s="566"/>
      <c r="S498" s="566"/>
      <c r="T498" s="566"/>
      <c r="U498" s="566"/>
      <c r="V498" s="566"/>
      <c r="W498" s="566"/>
      <c r="X498" s="566"/>
      <c r="Y498" s="566"/>
      <c r="Z498" s="566"/>
      <c r="AA498" s="566"/>
      <c r="AB498" s="566"/>
      <c r="AC498" s="566"/>
      <c r="AD498" s="566"/>
    </row>
    <row r="499" spans="18:30" x14ac:dyDescent="0.25">
      <c r="R499" s="566"/>
      <c r="S499" s="566"/>
      <c r="T499" s="566"/>
      <c r="U499" s="566"/>
      <c r="V499" s="566"/>
      <c r="W499" s="566"/>
      <c r="X499" s="566"/>
      <c r="Y499" s="566"/>
      <c r="Z499" s="566"/>
      <c r="AA499" s="566"/>
      <c r="AB499" s="566"/>
      <c r="AC499" s="566"/>
      <c r="AD499" s="566"/>
    </row>
    <row r="500" spans="18:30" x14ac:dyDescent="0.25">
      <c r="R500" s="566"/>
      <c r="S500" s="566"/>
      <c r="T500" s="566"/>
      <c r="U500" s="566"/>
      <c r="V500" s="566"/>
      <c r="W500" s="566"/>
      <c r="X500" s="566"/>
      <c r="Y500" s="566"/>
      <c r="Z500" s="566"/>
      <c r="AA500" s="566"/>
      <c r="AB500" s="566"/>
      <c r="AC500" s="566"/>
      <c r="AD500" s="566"/>
    </row>
    <row r="501" spans="18:30" x14ac:dyDescent="0.25">
      <c r="R501" s="566"/>
      <c r="S501" s="566"/>
      <c r="T501" s="566"/>
      <c r="U501" s="566"/>
      <c r="V501" s="566"/>
      <c r="W501" s="566"/>
      <c r="X501" s="566"/>
      <c r="Y501" s="566"/>
      <c r="Z501" s="566"/>
      <c r="AA501" s="566"/>
      <c r="AB501" s="566"/>
      <c r="AC501" s="566"/>
      <c r="AD501" s="566"/>
    </row>
    <row r="502" spans="18:30" x14ac:dyDescent="0.25">
      <c r="R502" s="566"/>
      <c r="S502" s="566"/>
      <c r="T502" s="566"/>
      <c r="U502" s="566"/>
      <c r="V502" s="566"/>
      <c r="W502" s="566"/>
      <c r="X502" s="566"/>
      <c r="Y502" s="566"/>
      <c r="Z502" s="566"/>
      <c r="AA502" s="566"/>
      <c r="AB502" s="566"/>
      <c r="AC502" s="566"/>
      <c r="AD502" s="566"/>
    </row>
    <row r="503" spans="18:30" x14ac:dyDescent="0.25">
      <c r="R503" s="566"/>
      <c r="S503" s="566"/>
      <c r="T503" s="566"/>
      <c r="U503" s="566"/>
      <c r="V503" s="566"/>
      <c r="W503" s="566"/>
      <c r="X503" s="566"/>
      <c r="Y503" s="566"/>
      <c r="Z503" s="566"/>
      <c r="AA503" s="566"/>
      <c r="AB503" s="566"/>
      <c r="AC503" s="566"/>
      <c r="AD503" s="566"/>
    </row>
    <row r="504" spans="18:30" x14ac:dyDescent="0.25">
      <c r="R504" s="566"/>
      <c r="S504" s="566"/>
      <c r="T504" s="566"/>
      <c r="U504" s="566"/>
      <c r="V504" s="566"/>
      <c r="W504" s="566"/>
      <c r="X504" s="566"/>
      <c r="Y504" s="566"/>
      <c r="Z504" s="566"/>
      <c r="AA504" s="566"/>
      <c r="AB504" s="566"/>
      <c r="AC504" s="566"/>
      <c r="AD504" s="566"/>
    </row>
    <row r="505" spans="18:30" x14ac:dyDescent="0.25">
      <c r="R505" s="566"/>
      <c r="S505" s="566"/>
      <c r="T505" s="566"/>
      <c r="U505" s="566"/>
      <c r="V505" s="566"/>
      <c r="W505" s="566"/>
      <c r="X505" s="566"/>
      <c r="Y505" s="566"/>
      <c r="Z505" s="566"/>
      <c r="AA505" s="566"/>
      <c r="AB505" s="566"/>
      <c r="AC505" s="566"/>
      <c r="AD505" s="566"/>
    </row>
    <row r="506" spans="18:30" x14ac:dyDescent="0.25">
      <c r="R506" s="566"/>
      <c r="S506" s="566"/>
      <c r="T506" s="566"/>
      <c r="U506" s="566"/>
      <c r="V506" s="566"/>
      <c r="W506" s="566"/>
      <c r="X506" s="566"/>
      <c r="Y506" s="566"/>
      <c r="Z506" s="566"/>
      <c r="AA506" s="566"/>
      <c r="AB506" s="566"/>
      <c r="AC506" s="566"/>
      <c r="AD506" s="566"/>
    </row>
    <row r="507" spans="18:30" x14ac:dyDescent="0.25">
      <c r="R507" s="566"/>
      <c r="S507" s="566"/>
      <c r="T507" s="566"/>
      <c r="U507" s="566"/>
      <c r="V507" s="566"/>
      <c r="W507" s="566"/>
      <c r="X507" s="566"/>
      <c r="Y507" s="566"/>
      <c r="Z507" s="566"/>
      <c r="AA507" s="566"/>
      <c r="AB507" s="566"/>
      <c r="AC507" s="566"/>
      <c r="AD507" s="566"/>
    </row>
    <row r="508" spans="18:30" x14ac:dyDescent="0.25">
      <c r="R508" s="566"/>
      <c r="S508" s="566"/>
      <c r="T508" s="566"/>
      <c r="U508" s="566"/>
      <c r="V508" s="566"/>
      <c r="W508" s="566"/>
      <c r="X508" s="566"/>
      <c r="Y508" s="566"/>
      <c r="Z508" s="566"/>
      <c r="AA508" s="566"/>
      <c r="AB508" s="566"/>
      <c r="AC508" s="566"/>
      <c r="AD508" s="566"/>
    </row>
    <row r="509" spans="18:30" x14ac:dyDescent="0.25">
      <c r="R509" s="566"/>
      <c r="S509" s="566"/>
      <c r="T509" s="566"/>
      <c r="U509" s="566"/>
      <c r="V509" s="566"/>
      <c r="W509" s="566"/>
      <c r="X509" s="566"/>
      <c r="Y509" s="566"/>
      <c r="Z509" s="566"/>
      <c r="AA509" s="566"/>
      <c r="AB509" s="566"/>
      <c r="AC509" s="566"/>
      <c r="AD509" s="566"/>
    </row>
    <row r="510" spans="18:30" x14ac:dyDescent="0.25">
      <c r="R510" s="566"/>
      <c r="S510" s="566"/>
      <c r="T510" s="566"/>
      <c r="U510" s="566"/>
      <c r="V510" s="566"/>
      <c r="W510" s="566"/>
      <c r="X510" s="566"/>
      <c r="Y510" s="566"/>
      <c r="Z510" s="566"/>
      <c r="AA510" s="566"/>
      <c r="AB510" s="566"/>
      <c r="AC510" s="566"/>
      <c r="AD510" s="566"/>
    </row>
    <row r="511" spans="18:30" x14ac:dyDescent="0.25">
      <c r="R511" s="566"/>
      <c r="S511" s="566"/>
      <c r="T511" s="566"/>
      <c r="U511" s="566"/>
      <c r="V511" s="566"/>
      <c r="W511" s="566"/>
      <c r="X511" s="566"/>
      <c r="Y511" s="566"/>
      <c r="Z511" s="566"/>
      <c r="AA511" s="566"/>
      <c r="AB511" s="566"/>
      <c r="AC511" s="566"/>
      <c r="AD511" s="566"/>
    </row>
    <row r="512" spans="18:30" x14ac:dyDescent="0.25">
      <c r="R512" s="566"/>
      <c r="S512" s="566"/>
      <c r="T512" s="566"/>
      <c r="U512" s="566"/>
      <c r="V512" s="566"/>
      <c r="W512" s="566"/>
      <c r="X512" s="566"/>
      <c r="Y512" s="566"/>
      <c r="Z512" s="566"/>
      <c r="AA512" s="566"/>
      <c r="AB512" s="566"/>
      <c r="AC512" s="566"/>
      <c r="AD512" s="566"/>
    </row>
    <row r="513" spans="18:30" x14ac:dyDescent="0.25">
      <c r="R513" s="566"/>
      <c r="S513" s="566"/>
      <c r="T513" s="566"/>
      <c r="U513" s="566"/>
      <c r="V513" s="566"/>
      <c r="W513" s="566"/>
      <c r="X513" s="566"/>
      <c r="Y513" s="566"/>
      <c r="Z513" s="566"/>
      <c r="AA513" s="566"/>
      <c r="AB513" s="566"/>
      <c r="AC513" s="566"/>
      <c r="AD513" s="566"/>
    </row>
    <row r="514" spans="18:30" x14ac:dyDescent="0.25">
      <c r="R514" s="566"/>
      <c r="S514" s="566"/>
      <c r="T514" s="566"/>
      <c r="U514" s="566"/>
      <c r="V514" s="566"/>
      <c r="W514" s="566"/>
      <c r="X514" s="566"/>
      <c r="Y514" s="566"/>
      <c r="Z514" s="566"/>
      <c r="AA514" s="566"/>
      <c r="AB514" s="566"/>
      <c r="AC514" s="566"/>
      <c r="AD514" s="566"/>
    </row>
    <row r="515" spans="18:30" x14ac:dyDescent="0.25">
      <c r="R515" s="566"/>
      <c r="S515" s="566"/>
      <c r="T515" s="566"/>
      <c r="U515" s="566"/>
      <c r="V515" s="566"/>
      <c r="W515" s="566"/>
      <c r="X515" s="566"/>
      <c r="Y515" s="566"/>
      <c r="Z515" s="566"/>
      <c r="AA515" s="566"/>
      <c r="AB515" s="566"/>
      <c r="AC515" s="566"/>
      <c r="AD515" s="566"/>
    </row>
    <row r="516" spans="18:30" x14ac:dyDescent="0.25">
      <c r="R516" s="566"/>
      <c r="S516" s="566"/>
      <c r="T516" s="566"/>
      <c r="U516" s="566"/>
      <c r="V516" s="566"/>
      <c r="W516" s="566"/>
      <c r="X516" s="566"/>
      <c r="Y516" s="566"/>
      <c r="Z516" s="566"/>
      <c r="AA516" s="566"/>
      <c r="AB516" s="566"/>
      <c r="AC516" s="566"/>
      <c r="AD516" s="566"/>
    </row>
    <row r="517" spans="18:30" x14ac:dyDescent="0.25">
      <c r="R517" s="566"/>
      <c r="S517" s="566"/>
      <c r="T517" s="566"/>
      <c r="U517" s="566"/>
      <c r="V517" s="566"/>
      <c r="W517" s="566"/>
      <c r="X517" s="566"/>
      <c r="Y517" s="566"/>
      <c r="Z517" s="566"/>
      <c r="AA517" s="566"/>
      <c r="AB517" s="566"/>
      <c r="AC517" s="566"/>
      <c r="AD517" s="566"/>
    </row>
    <row r="518" spans="18:30" x14ac:dyDescent="0.25">
      <c r="R518" s="566"/>
      <c r="S518" s="566"/>
      <c r="T518" s="566"/>
      <c r="U518" s="566"/>
      <c r="V518" s="566"/>
      <c r="W518" s="566"/>
      <c r="X518" s="566"/>
      <c r="Y518" s="566"/>
      <c r="Z518" s="566"/>
      <c r="AA518" s="566"/>
      <c r="AB518" s="566"/>
      <c r="AC518" s="566"/>
      <c r="AD518" s="566"/>
    </row>
    <row r="519" spans="18:30" x14ac:dyDescent="0.25">
      <c r="R519" s="566"/>
      <c r="S519" s="566"/>
      <c r="T519" s="566"/>
      <c r="U519" s="566"/>
      <c r="V519" s="566"/>
      <c r="W519" s="566"/>
      <c r="X519" s="566"/>
      <c r="Y519" s="566"/>
      <c r="Z519" s="566"/>
      <c r="AA519" s="566"/>
      <c r="AB519" s="566"/>
      <c r="AC519" s="566"/>
      <c r="AD519" s="566"/>
    </row>
    <row r="520" spans="18:30" x14ac:dyDescent="0.25">
      <c r="R520" s="566"/>
      <c r="S520" s="566"/>
      <c r="T520" s="566"/>
      <c r="U520" s="566"/>
      <c r="V520" s="566"/>
      <c r="W520" s="566"/>
      <c r="X520" s="566"/>
      <c r="Y520" s="566"/>
      <c r="Z520" s="566"/>
      <c r="AA520" s="566"/>
      <c r="AB520" s="566"/>
      <c r="AC520" s="566"/>
      <c r="AD520" s="566"/>
    </row>
    <row r="521" spans="18:30" x14ac:dyDescent="0.25">
      <c r="R521" s="566"/>
      <c r="S521" s="566"/>
      <c r="T521" s="566"/>
      <c r="U521" s="566"/>
      <c r="V521" s="566"/>
      <c r="W521" s="566"/>
      <c r="X521" s="566"/>
      <c r="Y521" s="566"/>
      <c r="Z521" s="566"/>
      <c r="AA521" s="566"/>
      <c r="AB521" s="566"/>
      <c r="AC521" s="566"/>
      <c r="AD521" s="566"/>
    </row>
    <row r="522" spans="18:30" x14ac:dyDescent="0.25">
      <c r="R522" s="566"/>
      <c r="S522" s="566"/>
      <c r="T522" s="566"/>
      <c r="U522" s="566"/>
      <c r="V522" s="566"/>
      <c r="W522" s="566"/>
      <c r="X522" s="566"/>
      <c r="Y522" s="566"/>
      <c r="Z522" s="566"/>
      <c r="AA522" s="566"/>
      <c r="AB522" s="566"/>
      <c r="AC522" s="566"/>
      <c r="AD522" s="566"/>
    </row>
    <row r="523" spans="18:30" x14ac:dyDescent="0.25">
      <c r="R523" s="566"/>
      <c r="S523" s="566"/>
      <c r="T523" s="566"/>
      <c r="U523" s="566"/>
      <c r="V523" s="566"/>
      <c r="W523" s="566"/>
      <c r="X523" s="566"/>
      <c r="Y523" s="566"/>
      <c r="Z523" s="566"/>
      <c r="AA523" s="566"/>
      <c r="AB523" s="566"/>
      <c r="AC523" s="566"/>
      <c r="AD523" s="566"/>
    </row>
    <row r="524" spans="18:30" x14ac:dyDescent="0.25">
      <c r="R524" s="566"/>
      <c r="S524" s="566"/>
      <c r="T524" s="566"/>
      <c r="U524" s="566"/>
      <c r="V524" s="566"/>
      <c r="W524" s="566"/>
      <c r="X524" s="566"/>
      <c r="Y524" s="566"/>
      <c r="Z524" s="566"/>
      <c r="AA524" s="566"/>
      <c r="AB524" s="566"/>
      <c r="AC524" s="566"/>
      <c r="AD524" s="566"/>
    </row>
    <row r="525" spans="18:30" x14ac:dyDescent="0.25">
      <c r="R525" s="566"/>
      <c r="S525" s="566"/>
      <c r="T525" s="566"/>
      <c r="U525" s="566"/>
      <c r="V525" s="566"/>
      <c r="W525" s="566"/>
      <c r="X525" s="566"/>
      <c r="Y525" s="566"/>
      <c r="Z525" s="566"/>
      <c r="AA525" s="566"/>
      <c r="AB525" s="566"/>
      <c r="AC525" s="566"/>
      <c r="AD525" s="566"/>
    </row>
    <row r="526" spans="18:30" x14ac:dyDescent="0.25">
      <c r="R526" s="566"/>
      <c r="S526" s="566"/>
      <c r="T526" s="566"/>
      <c r="U526" s="566"/>
      <c r="V526" s="566"/>
      <c r="W526" s="566"/>
      <c r="X526" s="566"/>
      <c r="Y526" s="566"/>
      <c r="Z526" s="566"/>
      <c r="AA526" s="566"/>
      <c r="AB526" s="566"/>
      <c r="AC526" s="566"/>
      <c r="AD526" s="566"/>
    </row>
    <row r="527" spans="18:30" x14ac:dyDescent="0.25">
      <c r="R527" s="566"/>
      <c r="S527" s="566"/>
      <c r="T527" s="566"/>
      <c r="U527" s="566"/>
      <c r="V527" s="566"/>
      <c r="W527" s="566"/>
      <c r="X527" s="566"/>
      <c r="Y527" s="566"/>
      <c r="Z527" s="566"/>
      <c r="AA527" s="566"/>
      <c r="AB527" s="566"/>
      <c r="AC527" s="566"/>
      <c r="AD527" s="566"/>
    </row>
    <row r="528" spans="18:30" x14ac:dyDescent="0.25">
      <c r="R528" s="566"/>
      <c r="S528" s="566"/>
      <c r="T528" s="566"/>
      <c r="U528" s="566"/>
      <c r="V528" s="566"/>
      <c r="W528" s="566"/>
      <c r="X528" s="566"/>
      <c r="Y528" s="566"/>
      <c r="Z528" s="566"/>
      <c r="AA528" s="566"/>
      <c r="AB528" s="566"/>
      <c r="AC528" s="566"/>
      <c r="AD528" s="566"/>
    </row>
    <row r="529" spans="18:30" x14ac:dyDescent="0.25">
      <c r="R529" s="566"/>
      <c r="S529" s="566"/>
      <c r="T529" s="566"/>
      <c r="U529" s="566"/>
      <c r="V529" s="566"/>
      <c r="W529" s="566"/>
      <c r="X529" s="566"/>
      <c r="Y529" s="566"/>
      <c r="Z529" s="566"/>
      <c r="AA529" s="566"/>
      <c r="AB529" s="566"/>
      <c r="AC529" s="566"/>
      <c r="AD529" s="566"/>
    </row>
    <row r="530" spans="18:30" x14ac:dyDescent="0.25">
      <c r="R530" s="566"/>
      <c r="S530" s="566"/>
      <c r="T530" s="566"/>
      <c r="U530" s="566"/>
      <c r="V530" s="566"/>
      <c r="W530" s="566"/>
      <c r="X530" s="566"/>
      <c r="Y530" s="566"/>
      <c r="Z530" s="566"/>
      <c r="AA530" s="566"/>
      <c r="AB530" s="566"/>
      <c r="AC530" s="566"/>
      <c r="AD530" s="566"/>
    </row>
    <row r="531" spans="18:30" x14ac:dyDescent="0.25">
      <c r="R531" s="566"/>
      <c r="S531" s="566"/>
      <c r="T531" s="566"/>
      <c r="U531" s="566"/>
      <c r="V531" s="566"/>
      <c r="W531" s="566"/>
      <c r="X531" s="566"/>
      <c r="Y531" s="566"/>
      <c r="Z531" s="566"/>
      <c r="AA531" s="566"/>
      <c r="AB531" s="566"/>
      <c r="AC531" s="566"/>
      <c r="AD531" s="566"/>
    </row>
    <row r="532" spans="18:30" x14ac:dyDescent="0.25">
      <c r="R532" s="566"/>
      <c r="S532" s="566"/>
      <c r="T532" s="566"/>
      <c r="U532" s="566"/>
      <c r="V532" s="566"/>
      <c r="W532" s="566"/>
      <c r="X532" s="566"/>
      <c r="Y532" s="566"/>
      <c r="Z532" s="566"/>
      <c r="AA532" s="566"/>
      <c r="AB532" s="566"/>
      <c r="AC532" s="566"/>
      <c r="AD532" s="566"/>
    </row>
    <row r="533" spans="18:30" x14ac:dyDescent="0.25">
      <c r="R533" s="566"/>
      <c r="S533" s="566"/>
      <c r="T533" s="566"/>
      <c r="U533" s="566"/>
      <c r="V533" s="566"/>
      <c r="W533" s="566"/>
      <c r="X533" s="566"/>
      <c r="Y533" s="566"/>
      <c r="Z533" s="566"/>
      <c r="AA533" s="566"/>
      <c r="AB533" s="566"/>
      <c r="AC533" s="566"/>
      <c r="AD533" s="566"/>
    </row>
    <row r="534" spans="18:30" x14ac:dyDescent="0.25">
      <c r="R534" s="566"/>
      <c r="S534" s="566"/>
      <c r="T534" s="566"/>
      <c r="U534" s="566"/>
      <c r="V534" s="566"/>
      <c r="W534" s="566"/>
      <c r="X534" s="566"/>
      <c r="Y534" s="566"/>
      <c r="Z534" s="566"/>
      <c r="AA534" s="566"/>
      <c r="AB534" s="566"/>
      <c r="AC534" s="566"/>
      <c r="AD534" s="566"/>
    </row>
    <row r="535" spans="18:30" x14ac:dyDescent="0.25">
      <c r="R535" s="566"/>
      <c r="S535" s="566"/>
      <c r="T535" s="566"/>
      <c r="U535" s="566"/>
      <c r="V535" s="566"/>
      <c r="W535" s="566"/>
      <c r="X535" s="566"/>
      <c r="Y535" s="566"/>
      <c r="Z535" s="566"/>
      <c r="AA535" s="566"/>
      <c r="AB535" s="566"/>
      <c r="AC535" s="566"/>
      <c r="AD535" s="566"/>
    </row>
    <row r="536" spans="18:30" x14ac:dyDescent="0.25">
      <c r="R536" s="566"/>
      <c r="S536" s="566"/>
      <c r="T536" s="566"/>
      <c r="U536" s="566"/>
      <c r="V536" s="566"/>
      <c r="W536" s="566"/>
      <c r="X536" s="566"/>
      <c r="Y536" s="566"/>
      <c r="Z536" s="566"/>
      <c r="AA536" s="566"/>
      <c r="AB536" s="566"/>
      <c r="AC536" s="566"/>
      <c r="AD536" s="566"/>
    </row>
    <row r="537" spans="18:30" x14ac:dyDescent="0.25">
      <c r="R537" s="566"/>
      <c r="S537" s="566"/>
      <c r="T537" s="566"/>
      <c r="U537" s="566"/>
      <c r="V537" s="566"/>
      <c r="W537" s="566"/>
      <c r="X537" s="566"/>
      <c r="Y537" s="566"/>
      <c r="Z537" s="566"/>
      <c r="AA537" s="566"/>
      <c r="AB537" s="566"/>
      <c r="AC537" s="566"/>
      <c r="AD537" s="566"/>
    </row>
    <row r="538" spans="18:30" x14ac:dyDescent="0.25">
      <c r="R538" s="566"/>
      <c r="S538" s="566"/>
      <c r="T538" s="566"/>
      <c r="U538" s="566"/>
      <c r="V538" s="566"/>
      <c r="W538" s="566"/>
      <c r="X538" s="566"/>
      <c r="Y538" s="566"/>
      <c r="Z538" s="566"/>
      <c r="AA538" s="566"/>
      <c r="AB538" s="566"/>
      <c r="AC538" s="566"/>
      <c r="AD538" s="566"/>
    </row>
    <row r="539" spans="18:30" x14ac:dyDescent="0.25">
      <c r="R539" s="566"/>
      <c r="S539" s="566"/>
      <c r="T539" s="566"/>
      <c r="U539" s="566"/>
      <c r="V539" s="566"/>
      <c r="W539" s="566"/>
      <c r="X539" s="566"/>
      <c r="Y539" s="566"/>
      <c r="Z539" s="566"/>
      <c r="AA539" s="566"/>
      <c r="AB539" s="566"/>
      <c r="AC539" s="566"/>
      <c r="AD539" s="566"/>
    </row>
    <row r="540" spans="18:30" x14ac:dyDescent="0.25">
      <c r="R540" s="566"/>
      <c r="S540" s="566"/>
      <c r="T540" s="566"/>
      <c r="U540" s="566"/>
      <c r="V540" s="566"/>
      <c r="W540" s="566"/>
      <c r="X540" s="566"/>
      <c r="Y540" s="566"/>
      <c r="Z540" s="566"/>
      <c r="AA540" s="566"/>
      <c r="AB540" s="566"/>
      <c r="AC540" s="566"/>
      <c r="AD540" s="566"/>
    </row>
    <row r="541" spans="18:30" x14ac:dyDescent="0.25">
      <c r="R541" s="566"/>
      <c r="S541" s="566"/>
      <c r="T541" s="566"/>
      <c r="U541" s="566"/>
      <c r="V541" s="566"/>
      <c r="W541" s="566"/>
      <c r="X541" s="566"/>
      <c r="Y541" s="566"/>
      <c r="Z541" s="566"/>
      <c r="AA541" s="566"/>
      <c r="AB541" s="566"/>
      <c r="AC541" s="566"/>
      <c r="AD541" s="566"/>
    </row>
    <row r="542" spans="18:30" x14ac:dyDescent="0.25">
      <c r="R542" s="566"/>
      <c r="S542" s="566"/>
      <c r="T542" s="566"/>
      <c r="U542" s="566"/>
      <c r="V542" s="566"/>
      <c r="W542" s="566"/>
      <c r="X542" s="566"/>
      <c r="Y542" s="566"/>
      <c r="Z542" s="566"/>
      <c r="AA542" s="566"/>
      <c r="AB542" s="566"/>
      <c r="AC542" s="566"/>
      <c r="AD542" s="566"/>
    </row>
    <row r="543" spans="18:30" x14ac:dyDescent="0.25">
      <c r="R543" s="566"/>
      <c r="S543" s="566"/>
      <c r="T543" s="566"/>
      <c r="U543" s="566"/>
      <c r="V543" s="566"/>
      <c r="W543" s="566"/>
      <c r="X543" s="566"/>
      <c r="Y543" s="566"/>
      <c r="Z543" s="566"/>
      <c r="AA543" s="566"/>
      <c r="AB543" s="566"/>
      <c r="AC543" s="566"/>
      <c r="AD543" s="566"/>
    </row>
    <row r="544" spans="18:30" x14ac:dyDescent="0.25">
      <c r="R544" s="566"/>
      <c r="S544" s="566"/>
      <c r="T544" s="566"/>
      <c r="U544" s="566"/>
      <c r="V544" s="566"/>
      <c r="W544" s="566"/>
      <c r="X544" s="566"/>
      <c r="Y544" s="566"/>
      <c r="Z544" s="566"/>
      <c r="AA544" s="566"/>
      <c r="AB544" s="566"/>
      <c r="AC544" s="566"/>
      <c r="AD544" s="566"/>
    </row>
    <row r="545" spans="18:30" x14ac:dyDescent="0.25">
      <c r="R545" s="566"/>
      <c r="S545" s="566"/>
      <c r="T545" s="566"/>
      <c r="U545" s="566"/>
      <c r="V545" s="566"/>
      <c r="W545" s="566"/>
      <c r="X545" s="566"/>
      <c r="Y545" s="566"/>
      <c r="Z545" s="566"/>
      <c r="AA545" s="566"/>
      <c r="AB545" s="566"/>
      <c r="AC545" s="566"/>
      <c r="AD545" s="566"/>
    </row>
    <row r="546" spans="18:30" x14ac:dyDescent="0.25">
      <c r="R546" s="566"/>
      <c r="S546" s="566"/>
      <c r="T546" s="566"/>
      <c r="U546" s="566"/>
      <c r="V546" s="566"/>
      <c r="W546" s="566"/>
      <c r="X546" s="566"/>
      <c r="Y546" s="566"/>
      <c r="Z546" s="566"/>
      <c r="AA546" s="566"/>
      <c r="AB546" s="566"/>
      <c r="AC546" s="566"/>
      <c r="AD546" s="566"/>
    </row>
    <row r="547" spans="18:30" x14ac:dyDescent="0.25">
      <c r="R547" s="566"/>
      <c r="S547" s="566"/>
      <c r="T547" s="566"/>
      <c r="U547" s="566"/>
      <c r="V547" s="566"/>
      <c r="W547" s="566"/>
      <c r="X547" s="566"/>
      <c r="Y547" s="566"/>
      <c r="Z547" s="566"/>
      <c r="AA547" s="566"/>
      <c r="AB547" s="566"/>
      <c r="AC547" s="566"/>
      <c r="AD547" s="566"/>
    </row>
    <row r="548" spans="18:30" x14ac:dyDescent="0.25">
      <c r="R548" s="566"/>
      <c r="S548" s="566"/>
      <c r="T548" s="566"/>
      <c r="U548" s="566"/>
      <c r="V548" s="566"/>
      <c r="W548" s="566"/>
      <c r="X548" s="566"/>
      <c r="Y548" s="566"/>
      <c r="Z548" s="566"/>
      <c r="AA548" s="566"/>
      <c r="AB548" s="566"/>
      <c r="AC548" s="566"/>
      <c r="AD548" s="566"/>
    </row>
    <row r="549" spans="18:30" x14ac:dyDescent="0.25">
      <c r="R549" s="566"/>
      <c r="S549" s="566"/>
      <c r="T549" s="566"/>
      <c r="U549" s="566"/>
      <c r="V549" s="566"/>
      <c r="W549" s="566"/>
      <c r="X549" s="566"/>
      <c r="Y549" s="566"/>
      <c r="Z549" s="566"/>
      <c r="AA549" s="566"/>
      <c r="AB549" s="566"/>
      <c r="AC549" s="566"/>
      <c r="AD549" s="566"/>
    </row>
    <row r="550" spans="18:30" x14ac:dyDescent="0.25">
      <c r="R550" s="566"/>
      <c r="S550" s="566"/>
      <c r="T550" s="566"/>
      <c r="U550" s="566"/>
      <c r="V550" s="566"/>
      <c r="W550" s="566"/>
      <c r="X550" s="566"/>
      <c r="Y550" s="566"/>
      <c r="Z550" s="566"/>
      <c r="AA550" s="566"/>
      <c r="AB550" s="566"/>
      <c r="AC550" s="566"/>
      <c r="AD550" s="566"/>
    </row>
    <row r="551" spans="18:30" x14ac:dyDescent="0.25">
      <c r="R551" s="566"/>
      <c r="S551" s="566"/>
      <c r="T551" s="566"/>
      <c r="U551" s="566"/>
      <c r="V551" s="566"/>
      <c r="W551" s="566"/>
      <c r="X551" s="566"/>
      <c r="Y551" s="566"/>
      <c r="Z551" s="566"/>
      <c r="AA551" s="566"/>
      <c r="AB551" s="566"/>
      <c r="AC551" s="566"/>
      <c r="AD551" s="566"/>
    </row>
    <row r="552" spans="18:30" x14ac:dyDescent="0.25">
      <c r="R552" s="566"/>
      <c r="S552" s="566"/>
      <c r="T552" s="566"/>
      <c r="U552" s="566"/>
      <c r="V552" s="566"/>
      <c r="W552" s="566"/>
      <c r="X552" s="566"/>
      <c r="Y552" s="566"/>
      <c r="Z552" s="566"/>
      <c r="AA552" s="566"/>
      <c r="AB552" s="566"/>
      <c r="AC552" s="566"/>
      <c r="AD552" s="566"/>
    </row>
    <row r="553" spans="18:30" x14ac:dyDescent="0.25">
      <c r="R553" s="566"/>
      <c r="S553" s="566"/>
      <c r="T553" s="566"/>
      <c r="U553" s="566"/>
      <c r="V553" s="566"/>
      <c r="W553" s="566"/>
      <c r="X553" s="566"/>
      <c r="Y553" s="566"/>
      <c r="Z553" s="566"/>
      <c r="AA553" s="566"/>
      <c r="AB553" s="566"/>
      <c r="AC553" s="566"/>
      <c r="AD553" s="566"/>
    </row>
    <row r="554" spans="18:30" x14ac:dyDescent="0.25">
      <c r="R554" s="566"/>
      <c r="S554" s="566"/>
      <c r="T554" s="566"/>
      <c r="U554" s="566"/>
      <c r="V554" s="566"/>
      <c r="W554" s="566"/>
      <c r="X554" s="566"/>
      <c r="Y554" s="566"/>
      <c r="Z554" s="566"/>
      <c r="AA554" s="566"/>
      <c r="AB554" s="566"/>
      <c r="AC554" s="566"/>
      <c r="AD554" s="566"/>
    </row>
    <row r="555" spans="18:30" x14ac:dyDescent="0.25">
      <c r="R555" s="566"/>
      <c r="S555" s="566"/>
      <c r="T555" s="566"/>
      <c r="U555" s="566"/>
      <c r="V555" s="566"/>
      <c r="W555" s="566"/>
      <c r="X555" s="566"/>
      <c r="Y555" s="566"/>
      <c r="Z555" s="566"/>
      <c r="AA555" s="566"/>
      <c r="AB555" s="566"/>
      <c r="AC555" s="566"/>
      <c r="AD555" s="566"/>
    </row>
    <row r="556" spans="18:30" x14ac:dyDescent="0.25">
      <c r="R556" s="566"/>
      <c r="S556" s="566"/>
      <c r="T556" s="566"/>
      <c r="U556" s="566"/>
      <c r="V556" s="566"/>
      <c r="W556" s="566"/>
      <c r="X556" s="566"/>
      <c r="Y556" s="566"/>
      <c r="Z556" s="566"/>
      <c r="AA556" s="566"/>
      <c r="AB556" s="566"/>
      <c r="AC556" s="566"/>
      <c r="AD556" s="566"/>
    </row>
    <row r="557" spans="18:30" x14ac:dyDescent="0.25">
      <c r="R557" s="566"/>
      <c r="S557" s="566"/>
      <c r="T557" s="566"/>
      <c r="U557" s="566"/>
      <c r="V557" s="566"/>
      <c r="W557" s="566"/>
      <c r="X557" s="566"/>
      <c r="Y557" s="566"/>
      <c r="Z557" s="566"/>
      <c r="AA557" s="566"/>
      <c r="AB557" s="566"/>
      <c r="AC557" s="566"/>
      <c r="AD557" s="566"/>
    </row>
    <row r="558" spans="18:30" x14ac:dyDescent="0.25">
      <c r="R558" s="566"/>
      <c r="S558" s="566"/>
      <c r="T558" s="566"/>
      <c r="U558" s="566"/>
      <c r="V558" s="566"/>
      <c r="W558" s="566"/>
      <c r="X558" s="566"/>
      <c r="Y558" s="566"/>
      <c r="Z558" s="566"/>
      <c r="AA558" s="566"/>
      <c r="AB558" s="566"/>
      <c r="AC558" s="566"/>
      <c r="AD558" s="566"/>
    </row>
    <row r="559" spans="18:30" x14ac:dyDescent="0.25">
      <c r="R559" s="566"/>
      <c r="S559" s="566"/>
      <c r="T559" s="566"/>
      <c r="U559" s="566"/>
      <c r="V559" s="566"/>
      <c r="W559" s="566"/>
      <c r="X559" s="566"/>
      <c r="Y559" s="566"/>
      <c r="Z559" s="566"/>
      <c r="AA559" s="566"/>
      <c r="AB559" s="566"/>
      <c r="AC559" s="566"/>
      <c r="AD559" s="566"/>
    </row>
    <row r="560" spans="18:30" x14ac:dyDescent="0.25">
      <c r="R560" s="566"/>
      <c r="S560" s="566"/>
      <c r="T560" s="566"/>
      <c r="U560" s="566"/>
      <c r="V560" s="566"/>
      <c r="W560" s="566"/>
      <c r="X560" s="566"/>
      <c r="Y560" s="566"/>
      <c r="Z560" s="566"/>
      <c r="AA560" s="566"/>
      <c r="AB560" s="566"/>
      <c r="AC560" s="566"/>
      <c r="AD560" s="566"/>
    </row>
    <row r="561" spans="18:30" x14ac:dyDescent="0.25">
      <c r="R561" s="566"/>
      <c r="S561" s="566"/>
      <c r="T561" s="566"/>
      <c r="U561" s="566"/>
      <c r="V561" s="566"/>
      <c r="W561" s="566"/>
      <c r="X561" s="566"/>
      <c r="Y561" s="566"/>
      <c r="Z561" s="566"/>
      <c r="AA561" s="566"/>
      <c r="AB561" s="566"/>
      <c r="AC561" s="566"/>
      <c r="AD561" s="566"/>
    </row>
    <row r="562" spans="18:30" x14ac:dyDescent="0.25">
      <c r="R562" s="566"/>
      <c r="S562" s="566"/>
      <c r="T562" s="566"/>
      <c r="U562" s="566"/>
      <c r="V562" s="566"/>
      <c r="W562" s="566"/>
      <c r="X562" s="566"/>
      <c r="Y562" s="566"/>
      <c r="Z562" s="566"/>
      <c r="AA562" s="566"/>
      <c r="AB562" s="566"/>
      <c r="AC562" s="566"/>
      <c r="AD562" s="566"/>
    </row>
    <row r="563" spans="18:30" x14ac:dyDescent="0.25">
      <c r="R563" s="566"/>
      <c r="S563" s="566"/>
      <c r="T563" s="566"/>
      <c r="U563" s="566"/>
      <c r="V563" s="566"/>
      <c r="W563" s="566"/>
      <c r="X563" s="566"/>
      <c r="Y563" s="566"/>
      <c r="Z563" s="566"/>
      <c r="AA563" s="566"/>
      <c r="AB563" s="566"/>
      <c r="AC563" s="566"/>
      <c r="AD563" s="566"/>
    </row>
    <row r="564" spans="18:30" x14ac:dyDescent="0.25">
      <c r="R564" s="566"/>
      <c r="S564" s="566"/>
      <c r="T564" s="566"/>
      <c r="U564" s="566"/>
      <c r="V564" s="566"/>
      <c r="W564" s="566"/>
      <c r="X564" s="566"/>
      <c r="Y564" s="566"/>
      <c r="Z564" s="566"/>
      <c r="AA564" s="566"/>
      <c r="AB564" s="566"/>
      <c r="AC564" s="566"/>
      <c r="AD564" s="566"/>
    </row>
    <row r="565" spans="18:30" x14ac:dyDescent="0.25">
      <c r="R565" s="566"/>
      <c r="S565" s="566"/>
      <c r="T565" s="566"/>
      <c r="U565" s="566"/>
      <c r="V565" s="566"/>
      <c r="W565" s="566"/>
      <c r="X565" s="566"/>
      <c r="Y565" s="566"/>
      <c r="Z565" s="566"/>
      <c r="AA565" s="566"/>
      <c r="AB565" s="566"/>
      <c r="AC565" s="566"/>
      <c r="AD565" s="566"/>
    </row>
    <row r="566" spans="18:30" x14ac:dyDescent="0.25">
      <c r="R566" s="566"/>
      <c r="S566" s="566"/>
      <c r="T566" s="566"/>
      <c r="U566" s="566"/>
      <c r="V566" s="566"/>
      <c r="W566" s="566"/>
      <c r="X566" s="566"/>
      <c r="Y566" s="566"/>
      <c r="Z566" s="566"/>
      <c r="AA566" s="566"/>
      <c r="AB566" s="566"/>
      <c r="AC566" s="566"/>
      <c r="AD566" s="566"/>
    </row>
    <row r="567" spans="18:30" x14ac:dyDescent="0.25">
      <c r="R567" s="566"/>
      <c r="S567" s="566"/>
      <c r="T567" s="566"/>
      <c r="U567" s="566"/>
      <c r="V567" s="566"/>
      <c r="W567" s="566"/>
      <c r="X567" s="566"/>
      <c r="Y567" s="566"/>
      <c r="Z567" s="566"/>
      <c r="AA567" s="566"/>
      <c r="AB567" s="566"/>
      <c r="AC567" s="566"/>
      <c r="AD567" s="566"/>
    </row>
    <row r="568" spans="18:30" x14ac:dyDescent="0.25">
      <c r="R568" s="566"/>
      <c r="S568" s="566"/>
      <c r="T568" s="566"/>
      <c r="U568" s="566"/>
      <c r="V568" s="566"/>
      <c r="W568" s="566"/>
      <c r="X568" s="566"/>
      <c r="Y568" s="566"/>
      <c r="Z568" s="566"/>
      <c r="AA568" s="566"/>
      <c r="AB568" s="566"/>
      <c r="AC568" s="566"/>
      <c r="AD568" s="566"/>
    </row>
    <row r="569" spans="18:30" x14ac:dyDescent="0.25">
      <c r="R569" s="566"/>
      <c r="S569" s="566"/>
      <c r="T569" s="566"/>
      <c r="U569" s="566"/>
      <c r="V569" s="566"/>
      <c r="W569" s="566"/>
      <c r="X569" s="566"/>
      <c r="Y569" s="566"/>
      <c r="Z569" s="566"/>
      <c r="AA569" s="566"/>
      <c r="AB569" s="566"/>
      <c r="AC569" s="566"/>
      <c r="AD569" s="566"/>
    </row>
    <row r="570" spans="18:30" x14ac:dyDescent="0.25">
      <c r="R570" s="566"/>
      <c r="S570" s="566"/>
      <c r="T570" s="566"/>
      <c r="U570" s="566"/>
      <c r="V570" s="566"/>
      <c r="W570" s="566"/>
      <c r="X570" s="566"/>
      <c r="Y570" s="566"/>
      <c r="Z570" s="566"/>
      <c r="AA570" s="566"/>
      <c r="AB570" s="566"/>
      <c r="AC570" s="566"/>
      <c r="AD570" s="566"/>
    </row>
    <row r="571" spans="18:30" x14ac:dyDescent="0.25">
      <c r="R571" s="566"/>
      <c r="S571" s="566"/>
      <c r="T571" s="566"/>
      <c r="U571" s="566"/>
      <c r="V571" s="566"/>
      <c r="W571" s="566"/>
      <c r="X571" s="566"/>
      <c r="Y571" s="566"/>
      <c r="Z571" s="566"/>
      <c r="AA571" s="566"/>
      <c r="AB571" s="566"/>
      <c r="AC571" s="566"/>
      <c r="AD571" s="566"/>
    </row>
    <row r="572" spans="18:30" x14ac:dyDescent="0.25">
      <c r="R572" s="566"/>
      <c r="S572" s="566"/>
      <c r="T572" s="566"/>
      <c r="U572" s="566"/>
      <c r="V572" s="566"/>
      <c r="W572" s="566"/>
      <c r="X572" s="566"/>
      <c r="Y572" s="566"/>
      <c r="Z572" s="566"/>
      <c r="AA572" s="566"/>
      <c r="AB572" s="566"/>
      <c r="AC572" s="566"/>
      <c r="AD572" s="566"/>
    </row>
    <row r="573" spans="18:30" x14ac:dyDescent="0.25">
      <c r="R573" s="566"/>
      <c r="S573" s="566"/>
      <c r="T573" s="566"/>
      <c r="U573" s="566"/>
      <c r="V573" s="566"/>
      <c r="W573" s="566"/>
      <c r="X573" s="566"/>
      <c r="Y573" s="566"/>
      <c r="Z573" s="566"/>
      <c r="AA573" s="566"/>
      <c r="AB573" s="566"/>
      <c r="AC573" s="566"/>
      <c r="AD573" s="566"/>
    </row>
    <row r="574" spans="18:30" x14ac:dyDescent="0.25">
      <c r="R574" s="566"/>
      <c r="S574" s="566"/>
      <c r="T574" s="566"/>
      <c r="U574" s="566"/>
      <c r="V574" s="566"/>
      <c r="W574" s="566"/>
      <c r="X574" s="566"/>
      <c r="Y574" s="566"/>
      <c r="Z574" s="566"/>
      <c r="AA574" s="566"/>
      <c r="AB574" s="566"/>
      <c r="AC574" s="566"/>
      <c r="AD574" s="566"/>
    </row>
    <row r="575" spans="18:30" x14ac:dyDescent="0.25">
      <c r="R575" s="566"/>
      <c r="S575" s="566"/>
      <c r="T575" s="566"/>
      <c r="U575" s="566"/>
      <c r="V575" s="566"/>
      <c r="W575" s="566"/>
      <c r="X575" s="566"/>
      <c r="Y575" s="566"/>
      <c r="Z575" s="566"/>
      <c r="AA575" s="566"/>
      <c r="AB575" s="566"/>
      <c r="AC575" s="566"/>
      <c r="AD575" s="566"/>
    </row>
    <row r="576" spans="18:30" x14ac:dyDescent="0.25">
      <c r="R576" s="566"/>
      <c r="S576" s="566"/>
      <c r="T576" s="566"/>
      <c r="U576" s="566"/>
      <c r="V576" s="566"/>
      <c r="W576" s="566"/>
      <c r="X576" s="566"/>
      <c r="Y576" s="566"/>
      <c r="Z576" s="566"/>
      <c r="AA576" s="566"/>
      <c r="AB576" s="566"/>
      <c r="AC576" s="566"/>
      <c r="AD576" s="566"/>
    </row>
    <row r="577" spans="18:30" x14ac:dyDescent="0.25">
      <c r="R577" s="566"/>
      <c r="S577" s="566"/>
      <c r="T577" s="566"/>
      <c r="U577" s="566"/>
      <c r="V577" s="566"/>
      <c r="W577" s="566"/>
      <c r="X577" s="566"/>
      <c r="Y577" s="566"/>
      <c r="Z577" s="566"/>
      <c r="AA577" s="566"/>
      <c r="AB577" s="566"/>
      <c r="AC577" s="566"/>
      <c r="AD577" s="566"/>
    </row>
    <row r="578" spans="18:30" x14ac:dyDescent="0.25">
      <c r="R578" s="566"/>
      <c r="S578" s="566"/>
      <c r="T578" s="566"/>
      <c r="U578" s="566"/>
      <c r="V578" s="566"/>
      <c r="W578" s="566"/>
      <c r="X578" s="566"/>
      <c r="Y578" s="566"/>
      <c r="Z578" s="566"/>
      <c r="AA578" s="566"/>
      <c r="AB578" s="566"/>
      <c r="AC578" s="566"/>
      <c r="AD578" s="566"/>
    </row>
    <row r="579" spans="18:30" x14ac:dyDescent="0.25">
      <c r="R579" s="566"/>
      <c r="S579" s="566"/>
      <c r="T579" s="566"/>
      <c r="U579" s="566"/>
      <c r="V579" s="566"/>
      <c r="W579" s="566"/>
      <c r="X579" s="566"/>
      <c r="Y579" s="566"/>
      <c r="Z579" s="566"/>
      <c r="AA579" s="566"/>
      <c r="AB579" s="566"/>
      <c r="AC579" s="566"/>
      <c r="AD579" s="566"/>
    </row>
    <row r="580" spans="18:30" x14ac:dyDescent="0.25">
      <c r="R580" s="566"/>
      <c r="S580" s="566"/>
      <c r="T580" s="566"/>
      <c r="U580" s="566"/>
      <c r="V580" s="566"/>
      <c r="W580" s="566"/>
      <c r="X580" s="566"/>
      <c r="Y580" s="566"/>
      <c r="Z580" s="566"/>
      <c r="AA580" s="566"/>
      <c r="AB580" s="566"/>
      <c r="AC580" s="566"/>
      <c r="AD580" s="566"/>
    </row>
    <row r="581" spans="18:30" x14ac:dyDescent="0.25">
      <c r="R581" s="566"/>
      <c r="S581" s="566"/>
      <c r="T581" s="566"/>
      <c r="U581" s="566"/>
      <c r="V581" s="566"/>
      <c r="W581" s="566"/>
      <c r="X581" s="566"/>
      <c r="Y581" s="566"/>
      <c r="Z581" s="566"/>
      <c r="AA581" s="566"/>
      <c r="AB581" s="566"/>
      <c r="AC581" s="566"/>
      <c r="AD581" s="566"/>
    </row>
    <row r="582" spans="18:30" x14ac:dyDescent="0.25">
      <c r="R582" s="566"/>
      <c r="S582" s="566"/>
      <c r="T582" s="566"/>
      <c r="U582" s="566"/>
      <c r="V582" s="566"/>
      <c r="W582" s="566"/>
      <c r="X582" s="566"/>
      <c r="Y582" s="566"/>
      <c r="Z582" s="566"/>
      <c r="AA582" s="566"/>
      <c r="AB582" s="566"/>
      <c r="AC582" s="566"/>
      <c r="AD582" s="566"/>
    </row>
    <row r="583" spans="18:30" x14ac:dyDescent="0.25">
      <c r="R583" s="566"/>
      <c r="S583" s="566"/>
      <c r="T583" s="566"/>
      <c r="U583" s="566"/>
      <c r="V583" s="566"/>
      <c r="W583" s="566"/>
      <c r="X583" s="566"/>
      <c r="Y583" s="566"/>
      <c r="Z583" s="566"/>
      <c r="AA583" s="566"/>
      <c r="AB583" s="566"/>
      <c r="AC583" s="566"/>
      <c r="AD583" s="566"/>
    </row>
    <row r="584" spans="18:30" x14ac:dyDescent="0.25">
      <c r="R584" s="566"/>
      <c r="S584" s="566"/>
      <c r="T584" s="566"/>
      <c r="U584" s="566"/>
      <c r="V584" s="566"/>
      <c r="W584" s="566"/>
      <c r="X584" s="566"/>
      <c r="Y584" s="566"/>
      <c r="Z584" s="566"/>
      <c r="AA584" s="566"/>
      <c r="AB584" s="566"/>
      <c r="AC584" s="566"/>
      <c r="AD584" s="566"/>
    </row>
    <row r="585" spans="18:30" x14ac:dyDescent="0.25">
      <c r="R585" s="566"/>
      <c r="S585" s="566"/>
      <c r="T585" s="566"/>
      <c r="U585" s="566"/>
      <c r="V585" s="566"/>
      <c r="W585" s="566"/>
      <c r="X585" s="566"/>
      <c r="Y585" s="566"/>
      <c r="Z585" s="566"/>
      <c r="AA585" s="566"/>
      <c r="AB585" s="566"/>
      <c r="AC585" s="566"/>
      <c r="AD585" s="566"/>
    </row>
    <row r="586" spans="18:30" x14ac:dyDescent="0.25">
      <c r="R586" s="566"/>
      <c r="S586" s="566"/>
      <c r="T586" s="566"/>
      <c r="U586" s="566"/>
      <c r="V586" s="566"/>
      <c r="W586" s="566"/>
      <c r="X586" s="566"/>
      <c r="Y586" s="566"/>
      <c r="Z586" s="566"/>
      <c r="AA586" s="566"/>
      <c r="AB586" s="566"/>
      <c r="AC586" s="566"/>
      <c r="AD586" s="566"/>
    </row>
    <row r="587" spans="18:30" x14ac:dyDescent="0.25">
      <c r="R587" s="566"/>
      <c r="S587" s="566"/>
      <c r="T587" s="566"/>
      <c r="U587" s="566"/>
      <c r="V587" s="566"/>
      <c r="W587" s="566"/>
      <c r="X587" s="566"/>
      <c r="Y587" s="566"/>
      <c r="Z587" s="566"/>
      <c r="AA587" s="566"/>
      <c r="AB587" s="566"/>
      <c r="AC587" s="566"/>
      <c r="AD587" s="566"/>
    </row>
    <row r="588" spans="18:30" x14ac:dyDescent="0.25">
      <c r="R588" s="566"/>
      <c r="S588" s="566"/>
      <c r="T588" s="566"/>
      <c r="U588" s="566"/>
      <c r="V588" s="566"/>
      <c r="W588" s="566"/>
      <c r="X588" s="566"/>
      <c r="Y588" s="566"/>
      <c r="Z588" s="566"/>
      <c r="AA588" s="566"/>
      <c r="AB588" s="566"/>
      <c r="AC588" s="566"/>
      <c r="AD588" s="566"/>
    </row>
    <row r="589" spans="18:30" x14ac:dyDescent="0.25">
      <c r="R589" s="566"/>
      <c r="S589" s="566"/>
      <c r="T589" s="566"/>
      <c r="U589" s="566"/>
      <c r="V589" s="566"/>
      <c r="W589" s="566"/>
      <c r="X589" s="566"/>
      <c r="Y589" s="566"/>
      <c r="Z589" s="566"/>
      <c r="AA589" s="566"/>
      <c r="AB589" s="566"/>
      <c r="AC589" s="566"/>
      <c r="AD589" s="566"/>
    </row>
    <row r="590" spans="18:30" x14ac:dyDescent="0.25">
      <c r="R590" s="566"/>
      <c r="S590" s="566"/>
      <c r="T590" s="566"/>
      <c r="U590" s="566"/>
      <c r="V590" s="566"/>
      <c r="W590" s="566"/>
      <c r="X590" s="566"/>
      <c r="Y590" s="566"/>
      <c r="Z590" s="566"/>
      <c r="AA590" s="566"/>
      <c r="AB590" s="566"/>
      <c r="AC590" s="566"/>
      <c r="AD590" s="566"/>
    </row>
    <row r="591" spans="18:30" x14ac:dyDescent="0.25">
      <c r="R591" s="566"/>
      <c r="S591" s="566"/>
      <c r="T591" s="566"/>
      <c r="U591" s="566"/>
      <c r="V591" s="566"/>
      <c r="W591" s="566"/>
      <c r="X591" s="566"/>
      <c r="Y591" s="566"/>
      <c r="Z591" s="566"/>
      <c r="AA591" s="566"/>
      <c r="AB591" s="566"/>
      <c r="AC591" s="566"/>
      <c r="AD591" s="566"/>
    </row>
    <row r="592" spans="18:30" x14ac:dyDescent="0.25">
      <c r="R592" s="566"/>
      <c r="S592" s="566"/>
      <c r="T592" s="566"/>
      <c r="U592" s="566"/>
      <c r="V592" s="566"/>
      <c r="W592" s="566"/>
      <c r="X592" s="566"/>
      <c r="Y592" s="566"/>
      <c r="Z592" s="566"/>
      <c r="AA592" s="566"/>
      <c r="AB592" s="566"/>
      <c r="AC592" s="566"/>
      <c r="AD592" s="566"/>
    </row>
    <row r="593" spans="18:30" x14ac:dyDescent="0.25">
      <c r="R593" s="566"/>
      <c r="S593" s="566"/>
      <c r="T593" s="566"/>
      <c r="U593" s="566"/>
      <c r="V593" s="566"/>
      <c r="W593" s="566"/>
      <c r="X593" s="566"/>
      <c r="Y593" s="566"/>
      <c r="Z593" s="566"/>
      <c r="AA593" s="566"/>
      <c r="AB593" s="566"/>
      <c r="AC593" s="566"/>
      <c r="AD593" s="566"/>
    </row>
    <row r="594" spans="18:30" x14ac:dyDescent="0.25">
      <c r="R594" s="566"/>
      <c r="S594" s="566"/>
      <c r="T594" s="566"/>
      <c r="U594" s="566"/>
      <c r="V594" s="566"/>
      <c r="W594" s="566"/>
      <c r="X594" s="566"/>
      <c r="Y594" s="566"/>
      <c r="Z594" s="566"/>
      <c r="AA594" s="566"/>
      <c r="AB594" s="566"/>
      <c r="AC594" s="566"/>
      <c r="AD594" s="566"/>
    </row>
    <row r="595" spans="18:30" x14ac:dyDescent="0.25">
      <c r="R595" s="566"/>
      <c r="S595" s="566"/>
      <c r="T595" s="566"/>
      <c r="U595" s="566"/>
      <c r="V595" s="566"/>
      <c r="W595" s="566"/>
      <c r="X595" s="566"/>
      <c r="Y595" s="566"/>
      <c r="Z595" s="566"/>
      <c r="AA595" s="566"/>
      <c r="AB595" s="566"/>
      <c r="AC595" s="566"/>
      <c r="AD595" s="566"/>
    </row>
    <row r="596" spans="18:30" x14ac:dyDescent="0.25">
      <c r="R596" s="566"/>
      <c r="S596" s="566"/>
      <c r="T596" s="566"/>
      <c r="U596" s="566"/>
      <c r="V596" s="566"/>
      <c r="W596" s="566"/>
      <c r="X596" s="566"/>
      <c r="Y596" s="566"/>
      <c r="Z596" s="566"/>
      <c r="AA596" s="566"/>
      <c r="AB596" s="566"/>
      <c r="AC596" s="566"/>
      <c r="AD596" s="566"/>
    </row>
    <row r="597" spans="18:30" x14ac:dyDescent="0.25">
      <c r="R597" s="566"/>
      <c r="S597" s="566"/>
      <c r="T597" s="566"/>
      <c r="U597" s="566"/>
      <c r="V597" s="566"/>
      <c r="W597" s="566"/>
      <c r="X597" s="566"/>
      <c r="Y597" s="566"/>
      <c r="Z597" s="566"/>
      <c r="AA597" s="566"/>
      <c r="AB597" s="566"/>
      <c r="AC597" s="566"/>
      <c r="AD597" s="566"/>
    </row>
    <row r="598" spans="18:30" x14ac:dyDescent="0.25">
      <c r="R598" s="566"/>
      <c r="S598" s="566"/>
      <c r="T598" s="566"/>
      <c r="U598" s="566"/>
      <c r="V598" s="566"/>
      <c r="W598" s="566"/>
      <c r="X598" s="566"/>
      <c r="Y598" s="566"/>
      <c r="Z598" s="566"/>
      <c r="AA598" s="566"/>
      <c r="AB598" s="566"/>
      <c r="AC598" s="566"/>
      <c r="AD598" s="566"/>
    </row>
    <row r="599" spans="18:30" x14ac:dyDescent="0.25">
      <c r="R599" s="566"/>
      <c r="S599" s="566"/>
      <c r="T599" s="566"/>
      <c r="U599" s="566"/>
      <c r="V599" s="566"/>
      <c r="W599" s="566"/>
      <c r="X599" s="566"/>
      <c r="Y599" s="566"/>
      <c r="Z599" s="566"/>
      <c r="AA599" s="566"/>
      <c r="AB599" s="566"/>
      <c r="AC599" s="566"/>
      <c r="AD599" s="566"/>
    </row>
    <row r="600" spans="18:30" x14ac:dyDescent="0.25">
      <c r="R600" s="566"/>
      <c r="S600" s="566"/>
      <c r="T600" s="566"/>
      <c r="U600" s="566"/>
      <c r="V600" s="566"/>
      <c r="W600" s="566"/>
      <c r="X600" s="566"/>
      <c r="Y600" s="566"/>
      <c r="Z600" s="566"/>
      <c r="AA600" s="566"/>
      <c r="AB600" s="566"/>
      <c r="AC600" s="566"/>
      <c r="AD600" s="566"/>
    </row>
    <row r="601" spans="18:30" x14ac:dyDescent="0.25">
      <c r="R601" s="566"/>
      <c r="S601" s="566"/>
      <c r="T601" s="566"/>
      <c r="U601" s="566"/>
      <c r="V601" s="566"/>
      <c r="W601" s="566"/>
      <c r="X601" s="566"/>
      <c r="Y601" s="566"/>
      <c r="Z601" s="566"/>
      <c r="AA601" s="566"/>
      <c r="AB601" s="566"/>
      <c r="AC601" s="566"/>
      <c r="AD601" s="566"/>
    </row>
    <row r="602" spans="18:30" x14ac:dyDescent="0.25">
      <c r="R602" s="566"/>
      <c r="S602" s="566"/>
      <c r="T602" s="566"/>
      <c r="U602" s="566"/>
      <c r="V602" s="566"/>
      <c r="W602" s="566"/>
      <c r="X602" s="566"/>
      <c r="Y602" s="566"/>
      <c r="Z602" s="566"/>
      <c r="AA602" s="566"/>
      <c r="AB602" s="566"/>
      <c r="AC602" s="566"/>
      <c r="AD602" s="566"/>
    </row>
    <row r="603" spans="18:30" x14ac:dyDescent="0.25">
      <c r="R603" s="566"/>
      <c r="S603" s="566"/>
      <c r="T603" s="566"/>
      <c r="U603" s="566"/>
      <c r="V603" s="566"/>
      <c r="W603" s="566"/>
      <c r="X603" s="566"/>
      <c r="Y603" s="566"/>
      <c r="Z603" s="566"/>
      <c r="AA603" s="566"/>
      <c r="AB603" s="566"/>
      <c r="AC603" s="566"/>
      <c r="AD603" s="566"/>
    </row>
    <row r="604" spans="18:30" x14ac:dyDescent="0.25">
      <c r="R604" s="566"/>
      <c r="S604" s="566"/>
      <c r="T604" s="566"/>
      <c r="U604" s="566"/>
      <c r="V604" s="566"/>
      <c r="W604" s="566"/>
      <c r="X604" s="566"/>
      <c r="Y604" s="566"/>
      <c r="Z604" s="566"/>
      <c r="AA604" s="566"/>
      <c r="AB604" s="566"/>
      <c r="AC604" s="566"/>
      <c r="AD604" s="566"/>
    </row>
    <row r="605" spans="18:30" x14ac:dyDescent="0.25">
      <c r="R605" s="566"/>
      <c r="S605" s="566"/>
      <c r="T605" s="566"/>
      <c r="U605" s="566"/>
      <c r="V605" s="566"/>
      <c r="W605" s="566"/>
      <c r="X605" s="566"/>
      <c r="Y605" s="566"/>
      <c r="Z605" s="566"/>
      <c r="AA605" s="566"/>
      <c r="AB605" s="566"/>
      <c r="AC605" s="566"/>
      <c r="AD605" s="566"/>
    </row>
    <row r="606" spans="18:30" x14ac:dyDescent="0.25">
      <c r="R606" s="566"/>
      <c r="S606" s="566"/>
      <c r="T606" s="566"/>
      <c r="U606" s="566"/>
      <c r="V606" s="566"/>
      <c r="W606" s="566"/>
      <c r="X606" s="566"/>
      <c r="Y606" s="566"/>
      <c r="Z606" s="566"/>
      <c r="AA606" s="566"/>
      <c r="AB606" s="566"/>
      <c r="AC606" s="566"/>
      <c r="AD606" s="566"/>
    </row>
    <row r="607" spans="18:30" x14ac:dyDescent="0.25">
      <c r="R607" s="566"/>
      <c r="S607" s="566"/>
      <c r="T607" s="566"/>
      <c r="U607" s="566"/>
      <c r="V607" s="566"/>
      <c r="W607" s="566"/>
      <c r="X607" s="566"/>
      <c r="Y607" s="566"/>
      <c r="Z607" s="566"/>
      <c r="AA607" s="566"/>
      <c r="AB607" s="566"/>
      <c r="AC607" s="566"/>
      <c r="AD607" s="566"/>
    </row>
    <row r="608" spans="18:30" x14ac:dyDescent="0.25">
      <c r="R608" s="566"/>
      <c r="S608" s="566"/>
      <c r="T608" s="566"/>
      <c r="U608" s="566"/>
      <c r="V608" s="566"/>
      <c r="W608" s="566"/>
      <c r="X608" s="566"/>
      <c r="Y608" s="566"/>
      <c r="Z608" s="566"/>
      <c r="AA608" s="566"/>
      <c r="AB608" s="566"/>
      <c r="AC608" s="566"/>
      <c r="AD608" s="566"/>
    </row>
    <row r="609" spans="18:30" x14ac:dyDescent="0.25">
      <c r="R609" s="566"/>
      <c r="S609" s="566"/>
      <c r="T609" s="566"/>
      <c r="U609" s="566"/>
      <c r="V609" s="566"/>
      <c r="W609" s="566"/>
      <c r="X609" s="566"/>
      <c r="Y609" s="566"/>
      <c r="Z609" s="566"/>
      <c r="AA609" s="566"/>
      <c r="AB609" s="566"/>
      <c r="AC609" s="566"/>
      <c r="AD609" s="566"/>
    </row>
    <row r="610" spans="18:30" x14ac:dyDescent="0.25">
      <c r="R610" s="566"/>
      <c r="S610" s="566"/>
      <c r="T610" s="566"/>
      <c r="U610" s="566"/>
      <c r="V610" s="566"/>
      <c r="W610" s="566"/>
      <c r="X610" s="566"/>
      <c r="Y610" s="566"/>
      <c r="Z610" s="566"/>
      <c r="AA610" s="566"/>
      <c r="AB610" s="566"/>
      <c r="AC610" s="566"/>
      <c r="AD610" s="566"/>
    </row>
    <row r="611" spans="18:30" x14ac:dyDescent="0.25">
      <c r="R611" s="566"/>
      <c r="S611" s="566"/>
      <c r="T611" s="566"/>
      <c r="U611" s="566"/>
      <c r="V611" s="566"/>
      <c r="W611" s="566"/>
      <c r="X611" s="566"/>
      <c r="Y611" s="566"/>
      <c r="Z611" s="566"/>
      <c r="AA611" s="566"/>
      <c r="AB611" s="566"/>
      <c r="AC611" s="566"/>
      <c r="AD611" s="566"/>
    </row>
    <row r="612" spans="18:30" x14ac:dyDescent="0.25">
      <c r="R612" s="566"/>
      <c r="S612" s="566"/>
      <c r="T612" s="566"/>
      <c r="U612" s="566"/>
      <c r="V612" s="566"/>
      <c r="W612" s="566"/>
      <c r="X612" s="566"/>
      <c r="Y612" s="566"/>
      <c r="Z612" s="566"/>
      <c r="AA612" s="566"/>
      <c r="AB612" s="566"/>
      <c r="AC612" s="566"/>
      <c r="AD612" s="566"/>
    </row>
    <row r="613" spans="18:30" x14ac:dyDescent="0.25">
      <c r="R613" s="566"/>
      <c r="S613" s="566"/>
      <c r="T613" s="566"/>
      <c r="U613" s="566"/>
      <c r="V613" s="566"/>
      <c r="W613" s="566"/>
      <c r="X613" s="566"/>
      <c r="Y613" s="566"/>
      <c r="Z613" s="566"/>
      <c r="AA613" s="566"/>
      <c r="AB613" s="566"/>
      <c r="AC613" s="566"/>
      <c r="AD613" s="566"/>
    </row>
    <row r="614" spans="18:30" x14ac:dyDescent="0.25">
      <c r="R614" s="566"/>
      <c r="S614" s="566"/>
      <c r="T614" s="566"/>
      <c r="U614" s="566"/>
      <c r="V614" s="566"/>
      <c r="W614" s="566"/>
      <c r="X614" s="566"/>
      <c r="Y614" s="566"/>
      <c r="Z614" s="566"/>
      <c r="AA614" s="566"/>
      <c r="AB614" s="566"/>
      <c r="AC614" s="566"/>
      <c r="AD614" s="566"/>
    </row>
    <row r="615" spans="18:30" x14ac:dyDescent="0.25">
      <c r="R615" s="566"/>
      <c r="S615" s="566"/>
      <c r="T615" s="566"/>
      <c r="U615" s="566"/>
      <c r="V615" s="566"/>
      <c r="W615" s="566"/>
      <c r="X615" s="566"/>
      <c r="Y615" s="566"/>
      <c r="Z615" s="566"/>
      <c r="AA615" s="566"/>
      <c r="AB615" s="566"/>
      <c r="AC615" s="566"/>
      <c r="AD615" s="566"/>
    </row>
    <row r="616" spans="18:30" x14ac:dyDescent="0.25">
      <c r="R616" s="566"/>
      <c r="S616" s="566"/>
      <c r="T616" s="566"/>
      <c r="U616" s="566"/>
      <c r="V616" s="566"/>
      <c r="W616" s="566"/>
      <c r="X616" s="566"/>
      <c r="Y616" s="566"/>
      <c r="Z616" s="566"/>
      <c r="AA616" s="566"/>
      <c r="AB616" s="566"/>
      <c r="AC616" s="566"/>
      <c r="AD616" s="566"/>
    </row>
    <row r="617" spans="18:30" x14ac:dyDescent="0.25">
      <c r="R617" s="566"/>
      <c r="S617" s="566"/>
      <c r="T617" s="566"/>
      <c r="U617" s="566"/>
      <c r="V617" s="566"/>
      <c r="W617" s="566"/>
      <c r="X617" s="566"/>
      <c r="Y617" s="566"/>
      <c r="Z617" s="566"/>
      <c r="AA617" s="566"/>
      <c r="AB617" s="566"/>
      <c r="AC617" s="566"/>
      <c r="AD617" s="566"/>
    </row>
    <row r="618" spans="18:30" x14ac:dyDescent="0.25">
      <c r="R618" s="566"/>
      <c r="S618" s="566"/>
      <c r="T618" s="566"/>
      <c r="U618" s="566"/>
      <c r="V618" s="566"/>
      <c r="W618" s="566"/>
      <c r="X618" s="566"/>
      <c r="Y618" s="566"/>
      <c r="Z618" s="566"/>
      <c r="AA618" s="566"/>
      <c r="AB618" s="566"/>
      <c r="AC618" s="566"/>
      <c r="AD618" s="566"/>
    </row>
    <row r="619" spans="18:30" x14ac:dyDescent="0.25">
      <c r="R619" s="566"/>
      <c r="S619" s="566"/>
      <c r="T619" s="566"/>
      <c r="U619" s="566"/>
      <c r="V619" s="566"/>
      <c r="W619" s="566"/>
      <c r="X619" s="566"/>
      <c r="Y619" s="566"/>
      <c r="Z619" s="566"/>
      <c r="AA619" s="566"/>
      <c r="AB619" s="566"/>
      <c r="AC619" s="566"/>
      <c r="AD619" s="566"/>
    </row>
    <row r="620" spans="18:30" x14ac:dyDescent="0.25">
      <c r="R620" s="566"/>
      <c r="S620" s="566"/>
      <c r="T620" s="566"/>
      <c r="U620" s="566"/>
      <c r="V620" s="566"/>
      <c r="W620" s="566"/>
      <c r="X620" s="566"/>
      <c r="Y620" s="566"/>
      <c r="Z620" s="566"/>
      <c r="AA620" s="566"/>
      <c r="AB620" s="566"/>
      <c r="AC620" s="566"/>
      <c r="AD620" s="566"/>
    </row>
    <row r="621" spans="18:30" x14ac:dyDescent="0.25">
      <c r="R621" s="566"/>
      <c r="S621" s="566"/>
      <c r="T621" s="566"/>
      <c r="U621" s="566"/>
      <c r="V621" s="566"/>
      <c r="W621" s="566"/>
      <c r="X621" s="566"/>
      <c r="Y621" s="566"/>
      <c r="Z621" s="566"/>
      <c r="AA621" s="566"/>
      <c r="AB621" s="566"/>
      <c r="AC621" s="566"/>
      <c r="AD621" s="566"/>
    </row>
    <row r="622" spans="18:30" x14ac:dyDescent="0.25">
      <c r="R622" s="566"/>
      <c r="S622" s="566"/>
      <c r="T622" s="566"/>
      <c r="U622" s="566"/>
      <c r="V622" s="566"/>
      <c r="W622" s="566"/>
      <c r="X622" s="566"/>
      <c r="Y622" s="566"/>
      <c r="Z622" s="566"/>
      <c r="AA622" s="566"/>
      <c r="AB622" s="566"/>
      <c r="AC622" s="566"/>
      <c r="AD622" s="566"/>
    </row>
    <row r="623" spans="18:30" x14ac:dyDescent="0.25">
      <c r="R623" s="566"/>
      <c r="S623" s="566"/>
      <c r="T623" s="566"/>
      <c r="U623" s="566"/>
      <c r="V623" s="566"/>
      <c r="W623" s="566"/>
      <c r="X623" s="566"/>
      <c r="Y623" s="566"/>
      <c r="Z623" s="566"/>
      <c r="AA623" s="566"/>
      <c r="AB623" s="566"/>
      <c r="AC623" s="566"/>
      <c r="AD623" s="566"/>
    </row>
    <row r="624" spans="18:30" x14ac:dyDescent="0.25">
      <c r="R624" s="566"/>
      <c r="S624" s="566"/>
      <c r="T624" s="566"/>
      <c r="U624" s="566"/>
      <c r="V624" s="566"/>
      <c r="W624" s="566"/>
      <c r="X624" s="566"/>
      <c r="Y624" s="566"/>
      <c r="Z624" s="566"/>
      <c r="AA624" s="566"/>
      <c r="AB624" s="566"/>
      <c r="AC624" s="566"/>
      <c r="AD624" s="566"/>
    </row>
    <row r="625" spans="18:30" x14ac:dyDescent="0.25">
      <c r="R625" s="566"/>
      <c r="S625" s="566"/>
      <c r="T625" s="566"/>
      <c r="U625" s="566"/>
      <c r="V625" s="566"/>
      <c r="W625" s="566"/>
      <c r="X625" s="566"/>
      <c r="Y625" s="566"/>
      <c r="Z625" s="566"/>
      <c r="AA625" s="566"/>
      <c r="AB625" s="566"/>
      <c r="AC625" s="566"/>
      <c r="AD625" s="566"/>
    </row>
    <row r="626" spans="18:30" x14ac:dyDescent="0.25">
      <c r="R626" s="566"/>
      <c r="S626" s="566"/>
      <c r="T626" s="566"/>
      <c r="U626" s="566"/>
      <c r="V626" s="566"/>
      <c r="W626" s="566"/>
      <c r="X626" s="566"/>
      <c r="Y626" s="566"/>
      <c r="Z626" s="566"/>
      <c r="AA626" s="566"/>
      <c r="AB626" s="566"/>
      <c r="AC626" s="566"/>
      <c r="AD626" s="566"/>
    </row>
    <row r="627" spans="18:30" x14ac:dyDescent="0.25">
      <c r="R627" s="566"/>
      <c r="S627" s="566"/>
      <c r="T627" s="566"/>
      <c r="U627" s="566"/>
      <c r="V627" s="566"/>
      <c r="W627" s="566"/>
      <c r="X627" s="566"/>
      <c r="Y627" s="566"/>
      <c r="Z627" s="566"/>
      <c r="AA627" s="566"/>
      <c r="AB627" s="566"/>
      <c r="AC627" s="566"/>
      <c r="AD627" s="566"/>
    </row>
    <row r="628" spans="18:30" x14ac:dyDescent="0.25">
      <c r="R628" s="566"/>
      <c r="S628" s="566"/>
      <c r="T628" s="566"/>
      <c r="U628" s="566"/>
      <c r="V628" s="566"/>
      <c r="W628" s="566"/>
      <c r="X628" s="566"/>
      <c r="Y628" s="566"/>
      <c r="Z628" s="566"/>
      <c r="AA628" s="566"/>
      <c r="AB628" s="566"/>
      <c r="AC628" s="566"/>
      <c r="AD628" s="566"/>
    </row>
    <row r="629" spans="18:30" x14ac:dyDescent="0.25">
      <c r="R629" s="566"/>
      <c r="S629" s="566"/>
      <c r="T629" s="566"/>
      <c r="U629" s="566"/>
      <c r="V629" s="566"/>
      <c r="W629" s="566"/>
      <c r="X629" s="566"/>
      <c r="Y629" s="566"/>
      <c r="Z629" s="566"/>
      <c r="AA629" s="566"/>
      <c r="AB629" s="566"/>
      <c r="AC629" s="566"/>
      <c r="AD629" s="566"/>
    </row>
    <row r="630" spans="18:30" x14ac:dyDescent="0.25">
      <c r="R630" s="566"/>
      <c r="S630" s="566"/>
      <c r="T630" s="566"/>
      <c r="U630" s="566"/>
      <c r="V630" s="566"/>
      <c r="W630" s="566"/>
      <c r="X630" s="566"/>
      <c r="Y630" s="566"/>
      <c r="Z630" s="566"/>
      <c r="AA630" s="566"/>
      <c r="AB630" s="566"/>
      <c r="AC630" s="566"/>
      <c r="AD630" s="566"/>
    </row>
    <row r="631" spans="18:30" x14ac:dyDescent="0.25">
      <c r="R631" s="566"/>
      <c r="S631" s="566"/>
      <c r="T631" s="566"/>
      <c r="U631" s="566"/>
      <c r="V631" s="566"/>
      <c r="W631" s="566"/>
      <c r="X631" s="566"/>
      <c r="Y631" s="566"/>
      <c r="Z631" s="566"/>
      <c r="AA631" s="566"/>
      <c r="AB631" s="566"/>
      <c r="AC631" s="566"/>
      <c r="AD631" s="566"/>
    </row>
    <row r="632" spans="18:30" x14ac:dyDescent="0.25">
      <c r="R632" s="566"/>
      <c r="S632" s="566"/>
      <c r="T632" s="566"/>
      <c r="U632" s="566"/>
      <c r="V632" s="566"/>
      <c r="W632" s="566"/>
      <c r="X632" s="566"/>
      <c r="Y632" s="566"/>
      <c r="Z632" s="566"/>
      <c r="AA632" s="566"/>
      <c r="AB632" s="566"/>
      <c r="AC632" s="566"/>
      <c r="AD632" s="566"/>
    </row>
    <row r="633" spans="18:30" x14ac:dyDescent="0.25">
      <c r="R633" s="566"/>
      <c r="S633" s="566"/>
      <c r="T633" s="566"/>
      <c r="U633" s="566"/>
      <c r="V633" s="566"/>
      <c r="W633" s="566"/>
      <c r="X633" s="566"/>
      <c r="Y633" s="566"/>
      <c r="Z633" s="566"/>
      <c r="AA633" s="566"/>
      <c r="AB633" s="566"/>
      <c r="AC633" s="566"/>
      <c r="AD633" s="566"/>
    </row>
    <row r="634" spans="18:30" x14ac:dyDescent="0.25">
      <c r="R634" s="566"/>
      <c r="S634" s="566"/>
      <c r="T634" s="566"/>
      <c r="U634" s="566"/>
      <c r="V634" s="566"/>
      <c r="W634" s="566"/>
      <c r="X634" s="566"/>
      <c r="Y634" s="566"/>
      <c r="Z634" s="566"/>
      <c r="AA634" s="566"/>
      <c r="AB634" s="566"/>
      <c r="AC634" s="566"/>
      <c r="AD634" s="566"/>
    </row>
    <row r="635" spans="18:30" x14ac:dyDescent="0.25">
      <c r="R635" s="566"/>
      <c r="S635" s="566"/>
      <c r="T635" s="566"/>
      <c r="U635" s="566"/>
      <c r="V635" s="566"/>
      <c r="W635" s="566"/>
      <c r="X635" s="566"/>
      <c r="Y635" s="566"/>
      <c r="Z635" s="566"/>
      <c r="AA635" s="566"/>
      <c r="AB635" s="566"/>
      <c r="AC635" s="566"/>
      <c r="AD635" s="566"/>
    </row>
    <row r="636" spans="18:30" x14ac:dyDescent="0.25">
      <c r="R636" s="566"/>
      <c r="S636" s="566"/>
      <c r="T636" s="566"/>
      <c r="U636" s="566"/>
      <c r="V636" s="566"/>
      <c r="W636" s="566"/>
      <c r="X636" s="566"/>
      <c r="Y636" s="566"/>
      <c r="Z636" s="566"/>
      <c r="AA636" s="566"/>
      <c r="AB636" s="566"/>
      <c r="AC636" s="566"/>
      <c r="AD636" s="566"/>
    </row>
    <row r="637" spans="18:30" x14ac:dyDescent="0.25">
      <c r="R637" s="566"/>
      <c r="S637" s="566"/>
      <c r="T637" s="566"/>
      <c r="U637" s="566"/>
      <c r="V637" s="566"/>
      <c r="W637" s="566"/>
      <c r="X637" s="566"/>
      <c r="Y637" s="566"/>
      <c r="Z637" s="566"/>
      <c r="AA637" s="566"/>
      <c r="AB637" s="566"/>
      <c r="AC637" s="566"/>
      <c r="AD637" s="566"/>
    </row>
    <row r="638" spans="18:30" x14ac:dyDescent="0.25">
      <c r="R638" s="566"/>
      <c r="S638" s="566"/>
      <c r="T638" s="566"/>
      <c r="U638" s="566"/>
      <c r="V638" s="566"/>
      <c r="W638" s="566"/>
      <c r="X638" s="566"/>
      <c r="Y638" s="566"/>
      <c r="Z638" s="566"/>
      <c r="AA638" s="566"/>
      <c r="AB638" s="566"/>
      <c r="AC638" s="566"/>
      <c r="AD638" s="566"/>
    </row>
    <row r="639" spans="18:30" x14ac:dyDescent="0.25">
      <c r="R639" s="566"/>
      <c r="S639" s="566"/>
      <c r="T639" s="566"/>
      <c r="U639" s="566"/>
      <c r="V639" s="566"/>
      <c r="W639" s="566"/>
      <c r="X639" s="566"/>
      <c r="Y639" s="566"/>
      <c r="Z639" s="566"/>
      <c r="AA639" s="566"/>
      <c r="AB639" s="566"/>
      <c r="AC639" s="566"/>
      <c r="AD639" s="566"/>
    </row>
    <row r="640" spans="18:30" x14ac:dyDescent="0.25">
      <c r="R640" s="566"/>
      <c r="S640" s="566"/>
      <c r="T640" s="566"/>
      <c r="U640" s="566"/>
      <c r="V640" s="566"/>
      <c r="W640" s="566"/>
      <c r="X640" s="566"/>
      <c r="Y640" s="566"/>
      <c r="Z640" s="566"/>
      <c r="AA640" s="566"/>
      <c r="AB640" s="566"/>
      <c r="AC640" s="566"/>
      <c r="AD640" s="566"/>
    </row>
    <row r="641" spans="18:30" x14ac:dyDescent="0.25">
      <c r="R641" s="566"/>
      <c r="S641" s="566"/>
      <c r="T641" s="566"/>
      <c r="U641" s="566"/>
      <c r="V641" s="566"/>
      <c r="W641" s="566"/>
      <c r="X641" s="566"/>
      <c r="Y641" s="566"/>
      <c r="Z641" s="566"/>
      <c r="AA641" s="566"/>
      <c r="AB641" s="566"/>
      <c r="AC641" s="566"/>
      <c r="AD641" s="566"/>
    </row>
    <row r="642" spans="18:30" x14ac:dyDescent="0.25">
      <c r="R642" s="566"/>
      <c r="S642" s="566"/>
      <c r="T642" s="566"/>
      <c r="U642" s="566"/>
      <c r="V642" s="566"/>
      <c r="W642" s="566"/>
      <c r="X642" s="566"/>
      <c r="Y642" s="566"/>
      <c r="Z642" s="566"/>
      <c r="AA642" s="566"/>
      <c r="AB642" s="566"/>
      <c r="AC642" s="566"/>
      <c r="AD642" s="566"/>
    </row>
    <row r="643" spans="18:30" x14ac:dyDescent="0.25">
      <c r="R643" s="566"/>
      <c r="S643" s="566"/>
      <c r="T643" s="566"/>
      <c r="U643" s="566"/>
      <c r="V643" s="566"/>
      <c r="W643" s="566"/>
      <c r="X643" s="566"/>
      <c r="Y643" s="566"/>
      <c r="Z643" s="566"/>
      <c r="AA643" s="566"/>
      <c r="AB643" s="566"/>
      <c r="AC643" s="566"/>
      <c r="AD643" s="566"/>
    </row>
    <row r="644" spans="18:30" x14ac:dyDescent="0.25">
      <c r="R644" s="566"/>
      <c r="S644" s="566"/>
      <c r="T644" s="566"/>
      <c r="U644" s="566"/>
      <c r="V644" s="566"/>
      <c r="W644" s="566"/>
      <c r="X644" s="566"/>
      <c r="Y644" s="566"/>
      <c r="Z644" s="566"/>
      <c r="AA644" s="566"/>
      <c r="AB644" s="566"/>
      <c r="AC644" s="566"/>
      <c r="AD644" s="566"/>
    </row>
    <row r="645" spans="18:30" x14ac:dyDescent="0.25">
      <c r="R645" s="566"/>
      <c r="S645" s="566"/>
      <c r="T645" s="566"/>
      <c r="U645" s="566"/>
      <c r="V645" s="566"/>
      <c r="W645" s="566"/>
      <c r="X645" s="566"/>
      <c r="Y645" s="566"/>
      <c r="Z645" s="566"/>
      <c r="AA645" s="566"/>
      <c r="AB645" s="566"/>
      <c r="AC645" s="566"/>
      <c r="AD645" s="566"/>
    </row>
    <row r="646" spans="18:30" x14ac:dyDescent="0.25">
      <c r="R646" s="566"/>
      <c r="S646" s="566"/>
      <c r="T646" s="566"/>
      <c r="U646" s="566"/>
      <c r="V646" s="566"/>
      <c r="W646" s="566"/>
      <c r="X646" s="566"/>
      <c r="Y646" s="566"/>
      <c r="Z646" s="566"/>
      <c r="AA646" s="566"/>
      <c r="AB646" s="566"/>
      <c r="AC646" s="566"/>
      <c r="AD646" s="566"/>
    </row>
    <row r="647" spans="18:30" x14ac:dyDescent="0.25">
      <c r="R647" s="566"/>
      <c r="S647" s="566"/>
      <c r="T647" s="566"/>
      <c r="U647" s="566"/>
      <c r="V647" s="566"/>
      <c r="W647" s="566"/>
      <c r="X647" s="566"/>
      <c r="Y647" s="566"/>
      <c r="Z647" s="566"/>
      <c r="AA647" s="566"/>
      <c r="AB647" s="566"/>
      <c r="AC647" s="566"/>
      <c r="AD647" s="566"/>
    </row>
    <row r="648" spans="18:30" x14ac:dyDescent="0.25">
      <c r="R648" s="566"/>
      <c r="S648" s="566"/>
      <c r="T648" s="566"/>
      <c r="U648" s="566"/>
      <c r="V648" s="566"/>
      <c r="W648" s="566"/>
      <c r="X648" s="566"/>
      <c r="Y648" s="566"/>
      <c r="Z648" s="566"/>
      <c r="AA648" s="566"/>
      <c r="AB648" s="566"/>
      <c r="AC648" s="566"/>
      <c r="AD648" s="566"/>
    </row>
    <row r="649" spans="18:30" x14ac:dyDescent="0.25">
      <c r="R649" s="566"/>
      <c r="S649" s="566"/>
      <c r="T649" s="566"/>
      <c r="U649" s="566"/>
      <c r="V649" s="566"/>
      <c r="W649" s="566"/>
      <c r="X649" s="566"/>
      <c r="Y649" s="566"/>
      <c r="Z649" s="566"/>
      <c r="AA649" s="566"/>
      <c r="AB649" s="566"/>
      <c r="AC649" s="566"/>
      <c r="AD649" s="566"/>
    </row>
    <row r="650" spans="18:30" x14ac:dyDescent="0.25">
      <c r="R650" s="566"/>
      <c r="S650" s="566"/>
      <c r="T650" s="566"/>
      <c r="U650" s="566"/>
      <c r="V650" s="566"/>
      <c r="W650" s="566"/>
      <c r="X650" s="566"/>
      <c r="Y650" s="566"/>
      <c r="Z650" s="566"/>
      <c r="AA650" s="566"/>
      <c r="AB650" s="566"/>
      <c r="AC650" s="566"/>
      <c r="AD650" s="566"/>
    </row>
    <row r="651" spans="18:30" x14ac:dyDescent="0.25">
      <c r="R651" s="566"/>
      <c r="S651" s="566"/>
      <c r="T651" s="566"/>
      <c r="U651" s="566"/>
      <c r="V651" s="566"/>
      <c r="W651" s="566"/>
      <c r="X651" s="566"/>
      <c r="Y651" s="566"/>
      <c r="Z651" s="566"/>
      <c r="AA651" s="566"/>
      <c r="AB651" s="566"/>
      <c r="AC651" s="566"/>
      <c r="AD651" s="566"/>
    </row>
    <row r="652" spans="18:30" x14ac:dyDescent="0.25">
      <c r="R652" s="566"/>
      <c r="S652" s="566"/>
      <c r="T652" s="566"/>
      <c r="U652" s="566"/>
      <c r="V652" s="566"/>
      <c r="W652" s="566"/>
      <c r="X652" s="566"/>
      <c r="Y652" s="566"/>
      <c r="Z652" s="566"/>
      <c r="AA652" s="566"/>
      <c r="AB652" s="566"/>
      <c r="AC652" s="566"/>
      <c r="AD652" s="566"/>
    </row>
    <row r="653" spans="18:30" x14ac:dyDescent="0.25">
      <c r="R653" s="566"/>
      <c r="S653" s="566"/>
      <c r="T653" s="566"/>
      <c r="U653" s="566"/>
      <c r="V653" s="566"/>
      <c r="W653" s="566"/>
      <c r="X653" s="566"/>
      <c r="Y653" s="566"/>
      <c r="Z653" s="566"/>
      <c r="AA653" s="566"/>
      <c r="AB653" s="566"/>
      <c r="AC653" s="566"/>
      <c r="AD653" s="566"/>
    </row>
    <row r="654" spans="18:30" x14ac:dyDescent="0.25">
      <c r="R654" s="566"/>
      <c r="S654" s="566"/>
      <c r="T654" s="566"/>
      <c r="U654" s="566"/>
      <c r="V654" s="566"/>
      <c r="W654" s="566"/>
      <c r="X654" s="566"/>
      <c r="Y654" s="566"/>
      <c r="Z654" s="566"/>
      <c r="AA654" s="566"/>
      <c r="AB654" s="566"/>
      <c r="AC654" s="566"/>
      <c r="AD654" s="566"/>
    </row>
    <row r="655" spans="18:30" x14ac:dyDescent="0.25">
      <c r="R655" s="566"/>
      <c r="S655" s="566"/>
      <c r="T655" s="566"/>
      <c r="U655" s="566"/>
      <c r="V655" s="566"/>
      <c r="W655" s="566"/>
      <c r="X655" s="566"/>
      <c r="Y655" s="566"/>
      <c r="Z655" s="566"/>
      <c r="AA655" s="566"/>
      <c r="AB655" s="566"/>
      <c r="AC655" s="566"/>
      <c r="AD655" s="566"/>
    </row>
    <row r="656" spans="18:30" x14ac:dyDescent="0.25">
      <c r="R656" s="566"/>
      <c r="S656" s="566"/>
      <c r="T656" s="566"/>
      <c r="U656" s="566"/>
      <c r="V656" s="566"/>
      <c r="W656" s="566"/>
      <c r="X656" s="566"/>
      <c r="Y656" s="566"/>
      <c r="Z656" s="566"/>
      <c r="AA656" s="566"/>
      <c r="AB656" s="566"/>
      <c r="AC656" s="566"/>
      <c r="AD656" s="566"/>
    </row>
    <row r="657" spans="18:30" x14ac:dyDescent="0.25">
      <c r="R657" s="566"/>
      <c r="S657" s="566"/>
      <c r="T657" s="566"/>
      <c r="U657" s="566"/>
      <c r="V657" s="566"/>
      <c r="W657" s="566"/>
      <c r="X657" s="566"/>
      <c r="Y657" s="566"/>
      <c r="Z657" s="566"/>
      <c r="AA657" s="566"/>
      <c r="AB657" s="566"/>
      <c r="AC657" s="566"/>
      <c r="AD657" s="566"/>
    </row>
    <row r="658" spans="18:30" x14ac:dyDescent="0.25">
      <c r="R658" s="566"/>
      <c r="S658" s="566"/>
      <c r="T658" s="566"/>
      <c r="U658" s="566"/>
      <c r="V658" s="566"/>
      <c r="W658" s="566"/>
      <c r="X658" s="566"/>
      <c r="Y658" s="566"/>
      <c r="Z658" s="566"/>
      <c r="AA658" s="566"/>
      <c r="AB658" s="566"/>
      <c r="AC658" s="566"/>
      <c r="AD658" s="566"/>
    </row>
    <row r="659" spans="18:30" x14ac:dyDescent="0.25">
      <c r="R659" s="566"/>
      <c r="S659" s="566"/>
      <c r="T659" s="566"/>
      <c r="U659" s="566"/>
      <c r="V659" s="566"/>
      <c r="W659" s="566"/>
      <c r="X659" s="566"/>
      <c r="Y659" s="566"/>
      <c r="Z659" s="566"/>
      <c r="AA659" s="566"/>
      <c r="AB659" s="566"/>
      <c r="AC659" s="566"/>
      <c r="AD659" s="566"/>
    </row>
    <row r="660" spans="18:30" x14ac:dyDescent="0.25">
      <c r="R660" s="566"/>
      <c r="S660" s="566"/>
      <c r="T660" s="566"/>
      <c r="U660" s="566"/>
      <c r="V660" s="566"/>
      <c r="W660" s="566"/>
      <c r="X660" s="566"/>
      <c r="Y660" s="566"/>
      <c r="Z660" s="566"/>
      <c r="AA660" s="566"/>
      <c r="AB660" s="566"/>
      <c r="AC660" s="566"/>
      <c r="AD660" s="566"/>
    </row>
    <row r="661" spans="18:30" x14ac:dyDescent="0.25">
      <c r="R661" s="566"/>
      <c r="S661" s="566"/>
      <c r="T661" s="566"/>
      <c r="U661" s="566"/>
      <c r="V661" s="566"/>
      <c r="W661" s="566"/>
      <c r="X661" s="566"/>
      <c r="Y661" s="566"/>
      <c r="Z661" s="566"/>
      <c r="AA661" s="566"/>
      <c r="AB661" s="566"/>
      <c r="AC661" s="566"/>
      <c r="AD661" s="566"/>
    </row>
    <row r="662" spans="18:30" x14ac:dyDescent="0.25">
      <c r="R662" s="566"/>
      <c r="S662" s="566"/>
      <c r="T662" s="566"/>
      <c r="U662" s="566"/>
      <c r="V662" s="566"/>
      <c r="W662" s="566"/>
      <c r="X662" s="566"/>
      <c r="Y662" s="566"/>
      <c r="Z662" s="566"/>
      <c r="AA662" s="566"/>
      <c r="AB662" s="566"/>
      <c r="AC662" s="566"/>
      <c r="AD662" s="566"/>
    </row>
    <row r="663" spans="18:30" x14ac:dyDescent="0.25">
      <c r="R663" s="566"/>
      <c r="S663" s="566"/>
      <c r="T663" s="566"/>
      <c r="U663" s="566"/>
      <c r="V663" s="566"/>
      <c r="W663" s="566"/>
      <c r="X663" s="566"/>
      <c r="Y663" s="566"/>
      <c r="Z663" s="566"/>
      <c r="AA663" s="566"/>
      <c r="AB663" s="566"/>
      <c r="AC663" s="566"/>
      <c r="AD663" s="566"/>
    </row>
    <row r="664" spans="18:30" x14ac:dyDescent="0.25">
      <c r="R664" s="566"/>
      <c r="S664" s="566"/>
      <c r="T664" s="566"/>
      <c r="U664" s="566"/>
      <c r="V664" s="566"/>
      <c r="W664" s="566"/>
      <c r="X664" s="566"/>
      <c r="Y664" s="566"/>
      <c r="Z664" s="566"/>
      <c r="AA664" s="566"/>
      <c r="AB664" s="566"/>
      <c r="AC664" s="566"/>
      <c r="AD664" s="566"/>
    </row>
    <row r="665" spans="18:30" x14ac:dyDescent="0.25">
      <c r="R665" s="566"/>
      <c r="S665" s="566"/>
      <c r="T665" s="566"/>
      <c r="U665" s="566"/>
      <c r="V665" s="566"/>
      <c r="W665" s="566"/>
      <c r="X665" s="566"/>
      <c r="Y665" s="566"/>
      <c r="Z665" s="566"/>
      <c r="AA665" s="566"/>
      <c r="AB665" s="566"/>
      <c r="AC665" s="566"/>
      <c r="AD665" s="566"/>
    </row>
    <row r="666" spans="18:30" x14ac:dyDescent="0.25">
      <c r="R666" s="566"/>
      <c r="S666" s="566"/>
      <c r="T666" s="566"/>
      <c r="U666" s="566"/>
      <c r="V666" s="566"/>
      <c r="W666" s="566"/>
      <c r="X666" s="566"/>
      <c r="Y666" s="566"/>
      <c r="Z666" s="566"/>
      <c r="AA666" s="566"/>
      <c r="AB666" s="566"/>
      <c r="AC666" s="566"/>
      <c r="AD666" s="566"/>
    </row>
    <row r="667" spans="18:30" x14ac:dyDescent="0.25">
      <c r="R667" s="566"/>
      <c r="S667" s="566"/>
      <c r="T667" s="566"/>
      <c r="U667" s="566"/>
      <c r="V667" s="566"/>
      <c r="W667" s="566"/>
      <c r="X667" s="566"/>
      <c r="Y667" s="566"/>
      <c r="Z667" s="566"/>
      <c r="AA667" s="566"/>
      <c r="AB667" s="566"/>
      <c r="AC667" s="566"/>
      <c r="AD667" s="566"/>
    </row>
    <row r="668" spans="18:30" x14ac:dyDescent="0.25">
      <c r="R668" s="566"/>
      <c r="S668" s="566"/>
      <c r="T668" s="566"/>
      <c r="U668" s="566"/>
      <c r="V668" s="566"/>
      <c r="W668" s="566"/>
      <c r="X668" s="566"/>
      <c r="Y668" s="566"/>
      <c r="Z668" s="566"/>
      <c r="AA668" s="566"/>
      <c r="AB668" s="566"/>
      <c r="AC668" s="566"/>
      <c r="AD668" s="566"/>
    </row>
    <row r="669" spans="18:30" x14ac:dyDescent="0.25">
      <c r="R669" s="566"/>
      <c r="S669" s="566"/>
      <c r="T669" s="566"/>
      <c r="U669" s="566"/>
      <c r="V669" s="566"/>
      <c r="W669" s="566"/>
      <c r="X669" s="566"/>
      <c r="Y669" s="566"/>
      <c r="Z669" s="566"/>
      <c r="AA669" s="566"/>
      <c r="AB669" s="566"/>
      <c r="AC669" s="566"/>
      <c r="AD669" s="566"/>
    </row>
    <row r="670" spans="18:30" x14ac:dyDescent="0.25">
      <c r="R670" s="566"/>
      <c r="S670" s="566"/>
      <c r="T670" s="566"/>
      <c r="U670" s="566"/>
      <c r="V670" s="566"/>
      <c r="W670" s="566"/>
      <c r="X670" s="566"/>
      <c r="Y670" s="566"/>
      <c r="Z670" s="566"/>
      <c r="AA670" s="566"/>
      <c r="AB670" s="566"/>
      <c r="AC670" s="566"/>
      <c r="AD670" s="566"/>
    </row>
    <row r="671" spans="18:30" x14ac:dyDescent="0.25">
      <c r="R671" s="566"/>
      <c r="S671" s="566"/>
      <c r="T671" s="566"/>
      <c r="U671" s="566"/>
      <c r="V671" s="566"/>
      <c r="W671" s="566"/>
      <c r="X671" s="566"/>
      <c r="Y671" s="566"/>
      <c r="Z671" s="566"/>
      <c r="AA671" s="566"/>
      <c r="AB671" s="566"/>
      <c r="AC671" s="566"/>
      <c r="AD671" s="566"/>
    </row>
    <row r="672" spans="18:30" x14ac:dyDescent="0.25">
      <c r="R672" s="566"/>
      <c r="S672" s="566"/>
      <c r="T672" s="566"/>
      <c r="U672" s="566"/>
      <c r="V672" s="566"/>
      <c r="W672" s="566"/>
      <c r="X672" s="566"/>
      <c r="Y672" s="566"/>
      <c r="Z672" s="566"/>
      <c r="AA672" s="566"/>
      <c r="AB672" s="566"/>
      <c r="AC672" s="566"/>
      <c r="AD672" s="566"/>
    </row>
    <row r="673" spans="18:30" x14ac:dyDescent="0.25">
      <c r="R673" s="566"/>
      <c r="S673" s="566"/>
      <c r="T673" s="566"/>
      <c r="U673" s="566"/>
      <c r="V673" s="566"/>
      <c r="W673" s="566"/>
      <c r="X673" s="566"/>
      <c r="Y673" s="566"/>
      <c r="Z673" s="566"/>
      <c r="AA673" s="566"/>
      <c r="AB673" s="566"/>
      <c r="AC673" s="566"/>
      <c r="AD673" s="566"/>
    </row>
    <row r="674" spans="18:30" x14ac:dyDescent="0.25">
      <c r="R674" s="566"/>
      <c r="S674" s="566"/>
      <c r="T674" s="566"/>
      <c r="U674" s="566"/>
      <c r="V674" s="566"/>
      <c r="W674" s="566"/>
      <c r="X674" s="566"/>
      <c r="Y674" s="566"/>
      <c r="Z674" s="566"/>
      <c r="AA674" s="566"/>
      <c r="AB674" s="566"/>
      <c r="AC674" s="566"/>
      <c r="AD674" s="566"/>
    </row>
    <row r="675" spans="18:30" x14ac:dyDescent="0.25">
      <c r="R675" s="566"/>
      <c r="S675" s="566"/>
      <c r="T675" s="566"/>
      <c r="U675" s="566"/>
      <c r="V675" s="566"/>
      <c r="W675" s="566"/>
      <c r="X675" s="566"/>
      <c r="Y675" s="566"/>
      <c r="Z675" s="566"/>
      <c r="AA675" s="566"/>
      <c r="AB675" s="566"/>
      <c r="AC675" s="566"/>
      <c r="AD675" s="566"/>
    </row>
    <row r="676" spans="18:30" x14ac:dyDescent="0.25">
      <c r="R676" s="566"/>
      <c r="S676" s="566"/>
      <c r="T676" s="566"/>
      <c r="U676" s="566"/>
      <c r="V676" s="566"/>
      <c r="W676" s="566"/>
      <c r="X676" s="566"/>
      <c r="Y676" s="566"/>
      <c r="Z676" s="566"/>
      <c r="AA676" s="566"/>
      <c r="AB676" s="566"/>
      <c r="AC676" s="566"/>
      <c r="AD676" s="566"/>
    </row>
    <row r="677" spans="18:30" x14ac:dyDescent="0.25">
      <c r="R677" s="566"/>
      <c r="S677" s="566"/>
      <c r="T677" s="566"/>
      <c r="U677" s="566"/>
      <c r="V677" s="566"/>
      <c r="W677" s="566"/>
      <c r="X677" s="566"/>
      <c r="Y677" s="566"/>
      <c r="Z677" s="566"/>
      <c r="AA677" s="566"/>
      <c r="AB677" s="566"/>
      <c r="AC677" s="566"/>
      <c r="AD677" s="566"/>
    </row>
    <row r="678" spans="18:30" x14ac:dyDescent="0.25">
      <c r="R678" s="566"/>
      <c r="S678" s="566"/>
      <c r="T678" s="566"/>
      <c r="U678" s="566"/>
      <c r="V678" s="566"/>
      <c r="W678" s="566"/>
      <c r="X678" s="566"/>
      <c r="Y678" s="566"/>
      <c r="Z678" s="566"/>
      <c r="AA678" s="566"/>
      <c r="AB678" s="566"/>
      <c r="AC678" s="566"/>
      <c r="AD678" s="566"/>
    </row>
    <row r="679" spans="18:30" x14ac:dyDescent="0.25">
      <c r="R679" s="566"/>
      <c r="S679" s="566"/>
      <c r="T679" s="566"/>
      <c r="U679" s="566"/>
      <c r="V679" s="566"/>
      <c r="W679" s="566"/>
      <c r="X679" s="566"/>
      <c r="Y679" s="566"/>
      <c r="Z679" s="566"/>
      <c r="AA679" s="566"/>
      <c r="AB679" s="566"/>
      <c r="AC679" s="566"/>
      <c r="AD679" s="566"/>
    </row>
    <row r="680" spans="18:30" x14ac:dyDescent="0.25">
      <c r="R680" s="566"/>
      <c r="S680" s="566"/>
      <c r="T680" s="566"/>
      <c r="U680" s="566"/>
      <c r="V680" s="566"/>
      <c r="W680" s="566"/>
      <c r="X680" s="566"/>
      <c r="Y680" s="566"/>
      <c r="Z680" s="566"/>
      <c r="AA680" s="566"/>
      <c r="AB680" s="566"/>
      <c r="AC680" s="566"/>
      <c r="AD680" s="566"/>
    </row>
    <row r="681" spans="18:30" x14ac:dyDescent="0.25">
      <c r="R681" s="566"/>
      <c r="S681" s="566"/>
      <c r="T681" s="566"/>
      <c r="U681" s="566"/>
      <c r="V681" s="566"/>
      <c r="W681" s="566"/>
      <c r="X681" s="566"/>
      <c r="Y681" s="566"/>
      <c r="Z681" s="566"/>
      <c r="AA681" s="566"/>
      <c r="AB681" s="566"/>
      <c r="AC681" s="566"/>
      <c r="AD681" s="566"/>
    </row>
    <row r="682" spans="18:30" x14ac:dyDescent="0.25">
      <c r="R682" s="566"/>
      <c r="S682" s="566"/>
      <c r="T682" s="566"/>
      <c r="U682" s="566"/>
      <c r="V682" s="566"/>
      <c r="W682" s="566"/>
      <c r="X682" s="566"/>
      <c r="Y682" s="566"/>
      <c r="Z682" s="566"/>
      <c r="AA682" s="566"/>
      <c r="AB682" s="566"/>
      <c r="AC682" s="566"/>
      <c r="AD682" s="566"/>
    </row>
    <row r="683" spans="18:30" x14ac:dyDescent="0.25">
      <c r="R683" s="566"/>
      <c r="S683" s="566"/>
      <c r="T683" s="566"/>
      <c r="U683" s="566"/>
      <c r="V683" s="566"/>
      <c r="W683" s="566"/>
      <c r="X683" s="566"/>
      <c r="Y683" s="566"/>
      <c r="Z683" s="566"/>
      <c r="AA683" s="566"/>
      <c r="AB683" s="566"/>
      <c r="AC683" s="566"/>
      <c r="AD683" s="566"/>
    </row>
    <row r="684" spans="18:30" x14ac:dyDescent="0.25">
      <c r="R684" s="566"/>
      <c r="S684" s="566"/>
      <c r="T684" s="566"/>
      <c r="U684" s="566"/>
      <c r="V684" s="566"/>
      <c r="W684" s="566"/>
      <c r="X684" s="566"/>
      <c r="Y684" s="566"/>
      <c r="Z684" s="566"/>
      <c r="AA684" s="566"/>
      <c r="AB684" s="566"/>
      <c r="AC684" s="566"/>
      <c r="AD684" s="566"/>
    </row>
    <row r="685" spans="18:30" x14ac:dyDescent="0.25">
      <c r="R685" s="566"/>
      <c r="S685" s="566"/>
      <c r="T685" s="566"/>
      <c r="U685" s="566"/>
      <c r="V685" s="566"/>
      <c r="W685" s="566"/>
      <c r="X685" s="566"/>
      <c r="Y685" s="566"/>
      <c r="Z685" s="566"/>
      <c r="AA685" s="566"/>
      <c r="AB685" s="566"/>
      <c r="AC685" s="566"/>
      <c r="AD685" s="566"/>
    </row>
    <row r="686" spans="18:30" x14ac:dyDescent="0.25">
      <c r="R686" s="566"/>
      <c r="S686" s="566"/>
      <c r="T686" s="566"/>
      <c r="U686" s="566"/>
      <c r="V686" s="566"/>
      <c r="W686" s="566"/>
      <c r="X686" s="566"/>
      <c r="Y686" s="566"/>
      <c r="Z686" s="566"/>
      <c r="AA686" s="566"/>
      <c r="AB686" s="566"/>
      <c r="AC686" s="566"/>
      <c r="AD686" s="566"/>
    </row>
    <row r="687" spans="18:30" x14ac:dyDescent="0.25">
      <c r="R687" s="566"/>
      <c r="S687" s="566"/>
      <c r="T687" s="566"/>
      <c r="U687" s="566"/>
      <c r="V687" s="566"/>
      <c r="W687" s="566"/>
      <c r="X687" s="566"/>
      <c r="Y687" s="566"/>
      <c r="Z687" s="566"/>
      <c r="AA687" s="566"/>
      <c r="AB687" s="566"/>
      <c r="AC687" s="566"/>
      <c r="AD687" s="566"/>
    </row>
    <row r="688" spans="18:30" x14ac:dyDescent="0.25">
      <c r="R688" s="566"/>
      <c r="S688" s="566"/>
      <c r="T688" s="566"/>
      <c r="U688" s="566"/>
      <c r="V688" s="566"/>
      <c r="W688" s="566"/>
      <c r="X688" s="566"/>
      <c r="Y688" s="566"/>
      <c r="Z688" s="566"/>
      <c r="AA688" s="566"/>
      <c r="AB688" s="566"/>
      <c r="AC688" s="566"/>
      <c r="AD688" s="566"/>
    </row>
    <row r="689" spans="18:30" x14ac:dyDescent="0.25">
      <c r="R689" s="566"/>
      <c r="S689" s="566"/>
      <c r="T689" s="566"/>
      <c r="U689" s="566"/>
      <c r="V689" s="566"/>
      <c r="W689" s="566"/>
      <c r="X689" s="566"/>
      <c r="Y689" s="566"/>
      <c r="Z689" s="566"/>
      <c r="AA689" s="566"/>
      <c r="AB689" s="566"/>
      <c r="AC689" s="566"/>
      <c r="AD689" s="566"/>
    </row>
    <row r="690" spans="18:30" x14ac:dyDescent="0.25">
      <c r="R690" s="566"/>
      <c r="S690" s="566"/>
      <c r="T690" s="566"/>
      <c r="U690" s="566"/>
      <c r="V690" s="566"/>
      <c r="W690" s="566"/>
      <c r="X690" s="566"/>
      <c r="Y690" s="566"/>
      <c r="Z690" s="566"/>
      <c r="AA690" s="566"/>
      <c r="AB690" s="566"/>
      <c r="AC690" s="566"/>
      <c r="AD690" s="566"/>
    </row>
    <row r="691" spans="18:30" x14ac:dyDescent="0.25">
      <c r="R691" s="566"/>
      <c r="S691" s="566"/>
      <c r="T691" s="566"/>
      <c r="U691" s="566"/>
      <c r="V691" s="566"/>
      <c r="W691" s="566"/>
      <c r="X691" s="566"/>
      <c r="Y691" s="566"/>
      <c r="Z691" s="566"/>
      <c r="AA691" s="566"/>
      <c r="AB691" s="566"/>
      <c r="AC691" s="566"/>
      <c r="AD691" s="566"/>
    </row>
    <row r="692" spans="18:30" x14ac:dyDescent="0.25">
      <c r="R692" s="566"/>
      <c r="S692" s="566"/>
      <c r="T692" s="566"/>
      <c r="U692" s="566"/>
      <c r="V692" s="566"/>
      <c r="W692" s="566"/>
      <c r="X692" s="566"/>
      <c r="Y692" s="566"/>
      <c r="Z692" s="566"/>
      <c r="AA692" s="566"/>
      <c r="AB692" s="566"/>
      <c r="AC692" s="566"/>
      <c r="AD692" s="566"/>
    </row>
    <row r="693" spans="18:30" x14ac:dyDescent="0.25">
      <c r="R693" s="566"/>
      <c r="S693" s="566"/>
      <c r="T693" s="566"/>
      <c r="U693" s="566"/>
      <c r="V693" s="566"/>
      <c r="W693" s="566"/>
      <c r="X693" s="566"/>
      <c r="Y693" s="566"/>
      <c r="Z693" s="566"/>
      <c r="AA693" s="566"/>
      <c r="AB693" s="566"/>
      <c r="AC693" s="566"/>
      <c r="AD693" s="566"/>
    </row>
    <row r="694" spans="18:30" x14ac:dyDescent="0.25">
      <c r="R694" s="566"/>
      <c r="S694" s="566"/>
      <c r="T694" s="566"/>
      <c r="U694" s="566"/>
      <c r="V694" s="566"/>
      <c r="W694" s="566"/>
      <c r="X694" s="566"/>
      <c r="Y694" s="566"/>
      <c r="Z694" s="566"/>
      <c r="AA694" s="566"/>
      <c r="AB694" s="566"/>
      <c r="AC694" s="566"/>
      <c r="AD694" s="566"/>
    </row>
    <row r="695" spans="18:30" x14ac:dyDescent="0.25">
      <c r="R695" s="566"/>
      <c r="S695" s="566"/>
      <c r="T695" s="566"/>
      <c r="U695" s="566"/>
      <c r="V695" s="566"/>
      <c r="W695" s="566"/>
      <c r="X695" s="566"/>
      <c r="Y695" s="566"/>
      <c r="Z695" s="566"/>
      <c r="AA695" s="566"/>
      <c r="AB695" s="566"/>
      <c r="AC695" s="566"/>
      <c r="AD695" s="566"/>
    </row>
    <row r="696" spans="18:30" x14ac:dyDescent="0.25">
      <c r="R696" s="566"/>
      <c r="S696" s="566"/>
      <c r="T696" s="566"/>
      <c r="U696" s="566"/>
      <c r="V696" s="566"/>
      <c r="W696" s="566"/>
      <c r="X696" s="566"/>
      <c r="Y696" s="566"/>
      <c r="Z696" s="566"/>
      <c r="AA696" s="566"/>
      <c r="AB696" s="566"/>
      <c r="AC696" s="566"/>
      <c r="AD696" s="566"/>
    </row>
    <row r="697" spans="18:30" x14ac:dyDescent="0.25">
      <c r="R697" s="566"/>
      <c r="S697" s="566"/>
      <c r="T697" s="566"/>
      <c r="U697" s="566"/>
      <c r="V697" s="566"/>
      <c r="W697" s="566"/>
      <c r="X697" s="566"/>
      <c r="Y697" s="566"/>
      <c r="Z697" s="566"/>
      <c r="AA697" s="566"/>
      <c r="AB697" s="566"/>
      <c r="AC697" s="566"/>
      <c r="AD697" s="566"/>
    </row>
    <row r="698" spans="18:30" x14ac:dyDescent="0.25">
      <c r="R698" s="566"/>
      <c r="S698" s="566"/>
      <c r="T698" s="566"/>
      <c r="U698" s="566"/>
      <c r="V698" s="566"/>
      <c r="W698" s="566"/>
      <c r="X698" s="566"/>
      <c r="Y698" s="566"/>
      <c r="Z698" s="566"/>
      <c r="AA698" s="566"/>
      <c r="AB698" s="566"/>
      <c r="AC698" s="566"/>
      <c r="AD698" s="566"/>
    </row>
    <row r="699" spans="18:30" x14ac:dyDescent="0.25">
      <c r="R699" s="566"/>
      <c r="S699" s="566"/>
      <c r="T699" s="566"/>
      <c r="U699" s="566"/>
      <c r="V699" s="566"/>
      <c r="W699" s="566"/>
      <c r="X699" s="566"/>
      <c r="Y699" s="566"/>
      <c r="Z699" s="566"/>
      <c r="AA699" s="566"/>
      <c r="AB699" s="566"/>
      <c r="AC699" s="566"/>
      <c r="AD699" s="566"/>
    </row>
    <row r="700" spans="18:30" x14ac:dyDescent="0.25">
      <c r="R700" s="566"/>
      <c r="S700" s="566"/>
      <c r="T700" s="566"/>
      <c r="U700" s="566"/>
      <c r="V700" s="566"/>
      <c r="W700" s="566"/>
      <c r="X700" s="566"/>
      <c r="Y700" s="566"/>
      <c r="Z700" s="566"/>
      <c r="AA700" s="566"/>
      <c r="AB700" s="566"/>
      <c r="AC700" s="566"/>
      <c r="AD700" s="566"/>
    </row>
    <row r="701" spans="18:30" x14ac:dyDescent="0.25">
      <c r="R701" s="566"/>
      <c r="S701" s="566"/>
      <c r="T701" s="566"/>
      <c r="U701" s="566"/>
      <c r="V701" s="566"/>
      <c r="W701" s="566"/>
      <c r="X701" s="566"/>
      <c r="Y701" s="566"/>
      <c r="Z701" s="566"/>
      <c r="AA701" s="566"/>
      <c r="AB701" s="566"/>
      <c r="AC701" s="566"/>
      <c r="AD701" s="566"/>
    </row>
    <row r="702" spans="18:30" x14ac:dyDescent="0.25">
      <c r="R702" s="566"/>
      <c r="S702" s="566"/>
      <c r="T702" s="566"/>
      <c r="U702" s="566"/>
      <c r="V702" s="566"/>
      <c r="W702" s="566"/>
      <c r="X702" s="566"/>
      <c r="Y702" s="566"/>
      <c r="Z702" s="566"/>
      <c r="AA702" s="566"/>
      <c r="AB702" s="566"/>
      <c r="AC702" s="566"/>
      <c r="AD702" s="566"/>
    </row>
    <row r="703" spans="18:30" x14ac:dyDescent="0.25">
      <c r="R703" s="566"/>
      <c r="S703" s="566"/>
      <c r="T703" s="566"/>
      <c r="U703" s="566"/>
      <c r="V703" s="566"/>
      <c r="W703" s="566"/>
      <c r="X703" s="566"/>
      <c r="Y703" s="566"/>
      <c r="Z703" s="566"/>
      <c r="AA703" s="566"/>
      <c r="AB703" s="566"/>
      <c r="AC703" s="566"/>
      <c r="AD703" s="566"/>
    </row>
    <row r="704" spans="18:30" x14ac:dyDescent="0.25">
      <c r="R704" s="566"/>
      <c r="S704" s="566"/>
      <c r="T704" s="566"/>
      <c r="U704" s="566"/>
      <c r="V704" s="566"/>
      <c r="W704" s="566"/>
      <c r="X704" s="566"/>
      <c r="Y704" s="566"/>
      <c r="Z704" s="566"/>
      <c r="AA704" s="566"/>
      <c r="AB704" s="566"/>
      <c r="AC704" s="566"/>
      <c r="AD704" s="566"/>
    </row>
    <row r="705" spans="18:30" x14ac:dyDescent="0.25">
      <c r="R705" s="566"/>
      <c r="S705" s="566"/>
      <c r="T705" s="566"/>
      <c r="U705" s="566"/>
      <c r="V705" s="566"/>
      <c r="W705" s="566"/>
      <c r="X705" s="566"/>
      <c r="Y705" s="566"/>
      <c r="Z705" s="566"/>
      <c r="AA705" s="566"/>
      <c r="AB705" s="566"/>
      <c r="AC705" s="566"/>
      <c r="AD705" s="566"/>
    </row>
    <row r="706" spans="18:30" x14ac:dyDescent="0.25">
      <c r="R706" s="566"/>
      <c r="S706" s="566"/>
      <c r="T706" s="566"/>
      <c r="U706" s="566"/>
      <c r="V706" s="566"/>
      <c r="W706" s="566"/>
      <c r="X706" s="566"/>
      <c r="Y706" s="566"/>
      <c r="Z706" s="566"/>
      <c r="AA706" s="566"/>
      <c r="AB706" s="566"/>
      <c r="AC706" s="566"/>
      <c r="AD706" s="566"/>
    </row>
    <row r="707" spans="18:30" x14ac:dyDescent="0.25">
      <c r="R707" s="566"/>
      <c r="S707" s="566"/>
      <c r="T707" s="566"/>
      <c r="U707" s="566"/>
      <c r="V707" s="566"/>
      <c r="W707" s="566"/>
      <c r="X707" s="566"/>
      <c r="Y707" s="566"/>
      <c r="Z707" s="566"/>
      <c r="AA707" s="566"/>
      <c r="AB707" s="566"/>
      <c r="AC707" s="566"/>
      <c r="AD707" s="566"/>
    </row>
    <row r="708" spans="18:30" x14ac:dyDescent="0.25">
      <c r="R708" s="566"/>
      <c r="S708" s="566"/>
      <c r="T708" s="566"/>
      <c r="U708" s="566"/>
      <c r="V708" s="566"/>
      <c r="W708" s="566"/>
      <c r="X708" s="566"/>
      <c r="Y708" s="566"/>
      <c r="Z708" s="566"/>
      <c r="AA708" s="566"/>
      <c r="AB708" s="566"/>
      <c r="AC708" s="566"/>
      <c r="AD708" s="566"/>
    </row>
    <row r="709" spans="18:30" x14ac:dyDescent="0.25">
      <c r="R709" s="566"/>
      <c r="S709" s="566"/>
      <c r="T709" s="566"/>
      <c r="U709" s="566"/>
      <c r="V709" s="566"/>
      <c r="W709" s="566"/>
      <c r="X709" s="566"/>
      <c r="Y709" s="566"/>
      <c r="Z709" s="566"/>
      <c r="AA709" s="566"/>
      <c r="AB709" s="566"/>
      <c r="AC709" s="566"/>
      <c r="AD709" s="566"/>
    </row>
    <row r="710" spans="18:30" x14ac:dyDescent="0.25">
      <c r="R710" s="566"/>
      <c r="S710" s="566"/>
      <c r="T710" s="566"/>
      <c r="U710" s="566"/>
      <c r="V710" s="566"/>
      <c r="W710" s="566"/>
      <c r="X710" s="566"/>
      <c r="Y710" s="566"/>
      <c r="Z710" s="566"/>
      <c r="AA710" s="566"/>
      <c r="AB710" s="566"/>
      <c r="AC710" s="566"/>
      <c r="AD710" s="566"/>
    </row>
    <row r="711" spans="18:30" x14ac:dyDescent="0.25">
      <c r="R711" s="566"/>
      <c r="S711" s="566"/>
      <c r="T711" s="566"/>
      <c r="U711" s="566"/>
      <c r="V711" s="566"/>
      <c r="W711" s="566"/>
      <c r="X711" s="566"/>
      <c r="Y711" s="566"/>
      <c r="Z711" s="566"/>
      <c r="AA711" s="566"/>
      <c r="AB711" s="566"/>
      <c r="AC711" s="566"/>
      <c r="AD711" s="566"/>
    </row>
    <row r="712" spans="18:30" x14ac:dyDescent="0.25">
      <c r="R712" s="566"/>
      <c r="S712" s="566"/>
      <c r="T712" s="566"/>
      <c r="U712" s="566"/>
      <c r="V712" s="566"/>
      <c r="W712" s="566"/>
      <c r="X712" s="566"/>
      <c r="Y712" s="566"/>
      <c r="Z712" s="566"/>
      <c r="AA712" s="566"/>
      <c r="AB712" s="566"/>
      <c r="AC712" s="566"/>
      <c r="AD712" s="566"/>
    </row>
    <row r="713" spans="18:30" x14ac:dyDescent="0.25">
      <c r="R713" s="566"/>
      <c r="S713" s="566"/>
      <c r="T713" s="566"/>
      <c r="U713" s="566"/>
      <c r="V713" s="566"/>
      <c r="W713" s="566"/>
      <c r="X713" s="566"/>
      <c r="Y713" s="566"/>
      <c r="Z713" s="566"/>
      <c r="AA713" s="566"/>
      <c r="AB713" s="566"/>
      <c r="AC713" s="566"/>
      <c r="AD713" s="566"/>
    </row>
    <row r="714" spans="18:30" x14ac:dyDescent="0.25">
      <c r="R714" s="566"/>
      <c r="S714" s="566"/>
      <c r="T714" s="566"/>
      <c r="U714" s="566"/>
      <c r="V714" s="566"/>
      <c r="W714" s="566"/>
      <c r="X714" s="566"/>
      <c r="Y714" s="566"/>
      <c r="Z714" s="566"/>
      <c r="AA714" s="566"/>
      <c r="AB714" s="566"/>
      <c r="AC714" s="566"/>
      <c r="AD714" s="566"/>
    </row>
    <row r="715" spans="18:30" x14ac:dyDescent="0.25">
      <c r="R715" s="566"/>
      <c r="S715" s="566"/>
      <c r="T715" s="566"/>
      <c r="U715" s="566"/>
      <c r="V715" s="566"/>
      <c r="W715" s="566"/>
      <c r="X715" s="566"/>
      <c r="Y715" s="566"/>
      <c r="Z715" s="566"/>
      <c r="AA715" s="566"/>
      <c r="AB715" s="566"/>
      <c r="AC715" s="566"/>
      <c r="AD715" s="566"/>
    </row>
    <row r="716" spans="18:30" x14ac:dyDescent="0.25">
      <c r="R716" s="566"/>
      <c r="S716" s="566"/>
      <c r="T716" s="566"/>
      <c r="U716" s="566"/>
      <c r="V716" s="566"/>
      <c r="W716" s="566"/>
      <c r="X716" s="566"/>
      <c r="Y716" s="566"/>
      <c r="Z716" s="566"/>
      <c r="AA716" s="566"/>
      <c r="AB716" s="566"/>
      <c r="AC716" s="566"/>
      <c r="AD716" s="566"/>
    </row>
    <row r="717" spans="18:30" x14ac:dyDescent="0.25">
      <c r="R717" s="566"/>
      <c r="S717" s="566"/>
      <c r="T717" s="566"/>
      <c r="U717" s="566"/>
      <c r="V717" s="566"/>
      <c r="W717" s="566"/>
      <c r="X717" s="566"/>
      <c r="Y717" s="566"/>
      <c r="Z717" s="566"/>
      <c r="AA717" s="566"/>
      <c r="AB717" s="566"/>
      <c r="AC717" s="566"/>
      <c r="AD717" s="566"/>
    </row>
    <row r="718" spans="18:30" x14ac:dyDescent="0.25">
      <c r="R718" s="566"/>
      <c r="S718" s="566"/>
      <c r="T718" s="566"/>
      <c r="U718" s="566"/>
      <c r="V718" s="566"/>
      <c r="W718" s="566"/>
      <c r="X718" s="566"/>
      <c r="Y718" s="566"/>
      <c r="Z718" s="566"/>
      <c r="AA718" s="566"/>
      <c r="AB718" s="566"/>
      <c r="AC718" s="566"/>
      <c r="AD718" s="566"/>
    </row>
    <row r="719" spans="18:30" x14ac:dyDescent="0.25">
      <c r="R719" s="566"/>
      <c r="S719" s="566"/>
      <c r="T719" s="566"/>
      <c r="U719" s="566"/>
      <c r="V719" s="566"/>
      <c r="W719" s="566"/>
      <c r="X719" s="566"/>
      <c r="Y719" s="566"/>
      <c r="Z719" s="566"/>
      <c r="AA719" s="566"/>
      <c r="AB719" s="566"/>
      <c r="AC719" s="566"/>
      <c r="AD719" s="566"/>
    </row>
    <row r="720" spans="18:30" x14ac:dyDescent="0.25">
      <c r="R720" s="566"/>
      <c r="S720" s="566"/>
      <c r="T720" s="566"/>
      <c r="U720" s="566"/>
      <c r="V720" s="566"/>
      <c r="W720" s="566"/>
      <c r="X720" s="566"/>
      <c r="Y720" s="566"/>
      <c r="Z720" s="566"/>
      <c r="AA720" s="566"/>
      <c r="AB720" s="566"/>
      <c r="AC720" s="566"/>
      <c r="AD720" s="566"/>
    </row>
    <row r="721" spans="18:30" x14ac:dyDescent="0.25">
      <c r="R721" s="566"/>
      <c r="S721" s="566"/>
      <c r="T721" s="566"/>
      <c r="U721" s="566"/>
      <c r="V721" s="566"/>
      <c r="W721" s="566"/>
      <c r="X721" s="566"/>
      <c r="Y721" s="566"/>
      <c r="Z721" s="566"/>
      <c r="AA721" s="566"/>
      <c r="AB721" s="566"/>
      <c r="AC721" s="566"/>
      <c r="AD721" s="566"/>
    </row>
    <row r="722" spans="18:30" x14ac:dyDescent="0.25">
      <c r="R722" s="566"/>
      <c r="S722" s="566"/>
      <c r="T722" s="566"/>
      <c r="U722" s="566"/>
      <c r="V722" s="566"/>
      <c r="W722" s="566"/>
      <c r="X722" s="566"/>
      <c r="Y722" s="566"/>
      <c r="Z722" s="566"/>
      <c r="AA722" s="566"/>
      <c r="AB722" s="566"/>
      <c r="AC722" s="566"/>
      <c r="AD722" s="566"/>
    </row>
    <row r="723" spans="18:30" x14ac:dyDescent="0.25">
      <c r="R723" s="566"/>
      <c r="S723" s="566"/>
      <c r="T723" s="566"/>
      <c r="U723" s="566"/>
      <c r="V723" s="566"/>
      <c r="W723" s="566"/>
      <c r="X723" s="566"/>
      <c r="Y723" s="566"/>
      <c r="Z723" s="566"/>
      <c r="AA723" s="566"/>
      <c r="AB723" s="566"/>
      <c r="AC723" s="566"/>
      <c r="AD723" s="566"/>
    </row>
    <row r="724" spans="18:30" x14ac:dyDescent="0.25">
      <c r="R724" s="566"/>
      <c r="S724" s="566"/>
      <c r="T724" s="566"/>
      <c r="U724" s="566"/>
      <c r="V724" s="566"/>
      <c r="W724" s="566"/>
      <c r="X724" s="566"/>
      <c r="Y724" s="566"/>
      <c r="Z724" s="566"/>
      <c r="AA724" s="566"/>
      <c r="AB724" s="566"/>
      <c r="AC724" s="566"/>
      <c r="AD724" s="566"/>
    </row>
    <row r="725" spans="18:30" x14ac:dyDescent="0.25">
      <c r="R725" s="566"/>
      <c r="S725" s="566"/>
      <c r="T725" s="566"/>
      <c r="U725" s="566"/>
      <c r="V725" s="566"/>
      <c r="W725" s="566"/>
      <c r="X725" s="566"/>
      <c r="Y725" s="566"/>
      <c r="Z725" s="566"/>
      <c r="AA725" s="566"/>
      <c r="AB725" s="566"/>
      <c r="AC725" s="566"/>
      <c r="AD725" s="566"/>
    </row>
    <row r="726" spans="18:30" x14ac:dyDescent="0.25">
      <c r="R726" s="566"/>
      <c r="S726" s="566"/>
      <c r="T726" s="566"/>
      <c r="U726" s="566"/>
      <c r="V726" s="566"/>
      <c r="W726" s="566"/>
      <c r="X726" s="566"/>
      <c r="Y726" s="566"/>
      <c r="Z726" s="566"/>
      <c r="AA726" s="566"/>
      <c r="AB726" s="566"/>
      <c r="AC726" s="566"/>
      <c r="AD726" s="566"/>
    </row>
    <row r="727" spans="18:30" x14ac:dyDescent="0.25">
      <c r="R727" s="566"/>
      <c r="S727" s="566"/>
      <c r="T727" s="566"/>
      <c r="U727" s="566"/>
      <c r="V727" s="566"/>
      <c r="W727" s="566"/>
      <c r="X727" s="566"/>
      <c r="Y727" s="566"/>
      <c r="Z727" s="566"/>
      <c r="AA727" s="566"/>
      <c r="AB727" s="566"/>
      <c r="AC727" s="566"/>
      <c r="AD727" s="566"/>
    </row>
    <row r="728" spans="18:30" x14ac:dyDescent="0.25">
      <c r="R728" s="566"/>
      <c r="S728" s="566"/>
      <c r="T728" s="566"/>
      <c r="U728" s="566"/>
      <c r="V728" s="566"/>
      <c r="W728" s="566"/>
      <c r="X728" s="566"/>
      <c r="Y728" s="566"/>
      <c r="Z728" s="566"/>
      <c r="AA728" s="566"/>
      <c r="AB728" s="566"/>
      <c r="AC728" s="566"/>
      <c r="AD728" s="566"/>
    </row>
    <row r="729" spans="18:30" x14ac:dyDescent="0.25">
      <c r="R729" s="566"/>
      <c r="S729" s="566"/>
      <c r="T729" s="566"/>
      <c r="U729" s="566"/>
      <c r="V729" s="566"/>
      <c r="W729" s="566"/>
      <c r="X729" s="566"/>
      <c r="Y729" s="566"/>
      <c r="Z729" s="566"/>
      <c r="AA729" s="566"/>
      <c r="AB729" s="566"/>
      <c r="AC729" s="566"/>
      <c r="AD729" s="566"/>
    </row>
    <row r="730" spans="18:30" x14ac:dyDescent="0.25">
      <c r="R730" s="566"/>
      <c r="S730" s="566"/>
      <c r="T730" s="566"/>
      <c r="U730" s="566"/>
      <c r="V730" s="566"/>
      <c r="W730" s="566"/>
      <c r="X730" s="566"/>
      <c r="Y730" s="566"/>
      <c r="Z730" s="566"/>
      <c r="AA730" s="566"/>
      <c r="AB730" s="566"/>
      <c r="AC730" s="566"/>
      <c r="AD730" s="566"/>
    </row>
    <row r="731" spans="18:30" x14ac:dyDescent="0.25">
      <c r="R731" s="566"/>
      <c r="S731" s="566"/>
      <c r="T731" s="566"/>
      <c r="U731" s="566"/>
      <c r="V731" s="566"/>
      <c r="W731" s="566"/>
      <c r="X731" s="566"/>
      <c r="Y731" s="566"/>
      <c r="Z731" s="566"/>
      <c r="AA731" s="566"/>
      <c r="AB731" s="566"/>
      <c r="AC731" s="566"/>
      <c r="AD731" s="566"/>
    </row>
    <row r="732" spans="18:30" x14ac:dyDescent="0.25">
      <c r="R732" s="566"/>
      <c r="S732" s="566"/>
      <c r="T732" s="566"/>
      <c r="U732" s="566"/>
      <c r="V732" s="566"/>
      <c r="W732" s="566"/>
      <c r="X732" s="566"/>
      <c r="Y732" s="566"/>
      <c r="Z732" s="566"/>
      <c r="AA732" s="566"/>
      <c r="AB732" s="566"/>
      <c r="AC732" s="566"/>
      <c r="AD732" s="566"/>
    </row>
    <row r="733" spans="18:30" x14ac:dyDescent="0.25">
      <c r="R733" s="566"/>
      <c r="S733" s="566"/>
      <c r="T733" s="566"/>
      <c r="U733" s="566"/>
      <c r="V733" s="566"/>
      <c r="W733" s="566"/>
      <c r="X733" s="566"/>
      <c r="Y733" s="566"/>
      <c r="Z733" s="566"/>
      <c r="AA733" s="566"/>
      <c r="AB733" s="566"/>
      <c r="AC733" s="566"/>
      <c r="AD733" s="566"/>
    </row>
    <row r="734" spans="18:30" x14ac:dyDescent="0.25">
      <c r="R734" s="566"/>
      <c r="S734" s="566"/>
      <c r="T734" s="566"/>
      <c r="U734" s="566"/>
      <c r="V734" s="566"/>
      <c r="W734" s="566"/>
      <c r="X734" s="566"/>
      <c r="Y734" s="566"/>
      <c r="Z734" s="566"/>
      <c r="AA734" s="566"/>
      <c r="AB734" s="566"/>
      <c r="AC734" s="566"/>
      <c r="AD734" s="566"/>
    </row>
    <row r="735" spans="18:30" x14ac:dyDescent="0.25">
      <c r="R735" s="566"/>
      <c r="S735" s="566"/>
      <c r="T735" s="566"/>
      <c r="U735" s="566"/>
      <c r="V735" s="566"/>
      <c r="W735" s="566"/>
      <c r="X735" s="566"/>
      <c r="Y735" s="566"/>
      <c r="Z735" s="566"/>
      <c r="AA735" s="566"/>
      <c r="AB735" s="566"/>
      <c r="AC735" s="566"/>
      <c r="AD735" s="566"/>
    </row>
    <row r="736" spans="18:30" x14ac:dyDescent="0.25">
      <c r="R736" s="566"/>
      <c r="S736" s="566"/>
      <c r="T736" s="566"/>
      <c r="U736" s="566"/>
      <c r="V736" s="566"/>
      <c r="W736" s="566"/>
      <c r="X736" s="566"/>
      <c r="Y736" s="566"/>
      <c r="Z736" s="566"/>
      <c r="AA736" s="566"/>
      <c r="AB736" s="566"/>
      <c r="AC736" s="566"/>
      <c r="AD736" s="566"/>
    </row>
    <row r="737" spans="18:30" x14ac:dyDescent="0.25">
      <c r="R737" s="566"/>
      <c r="S737" s="566"/>
      <c r="T737" s="566"/>
      <c r="U737" s="566"/>
      <c r="V737" s="566"/>
      <c r="W737" s="566"/>
      <c r="X737" s="566"/>
      <c r="Y737" s="566"/>
      <c r="Z737" s="566"/>
      <c r="AA737" s="566"/>
      <c r="AB737" s="566"/>
      <c r="AC737" s="566"/>
      <c r="AD737" s="566"/>
    </row>
    <row r="738" spans="18:30" x14ac:dyDescent="0.25">
      <c r="R738" s="566"/>
      <c r="S738" s="566"/>
      <c r="T738" s="566"/>
      <c r="U738" s="566"/>
      <c r="V738" s="566"/>
      <c r="W738" s="566"/>
      <c r="X738" s="566"/>
      <c r="Y738" s="566"/>
      <c r="Z738" s="566"/>
      <c r="AA738" s="566"/>
      <c r="AB738" s="566"/>
      <c r="AC738" s="566"/>
      <c r="AD738" s="566"/>
    </row>
    <row r="739" spans="18:30" x14ac:dyDescent="0.25">
      <c r="R739" s="566"/>
      <c r="S739" s="566"/>
      <c r="T739" s="566"/>
      <c r="U739" s="566"/>
      <c r="V739" s="566"/>
      <c r="W739" s="566"/>
      <c r="X739" s="566"/>
      <c r="Y739" s="566"/>
      <c r="Z739" s="566"/>
      <c r="AA739" s="566"/>
      <c r="AB739" s="566"/>
      <c r="AC739" s="566"/>
      <c r="AD739" s="566"/>
    </row>
    <row r="740" spans="18:30" x14ac:dyDescent="0.25">
      <c r="R740" s="566"/>
      <c r="S740" s="566"/>
      <c r="T740" s="566"/>
      <c r="U740" s="566"/>
      <c r="V740" s="566"/>
      <c r="W740" s="566"/>
      <c r="X740" s="566"/>
      <c r="Y740" s="566"/>
      <c r="Z740" s="566"/>
      <c r="AA740" s="566"/>
      <c r="AB740" s="566"/>
      <c r="AC740" s="566"/>
      <c r="AD740" s="566"/>
    </row>
    <row r="741" spans="18:30" x14ac:dyDescent="0.25">
      <c r="R741" s="566"/>
      <c r="S741" s="566"/>
      <c r="T741" s="566"/>
      <c r="U741" s="566"/>
      <c r="V741" s="566"/>
      <c r="W741" s="566"/>
      <c r="X741" s="566"/>
      <c r="Y741" s="566"/>
      <c r="Z741" s="566"/>
      <c r="AA741" s="566"/>
      <c r="AB741" s="566"/>
      <c r="AC741" s="566"/>
      <c r="AD741" s="566"/>
    </row>
    <row r="742" spans="18:30" x14ac:dyDescent="0.25">
      <c r="R742" s="566"/>
      <c r="S742" s="566"/>
      <c r="T742" s="566"/>
      <c r="U742" s="566"/>
      <c r="V742" s="566"/>
      <c r="W742" s="566"/>
      <c r="X742" s="566"/>
      <c r="Y742" s="566"/>
      <c r="Z742" s="566"/>
      <c r="AA742" s="566"/>
      <c r="AB742" s="566"/>
      <c r="AC742" s="566"/>
      <c r="AD742" s="566"/>
    </row>
    <row r="743" spans="18:30" x14ac:dyDescent="0.25">
      <c r="R743" s="566"/>
      <c r="S743" s="566"/>
      <c r="T743" s="566"/>
      <c r="U743" s="566"/>
      <c r="V743" s="566"/>
      <c r="W743" s="566"/>
      <c r="X743" s="566"/>
      <c r="Y743" s="566"/>
      <c r="Z743" s="566"/>
      <c r="AA743" s="566"/>
      <c r="AB743" s="566"/>
      <c r="AC743" s="566"/>
      <c r="AD743" s="566"/>
    </row>
    <row r="744" spans="18:30" x14ac:dyDescent="0.25">
      <c r="R744" s="566"/>
      <c r="S744" s="566"/>
      <c r="T744" s="566"/>
      <c r="U744" s="566"/>
      <c r="V744" s="566"/>
      <c r="W744" s="566"/>
      <c r="X744" s="566"/>
      <c r="Y744" s="566"/>
      <c r="Z744" s="566"/>
      <c r="AA744" s="566"/>
      <c r="AB744" s="566"/>
      <c r="AC744" s="566"/>
      <c r="AD744" s="566"/>
    </row>
    <row r="745" spans="18:30" x14ac:dyDescent="0.25">
      <c r="R745" s="566"/>
      <c r="S745" s="566"/>
      <c r="T745" s="566"/>
      <c r="U745" s="566"/>
      <c r="V745" s="566"/>
      <c r="W745" s="566"/>
      <c r="X745" s="566"/>
      <c r="Y745" s="566"/>
      <c r="Z745" s="566"/>
      <c r="AA745" s="566"/>
      <c r="AB745" s="566"/>
      <c r="AC745" s="566"/>
      <c r="AD745" s="566"/>
    </row>
    <row r="746" spans="18:30" x14ac:dyDescent="0.25">
      <c r="R746" s="566"/>
      <c r="S746" s="566"/>
      <c r="T746" s="566"/>
      <c r="U746" s="566"/>
      <c r="V746" s="566"/>
      <c r="W746" s="566"/>
      <c r="X746" s="566"/>
      <c r="Y746" s="566"/>
      <c r="Z746" s="566"/>
      <c r="AA746" s="566"/>
      <c r="AB746" s="566"/>
      <c r="AC746" s="566"/>
      <c r="AD746" s="566"/>
    </row>
    <row r="747" spans="18:30" x14ac:dyDescent="0.25">
      <c r="R747" s="566"/>
      <c r="S747" s="566"/>
      <c r="T747" s="566"/>
      <c r="U747" s="566"/>
      <c r="V747" s="566"/>
      <c r="W747" s="566"/>
      <c r="X747" s="566"/>
      <c r="Y747" s="566"/>
      <c r="Z747" s="566"/>
      <c r="AA747" s="566"/>
      <c r="AB747" s="566"/>
      <c r="AC747" s="566"/>
      <c r="AD747" s="566"/>
    </row>
    <row r="748" spans="18:30" x14ac:dyDescent="0.25">
      <c r="R748" s="566"/>
      <c r="S748" s="566"/>
      <c r="T748" s="566"/>
      <c r="U748" s="566"/>
      <c r="V748" s="566"/>
      <c r="W748" s="566"/>
      <c r="X748" s="566"/>
      <c r="Y748" s="566"/>
      <c r="Z748" s="566"/>
      <c r="AA748" s="566"/>
      <c r="AB748" s="566"/>
      <c r="AC748" s="566"/>
      <c r="AD748" s="566"/>
    </row>
    <row r="749" spans="18:30" x14ac:dyDescent="0.25">
      <c r="R749" s="566"/>
      <c r="S749" s="566"/>
      <c r="T749" s="566"/>
      <c r="U749" s="566"/>
      <c r="V749" s="566"/>
      <c r="W749" s="566"/>
      <c r="X749" s="566"/>
      <c r="Y749" s="566"/>
      <c r="Z749" s="566"/>
      <c r="AA749" s="566"/>
      <c r="AB749" s="566"/>
      <c r="AC749" s="566"/>
      <c r="AD749" s="566"/>
    </row>
    <row r="750" spans="18:30" x14ac:dyDescent="0.25">
      <c r="R750" s="566"/>
      <c r="S750" s="566"/>
      <c r="T750" s="566"/>
      <c r="U750" s="566"/>
      <c r="V750" s="566"/>
      <c r="W750" s="566"/>
      <c r="X750" s="566"/>
      <c r="Y750" s="566"/>
      <c r="Z750" s="566"/>
      <c r="AA750" s="566"/>
      <c r="AB750" s="566"/>
      <c r="AC750" s="566"/>
      <c r="AD750" s="566"/>
    </row>
    <row r="751" spans="18:30" x14ac:dyDescent="0.25">
      <c r="R751" s="566"/>
      <c r="S751" s="566"/>
      <c r="T751" s="566"/>
      <c r="U751" s="566"/>
      <c r="V751" s="566"/>
      <c r="W751" s="566"/>
      <c r="X751" s="566"/>
      <c r="Y751" s="566"/>
      <c r="Z751" s="566"/>
      <c r="AA751" s="566"/>
      <c r="AB751" s="566"/>
      <c r="AC751" s="566"/>
      <c r="AD751" s="566"/>
    </row>
    <row r="752" spans="18:30" x14ac:dyDescent="0.25">
      <c r="R752" s="566"/>
      <c r="S752" s="566"/>
      <c r="T752" s="566"/>
      <c r="U752" s="566"/>
      <c r="V752" s="566"/>
      <c r="W752" s="566"/>
      <c r="X752" s="566"/>
      <c r="Y752" s="566"/>
      <c r="Z752" s="566"/>
      <c r="AA752" s="566"/>
      <c r="AB752" s="566"/>
      <c r="AC752" s="566"/>
      <c r="AD752" s="566"/>
    </row>
    <row r="753" spans="18:30" x14ac:dyDescent="0.25">
      <c r="R753" s="566"/>
      <c r="S753" s="566"/>
      <c r="T753" s="566"/>
      <c r="U753" s="566"/>
      <c r="V753" s="566"/>
      <c r="W753" s="566"/>
      <c r="X753" s="566"/>
      <c r="Y753" s="566"/>
      <c r="Z753" s="566"/>
      <c r="AA753" s="566"/>
      <c r="AB753" s="566"/>
      <c r="AC753" s="566"/>
      <c r="AD753" s="566"/>
    </row>
    <row r="754" spans="18:30" x14ac:dyDescent="0.25">
      <c r="R754" s="566"/>
      <c r="S754" s="566"/>
      <c r="T754" s="566"/>
      <c r="U754" s="566"/>
      <c r="V754" s="566"/>
      <c r="W754" s="566"/>
      <c r="X754" s="566"/>
      <c r="Y754" s="566"/>
      <c r="Z754" s="566"/>
      <c r="AA754" s="566"/>
      <c r="AB754" s="566"/>
      <c r="AC754" s="566"/>
      <c r="AD754" s="566"/>
    </row>
    <row r="755" spans="18:30" x14ac:dyDescent="0.25">
      <c r="R755" s="566"/>
      <c r="S755" s="566"/>
      <c r="T755" s="566"/>
      <c r="U755" s="566"/>
      <c r="V755" s="566"/>
      <c r="W755" s="566"/>
      <c r="X755" s="566"/>
      <c r="Y755" s="566"/>
      <c r="Z755" s="566"/>
      <c r="AA755" s="566"/>
      <c r="AB755" s="566"/>
      <c r="AC755" s="566"/>
      <c r="AD755" s="566"/>
    </row>
    <row r="756" spans="18:30" x14ac:dyDescent="0.25">
      <c r="R756" s="566"/>
      <c r="S756" s="566"/>
      <c r="T756" s="566"/>
      <c r="U756" s="566"/>
      <c r="V756" s="566"/>
      <c r="W756" s="566"/>
      <c r="X756" s="566"/>
      <c r="Y756" s="566"/>
      <c r="Z756" s="566"/>
      <c r="AA756" s="566"/>
      <c r="AB756" s="566"/>
      <c r="AC756" s="566"/>
      <c r="AD756" s="566"/>
    </row>
    <row r="757" spans="18:30" x14ac:dyDescent="0.25">
      <c r="R757" s="566"/>
      <c r="S757" s="566"/>
      <c r="T757" s="566"/>
      <c r="U757" s="566"/>
      <c r="V757" s="566"/>
      <c r="W757" s="566"/>
      <c r="X757" s="566"/>
      <c r="Y757" s="566"/>
      <c r="Z757" s="566"/>
      <c r="AA757" s="566"/>
      <c r="AB757" s="566"/>
      <c r="AC757" s="566"/>
      <c r="AD757" s="566"/>
    </row>
    <row r="758" spans="18:30" x14ac:dyDescent="0.25">
      <c r="R758" s="566"/>
      <c r="S758" s="566"/>
      <c r="T758" s="566"/>
      <c r="U758" s="566"/>
      <c r="V758" s="566"/>
      <c r="W758" s="566"/>
      <c r="X758" s="566"/>
      <c r="Y758" s="566"/>
      <c r="Z758" s="566"/>
      <c r="AA758" s="566"/>
      <c r="AB758" s="566"/>
      <c r="AC758" s="566"/>
      <c r="AD758" s="566"/>
    </row>
    <row r="759" spans="18:30" x14ac:dyDescent="0.25">
      <c r="R759" s="566"/>
      <c r="S759" s="566"/>
      <c r="T759" s="566"/>
      <c r="U759" s="566"/>
      <c r="V759" s="566"/>
      <c r="W759" s="566"/>
      <c r="X759" s="566"/>
      <c r="Y759" s="566"/>
      <c r="Z759" s="566"/>
      <c r="AA759" s="566"/>
      <c r="AB759" s="566"/>
      <c r="AC759" s="566"/>
      <c r="AD759" s="566"/>
    </row>
    <row r="760" spans="18:30" x14ac:dyDescent="0.25">
      <c r="R760" s="566"/>
      <c r="S760" s="566"/>
      <c r="T760" s="566"/>
      <c r="U760" s="566"/>
      <c r="V760" s="566"/>
      <c r="W760" s="566"/>
      <c r="X760" s="566"/>
      <c r="Y760" s="566"/>
      <c r="Z760" s="566"/>
      <c r="AA760" s="566"/>
      <c r="AB760" s="566"/>
      <c r="AC760" s="566"/>
      <c r="AD760" s="566"/>
    </row>
    <row r="761" spans="18:30" x14ac:dyDescent="0.25">
      <c r="R761" s="566"/>
      <c r="S761" s="566"/>
      <c r="T761" s="566"/>
      <c r="U761" s="566"/>
      <c r="V761" s="566"/>
      <c r="W761" s="566"/>
      <c r="X761" s="566"/>
      <c r="Y761" s="566"/>
      <c r="Z761" s="566"/>
      <c r="AA761" s="566"/>
      <c r="AB761" s="566"/>
      <c r="AC761" s="566"/>
      <c r="AD761" s="566"/>
    </row>
    <row r="762" spans="18:30" x14ac:dyDescent="0.25">
      <c r="R762" s="566"/>
      <c r="S762" s="566"/>
      <c r="T762" s="566"/>
      <c r="U762" s="566"/>
      <c r="V762" s="566"/>
      <c r="W762" s="566"/>
      <c r="X762" s="566"/>
      <c r="Y762" s="566"/>
      <c r="Z762" s="566"/>
      <c r="AA762" s="566"/>
      <c r="AB762" s="566"/>
      <c r="AC762" s="566"/>
      <c r="AD762" s="566"/>
    </row>
    <row r="763" spans="18:30" x14ac:dyDescent="0.25">
      <c r="R763" s="566"/>
      <c r="S763" s="566"/>
      <c r="T763" s="566"/>
      <c r="U763" s="566"/>
      <c r="V763" s="566"/>
      <c r="W763" s="566"/>
      <c r="X763" s="566"/>
      <c r="Y763" s="566"/>
      <c r="Z763" s="566"/>
      <c r="AA763" s="566"/>
      <c r="AB763" s="566"/>
      <c r="AC763" s="566"/>
      <c r="AD763" s="566"/>
    </row>
    <row r="764" spans="18:30" x14ac:dyDescent="0.25">
      <c r="R764" s="566"/>
      <c r="S764" s="566"/>
      <c r="T764" s="566"/>
      <c r="U764" s="566"/>
      <c r="V764" s="566"/>
      <c r="W764" s="566"/>
      <c r="X764" s="566"/>
      <c r="Y764" s="566"/>
      <c r="Z764" s="566"/>
      <c r="AA764" s="566"/>
      <c r="AB764" s="566"/>
      <c r="AC764" s="566"/>
      <c r="AD764" s="566"/>
    </row>
    <row r="765" spans="18:30" x14ac:dyDescent="0.25">
      <c r="R765" s="566"/>
      <c r="S765" s="566"/>
      <c r="T765" s="566"/>
      <c r="U765" s="566"/>
      <c r="V765" s="566"/>
      <c r="W765" s="566"/>
      <c r="X765" s="566"/>
      <c r="Y765" s="566"/>
      <c r="Z765" s="566"/>
      <c r="AA765" s="566"/>
      <c r="AB765" s="566"/>
      <c r="AC765" s="566"/>
      <c r="AD765" s="566"/>
    </row>
    <row r="766" spans="18:30" x14ac:dyDescent="0.25">
      <c r="R766" s="566"/>
      <c r="S766" s="566"/>
      <c r="T766" s="566"/>
      <c r="U766" s="566"/>
      <c r="V766" s="566"/>
      <c r="W766" s="566"/>
      <c r="X766" s="566"/>
      <c r="Y766" s="566"/>
      <c r="Z766" s="566"/>
      <c r="AA766" s="566"/>
      <c r="AB766" s="566"/>
      <c r="AC766" s="566"/>
      <c r="AD766" s="566"/>
    </row>
    <row r="767" spans="18:30" x14ac:dyDescent="0.25">
      <c r="R767" s="566"/>
      <c r="S767" s="566"/>
      <c r="T767" s="566"/>
      <c r="U767" s="566"/>
      <c r="V767" s="566"/>
      <c r="W767" s="566"/>
      <c r="X767" s="566"/>
      <c r="Y767" s="566"/>
      <c r="Z767" s="566"/>
      <c r="AA767" s="566"/>
      <c r="AB767" s="566"/>
      <c r="AC767" s="566"/>
      <c r="AD767" s="566"/>
    </row>
    <row r="768" spans="18:30" x14ac:dyDescent="0.25">
      <c r="R768" s="566"/>
      <c r="S768" s="566"/>
      <c r="T768" s="566"/>
      <c r="U768" s="566"/>
      <c r="V768" s="566"/>
      <c r="W768" s="566"/>
      <c r="X768" s="566"/>
      <c r="Y768" s="566"/>
      <c r="Z768" s="566"/>
      <c r="AA768" s="566"/>
      <c r="AB768" s="566"/>
      <c r="AC768" s="566"/>
      <c r="AD768" s="566"/>
    </row>
    <row r="769" spans="18:30" x14ac:dyDescent="0.25">
      <c r="R769" s="566"/>
      <c r="S769" s="566"/>
      <c r="T769" s="566"/>
      <c r="U769" s="566"/>
      <c r="V769" s="566"/>
      <c r="W769" s="566"/>
      <c r="X769" s="566"/>
      <c r="Y769" s="566"/>
      <c r="Z769" s="566"/>
      <c r="AA769" s="566"/>
      <c r="AB769" s="566"/>
      <c r="AC769" s="566"/>
      <c r="AD769" s="566"/>
    </row>
    <row r="770" spans="18:30" x14ac:dyDescent="0.25">
      <c r="R770" s="566"/>
      <c r="S770" s="566"/>
      <c r="T770" s="566"/>
      <c r="U770" s="566"/>
      <c r="V770" s="566"/>
      <c r="W770" s="566"/>
      <c r="X770" s="566"/>
      <c r="Y770" s="566"/>
      <c r="Z770" s="566"/>
      <c r="AA770" s="566"/>
      <c r="AB770" s="566"/>
      <c r="AC770" s="566"/>
      <c r="AD770" s="566"/>
    </row>
    <row r="771" spans="18:30" x14ac:dyDescent="0.25">
      <c r="R771" s="566"/>
      <c r="S771" s="566"/>
      <c r="T771" s="566"/>
      <c r="U771" s="566"/>
      <c r="V771" s="566"/>
      <c r="W771" s="566"/>
      <c r="X771" s="566"/>
      <c r="Y771" s="566"/>
      <c r="Z771" s="566"/>
      <c r="AA771" s="566"/>
      <c r="AB771" s="566"/>
      <c r="AC771" s="566"/>
      <c r="AD771" s="566"/>
    </row>
    <row r="772" spans="18:30" x14ac:dyDescent="0.25">
      <c r="R772" s="566"/>
      <c r="S772" s="566"/>
      <c r="T772" s="566"/>
      <c r="U772" s="566"/>
      <c r="V772" s="566"/>
      <c r="W772" s="566"/>
      <c r="X772" s="566"/>
      <c r="Y772" s="566"/>
      <c r="Z772" s="566"/>
      <c r="AA772" s="566"/>
      <c r="AB772" s="566"/>
      <c r="AC772" s="566"/>
      <c r="AD772" s="566"/>
    </row>
    <row r="773" spans="18:30" x14ac:dyDescent="0.25">
      <c r="R773" s="566"/>
      <c r="S773" s="566"/>
      <c r="T773" s="566"/>
      <c r="U773" s="566"/>
      <c r="V773" s="566"/>
      <c r="W773" s="566"/>
      <c r="X773" s="566"/>
      <c r="Y773" s="566"/>
      <c r="Z773" s="566"/>
      <c r="AA773" s="566"/>
      <c r="AB773" s="566"/>
      <c r="AC773" s="566"/>
      <c r="AD773" s="566"/>
    </row>
    <row r="774" spans="18:30" x14ac:dyDescent="0.25">
      <c r="R774" s="566"/>
      <c r="S774" s="566"/>
      <c r="T774" s="566"/>
      <c r="U774" s="566"/>
      <c r="V774" s="566"/>
      <c r="W774" s="566"/>
      <c r="X774" s="566"/>
      <c r="Y774" s="566"/>
      <c r="Z774" s="566"/>
      <c r="AA774" s="566"/>
      <c r="AB774" s="566"/>
      <c r="AC774" s="566"/>
      <c r="AD774" s="566"/>
    </row>
    <row r="775" spans="18:30" x14ac:dyDescent="0.25">
      <c r="R775" s="566"/>
      <c r="S775" s="566"/>
      <c r="T775" s="566"/>
      <c r="U775" s="566"/>
      <c r="V775" s="566"/>
      <c r="W775" s="566"/>
      <c r="X775" s="566"/>
      <c r="Y775" s="566"/>
      <c r="Z775" s="566"/>
      <c r="AA775" s="566"/>
      <c r="AB775" s="566"/>
      <c r="AC775" s="566"/>
      <c r="AD775" s="566"/>
    </row>
    <row r="776" spans="18:30" x14ac:dyDescent="0.25">
      <c r="R776" s="566"/>
      <c r="S776" s="566"/>
      <c r="T776" s="566"/>
      <c r="U776" s="566"/>
      <c r="V776" s="566"/>
      <c r="W776" s="566"/>
      <c r="X776" s="566"/>
      <c r="Y776" s="566"/>
      <c r="Z776" s="566"/>
      <c r="AA776" s="566"/>
      <c r="AB776" s="566"/>
      <c r="AC776" s="566"/>
      <c r="AD776" s="566"/>
    </row>
    <row r="777" spans="18:30" x14ac:dyDescent="0.25">
      <c r="R777" s="566"/>
      <c r="S777" s="566"/>
      <c r="T777" s="566"/>
      <c r="U777" s="566"/>
      <c r="V777" s="566"/>
      <c r="W777" s="566"/>
      <c r="X777" s="566"/>
      <c r="Y777" s="566"/>
      <c r="Z777" s="566"/>
      <c r="AA777" s="566"/>
      <c r="AB777" s="566"/>
      <c r="AC777" s="566"/>
      <c r="AD777" s="566"/>
    </row>
    <row r="778" spans="18:30" x14ac:dyDescent="0.25">
      <c r="R778" s="566"/>
      <c r="S778" s="566"/>
      <c r="T778" s="566"/>
      <c r="U778" s="566"/>
      <c r="V778" s="566"/>
      <c r="W778" s="566"/>
      <c r="X778" s="566"/>
      <c r="Y778" s="566"/>
      <c r="Z778" s="566"/>
      <c r="AA778" s="566"/>
      <c r="AB778" s="566"/>
      <c r="AC778" s="566"/>
      <c r="AD778" s="566"/>
    </row>
    <row r="779" spans="18:30" x14ac:dyDescent="0.25">
      <c r="R779" s="566"/>
      <c r="S779" s="566"/>
      <c r="T779" s="566"/>
      <c r="U779" s="566"/>
      <c r="V779" s="566"/>
      <c r="W779" s="566"/>
      <c r="X779" s="566"/>
      <c r="Y779" s="566"/>
      <c r="Z779" s="566"/>
      <c r="AA779" s="566"/>
      <c r="AB779" s="566"/>
      <c r="AC779" s="566"/>
      <c r="AD779" s="566"/>
    </row>
    <row r="780" spans="18:30" x14ac:dyDescent="0.25">
      <c r="R780" s="566"/>
      <c r="S780" s="566"/>
      <c r="T780" s="566"/>
      <c r="U780" s="566"/>
      <c r="V780" s="566"/>
      <c r="W780" s="566"/>
      <c r="X780" s="566"/>
      <c r="Y780" s="566"/>
      <c r="Z780" s="566"/>
      <c r="AA780" s="566"/>
      <c r="AB780" s="566"/>
      <c r="AC780" s="566"/>
      <c r="AD780" s="566"/>
    </row>
    <row r="781" spans="18:30" x14ac:dyDescent="0.25">
      <c r="R781" s="566"/>
      <c r="S781" s="566"/>
      <c r="T781" s="566"/>
      <c r="U781" s="566"/>
      <c r="V781" s="566"/>
      <c r="W781" s="566"/>
      <c r="X781" s="566"/>
      <c r="Y781" s="566"/>
      <c r="Z781" s="566"/>
      <c r="AA781" s="566"/>
      <c r="AB781" s="566"/>
      <c r="AC781" s="566"/>
      <c r="AD781" s="566"/>
    </row>
    <row r="782" spans="18:30" x14ac:dyDescent="0.25">
      <c r="R782" s="566"/>
      <c r="S782" s="566"/>
      <c r="T782" s="566"/>
      <c r="U782" s="566"/>
      <c r="V782" s="566"/>
      <c r="W782" s="566"/>
      <c r="X782" s="566"/>
      <c r="Y782" s="566"/>
      <c r="Z782" s="566"/>
      <c r="AA782" s="566"/>
      <c r="AB782" s="566"/>
      <c r="AC782" s="566"/>
      <c r="AD782" s="566"/>
    </row>
    <row r="783" spans="18:30" x14ac:dyDescent="0.25">
      <c r="R783" s="566"/>
      <c r="S783" s="566"/>
      <c r="T783" s="566"/>
      <c r="U783" s="566"/>
      <c r="V783" s="566"/>
      <c r="W783" s="566"/>
      <c r="X783" s="566"/>
      <c r="Y783" s="566"/>
      <c r="Z783" s="566"/>
      <c r="AA783" s="566"/>
      <c r="AB783" s="566"/>
      <c r="AC783" s="566"/>
      <c r="AD783" s="566"/>
    </row>
    <row r="784" spans="18:30" x14ac:dyDescent="0.25">
      <c r="R784" s="566"/>
      <c r="S784" s="566"/>
      <c r="T784" s="566"/>
      <c r="U784" s="566"/>
      <c r="V784" s="566"/>
      <c r="W784" s="566"/>
      <c r="X784" s="566"/>
      <c r="Y784" s="566"/>
      <c r="Z784" s="566"/>
      <c r="AA784" s="566"/>
      <c r="AB784" s="566"/>
      <c r="AC784" s="566"/>
      <c r="AD784" s="566"/>
    </row>
    <row r="785" spans="18:30" x14ac:dyDescent="0.25">
      <c r="R785" s="566"/>
      <c r="S785" s="566"/>
      <c r="T785" s="566"/>
      <c r="U785" s="566"/>
      <c r="V785" s="566"/>
      <c r="W785" s="566"/>
      <c r="X785" s="566"/>
      <c r="Y785" s="566"/>
      <c r="Z785" s="566"/>
      <c r="AA785" s="566"/>
      <c r="AB785" s="566"/>
      <c r="AC785" s="566"/>
      <c r="AD785" s="566"/>
    </row>
    <row r="786" spans="18:30" x14ac:dyDescent="0.25">
      <c r="R786" s="566"/>
      <c r="S786" s="566"/>
      <c r="T786" s="566"/>
      <c r="U786" s="566"/>
      <c r="V786" s="566"/>
      <c r="W786" s="566"/>
      <c r="X786" s="566"/>
      <c r="Y786" s="566"/>
      <c r="Z786" s="566"/>
      <c r="AA786" s="566"/>
      <c r="AB786" s="566"/>
      <c r="AC786" s="566"/>
      <c r="AD786" s="566"/>
    </row>
    <row r="787" spans="18:30" x14ac:dyDescent="0.25">
      <c r="R787" s="566"/>
      <c r="S787" s="566"/>
      <c r="T787" s="566"/>
      <c r="U787" s="566"/>
      <c r="V787" s="566"/>
      <c r="W787" s="566"/>
      <c r="X787" s="566"/>
      <c r="Y787" s="566"/>
      <c r="Z787" s="566"/>
      <c r="AA787" s="566"/>
      <c r="AB787" s="566"/>
      <c r="AC787" s="566"/>
      <c r="AD787" s="566"/>
    </row>
    <row r="788" spans="18:30" x14ac:dyDescent="0.25">
      <c r="R788" s="566"/>
      <c r="S788" s="566"/>
      <c r="T788" s="566"/>
      <c r="U788" s="566"/>
      <c r="V788" s="566"/>
      <c r="W788" s="566"/>
      <c r="X788" s="566"/>
      <c r="Y788" s="566"/>
      <c r="Z788" s="566"/>
      <c r="AA788" s="566"/>
      <c r="AB788" s="566"/>
      <c r="AC788" s="566"/>
      <c r="AD788" s="566"/>
    </row>
    <row r="789" spans="18:30" x14ac:dyDescent="0.25">
      <c r="R789" s="566"/>
      <c r="S789" s="566"/>
      <c r="T789" s="566"/>
      <c r="U789" s="566"/>
      <c r="V789" s="566"/>
      <c r="W789" s="566"/>
      <c r="X789" s="566"/>
      <c r="Y789" s="566"/>
      <c r="Z789" s="566"/>
      <c r="AA789" s="566"/>
      <c r="AB789" s="566"/>
      <c r="AC789" s="566"/>
      <c r="AD789" s="566"/>
    </row>
    <row r="790" spans="18:30" x14ac:dyDescent="0.25">
      <c r="R790" s="566"/>
      <c r="S790" s="566"/>
      <c r="T790" s="566"/>
      <c r="U790" s="566"/>
      <c r="V790" s="566"/>
      <c r="W790" s="566"/>
      <c r="X790" s="566"/>
      <c r="Y790" s="566"/>
      <c r="Z790" s="566"/>
      <c r="AA790" s="566"/>
      <c r="AB790" s="566"/>
      <c r="AC790" s="566"/>
      <c r="AD790" s="566"/>
    </row>
    <row r="791" spans="18:30" x14ac:dyDescent="0.25">
      <c r="R791" s="566"/>
      <c r="S791" s="566"/>
      <c r="T791" s="566"/>
      <c r="U791" s="566"/>
      <c r="V791" s="566"/>
      <c r="W791" s="566"/>
      <c r="X791" s="566"/>
      <c r="Y791" s="566"/>
      <c r="Z791" s="566"/>
      <c r="AA791" s="566"/>
      <c r="AB791" s="566"/>
      <c r="AC791" s="566"/>
      <c r="AD791" s="566"/>
    </row>
    <row r="792" spans="18:30" x14ac:dyDescent="0.25">
      <c r="R792" s="566"/>
      <c r="S792" s="566"/>
      <c r="T792" s="566"/>
      <c r="U792" s="566"/>
      <c r="V792" s="566"/>
      <c r="W792" s="566"/>
      <c r="X792" s="566"/>
      <c r="Y792" s="566"/>
      <c r="Z792" s="566"/>
      <c r="AA792" s="566"/>
      <c r="AB792" s="566"/>
      <c r="AC792" s="566"/>
      <c r="AD792" s="566"/>
    </row>
    <row r="793" spans="18:30" x14ac:dyDescent="0.25">
      <c r="R793" s="566"/>
      <c r="S793" s="566"/>
      <c r="T793" s="566"/>
      <c r="U793" s="566"/>
      <c r="V793" s="566"/>
      <c r="W793" s="566"/>
      <c r="X793" s="566"/>
      <c r="Y793" s="566"/>
      <c r="Z793" s="566"/>
      <c r="AA793" s="566"/>
      <c r="AB793" s="566"/>
      <c r="AC793" s="566"/>
      <c r="AD793" s="566"/>
    </row>
    <row r="794" spans="18:30" x14ac:dyDescent="0.25">
      <c r="R794" s="566"/>
      <c r="S794" s="566"/>
      <c r="T794" s="566"/>
      <c r="U794" s="566"/>
      <c r="V794" s="566"/>
      <c r="W794" s="566"/>
      <c r="X794" s="566"/>
      <c r="Y794" s="566"/>
      <c r="Z794" s="566"/>
      <c r="AA794" s="566"/>
      <c r="AB794" s="566"/>
      <c r="AC794" s="566"/>
      <c r="AD794" s="566"/>
    </row>
    <row r="795" spans="18:30" x14ac:dyDescent="0.25">
      <c r="R795" s="566"/>
      <c r="S795" s="566"/>
      <c r="T795" s="566"/>
      <c r="U795" s="566"/>
      <c r="V795" s="566"/>
      <c r="W795" s="566"/>
      <c r="X795" s="566"/>
      <c r="Y795" s="566"/>
      <c r="Z795" s="566"/>
      <c r="AA795" s="566"/>
      <c r="AB795" s="566"/>
      <c r="AC795" s="566"/>
      <c r="AD795" s="566"/>
    </row>
    <row r="796" spans="18:30" x14ac:dyDescent="0.25">
      <c r="R796" s="566"/>
      <c r="S796" s="566"/>
      <c r="T796" s="566"/>
      <c r="U796" s="566"/>
      <c r="V796" s="566"/>
      <c r="W796" s="566"/>
      <c r="X796" s="566"/>
      <c r="Y796" s="566"/>
      <c r="Z796" s="566"/>
      <c r="AA796" s="566"/>
      <c r="AB796" s="566"/>
      <c r="AC796" s="566"/>
      <c r="AD796" s="566"/>
    </row>
    <row r="797" spans="18:30" x14ac:dyDescent="0.25">
      <c r="R797" s="566"/>
      <c r="S797" s="566"/>
      <c r="T797" s="566"/>
      <c r="U797" s="566"/>
      <c r="V797" s="566"/>
      <c r="W797" s="566"/>
      <c r="X797" s="566"/>
      <c r="Y797" s="566"/>
      <c r="Z797" s="566"/>
      <c r="AA797" s="566"/>
      <c r="AB797" s="566"/>
      <c r="AC797" s="566"/>
      <c r="AD797" s="566"/>
    </row>
    <row r="798" spans="18:30" x14ac:dyDescent="0.25">
      <c r="R798" s="566"/>
      <c r="S798" s="566"/>
      <c r="T798" s="566"/>
      <c r="U798" s="566"/>
      <c r="V798" s="566"/>
      <c r="W798" s="566"/>
      <c r="X798" s="566"/>
      <c r="Y798" s="566"/>
      <c r="Z798" s="566"/>
      <c r="AA798" s="566"/>
      <c r="AB798" s="566"/>
      <c r="AC798" s="566"/>
      <c r="AD798" s="566"/>
    </row>
    <row r="799" spans="18:30" x14ac:dyDescent="0.25">
      <c r="R799" s="566"/>
      <c r="S799" s="566"/>
      <c r="T799" s="566"/>
      <c r="U799" s="566"/>
      <c r="V799" s="566"/>
      <c r="W799" s="566"/>
      <c r="X799" s="566"/>
      <c r="Y799" s="566"/>
      <c r="Z799" s="566"/>
      <c r="AA799" s="566"/>
      <c r="AB799" s="566"/>
      <c r="AC799" s="566"/>
      <c r="AD799" s="566"/>
    </row>
    <row r="800" spans="18:30" x14ac:dyDescent="0.25">
      <c r="R800" s="566"/>
      <c r="S800" s="566"/>
      <c r="T800" s="566"/>
      <c r="U800" s="566"/>
      <c r="V800" s="566"/>
      <c r="W800" s="566"/>
      <c r="X800" s="566"/>
      <c r="Y800" s="566"/>
      <c r="Z800" s="566"/>
      <c r="AA800" s="566"/>
      <c r="AB800" s="566"/>
      <c r="AC800" s="566"/>
      <c r="AD800" s="566"/>
    </row>
    <row r="801" spans="18:30" x14ac:dyDescent="0.25">
      <c r="R801" s="566"/>
      <c r="S801" s="566"/>
      <c r="T801" s="566"/>
      <c r="U801" s="566"/>
      <c r="V801" s="566"/>
      <c r="W801" s="566"/>
      <c r="X801" s="566"/>
      <c r="Y801" s="566"/>
      <c r="Z801" s="566"/>
      <c r="AA801" s="566"/>
      <c r="AB801" s="566"/>
      <c r="AC801" s="566"/>
      <c r="AD801" s="566"/>
    </row>
    <row r="802" spans="18:30" x14ac:dyDescent="0.25">
      <c r="R802" s="566"/>
      <c r="S802" s="566"/>
      <c r="T802" s="566"/>
      <c r="U802" s="566"/>
      <c r="V802" s="566"/>
      <c r="W802" s="566"/>
      <c r="X802" s="566"/>
      <c r="Y802" s="566"/>
      <c r="Z802" s="566"/>
      <c r="AA802" s="566"/>
      <c r="AB802" s="566"/>
      <c r="AC802" s="566"/>
      <c r="AD802" s="566"/>
    </row>
    <row r="803" spans="18:30" x14ac:dyDescent="0.25">
      <c r="R803" s="566"/>
      <c r="S803" s="566"/>
      <c r="T803" s="566"/>
      <c r="U803" s="566"/>
      <c r="V803" s="566"/>
      <c r="W803" s="566"/>
      <c r="X803" s="566"/>
      <c r="Y803" s="566"/>
      <c r="Z803" s="566"/>
      <c r="AA803" s="566"/>
      <c r="AB803" s="566"/>
      <c r="AC803" s="566"/>
      <c r="AD803" s="566"/>
    </row>
    <row r="804" spans="18:30" x14ac:dyDescent="0.25">
      <c r="R804" s="566"/>
      <c r="S804" s="566"/>
      <c r="T804" s="566"/>
      <c r="U804" s="566"/>
      <c r="V804" s="566"/>
      <c r="W804" s="566"/>
      <c r="X804" s="566"/>
      <c r="Y804" s="566"/>
      <c r="Z804" s="566"/>
      <c r="AA804" s="566"/>
      <c r="AB804" s="566"/>
      <c r="AC804" s="566"/>
      <c r="AD804" s="566"/>
    </row>
    <row r="805" spans="18:30" x14ac:dyDescent="0.25">
      <c r="R805" s="566"/>
      <c r="S805" s="566"/>
      <c r="T805" s="566"/>
      <c r="U805" s="566"/>
      <c r="V805" s="566"/>
      <c r="W805" s="566"/>
      <c r="X805" s="566"/>
      <c r="Y805" s="566"/>
      <c r="Z805" s="566"/>
      <c r="AA805" s="566"/>
      <c r="AB805" s="566"/>
      <c r="AC805" s="566"/>
      <c r="AD805" s="566"/>
    </row>
    <row r="806" spans="18:30" x14ac:dyDescent="0.25">
      <c r="R806" s="566"/>
      <c r="S806" s="566"/>
      <c r="T806" s="566"/>
      <c r="U806" s="566"/>
      <c r="V806" s="566"/>
      <c r="W806" s="566"/>
      <c r="X806" s="566"/>
      <c r="Y806" s="566"/>
      <c r="Z806" s="566"/>
      <c r="AA806" s="566"/>
      <c r="AB806" s="566"/>
      <c r="AC806" s="566"/>
      <c r="AD806" s="566"/>
    </row>
    <row r="807" spans="18:30" x14ac:dyDescent="0.25">
      <c r="R807" s="566"/>
      <c r="S807" s="566"/>
      <c r="T807" s="566"/>
      <c r="U807" s="566"/>
      <c r="V807" s="566"/>
      <c r="W807" s="566"/>
      <c r="X807" s="566"/>
      <c r="Y807" s="566"/>
      <c r="Z807" s="566"/>
      <c r="AA807" s="566"/>
      <c r="AB807" s="566"/>
      <c r="AC807" s="566"/>
      <c r="AD807" s="566"/>
    </row>
    <row r="808" spans="18:30" x14ac:dyDescent="0.25">
      <c r="R808" s="566"/>
      <c r="S808" s="566"/>
      <c r="T808" s="566"/>
      <c r="U808" s="566"/>
      <c r="V808" s="566"/>
      <c r="W808" s="566"/>
      <c r="X808" s="566"/>
      <c r="Y808" s="566"/>
      <c r="Z808" s="566"/>
      <c r="AA808" s="566"/>
      <c r="AB808" s="566"/>
      <c r="AC808" s="566"/>
      <c r="AD808" s="566"/>
    </row>
    <row r="809" spans="18:30" x14ac:dyDescent="0.25">
      <c r="R809" s="566"/>
      <c r="S809" s="566"/>
      <c r="T809" s="566"/>
      <c r="U809" s="566"/>
      <c r="V809" s="566"/>
      <c r="W809" s="566"/>
      <c r="X809" s="566"/>
      <c r="Y809" s="566"/>
      <c r="Z809" s="566"/>
      <c r="AA809" s="566"/>
      <c r="AB809" s="566"/>
      <c r="AC809" s="566"/>
      <c r="AD809" s="566"/>
    </row>
    <row r="810" spans="18:30" x14ac:dyDescent="0.25">
      <c r="R810" s="566"/>
      <c r="S810" s="566"/>
      <c r="T810" s="566"/>
      <c r="U810" s="566"/>
      <c r="V810" s="566"/>
      <c r="W810" s="566"/>
      <c r="X810" s="566"/>
      <c r="Y810" s="566"/>
      <c r="Z810" s="566"/>
      <c r="AA810" s="566"/>
      <c r="AB810" s="566"/>
      <c r="AC810" s="566"/>
      <c r="AD810" s="566"/>
    </row>
    <row r="811" spans="18:30" x14ac:dyDescent="0.25">
      <c r="R811" s="566"/>
      <c r="S811" s="566"/>
      <c r="T811" s="566"/>
      <c r="U811" s="566"/>
      <c r="V811" s="566"/>
      <c r="W811" s="566"/>
      <c r="X811" s="566"/>
      <c r="Y811" s="566"/>
      <c r="Z811" s="566"/>
      <c r="AA811" s="566"/>
      <c r="AB811" s="566"/>
      <c r="AC811" s="566"/>
      <c r="AD811" s="566"/>
    </row>
    <row r="812" spans="18:30" x14ac:dyDescent="0.25">
      <c r="R812" s="566"/>
      <c r="S812" s="566"/>
      <c r="T812" s="566"/>
      <c r="U812" s="566"/>
      <c r="V812" s="566"/>
      <c r="W812" s="566"/>
      <c r="X812" s="566"/>
      <c r="Y812" s="566"/>
      <c r="Z812" s="566"/>
      <c r="AA812" s="566"/>
      <c r="AB812" s="566"/>
      <c r="AC812" s="566"/>
      <c r="AD812" s="566"/>
    </row>
    <row r="813" spans="18:30" x14ac:dyDescent="0.25">
      <c r="R813" s="566"/>
      <c r="S813" s="566"/>
      <c r="T813" s="566"/>
      <c r="U813" s="566"/>
      <c r="V813" s="566"/>
      <c r="W813" s="566"/>
      <c r="X813" s="566"/>
      <c r="Y813" s="566"/>
      <c r="Z813" s="566"/>
      <c r="AA813" s="566"/>
      <c r="AB813" s="566"/>
      <c r="AC813" s="566"/>
      <c r="AD813" s="566"/>
    </row>
    <row r="814" spans="18:30" x14ac:dyDescent="0.25">
      <c r="R814" s="566"/>
      <c r="S814" s="566"/>
      <c r="T814" s="566"/>
      <c r="U814" s="566"/>
      <c r="V814" s="566"/>
      <c r="W814" s="566"/>
      <c r="X814" s="566"/>
      <c r="Y814" s="566"/>
      <c r="Z814" s="566"/>
      <c r="AA814" s="566"/>
      <c r="AB814" s="566"/>
      <c r="AC814" s="566"/>
      <c r="AD814" s="566"/>
    </row>
    <row r="815" spans="18:30" x14ac:dyDescent="0.25">
      <c r="R815" s="566"/>
      <c r="S815" s="566"/>
      <c r="T815" s="566"/>
      <c r="U815" s="566"/>
      <c r="V815" s="566"/>
      <c r="W815" s="566"/>
      <c r="X815" s="566"/>
      <c r="Y815" s="566"/>
      <c r="Z815" s="566"/>
      <c r="AA815" s="566"/>
      <c r="AB815" s="566"/>
      <c r="AC815" s="566"/>
      <c r="AD815" s="566"/>
    </row>
    <row r="816" spans="18:30" x14ac:dyDescent="0.25">
      <c r="R816" s="566"/>
      <c r="S816" s="566"/>
      <c r="T816" s="566"/>
      <c r="U816" s="566"/>
      <c r="V816" s="566"/>
      <c r="W816" s="566"/>
      <c r="X816" s="566"/>
      <c r="Y816" s="566"/>
      <c r="Z816" s="566"/>
      <c r="AA816" s="566"/>
      <c r="AB816" s="566"/>
      <c r="AC816" s="566"/>
      <c r="AD816" s="566"/>
    </row>
    <row r="817" spans="18:30" x14ac:dyDescent="0.25">
      <c r="R817" s="566"/>
      <c r="S817" s="566"/>
      <c r="T817" s="566"/>
      <c r="U817" s="566"/>
      <c r="V817" s="566"/>
      <c r="W817" s="566"/>
      <c r="X817" s="566"/>
      <c r="Y817" s="566"/>
      <c r="Z817" s="566"/>
      <c r="AA817" s="566"/>
      <c r="AB817" s="566"/>
      <c r="AC817" s="566"/>
      <c r="AD817" s="566"/>
    </row>
    <row r="818" spans="18:30" x14ac:dyDescent="0.25">
      <c r="R818" s="566"/>
      <c r="S818" s="566"/>
      <c r="T818" s="566"/>
      <c r="U818" s="566"/>
      <c r="V818" s="566"/>
      <c r="W818" s="566"/>
      <c r="X818" s="566"/>
      <c r="Y818" s="566"/>
      <c r="Z818" s="566"/>
      <c r="AA818" s="566"/>
      <c r="AB818" s="566"/>
      <c r="AC818" s="566"/>
      <c r="AD818" s="566"/>
    </row>
    <row r="819" spans="18:30" x14ac:dyDescent="0.25">
      <c r="R819" s="566"/>
      <c r="S819" s="566"/>
      <c r="T819" s="566"/>
      <c r="U819" s="566"/>
      <c r="V819" s="566"/>
      <c r="W819" s="566"/>
      <c r="X819" s="566"/>
      <c r="Y819" s="566"/>
      <c r="Z819" s="566"/>
      <c r="AA819" s="566"/>
      <c r="AB819" s="566"/>
      <c r="AC819" s="566"/>
      <c r="AD819" s="566"/>
    </row>
    <row r="820" spans="18:30" x14ac:dyDescent="0.25">
      <c r="R820" s="566"/>
      <c r="S820" s="566"/>
      <c r="T820" s="566"/>
      <c r="U820" s="566"/>
      <c r="V820" s="566"/>
      <c r="W820" s="566"/>
      <c r="X820" s="566"/>
      <c r="Y820" s="566"/>
      <c r="Z820" s="566"/>
      <c r="AA820" s="566"/>
      <c r="AB820" s="566"/>
      <c r="AC820" s="566"/>
      <c r="AD820" s="566"/>
    </row>
    <row r="821" spans="18:30" x14ac:dyDescent="0.25">
      <c r="R821" s="566"/>
      <c r="S821" s="566"/>
      <c r="T821" s="566"/>
      <c r="U821" s="566"/>
      <c r="V821" s="566"/>
      <c r="W821" s="566"/>
      <c r="X821" s="566"/>
      <c r="Y821" s="566"/>
      <c r="Z821" s="566"/>
      <c r="AA821" s="566"/>
      <c r="AB821" s="566"/>
      <c r="AC821" s="566"/>
      <c r="AD821" s="566"/>
    </row>
    <row r="822" spans="18:30" x14ac:dyDescent="0.25">
      <c r="R822" s="566"/>
      <c r="S822" s="566"/>
      <c r="T822" s="566"/>
      <c r="U822" s="566"/>
      <c r="V822" s="566"/>
      <c r="W822" s="566"/>
      <c r="X822" s="566"/>
      <c r="Y822" s="566"/>
      <c r="Z822" s="566"/>
      <c r="AA822" s="566"/>
      <c r="AB822" s="566"/>
      <c r="AC822" s="566"/>
      <c r="AD822" s="566"/>
    </row>
    <row r="823" spans="18:30" x14ac:dyDescent="0.25">
      <c r="R823" s="566"/>
      <c r="S823" s="566"/>
      <c r="T823" s="566"/>
      <c r="U823" s="566"/>
      <c r="V823" s="566"/>
      <c r="W823" s="566"/>
      <c r="X823" s="566"/>
      <c r="Y823" s="566"/>
      <c r="Z823" s="566"/>
      <c r="AA823" s="566"/>
      <c r="AB823" s="566"/>
      <c r="AC823" s="566"/>
      <c r="AD823" s="566"/>
    </row>
    <row r="824" spans="18:30" x14ac:dyDescent="0.25">
      <c r="R824" s="566"/>
      <c r="S824" s="566"/>
      <c r="T824" s="566"/>
      <c r="U824" s="566"/>
      <c r="V824" s="566"/>
      <c r="W824" s="566"/>
      <c r="X824" s="566"/>
      <c r="Y824" s="566"/>
      <c r="Z824" s="566"/>
      <c r="AA824" s="566"/>
      <c r="AB824" s="566"/>
      <c r="AC824" s="566"/>
      <c r="AD824" s="566"/>
    </row>
    <row r="825" spans="18:30" x14ac:dyDescent="0.25">
      <c r="R825" s="566"/>
      <c r="S825" s="566"/>
      <c r="T825" s="566"/>
      <c r="U825" s="566"/>
      <c r="V825" s="566"/>
      <c r="W825" s="566"/>
      <c r="X825" s="566"/>
      <c r="Y825" s="566"/>
      <c r="Z825" s="566"/>
      <c r="AA825" s="566"/>
      <c r="AB825" s="566"/>
      <c r="AC825" s="566"/>
      <c r="AD825" s="566"/>
    </row>
    <row r="826" spans="18:30" x14ac:dyDescent="0.25">
      <c r="R826" s="566"/>
      <c r="S826" s="566"/>
      <c r="T826" s="566"/>
      <c r="U826" s="566"/>
      <c r="V826" s="566"/>
      <c r="W826" s="566"/>
      <c r="X826" s="566"/>
      <c r="Y826" s="566"/>
      <c r="Z826" s="566"/>
      <c r="AA826" s="566"/>
      <c r="AB826" s="566"/>
      <c r="AC826" s="566"/>
      <c r="AD826" s="566"/>
    </row>
    <row r="827" spans="18:30" x14ac:dyDescent="0.25">
      <c r="R827" s="566"/>
      <c r="S827" s="566"/>
      <c r="T827" s="566"/>
      <c r="U827" s="566"/>
      <c r="V827" s="566"/>
      <c r="W827" s="566"/>
      <c r="X827" s="566"/>
      <c r="Y827" s="566"/>
      <c r="Z827" s="566"/>
      <c r="AA827" s="566"/>
      <c r="AB827" s="566"/>
      <c r="AC827" s="566"/>
      <c r="AD827" s="566"/>
    </row>
    <row r="828" spans="18:30" x14ac:dyDescent="0.25">
      <c r="R828" s="566"/>
      <c r="S828" s="566"/>
      <c r="T828" s="566"/>
      <c r="U828" s="566"/>
      <c r="V828" s="566"/>
      <c r="W828" s="566"/>
      <c r="X828" s="566"/>
      <c r="Y828" s="566"/>
      <c r="Z828" s="566"/>
      <c r="AA828" s="566"/>
      <c r="AB828" s="566"/>
      <c r="AC828" s="566"/>
      <c r="AD828" s="566"/>
    </row>
    <row r="829" spans="18:30" x14ac:dyDescent="0.25">
      <c r="R829" s="566"/>
      <c r="S829" s="566"/>
      <c r="T829" s="566"/>
      <c r="U829" s="566"/>
      <c r="V829" s="566"/>
      <c r="W829" s="566"/>
      <c r="X829" s="566"/>
      <c r="Y829" s="566"/>
      <c r="Z829" s="566"/>
      <c r="AA829" s="566"/>
      <c r="AB829" s="566"/>
      <c r="AC829" s="566"/>
      <c r="AD829" s="566"/>
    </row>
    <row r="830" spans="18:30" x14ac:dyDescent="0.25">
      <c r="R830" s="566"/>
      <c r="S830" s="566"/>
      <c r="T830" s="566"/>
      <c r="U830" s="566"/>
      <c r="V830" s="566"/>
      <c r="W830" s="566"/>
      <c r="X830" s="566"/>
      <c r="Y830" s="566"/>
      <c r="Z830" s="566"/>
      <c r="AA830" s="566"/>
      <c r="AB830" s="566"/>
      <c r="AC830" s="566"/>
      <c r="AD830" s="566"/>
    </row>
    <row r="831" spans="18:30" x14ac:dyDescent="0.25">
      <c r="R831" s="566"/>
      <c r="S831" s="566"/>
      <c r="T831" s="566"/>
      <c r="U831" s="566"/>
      <c r="V831" s="566"/>
      <c r="W831" s="566"/>
      <c r="X831" s="566"/>
      <c r="Y831" s="566"/>
      <c r="Z831" s="566"/>
      <c r="AA831" s="566"/>
      <c r="AB831" s="566"/>
      <c r="AC831" s="566"/>
      <c r="AD831" s="566"/>
    </row>
    <row r="832" spans="18:30" x14ac:dyDescent="0.25">
      <c r="R832" s="566"/>
      <c r="S832" s="566"/>
      <c r="T832" s="566"/>
      <c r="U832" s="566"/>
      <c r="V832" s="566"/>
      <c r="W832" s="566"/>
      <c r="X832" s="566"/>
      <c r="Y832" s="566"/>
      <c r="Z832" s="566"/>
      <c r="AA832" s="566"/>
      <c r="AB832" s="566"/>
      <c r="AC832" s="566"/>
      <c r="AD832" s="566"/>
    </row>
    <row r="833" spans="18:30" x14ac:dyDescent="0.25">
      <c r="R833" s="566"/>
      <c r="S833" s="566"/>
      <c r="T833" s="566"/>
      <c r="U833" s="566"/>
      <c r="V833" s="566"/>
      <c r="W833" s="566"/>
      <c r="X833" s="566"/>
      <c r="Y833" s="566"/>
      <c r="Z833" s="566"/>
      <c r="AA833" s="566"/>
      <c r="AB833" s="566"/>
      <c r="AC833" s="566"/>
      <c r="AD833" s="566"/>
    </row>
    <row r="834" spans="18:30" x14ac:dyDescent="0.25">
      <c r="R834" s="566"/>
      <c r="S834" s="566"/>
      <c r="T834" s="566"/>
      <c r="U834" s="566"/>
      <c r="V834" s="566"/>
      <c r="W834" s="566"/>
      <c r="X834" s="566"/>
      <c r="Y834" s="566"/>
      <c r="Z834" s="566"/>
      <c r="AA834" s="566"/>
      <c r="AB834" s="566"/>
      <c r="AC834" s="566"/>
      <c r="AD834" s="566"/>
    </row>
    <row r="835" spans="18:30" x14ac:dyDescent="0.25">
      <c r="R835" s="566"/>
      <c r="S835" s="566"/>
      <c r="T835" s="566"/>
      <c r="U835" s="566"/>
      <c r="V835" s="566"/>
      <c r="W835" s="566"/>
      <c r="X835" s="566"/>
      <c r="Y835" s="566"/>
      <c r="Z835" s="566"/>
      <c r="AA835" s="566"/>
      <c r="AB835" s="566"/>
      <c r="AC835" s="566"/>
      <c r="AD835" s="566"/>
    </row>
    <row r="836" spans="18:30" x14ac:dyDescent="0.25">
      <c r="R836" s="566"/>
      <c r="S836" s="566"/>
      <c r="T836" s="566"/>
      <c r="U836" s="566"/>
      <c r="V836" s="566"/>
      <c r="W836" s="566"/>
      <c r="X836" s="566"/>
      <c r="Y836" s="566"/>
      <c r="Z836" s="566"/>
      <c r="AA836" s="566"/>
      <c r="AB836" s="566"/>
      <c r="AC836" s="566"/>
      <c r="AD836" s="566"/>
    </row>
    <row r="837" spans="18:30" x14ac:dyDescent="0.25">
      <c r="R837" s="566"/>
      <c r="S837" s="566"/>
      <c r="T837" s="566"/>
      <c r="U837" s="566"/>
      <c r="V837" s="566"/>
      <c r="W837" s="566"/>
      <c r="X837" s="566"/>
      <c r="Y837" s="566"/>
      <c r="Z837" s="566"/>
      <c r="AA837" s="566"/>
      <c r="AB837" s="566"/>
      <c r="AC837" s="566"/>
      <c r="AD837" s="566"/>
    </row>
    <row r="838" spans="18:30" x14ac:dyDescent="0.25">
      <c r="R838" s="566"/>
      <c r="S838" s="566"/>
      <c r="T838" s="566"/>
      <c r="U838" s="566"/>
      <c r="V838" s="566"/>
      <c r="W838" s="566"/>
      <c r="X838" s="566"/>
      <c r="Y838" s="566"/>
      <c r="Z838" s="566"/>
      <c r="AA838" s="566"/>
      <c r="AB838" s="566"/>
      <c r="AC838" s="566"/>
      <c r="AD838" s="566"/>
    </row>
    <row r="839" spans="18:30" x14ac:dyDescent="0.25">
      <c r="R839" s="566"/>
      <c r="S839" s="566"/>
      <c r="T839" s="566"/>
      <c r="U839" s="566"/>
      <c r="V839" s="566"/>
      <c r="W839" s="566"/>
      <c r="X839" s="566"/>
      <c r="Y839" s="566"/>
      <c r="Z839" s="566"/>
      <c r="AA839" s="566"/>
      <c r="AB839" s="566"/>
      <c r="AC839" s="566"/>
      <c r="AD839" s="566"/>
    </row>
    <row r="840" spans="18:30" x14ac:dyDescent="0.25">
      <c r="R840" s="566"/>
      <c r="S840" s="566"/>
      <c r="T840" s="566"/>
      <c r="U840" s="566"/>
      <c r="V840" s="566"/>
      <c r="W840" s="566"/>
      <c r="X840" s="566"/>
      <c r="Y840" s="566"/>
      <c r="Z840" s="566"/>
      <c r="AA840" s="566"/>
      <c r="AB840" s="566"/>
      <c r="AC840" s="566"/>
      <c r="AD840" s="566"/>
    </row>
    <row r="841" spans="18:30" x14ac:dyDescent="0.25">
      <c r="R841" s="566"/>
      <c r="S841" s="566"/>
      <c r="T841" s="566"/>
      <c r="U841" s="566"/>
      <c r="V841" s="566"/>
      <c r="W841" s="566"/>
      <c r="X841" s="566"/>
      <c r="Y841" s="566"/>
      <c r="Z841" s="566"/>
      <c r="AA841" s="566"/>
      <c r="AB841" s="566"/>
      <c r="AC841" s="566"/>
      <c r="AD841" s="566"/>
    </row>
    <row r="842" spans="18:30" x14ac:dyDescent="0.25">
      <c r="R842" s="566"/>
      <c r="S842" s="566"/>
      <c r="T842" s="566"/>
      <c r="U842" s="566"/>
      <c r="V842" s="566"/>
      <c r="W842" s="566"/>
      <c r="X842" s="566"/>
      <c r="Y842" s="566"/>
      <c r="Z842" s="566"/>
      <c r="AA842" s="566"/>
      <c r="AB842" s="566"/>
      <c r="AC842" s="566"/>
      <c r="AD842" s="566"/>
    </row>
    <row r="843" spans="18:30" x14ac:dyDescent="0.25">
      <c r="R843" s="566"/>
      <c r="S843" s="566"/>
      <c r="T843" s="566"/>
      <c r="U843" s="566"/>
      <c r="V843" s="566"/>
      <c r="W843" s="566"/>
      <c r="X843" s="566"/>
      <c r="Y843" s="566"/>
      <c r="Z843" s="566"/>
      <c r="AA843" s="566"/>
      <c r="AB843" s="566"/>
      <c r="AC843" s="566"/>
      <c r="AD843" s="566"/>
    </row>
    <row r="844" spans="18:30" x14ac:dyDescent="0.25">
      <c r="R844" s="566"/>
      <c r="S844" s="566"/>
      <c r="T844" s="566"/>
      <c r="U844" s="566"/>
      <c r="V844" s="566"/>
      <c r="W844" s="566"/>
      <c r="X844" s="566"/>
      <c r="Y844" s="566"/>
      <c r="Z844" s="566"/>
      <c r="AA844" s="566"/>
      <c r="AB844" s="566"/>
      <c r="AC844" s="566"/>
      <c r="AD844" s="566"/>
    </row>
    <row r="845" spans="18:30" x14ac:dyDescent="0.25">
      <c r="R845" s="566"/>
      <c r="S845" s="566"/>
      <c r="T845" s="566"/>
      <c r="U845" s="566"/>
      <c r="V845" s="566"/>
      <c r="W845" s="566"/>
      <c r="X845" s="566"/>
      <c r="Y845" s="566"/>
      <c r="Z845" s="566"/>
      <c r="AA845" s="566"/>
      <c r="AB845" s="566"/>
      <c r="AC845" s="566"/>
      <c r="AD845" s="566"/>
    </row>
    <row r="846" spans="18:30" x14ac:dyDescent="0.25">
      <c r="R846" s="566"/>
      <c r="S846" s="566"/>
      <c r="T846" s="566"/>
      <c r="U846" s="566"/>
      <c r="V846" s="566"/>
      <c r="W846" s="566"/>
      <c r="X846" s="566"/>
      <c r="Y846" s="566"/>
      <c r="Z846" s="566"/>
      <c r="AA846" s="566"/>
      <c r="AB846" s="566"/>
      <c r="AC846" s="566"/>
      <c r="AD846" s="566"/>
    </row>
    <row r="847" spans="18:30" x14ac:dyDescent="0.25">
      <c r="R847" s="566"/>
      <c r="S847" s="566"/>
      <c r="T847" s="566"/>
      <c r="U847" s="566"/>
      <c r="V847" s="566"/>
      <c r="W847" s="566"/>
      <c r="X847" s="566"/>
      <c r="Y847" s="566"/>
      <c r="Z847" s="566"/>
      <c r="AA847" s="566"/>
      <c r="AB847" s="566"/>
      <c r="AC847" s="566"/>
      <c r="AD847" s="566"/>
    </row>
    <row r="848" spans="18:30" x14ac:dyDescent="0.25">
      <c r="R848" s="566"/>
      <c r="S848" s="566"/>
      <c r="T848" s="566"/>
      <c r="U848" s="566"/>
      <c r="V848" s="566"/>
      <c r="W848" s="566"/>
      <c r="X848" s="566"/>
      <c r="Y848" s="566"/>
      <c r="Z848" s="566"/>
      <c r="AA848" s="566"/>
      <c r="AB848" s="566"/>
      <c r="AC848" s="566"/>
      <c r="AD848" s="566"/>
    </row>
    <row r="849" spans="18:30" x14ac:dyDescent="0.25">
      <c r="R849" s="566"/>
      <c r="S849" s="566"/>
      <c r="T849" s="566"/>
      <c r="U849" s="566"/>
      <c r="V849" s="566"/>
      <c r="W849" s="566"/>
      <c r="X849" s="566"/>
      <c r="Y849" s="566"/>
      <c r="Z849" s="566"/>
      <c r="AA849" s="566"/>
      <c r="AB849" s="566"/>
      <c r="AC849" s="566"/>
      <c r="AD849" s="566"/>
    </row>
    <row r="850" spans="18:30" x14ac:dyDescent="0.25">
      <c r="R850" s="566"/>
      <c r="S850" s="566"/>
      <c r="T850" s="566"/>
      <c r="U850" s="566"/>
      <c r="V850" s="566"/>
      <c r="W850" s="566"/>
      <c r="X850" s="566"/>
      <c r="Y850" s="566"/>
      <c r="Z850" s="566"/>
      <c r="AA850" s="566"/>
      <c r="AB850" s="566"/>
      <c r="AC850" s="566"/>
      <c r="AD850" s="566"/>
    </row>
    <row r="851" spans="18:30" x14ac:dyDescent="0.25">
      <c r="R851" s="566"/>
      <c r="S851" s="566"/>
      <c r="T851" s="566"/>
      <c r="U851" s="566"/>
      <c r="V851" s="566"/>
      <c r="W851" s="566"/>
      <c r="X851" s="566"/>
      <c r="Y851" s="566"/>
      <c r="Z851" s="566"/>
      <c r="AA851" s="566"/>
      <c r="AB851" s="566"/>
      <c r="AC851" s="566"/>
      <c r="AD851" s="566"/>
    </row>
    <row r="852" spans="18:30" x14ac:dyDescent="0.25">
      <c r="R852" s="566"/>
      <c r="S852" s="566"/>
      <c r="T852" s="566"/>
      <c r="U852" s="566"/>
      <c r="V852" s="566"/>
      <c r="W852" s="566"/>
      <c r="X852" s="566"/>
      <c r="Y852" s="566"/>
      <c r="Z852" s="566"/>
      <c r="AA852" s="566"/>
      <c r="AB852" s="566"/>
      <c r="AC852" s="566"/>
      <c r="AD852" s="566"/>
    </row>
    <row r="853" spans="18:30" x14ac:dyDescent="0.25">
      <c r="R853" s="566"/>
      <c r="S853" s="566"/>
      <c r="T853" s="566"/>
      <c r="U853" s="566"/>
      <c r="V853" s="566"/>
      <c r="W853" s="566"/>
      <c r="X853" s="566"/>
      <c r="Y853" s="566"/>
      <c r="Z853" s="566"/>
      <c r="AA853" s="566"/>
      <c r="AB853" s="566"/>
      <c r="AC853" s="566"/>
      <c r="AD853" s="566"/>
    </row>
    <row r="854" spans="18:30" x14ac:dyDescent="0.25">
      <c r="R854" s="566"/>
      <c r="S854" s="566"/>
      <c r="T854" s="566"/>
      <c r="U854" s="566"/>
      <c r="V854" s="566"/>
      <c r="W854" s="566"/>
      <c r="X854" s="566"/>
      <c r="Y854" s="566"/>
      <c r="Z854" s="566"/>
      <c r="AA854" s="566"/>
      <c r="AB854" s="566"/>
      <c r="AC854" s="566"/>
      <c r="AD854" s="566"/>
    </row>
    <row r="855" spans="18:30" x14ac:dyDescent="0.25">
      <c r="R855" s="566"/>
      <c r="S855" s="566"/>
      <c r="T855" s="566"/>
      <c r="U855" s="566"/>
      <c r="V855" s="566"/>
      <c r="W855" s="566"/>
      <c r="X855" s="566"/>
      <c r="Y855" s="566"/>
      <c r="Z855" s="566"/>
      <c r="AA855" s="566"/>
      <c r="AB855" s="566"/>
      <c r="AC855" s="566"/>
      <c r="AD855" s="566"/>
    </row>
    <row r="856" spans="18:30" x14ac:dyDescent="0.25">
      <c r="R856" s="566"/>
      <c r="S856" s="566"/>
      <c r="T856" s="566"/>
      <c r="U856" s="566"/>
      <c r="V856" s="566"/>
      <c r="W856" s="566"/>
      <c r="X856" s="566"/>
      <c r="Y856" s="566"/>
      <c r="Z856" s="566"/>
      <c r="AA856" s="566"/>
      <c r="AB856" s="566"/>
      <c r="AC856" s="566"/>
      <c r="AD856" s="566"/>
    </row>
    <row r="857" spans="18:30" x14ac:dyDescent="0.25">
      <c r="R857" s="566"/>
      <c r="S857" s="566"/>
      <c r="T857" s="566"/>
      <c r="U857" s="566"/>
      <c r="V857" s="566"/>
      <c r="W857" s="566"/>
      <c r="X857" s="566"/>
      <c r="Y857" s="566"/>
      <c r="Z857" s="566"/>
      <c r="AA857" s="566"/>
      <c r="AB857" s="566"/>
      <c r="AC857" s="566"/>
      <c r="AD857" s="566"/>
    </row>
    <row r="858" spans="18:30" x14ac:dyDescent="0.25">
      <c r="R858" s="566"/>
      <c r="S858" s="566"/>
      <c r="T858" s="566"/>
      <c r="U858" s="566"/>
      <c r="V858" s="566"/>
      <c r="W858" s="566"/>
      <c r="X858" s="566"/>
      <c r="Y858" s="566"/>
      <c r="Z858" s="566"/>
      <c r="AA858" s="566"/>
      <c r="AB858" s="566"/>
      <c r="AC858" s="566"/>
      <c r="AD858" s="566"/>
    </row>
    <row r="859" spans="18:30" x14ac:dyDescent="0.25">
      <c r="R859" s="566"/>
      <c r="S859" s="566"/>
      <c r="T859" s="566"/>
      <c r="U859" s="566"/>
      <c r="V859" s="566"/>
      <c r="W859" s="566"/>
      <c r="X859" s="566"/>
      <c r="Y859" s="566"/>
      <c r="Z859" s="566"/>
      <c r="AA859" s="566"/>
      <c r="AB859" s="566"/>
      <c r="AC859" s="566"/>
      <c r="AD859" s="566"/>
    </row>
    <row r="860" spans="18:30" x14ac:dyDescent="0.25">
      <c r="R860" s="566"/>
      <c r="S860" s="566"/>
      <c r="T860" s="566"/>
      <c r="U860" s="566"/>
      <c r="V860" s="566"/>
      <c r="W860" s="566"/>
      <c r="X860" s="566"/>
      <c r="Y860" s="566"/>
      <c r="Z860" s="566"/>
      <c r="AA860" s="566"/>
      <c r="AB860" s="566"/>
      <c r="AC860" s="566"/>
      <c r="AD860" s="566"/>
    </row>
    <row r="861" spans="18:30" x14ac:dyDescent="0.25">
      <c r="R861" s="566"/>
      <c r="S861" s="566"/>
      <c r="T861" s="566"/>
      <c r="U861" s="566"/>
      <c r="V861" s="566"/>
      <c r="W861" s="566"/>
      <c r="X861" s="566"/>
      <c r="Y861" s="566"/>
      <c r="Z861" s="566"/>
      <c r="AA861" s="566"/>
      <c r="AB861" s="566"/>
      <c r="AC861" s="566"/>
      <c r="AD861" s="566"/>
    </row>
    <row r="862" spans="18:30" x14ac:dyDescent="0.25">
      <c r="R862" s="566"/>
      <c r="S862" s="566"/>
      <c r="T862" s="566"/>
      <c r="U862" s="566"/>
      <c r="V862" s="566"/>
      <c r="W862" s="566"/>
      <c r="X862" s="566"/>
      <c r="Y862" s="566"/>
      <c r="Z862" s="566"/>
      <c r="AA862" s="566"/>
      <c r="AB862" s="566"/>
      <c r="AC862" s="566"/>
      <c r="AD862" s="566"/>
    </row>
    <row r="863" spans="18:30" x14ac:dyDescent="0.25">
      <c r="R863" s="566"/>
      <c r="S863" s="566"/>
      <c r="T863" s="566"/>
      <c r="U863" s="566"/>
      <c r="V863" s="566"/>
      <c r="W863" s="566"/>
      <c r="X863" s="566"/>
      <c r="Y863" s="566"/>
      <c r="Z863" s="566"/>
      <c r="AA863" s="566"/>
      <c r="AB863" s="566"/>
      <c r="AC863" s="566"/>
      <c r="AD863" s="566"/>
    </row>
    <row r="864" spans="18:30" x14ac:dyDescent="0.25">
      <c r="R864" s="566"/>
      <c r="S864" s="566"/>
      <c r="T864" s="566"/>
      <c r="U864" s="566"/>
      <c r="V864" s="566"/>
      <c r="W864" s="566"/>
      <c r="X864" s="566"/>
      <c r="Y864" s="566"/>
      <c r="Z864" s="566"/>
      <c r="AA864" s="566"/>
      <c r="AB864" s="566"/>
      <c r="AC864" s="566"/>
      <c r="AD864" s="566"/>
    </row>
    <row r="865" spans="18:30" x14ac:dyDescent="0.25">
      <c r="R865" s="566"/>
      <c r="S865" s="566"/>
      <c r="T865" s="566"/>
      <c r="U865" s="566"/>
      <c r="V865" s="566"/>
      <c r="W865" s="566"/>
      <c r="X865" s="566"/>
      <c r="Y865" s="566"/>
      <c r="Z865" s="566"/>
      <c r="AA865" s="566"/>
      <c r="AB865" s="566"/>
      <c r="AC865" s="566"/>
      <c r="AD865" s="566"/>
    </row>
    <row r="866" spans="18:30" x14ac:dyDescent="0.25">
      <c r="R866" s="566"/>
      <c r="S866" s="566"/>
      <c r="T866" s="566"/>
      <c r="U866" s="566"/>
      <c r="V866" s="566"/>
      <c r="W866" s="566"/>
      <c r="X866" s="566"/>
      <c r="Y866" s="566"/>
      <c r="Z866" s="566"/>
      <c r="AA866" s="566"/>
      <c r="AB866" s="566"/>
      <c r="AC866" s="566"/>
      <c r="AD866" s="566"/>
    </row>
    <row r="867" spans="18:30" x14ac:dyDescent="0.25">
      <c r="R867" s="566"/>
      <c r="S867" s="566"/>
      <c r="T867" s="566"/>
      <c r="U867" s="566"/>
      <c r="V867" s="566"/>
      <c r="W867" s="566"/>
      <c r="X867" s="566"/>
      <c r="Y867" s="566"/>
      <c r="Z867" s="566"/>
      <c r="AA867" s="566"/>
      <c r="AB867" s="566"/>
      <c r="AC867" s="566"/>
      <c r="AD867" s="566"/>
    </row>
    <row r="868" spans="18:30" x14ac:dyDescent="0.25">
      <c r="R868" s="566"/>
      <c r="S868" s="566"/>
      <c r="T868" s="566"/>
      <c r="U868" s="566"/>
      <c r="V868" s="566"/>
      <c r="W868" s="566"/>
      <c r="X868" s="566"/>
      <c r="Y868" s="566"/>
      <c r="Z868" s="566"/>
      <c r="AA868" s="566"/>
      <c r="AB868" s="566"/>
      <c r="AC868" s="566"/>
      <c r="AD868" s="566"/>
    </row>
    <row r="869" spans="18:30" x14ac:dyDescent="0.25">
      <c r="R869" s="566"/>
      <c r="S869" s="566"/>
      <c r="T869" s="566"/>
      <c r="U869" s="566"/>
      <c r="V869" s="566"/>
      <c r="W869" s="566"/>
      <c r="X869" s="566"/>
      <c r="Y869" s="566"/>
      <c r="Z869" s="566"/>
      <c r="AA869" s="566"/>
      <c r="AB869" s="566"/>
      <c r="AC869" s="566"/>
      <c r="AD869" s="566"/>
    </row>
    <row r="870" spans="18:30" x14ac:dyDescent="0.25">
      <c r="R870" s="566"/>
      <c r="S870" s="566"/>
      <c r="T870" s="566"/>
      <c r="U870" s="566"/>
      <c r="V870" s="566"/>
      <c r="W870" s="566"/>
      <c r="X870" s="566"/>
      <c r="Y870" s="566"/>
      <c r="Z870" s="566"/>
      <c r="AA870" s="566"/>
      <c r="AB870" s="566"/>
      <c r="AC870" s="566"/>
      <c r="AD870" s="566"/>
    </row>
    <row r="871" spans="18:30" x14ac:dyDescent="0.25">
      <c r="R871" s="566"/>
      <c r="S871" s="566"/>
      <c r="T871" s="566"/>
      <c r="U871" s="566"/>
      <c r="V871" s="566"/>
      <c r="W871" s="566"/>
      <c r="X871" s="566"/>
      <c r="Y871" s="566"/>
      <c r="Z871" s="566"/>
      <c r="AA871" s="566"/>
      <c r="AB871" s="566"/>
      <c r="AC871" s="566"/>
      <c r="AD871" s="566"/>
    </row>
    <row r="872" spans="18:30" x14ac:dyDescent="0.25">
      <c r="R872" s="566"/>
      <c r="S872" s="566"/>
      <c r="T872" s="566"/>
      <c r="U872" s="566"/>
      <c r="V872" s="566"/>
      <c r="W872" s="566"/>
      <c r="X872" s="566"/>
      <c r="Y872" s="566"/>
      <c r="Z872" s="566"/>
      <c r="AA872" s="566"/>
      <c r="AB872" s="566"/>
      <c r="AC872" s="566"/>
      <c r="AD872" s="566"/>
    </row>
    <row r="873" spans="18:30" x14ac:dyDescent="0.25">
      <c r="R873" s="566"/>
      <c r="S873" s="566"/>
      <c r="T873" s="566"/>
      <c r="U873" s="566"/>
      <c r="V873" s="566"/>
      <c r="W873" s="566"/>
      <c r="X873" s="566"/>
      <c r="Y873" s="566"/>
      <c r="Z873" s="566"/>
      <c r="AA873" s="566"/>
      <c r="AB873" s="566"/>
      <c r="AC873" s="566"/>
      <c r="AD873" s="566"/>
    </row>
    <row r="874" spans="18:30" x14ac:dyDescent="0.25">
      <c r="R874" s="566"/>
      <c r="S874" s="566"/>
      <c r="T874" s="566"/>
      <c r="U874" s="566"/>
      <c r="V874" s="566"/>
      <c r="W874" s="566"/>
      <c r="X874" s="566"/>
      <c r="Y874" s="566"/>
      <c r="Z874" s="566"/>
      <c r="AA874" s="566"/>
      <c r="AB874" s="566"/>
      <c r="AC874" s="566"/>
      <c r="AD874" s="566"/>
    </row>
    <row r="875" spans="18:30" x14ac:dyDescent="0.25">
      <c r="R875" s="566"/>
      <c r="S875" s="566"/>
      <c r="T875" s="566"/>
      <c r="U875" s="566"/>
      <c r="V875" s="566"/>
      <c r="W875" s="566"/>
      <c r="X875" s="566"/>
      <c r="Y875" s="566"/>
      <c r="Z875" s="566"/>
      <c r="AA875" s="566"/>
      <c r="AB875" s="566"/>
      <c r="AC875" s="566"/>
      <c r="AD875" s="566"/>
    </row>
    <row r="876" spans="18:30" x14ac:dyDescent="0.25">
      <c r="R876" s="566"/>
      <c r="S876" s="566"/>
      <c r="T876" s="566"/>
      <c r="U876" s="566"/>
      <c r="V876" s="566"/>
      <c r="W876" s="566"/>
      <c r="X876" s="566"/>
      <c r="Y876" s="566"/>
      <c r="Z876" s="566"/>
      <c r="AA876" s="566"/>
      <c r="AB876" s="566"/>
      <c r="AC876" s="566"/>
      <c r="AD876" s="566"/>
    </row>
    <row r="877" spans="18:30" x14ac:dyDescent="0.25">
      <c r="R877" s="566"/>
      <c r="S877" s="566"/>
      <c r="T877" s="566"/>
      <c r="U877" s="566"/>
      <c r="V877" s="566"/>
      <c r="W877" s="566"/>
      <c r="X877" s="566"/>
      <c r="Y877" s="566"/>
      <c r="Z877" s="566"/>
      <c r="AA877" s="566"/>
      <c r="AB877" s="566"/>
      <c r="AC877" s="566"/>
      <c r="AD877" s="566"/>
    </row>
    <row r="878" spans="18:30" x14ac:dyDescent="0.25">
      <c r="R878" s="566"/>
      <c r="S878" s="566"/>
      <c r="T878" s="566"/>
      <c r="U878" s="566"/>
      <c r="V878" s="566"/>
      <c r="W878" s="566"/>
      <c r="X878" s="566"/>
      <c r="Y878" s="566"/>
      <c r="Z878" s="566"/>
      <c r="AA878" s="566"/>
      <c r="AB878" s="566"/>
      <c r="AC878" s="566"/>
      <c r="AD878" s="566"/>
    </row>
    <row r="879" spans="18:30" x14ac:dyDescent="0.25">
      <c r="R879" s="566"/>
      <c r="S879" s="566"/>
      <c r="T879" s="566"/>
      <c r="U879" s="566"/>
      <c r="V879" s="566"/>
      <c r="W879" s="566"/>
      <c r="X879" s="566"/>
      <c r="Y879" s="566"/>
      <c r="Z879" s="566"/>
      <c r="AA879" s="566"/>
      <c r="AB879" s="566"/>
      <c r="AC879" s="566"/>
      <c r="AD879" s="566"/>
    </row>
    <row r="880" spans="18:30" x14ac:dyDescent="0.25">
      <c r="R880" s="566"/>
      <c r="S880" s="566"/>
      <c r="T880" s="566"/>
      <c r="U880" s="566"/>
      <c r="V880" s="566"/>
      <c r="W880" s="566"/>
      <c r="X880" s="566"/>
      <c r="Y880" s="566"/>
      <c r="Z880" s="566"/>
      <c r="AA880" s="566"/>
      <c r="AB880" s="566"/>
      <c r="AC880" s="566"/>
      <c r="AD880" s="566"/>
    </row>
    <row r="881" spans="18:30" x14ac:dyDescent="0.25">
      <c r="R881" s="566"/>
      <c r="S881" s="566"/>
      <c r="T881" s="566"/>
      <c r="U881" s="566"/>
      <c r="V881" s="566"/>
      <c r="W881" s="566"/>
      <c r="X881" s="566"/>
      <c r="Y881" s="566"/>
      <c r="Z881" s="566"/>
      <c r="AA881" s="566"/>
      <c r="AB881" s="566"/>
      <c r="AC881" s="566"/>
      <c r="AD881" s="566"/>
    </row>
    <row r="882" spans="18:30" x14ac:dyDescent="0.25">
      <c r="R882" s="566"/>
      <c r="S882" s="566"/>
      <c r="T882" s="566"/>
      <c r="U882" s="566"/>
      <c r="V882" s="566"/>
      <c r="W882" s="566"/>
      <c r="X882" s="566"/>
      <c r="Y882" s="566"/>
      <c r="Z882" s="566"/>
      <c r="AA882" s="566"/>
      <c r="AB882" s="566"/>
      <c r="AC882" s="566"/>
      <c r="AD882" s="566"/>
    </row>
    <row r="883" spans="18:30" x14ac:dyDescent="0.25">
      <c r="R883" s="566"/>
      <c r="S883" s="566"/>
      <c r="T883" s="566"/>
      <c r="U883" s="566"/>
      <c r="V883" s="566"/>
      <c r="W883" s="566"/>
      <c r="X883" s="566"/>
      <c r="Y883" s="566"/>
      <c r="Z883" s="566"/>
      <c r="AA883" s="566"/>
      <c r="AB883" s="566"/>
      <c r="AC883" s="566"/>
      <c r="AD883" s="566"/>
    </row>
    <row r="884" spans="18:30" x14ac:dyDescent="0.25">
      <c r="R884" s="566"/>
      <c r="S884" s="566"/>
      <c r="T884" s="566"/>
      <c r="U884" s="566"/>
      <c r="V884" s="566"/>
      <c r="W884" s="566"/>
      <c r="X884" s="566"/>
      <c r="Y884" s="566"/>
      <c r="Z884" s="566"/>
      <c r="AA884" s="566"/>
      <c r="AB884" s="566"/>
      <c r="AC884" s="566"/>
      <c r="AD884" s="566"/>
    </row>
    <row r="885" spans="18:30" x14ac:dyDescent="0.25">
      <c r="R885" s="566"/>
      <c r="S885" s="566"/>
      <c r="T885" s="566"/>
      <c r="U885" s="566"/>
      <c r="V885" s="566"/>
      <c r="W885" s="566"/>
      <c r="X885" s="566"/>
      <c r="Y885" s="566"/>
      <c r="Z885" s="566"/>
      <c r="AA885" s="566"/>
      <c r="AB885" s="566"/>
      <c r="AC885" s="566"/>
      <c r="AD885" s="566"/>
    </row>
    <row r="886" spans="18:30" x14ac:dyDescent="0.25">
      <c r="R886" s="566"/>
      <c r="S886" s="566"/>
      <c r="T886" s="566"/>
      <c r="U886" s="566"/>
      <c r="V886" s="566"/>
      <c r="W886" s="566"/>
      <c r="X886" s="566"/>
      <c r="Y886" s="566"/>
      <c r="Z886" s="566"/>
      <c r="AA886" s="566"/>
      <c r="AB886" s="566"/>
      <c r="AC886" s="566"/>
      <c r="AD886" s="566"/>
    </row>
    <row r="887" spans="18:30" x14ac:dyDescent="0.25">
      <c r="R887" s="566"/>
      <c r="S887" s="566"/>
      <c r="T887" s="566"/>
      <c r="U887" s="566"/>
      <c r="V887" s="566"/>
      <c r="W887" s="566"/>
      <c r="X887" s="566"/>
      <c r="Y887" s="566"/>
      <c r="Z887" s="566"/>
      <c r="AA887" s="566"/>
      <c r="AB887" s="566"/>
      <c r="AC887" s="566"/>
      <c r="AD887" s="566"/>
    </row>
    <row r="888" spans="18:30" x14ac:dyDescent="0.25">
      <c r="R888" s="566"/>
      <c r="S888" s="566"/>
      <c r="T888" s="566"/>
      <c r="U888" s="566"/>
      <c r="V888" s="566"/>
      <c r="W888" s="566"/>
      <c r="X888" s="566"/>
      <c r="Y888" s="566"/>
      <c r="Z888" s="566"/>
      <c r="AA888" s="566"/>
      <c r="AB888" s="566"/>
      <c r="AC888" s="566"/>
      <c r="AD888" s="566"/>
    </row>
    <row r="889" spans="18:30" x14ac:dyDescent="0.25">
      <c r="R889" s="566"/>
      <c r="S889" s="566"/>
      <c r="T889" s="566"/>
      <c r="U889" s="566"/>
      <c r="V889" s="566"/>
      <c r="W889" s="566"/>
      <c r="X889" s="566"/>
      <c r="Y889" s="566"/>
      <c r="Z889" s="566"/>
      <c r="AA889" s="566"/>
      <c r="AB889" s="566"/>
      <c r="AC889" s="566"/>
      <c r="AD889" s="566"/>
    </row>
    <row r="890" spans="18:30" x14ac:dyDescent="0.25">
      <c r="R890" s="566"/>
      <c r="S890" s="566"/>
      <c r="T890" s="566"/>
      <c r="U890" s="566"/>
      <c r="V890" s="566"/>
      <c r="W890" s="566"/>
      <c r="X890" s="566"/>
      <c r="Y890" s="566"/>
      <c r="Z890" s="566"/>
      <c r="AA890" s="566"/>
      <c r="AB890" s="566"/>
      <c r="AC890" s="566"/>
      <c r="AD890" s="566"/>
    </row>
    <row r="891" spans="18:30" x14ac:dyDescent="0.25">
      <c r="R891" s="566"/>
      <c r="S891" s="566"/>
      <c r="T891" s="566"/>
      <c r="U891" s="566"/>
      <c r="V891" s="566"/>
      <c r="W891" s="566"/>
      <c r="X891" s="566"/>
      <c r="Y891" s="566"/>
      <c r="Z891" s="566"/>
      <c r="AA891" s="566"/>
      <c r="AB891" s="566"/>
      <c r="AC891" s="566"/>
      <c r="AD891" s="566"/>
    </row>
    <row r="892" spans="18:30" x14ac:dyDescent="0.25">
      <c r="R892" s="566"/>
      <c r="S892" s="566"/>
      <c r="T892" s="566"/>
      <c r="U892" s="566"/>
      <c r="V892" s="566"/>
      <c r="W892" s="566"/>
      <c r="X892" s="566"/>
      <c r="Y892" s="566"/>
      <c r="Z892" s="566"/>
      <c r="AA892" s="566"/>
      <c r="AB892" s="566"/>
      <c r="AC892" s="566"/>
      <c r="AD892" s="566"/>
    </row>
    <row r="893" spans="18:30" x14ac:dyDescent="0.25">
      <c r="R893" s="566"/>
      <c r="S893" s="566"/>
      <c r="T893" s="566"/>
      <c r="U893" s="566"/>
      <c r="V893" s="566"/>
      <c r="W893" s="566"/>
      <c r="X893" s="566"/>
      <c r="Y893" s="566"/>
      <c r="Z893" s="566"/>
      <c r="AA893" s="566"/>
      <c r="AB893" s="566"/>
      <c r="AC893" s="566"/>
      <c r="AD893" s="566"/>
    </row>
    <row r="894" spans="18:30" x14ac:dyDescent="0.25">
      <c r="R894" s="566"/>
      <c r="S894" s="566"/>
      <c r="T894" s="566"/>
      <c r="U894" s="566"/>
      <c r="V894" s="566"/>
      <c r="W894" s="566"/>
      <c r="X894" s="566"/>
      <c r="Y894" s="566"/>
      <c r="Z894" s="566"/>
      <c r="AA894" s="566"/>
      <c r="AB894" s="566"/>
      <c r="AC894" s="566"/>
      <c r="AD894" s="566"/>
    </row>
    <row r="895" spans="18:30" x14ac:dyDescent="0.25">
      <c r="R895" s="566"/>
      <c r="S895" s="566"/>
      <c r="T895" s="566"/>
      <c r="U895" s="566"/>
      <c r="V895" s="566"/>
      <c r="W895" s="566"/>
      <c r="X895" s="566"/>
      <c r="Y895" s="566"/>
      <c r="Z895" s="566"/>
      <c r="AA895" s="566"/>
      <c r="AB895" s="566"/>
      <c r="AC895" s="566"/>
      <c r="AD895" s="566"/>
    </row>
    <row r="896" spans="18:30" x14ac:dyDescent="0.25">
      <c r="R896" s="566"/>
      <c r="S896" s="566"/>
      <c r="T896" s="566"/>
      <c r="U896" s="566"/>
      <c r="V896" s="566"/>
      <c r="W896" s="566"/>
      <c r="X896" s="566"/>
      <c r="Y896" s="566"/>
      <c r="Z896" s="566"/>
      <c r="AA896" s="566"/>
      <c r="AB896" s="566"/>
      <c r="AC896" s="566"/>
      <c r="AD896" s="566"/>
    </row>
    <row r="897" spans="18:30" x14ac:dyDescent="0.25">
      <c r="R897" s="566"/>
      <c r="S897" s="566"/>
      <c r="T897" s="566"/>
      <c r="U897" s="566"/>
      <c r="V897" s="566"/>
      <c r="W897" s="566"/>
      <c r="X897" s="566"/>
      <c r="Y897" s="566"/>
      <c r="Z897" s="566"/>
      <c r="AA897" s="566"/>
      <c r="AB897" s="566"/>
      <c r="AC897" s="566"/>
      <c r="AD897" s="566"/>
    </row>
    <row r="898" spans="18:30" x14ac:dyDescent="0.25">
      <c r="R898" s="566"/>
      <c r="S898" s="566"/>
      <c r="T898" s="566"/>
      <c r="U898" s="566"/>
      <c r="V898" s="566"/>
      <c r="W898" s="566"/>
      <c r="X898" s="566"/>
      <c r="Y898" s="566"/>
      <c r="Z898" s="566"/>
      <c r="AA898" s="566"/>
      <c r="AB898" s="566"/>
      <c r="AC898" s="566"/>
      <c r="AD898" s="566"/>
    </row>
    <row r="899" spans="18:30" x14ac:dyDescent="0.25">
      <c r="R899" s="566"/>
      <c r="S899" s="566"/>
      <c r="T899" s="566"/>
      <c r="U899" s="566"/>
      <c r="V899" s="566"/>
      <c r="W899" s="566"/>
      <c r="X899" s="566"/>
      <c r="Y899" s="566"/>
      <c r="Z899" s="566"/>
      <c r="AA899" s="566"/>
      <c r="AB899" s="566"/>
      <c r="AC899" s="566"/>
      <c r="AD899" s="566"/>
    </row>
    <row r="900" spans="18:30" x14ac:dyDescent="0.25">
      <c r="R900" s="566"/>
      <c r="S900" s="566"/>
      <c r="T900" s="566"/>
      <c r="U900" s="566"/>
      <c r="V900" s="566"/>
      <c r="W900" s="566"/>
      <c r="X900" s="566"/>
      <c r="Y900" s="566"/>
      <c r="Z900" s="566"/>
      <c r="AA900" s="566"/>
      <c r="AB900" s="566"/>
      <c r="AC900" s="566"/>
      <c r="AD900" s="566"/>
    </row>
    <row r="901" spans="18:30" x14ac:dyDescent="0.25">
      <c r="R901" s="566"/>
      <c r="S901" s="566"/>
      <c r="T901" s="566"/>
      <c r="U901" s="566"/>
      <c r="V901" s="566"/>
      <c r="W901" s="566"/>
      <c r="X901" s="566"/>
      <c r="Y901" s="566"/>
      <c r="Z901" s="566"/>
      <c r="AA901" s="566"/>
      <c r="AB901" s="566"/>
      <c r="AC901" s="566"/>
      <c r="AD901" s="566"/>
    </row>
    <row r="902" spans="18:30" x14ac:dyDescent="0.25">
      <c r="R902" s="566"/>
      <c r="S902" s="566"/>
      <c r="T902" s="566"/>
      <c r="U902" s="566"/>
      <c r="V902" s="566"/>
      <c r="W902" s="566"/>
      <c r="X902" s="566"/>
      <c r="Y902" s="566"/>
      <c r="Z902" s="566"/>
      <c r="AA902" s="566"/>
      <c r="AB902" s="566"/>
      <c r="AC902" s="566"/>
      <c r="AD902" s="566"/>
    </row>
    <row r="903" spans="18:30" x14ac:dyDescent="0.25">
      <c r="R903" s="566"/>
      <c r="S903" s="566"/>
      <c r="T903" s="566"/>
      <c r="U903" s="566"/>
      <c r="V903" s="566"/>
      <c r="W903" s="566"/>
      <c r="X903" s="566"/>
      <c r="Y903" s="566"/>
      <c r="Z903" s="566"/>
      <c r="AA903" s="566"/>
      <c r="AB903" s="566"/>
      <c r="AC903" s="566"/>
      <c r="AD903" s="566"/>
    </row>
    <row r="904" spans="18:30" x14ac:dyDescent="0.25">
      <c r="R904" s="566"/>
      <c r="S904" s="566"/>
      <c r="T904" s="566"/>
      <c r="U904" s="566"/>
      <c r="V904" s="566"/>
      <c r="W904" s="566"/>
      <c r="X904" s="566"/>
      <c r="Y904" s="566"/>
      <c r="Z904" s="566"/>
      <c r="AA904" s="566"/>
      <c r="AB904" s="566"/>
      <c r="AC904" s="566"/>
      <c r="AD904" s="566"/>
    </row>
    <row r="905" spans="18:30" x14ac:dyDescent="0.25">
      <c r="R905" s="566"/>
      <c r="S905" s="566"/>
      <c r="T905" s="566"/>
      <c r="U905" s="566"/>
      <c r="V905" s="566"/>
      <c r="W905" s="566"/>
      <c r="X905" s="566"/>
      <c r="Y905" s="566"/>
      <c r="Z905" s="566"/>
      <c r="AA905" s="566"/>
      <c r="AB905" s="566"/>
      <c r="AC905" s="566"/>
      <c r="AD905" s="566"/>
    </row>
    <row r="906" spans="18:30" x14ac:dyDescent="0.25">
      <c r="R906" s="566"/>
      <c r="S906" s="566"/>
      <c r="T906" s="566"/>
      <c r="U906" s="566"/>
      <c r="V906" s="566"/>
      <c r="W906" s="566"/>
      <c r="X906" s="566"/>
      <c r="Y906" s="566"/>
      <c r="Z906" s="566"/>
      <c r="AA906" s="566"/>
      <c r="AB906" s="566"/>
      <c r="AC906" s="566"/>
      <c r="AD906" s="566"/>
    </row>
    <row r="907" spans="18:30" x14ac:dyDescent="0.25">
      <c r="R907" s="566"/>
      <c r="S907" s="566"/>
      <c r="T907" s="566"/>
      <c r="U907" s="566"/>
      <c r="V907" s="566"/>
      <c r="W907" s="566"/>
      <c r="X907" s="566"/>
      <c r="Y907" s="566"/>
      <c r="Z907" s="566"/>
      <c r="AA907" s="566"/>
      <c r="AB907" s="566"/>
      <c r="AC907" s="566"/>
      <c r="AD907" s="566"/>
    </row>
    <row r="908" spans="18:30" x14ac:dyDescent="0.25">
      <c r="R908" s="566"/>
      <c r="S908" s="566"/>
      <c r="T908" s="566"/>
      <c r="U908" s="566"/>
      <c r="V908" s="566"/>
      <c r="W908" s="566"/>
      <c r="X908" s="566"/>
      <c r="Y908" s="566"/>
      <c r="Z908" s="566"/>
      <c r="AA908" s="566"/>
      <c r="AB908" s="566"/>
      <c r="AC908" s="566"/>
      <c r="AD908" s="566"/>
    </row>
    <row r="909" spans="18:30" x14ac:dyDescent="0.25">
      <c r="R909" s="566"/>
      <c r="S909" s="566"/>
      <c r="T909" s="566"/>
      <c r="U909" s="566"/>
      <c r="V909" s="566"/>
      <c r="W909" s="566"/>
      <c r="X909" s="566"/>
      <c r="Y909" s="566"/>
      <c r="Z909" s="566"/>
      <c r="AA909" s="566"/>
      <c r="AB909" s="566"/>
      <c r="AC909" s="566"/>
      <c r="AD909" s="566"/>
    </row>
    <row r="910" spans="18:30" x14ac:dyDescent="0.25">
      <c r="R910" s="566"/>
      <c r="S910" s="566"/>
      <c r="T910" s="566"/>
      <c r="U910" s="566"/>
      <c r="V910" s="566"/>
      <c r="W910" s="566"/>
      <c r="X910" s="566"/>
      <c r="Y910" s="566"/>
      <c r="Z910" s="566"/>
      <c r="AA910" s="566"/>
      <c r="AB910" s="566"/>
      <c r="AC910" s="566"/>
      <c r="AD910" s="566"/>
    </row>
    <row r="911" spans="18:30" x14ac:dyDescent="0.25">
      <c r="R911" s="566"/>
      <c r="S911" s="566"/>
      <c r="T911" s="566"/>
      <c r="U911" s="566"/>
      <c r="V911" s="566"/>
      <c r="W911" s="566"/>
      <c r="X911" s="566"/>
      <c r="Y911" s="566"/>
      <c r="Z911" s="566"/>
      <c r="AA911" s="566"/>
      <c r="AB911" s="566"/>
      <c r="AC911" s="566"/>
      <c r="AD911" s="566"/>
    </row>
    <row r="912" spans="18:30" x14ac:dyDescent="0.25">
      <c r="R912" s="566"/>
      <c r="S912" s="566"/>
      <c r="T912" s="566"/>
      <c r="U912" s="566"/>
      <c r="V912" s="566"/>
      <c r="W912" s="566"/>
      <c r="X912" s="566"/>
      <c r="Y912" s="566"/>
      <c r="Z912" s="566"/>
      <c r="AA912" s="566"/>
      <c r="AB912" s="566"/>
      <c r="AC912" s="566"/>
      <c r="AD912" s="566"/>
    </row>
    <row r="913" spans="18:30" x14ac:dyDescent="0.25">
      <c r="R913" s="566"/>
      <c r="S913" s="566"/>
      <c r="T913" s="566"/>
      <c r="U913" s="566"/>
      <c r="V913" s="566"/>
      <c r="W913" s="566"/>
      <c r="X913" s="566"/>
      <c r="Y913" s="566"/>
      <c r="Z913" s="566"/>
      <c r="AA913" s="566"/>
      <c r="AB913" s="566"/>
      <c r="AC913" s="566"/>
      <c r="AD913" s="566"/>
    </row>
    <row r="914" spans="18:30" x14ac:dyDescent="0.25">
      <c r="R914" s="566"/>
      <c r="S914" s="566"/>
      <c r="T914" s="566"/>
      <c r="U914" s="566"/>
      <c r="V914" s="566"/>
      <c r="W914" s="566"/>
      <c r="X914" s="566"/>
      <c r="Y914" s="566"/>
      <c r="Z914" s="566"/>
      <c r="AA914" s="566"/>
      <c r="AB914" s="566"/>
      <c r="AC914" s="566"/>
      <c r="AD914" s="566"/>
    </row>
    <row r="915" spans="18:30" x14ac:dyDescent="0.25">
      <c r="R915" s="566"/>
      <c r="S915" s="566"/>
      <c r="T915" s="566"/>
      <c r="U915" s="566"/>
      <c r="V915" s="566"/>
      <c r="W915" s="566"/>
      <c r="X915" s="566"/>
      <c r="Y915" s="566"/>
      <c r="Z915" s="566"/>
      <c r="AA915" s="566"/>
      <c r="AB915" s="566"/>
      <c r="AC915" s="566"/>
      <c r="AD915" s="566"/>
    </row>
    <row r="916" spans="18:30" x14ac:dyDescent="0.25">
      <c r="R916" s="566"/>
      <c r="S916" s="566"/>
      <c r="T916" s="566"/>
      <c r="U916" s="566"/>
      <c r="V916" s="566"/>
      <c r="W916" s="566"/>
      <c r="X916" s="566"/>
      <c r="Y916" s="566"/>
      <c r="Z916" s="566"/>
      <c r="AA916" s="566"/>
      <c r="AB916" s="566"/>
      <c r="AC916" s="566"/>
      <c r="AD916" s="566"/>
    </row>
    <row r="917" spans="18:30" x14ac:dyDescent="0.25">
      <c r="R917" s="566"/>
      <c r="S917" s="566"/>
      <c r="T917" s="566"/>
      <c r="U917" s="566"/>
      <c r="V917" s="566"/>
      <c r="W917" s="566"/>
      <c r="X917" s="566"/>
      <c r="Y917" s="566"/>
      <c r="Z917" s="566"/>
      <c r="AA917" s="566"/>
      <c r="AB917" s="566"/>
      <c r="AC917" s="566"/>
      <c r="AD917" s="566"/>
    </row>
    <row r="918" spans="18:30" x14ac:dyDescent="0.25">
      <c r="R918" s="566"/>
      <c r="S918" s="566"/>
      <c r="T918" s="566"/>
      <c r="U918" s="566"/>
      <c r="V918" s="566"/>
      <c r="W918" s="566"/>
      <c r="X918" s="566"/>
      <c r="Y918" s="566"/>
      <c r="Z918" s="566"/>
      <c r="AA918" s="566"/>
      <c r="AB918" s="566"/>
      <c r="AC918" s="566"/>
      <c r="AD918" s="566"/>
    </row>
    <row r="919" spans="18:30" x14ac:dyDescent="0.25">
      <c r="R919" s="566"/>
      <c r="S919" s="566"/>
      <c r="T919" s="566"/>
      <c r="U919" s="566"/>
      <c r="V919" s="566"/>
      <c r="W919" s="566"/>
      <c r="X919" s="566"/>
      <c r="Y919" s="566"/>
      <c r="Z919" s="566"/>
      <c r="AA919" s="566"/>
      <c r="AB919" s="566"/>
      <c r="AC919" s="566"/>
      <c r="AD919" s="566"/>
    </row>
    <row r="920" spans="18:30" x14ac:dyDescent="0.25">
      <c r="R920" s="566"/>
      <c r="S920" s="566"/>
      <c r="T920" s="566"/>
      <c r="U920" s="566"/>
      <c r="V920" s="566"/>
      <c r="W920" s="566"/>
      <c r="X920" s="566"/>
      <c r="Y920" s="566"/>
      <c r="Z920" s="566"/>
      <c r="AA920" s="566"/>
      <c r="AB920" s="566"/>
      <c r="AC920" s="566"/>
      <c r="AD920" s="566"/>
    </row>
    <row r="921" spans="18:30" x14ac:dyDescent="0.25">
      <c r="R921" s="566"/>
      <c r="S921" s="566"/>
      <c r="T921" s="566"/>
      <c r="U921" s="566"/>
      <c r="V921" s="566"/>
      <c r="W921" s="566"/>
      <c r="X921" s="566"/>
      <c r="Y921" s="566"/>
      <c r="Z921" s="566"/>
      <c r="AA921" s="566"/>
      <c r="AB921" s="566"/>
      <c r="AC921" s="566"/>
      <c r="AD921" s="566"/>
    </row>
    <row r="922" spans="18:30" x14ac:dyDescent="0.25">
      <c r="R922" s="566"/>
      <c r="S922" s="566"/>
      <c r="T922" s="566"/>
      <c r="U922" s="566"/>
      <c r="V922" s="566"/>
      <c r="W922" s="566"/>
      <c r="X922" s="566"/>
      <c r="Y922" s="566"/>
      <c r="Z922" s="566"/>
      <c r="AA922" s="566"/>
      <c r="AB922" s="566"/>
      <c r="AC922" s="566"/>
      <c r="AD922" s="566"/>
    </row>
    <row r="923" spans="18:30" x14ac:dyDescent="0.25">
      <c r="R923" s="566"/>
      <c r="S923" s="566"/>
      <c r="T923" s="566"/>
      <c r="U923" s="566"/>
      <c r="V923" s="566"/>
      <c r="W923" s="566"/>
      <c r="X923" s="566"/>
      <c r="Y923" s="566"/>
      <c r="Z923" s="566"/>
      <c r="AA923" s="566"/>
      <c r="AB923" s="566"/>
      <c r="AC923" s="566"/>
      <c r="AD923" s="566"/>
    </row>
    <row r="924" spans="18:30" x14ac:dyDescent="0.25">
      <c r="R924" s="566"/>
      <c r="S924" s="566"/>
      <c r="T924" s="566"/>
      <c r="U924" s="566"/>
      <c r="V924" s="566"/>
      <c r="W924" s="566"/>
      <c r="X924" s="566"/>
      <c r="Y924" s="566"/>
      <c r="Z924" s="566"/>
      <c r="AA924" s="566"/>
      <c r="AB924" s="566"/>
      <c r="AC924" s="566"/>
      <c r="AD924" s="566"/>
    </row>
    <row r="925" spans="18:30" x14ac:dyDescent="0.25">
      <c r="R925" s="566"/>
      <c r="S925" s="566"/>
      <c r="T925" s="566"/>
      <c r="U925" s="566"/>
      <c r="V925" s="566"/>
      <c r="W925" s="566"/>
      <c r="X925" s="566"/>
      <c r="Y925" s="566"/>
      <c r="Z925" s="566"/>
      <c r="AA925" s="566"/>
      <c r="AB925" s="566"/>
      <c r="AC925" s="566"/>
      <c r="AD925" s="566"/>
    </row>
    <row r="926" spans="18:30" x14ac:dyDescent="0.25">
      <c r="R926" s="566"/>
      <c r="S926" s="566"/>
      <c r="T926" s="566"/>
      <c r="U926" s="566"/>
      <c r="V926" s="566"/>
      <c r="W926" s="566"/>
      <c r="X926" s="566"/>
      <c r="Y926" s="566"/>
      <c r="Z926" s="566"/>
      <c r="AA926" s="566"/>
      <c r="AB926" s="566"/>
      <c r="AC926" s="566"/>
      <c r="AD926" s="566"/>
    </row>
    <row r="927" spans="18:30" x14ac:dyDescent="0.25">
      <c r="R927" s="566"/>
      <c r="S927" s="566"/>
      <c r="T927" s="566"/>
      <c r="U927" s="566"/>
      <c r="V927" s="566"/>
      <c r="W927" s="566"/>
      <c r="X927" s="566"/>
      <c r="Y927" s="566"/>
      <c r="Z927" s="566"/>
      <c r="AA927" s="566"/>
      <c r="AB927" s="566"/>
      <c r="AC927" s="566"/>
      <c r="AD927" s="566"/>
    </row>
    <row r="928" spans="18:30" x14ac:dyDescent="0.25">
      <c r="R928" s="566"/>
      <c r="S928" s="566"/>
      <c r="T928" s="566"/>
      <c r="U928" s="566"/>
      <c r="V928" s="566"/>
      <c r="W928" s="566"/>
      <c r="X928" s="566"/>
      <c r="Y928" s="566"/>
      <c r="Z928" s="566"/>
      <c r="AA928" s="566"/>
      <c r="AB928" s="566"/>
      <c r="AC928" s="566"/>
      <c r="AD928" s="566"/>
    </row>
    <row r="929" spans="18:30" x14ac:dyDescent="0.25">
      <c r="R929" s="566"/>
      <c r="S929" s="566"/>
      <c r="T929" s="566"/>
      <c r="U929" s="566"/>
      <c r="V929" s="566"/>
      <c r="W929" s="566"/>
      <c r="X929" s="566"/>
      <c r="Y929" s="566"/>
      <c r="Z929" s="566"/>
      <c r="AA929" s="566"/>
      <c r="AB929" s="566"/>
      <c r="AC929" s="566"/>
      <c r="AD929" s="566"/>
    </row>
    <row r="930" spans="18:30" x14ac:dyDescent="0.25">
      <c r="R930" s="566"/>
      <c r="S930" s="566"/>
      <c r="T930" s="566"/>
      <c r="U930" s="566"/>
      <c r="V930" s="566"/>
      <c r="W930" s="566"/>
      <c r="X930" s="566"/>
      <c r="Y930" s="566"/>
      <c r="Z930" s="566"/>
      <c r="AA930" s="566"/>
      <c r="AB930" s="566"/>
      <c r="AC930" s="566"/>
      <c r="AD930" s="566"/>
    </row>
    <row r="931" spans="18:30" x14ac:dyDescent="0.25">
      <c r="R931" s="566"/>
      <c r="S931" s="566"/>
      <c r="T931" s="566"/>
      <c r="U931" s="566"/>
      <c r="V931" s="566"/>
      <c r="W931" s="566"/>
      <c r="X931" s="566"/>
      <c r="Y931" s="566"/>
      <c r="Z931" s="566"/>
      <c r="AA931" s="566"/>
      <c r="AB931" s="566"/>
      <c r="AC931" s="566"/>
      <c r="AD931" s="566"/>
    </row>
    <row r="932" spans="18:30" x14ac:dyDescent="0.25">
      <c r="R932" s="566"/>
      <c r="S932" s="566"/>
      <c r="T932" s="566"/>
      <c r="U932" s="566"/>
      <c r="V932" s="566"/>
      <c r="W932" s="566"/>
      <c r="X932" s="566"/>
      <c r="Y932" s="566"/>
      <c r="Z932" s="566"/>
      <c r="AA932" s="566"/>
      <c r="AB932" s="566"/>
      <c r="AC932" s="566"/>
      <c r="AD932" s="566"/>
    </row>
    <row r="933" spans="18:30" x14ac:dyDescent="0.25">
      <c r="R933" s="566"/>
      <c r="S933" s="566"/>
      <c r="T933" s="566"/>
      <c r="U933" s="566"/>
      <c r="V933" s="566"/>
      <c r="W933" s="566"/>
      <c r="X933" s="566"/>
      <c r="Y933" s="566"/>
      <c r="Z933" s="566"/>
      <c r="AA933" s="566"/>
      <c r="AB933" s="566"/>
      <c r="AC933" s="566"/>
      <c r="AD933" s="566"/>
    </row>
    <row r="934" spans="18:30" x14ac:dyDescent="0.25">
      <c r="R934" s="566"/>
      <c r="S934" s="566"/>
      <c r="T934" s="566"/>
      <c r="U934" s="566"/>
      <c r="V934" s="566"/>
      <c r="W934" s="566"/>
      <c r="X934" s="566"/>
      <c r="Y934" s="566"/>
      <c r="Z934" s="566"/>
      <c r="AA934" s="566"/>
      <c r="AB934" s="566"/>
      <c r="AC934" s="566"/>
      <c r="AD934" s="566"/>
    </row>
    <row r="935" spans="18:30" x14ac:dyDescent="0.25">
      <c r="R935" s="566"/>
      <c r="S935" s="566"/>
      <c r="T935" s="566"/>
      <c r="U935" s="566"/>
      <c r="V935" s="566"/>
      <c r="W935" s="566"/>
      <c r="X935" s="566"/>
      <c r="Y935" s="566"/>
      <c r="Z935" s="566"/>
      <c r="AA935" s="566"/>
      <c r="AB935" s="566"/>
      <c r="AC935" s="566"/>
      <c r="AD935" s="566"/>
    </row>
    <row r="936" spans="18:30" x14ac:dyDescent="0.25">
      <c r="R936" s="566"/>
      <c r="S936" s="566"/>
      <c r="T936" s="566"/>
      <c r="U936" s="566"/>
      <c r="V936" s="566"/>
      <c r="W936" s="566"/>
      <c r="X936" s="566"/>
      <c r="Y936" s="566"/>
      <c r="Z936" s="566"/>
      <c r="AA936" s="566"/>
      <c r="AB936" s="566"/>
      <c r="AC936" s="566"/>
      <c r="AD936" s="566"/>
    </row>
    <row r="937" spans="18:30" x14ac:dyDescent="0.25">
      <c r="R937" s="566"/>
      <c r="S937" s="566"/>
      <c r="T937" s="566"/>
      <c r="U937" s="566"/>
      <c r="V937" s="566"/>
      <c r="W937" s="566"/>
      <c r="X937" s="566"/>
      <c r="Y937" s="566"/>
      <c r="Z937" s="566"/>
      <c r="AA937" s="566"/>
      <c r="AB937" s="566"/>
      <c r="AC937" s="566"/>
      <c r="AD937" s="566"/>
    </row>
    <row r="938" spans="18:30" x14ac:dyDescent="0.25">
      <c r="R938" s="566"/>
      <c r="S938" s="566"/>
      <c r="T938" s="566"/>
      <c r="U938" s="566"/>
      <c r="V938" s="566"/>
      <c r="W938" s="566"/>
      <c r="X938" s="566"/>
      <c r="Y938" s="566"/>
      <c r="Z938" s="566"/>
      <c r="AA938" s="566"/>
      <c r="AB938" s="566"/>
      <c r="AC938" s="566"/>
      <c r="AD938" s="566"/>
    </row>
    <row r="939" spans="18:30" x14ac:dyDescent="0.25">
      <c r="R939" s="566"/>
      <c r="S939" s="566"/>
      <c r="T939" s="566"/>
      <c r="U939" s="566"/>
      <c r="V939" s="566"/>
      <c r="W939" s="566"/>
      <c r="X939" s="566"/>
      <c r="Y939" s="566"/>
      <c r="Z939" s="566"/>
      <c r="AA939" s="566"/>
      <c r="AB939" s="566"/>
      <c r="AC939" s="566"/>
      <c r="AD939" s="566"/>
    </row>
    <row r="940" spans="18:30" x14ac:dyDescent="0.25">
      <c r="R940" s="566"/>
      <c r="S940" s="566"/>
      <c r="T940" s="566"/>
      <c r="U940" s="566"/>
      <c r="V940" s="566"/>
      <c r="W940" s="566"/>
      <c r="X940" s="566"/>
      <c r="Y940" s="566"/>
      <c r="Z940" s="566"/>
      <c r="AA940" s="566"/>
      <c r="AB940" s="566"/>
      <c r="AC940" s="566"/>
      <c r="AD940" s="566"/>
    </row>
    <row r="941" spans="18:30" x14ac:dyDescent="0.25">
      <c r="R941" s="566"/>
      <c r="S941" s="566"/>
      <c r="T941" s="566"/>
      <c r="U941" s="566"/>
      <c r="V941" s="566"/>
      <c r="W941" s="566"/>
      <c r="X941" s="566"/>
      <c r="Y941" s="566"/>
      <c r="Z941" s="566"/>
      <c r="AA941" s="566"/>
      <c r="AB941" s="566"/>
      <c r="AC941" s="566"/>
      <c r="AD941" s="566"/>
    </row>
    <row r="942" spans="18:30" x14ac:dyDescent="0.25">
      <c r="R942" s="566"/>
      <c r="S942" s="566"/>
      <c r="T942" s="566"/>
      <c r="U942" s="566"/>
      <c r="V942" s="566"/>
      <c r="W942" s="566"/>
      <c r="X942" s="566"/>
      <c r="Y942" s="566"/>
      <c r="Z942" s="566"/>
      <c r="AA942" s="566"/>
      <c r="AB942" s="566"/>
      <c r="AC942" s="566"/>
      <c r="AD942" s="566"/>
    </row>
    <row r="943" spans="18:30" x14ac:dyDescent="0.25">
      <c r="R943" s="566"/>
      <c r="S943" s="566"/>
      <c r="T943" s="566"/>
      <c r="U943" s="566"/>
      <c r="V943" s="566"/>
      <c r="W943" s="566"/>
      <c r="X943" s="566"/>
      <c r="Y943" s="566"/>
      <c r="Z943" s="566"/>
      <c r="AA943" s="566"/>
      <c r="AB943" s="566"/>
      <c r="AC943" s="566"/>
      <c r="AD943" s="566"/>
    </row>
    <row r="944" spans="18:30" x14ac:dyDescent="0.25">
      <c r="R944" s="566"/>
      <c r="S944" s="566"/>
      <c r="T944" s="566"/>
      <c r="U944" s="566"/>
      <c r="V944" s="566"/>
      <c r="W944" s="566"/>
      <c r="X944" s="566"/>
      <c r="Y944" s="566"/>
      <c r="Z944" s="566"/>
      <c r="AA944" s="566"/>
      <c r="AB944" s="566"/>
      <c r="AC944" s="566"/>
      <c r="AD944" s="566"/>
    </row>
    <row r="945" spans="18:30" x14ac:dyDescent="0.25">
      <c r="R945" s="566"/>
      <c r="S945" s="566"/>
      <c r="T945" s="566"/>
      <c r="U945" s="566"/>
      <c r="V945" s="566"/>
      <c r="W945" s="566"/>
      <c r="X945" s="566"/>
      <c r="Y945" s="566"/>
      <c r="Z945" s="566"/>
      <c r="AA945" s="566"/>
      <c r="AB945" s="566"/>
      <c r="AC945" s="566"/>
      <c r="AD945" s="566"/>
    </row>
    <row r="946" spans="18:30" x14ac:dyDescent="0.25">
      <c r="R946" s="566"/>
      <c r="S946" s="566"/>
      <c r="T946" s="566"/>
      <c r="U946" s="566"/>
      <c r="V946" s="566"/>
      <c r="W946" s="566"/>
      <c r="X946" s="566"/>
      <c r="Y946" s="566"/>
      <c r="Z946" s="566"/>
      <c r="AA946" s="566"/>
      <c r="AB946" s="566"/>
      <c r="AC946" s="566"/>
      <c r="AD946" s="566"/>
    </row>
    <row r="947" spans="18:30" x14ac:dyDescent="0.25">
      <c r="R947" s="566"/>
      <c r="S947" s="566"/>
      <c r="T947" s="566"/>
      <c r="U947" s="566"/>
      <c r="V947" s="566"/>
      <c r="W947" s="566"/>
      <c r="X947" s="566"/>
      <c r="Y947" s="566"/>
      <c r="Z947" s="566"/>
      <c r="AA947" s="566"/>
      <c r="AB947" s="566"/>
      <c r="AC947" s="566"/>
      <c r="AD947" s="566"/>
    </row>
    <row r="948" spans="18:30" x14ac:dyDescent="0.25">
      <c r="R948" s="566"/>
      <c r="S948" s="566"/>
      <c r="T948" s="566"/>
      <c r="U948" s="566"/>
      <c r="V948" s="566"/>
      <c r="W948" s="566"/>
      <c r="X948" s="566"/>
      <c r="Y948" s="566"/>
      <c r="Z948" s="566"/>
      <c r="AA948" s="566"/>
      <c r="AB948" s="566"/>
      <c r="AC948" s="566"/>
      <c r="AD948" s="566"/>
    </row>
    <row r="949" spans="18:30" x14ac:dyDescent="0.25">
      <c r="R949" s="566"/>
      <c r="S949" s="566"/>
      <c r="T949" s="566"/>
      <c r="U949" s="566"/>
      <c r="V949" s="566"/>
      <c r="W949" s="566"/>
      <c r="X949" s="566"/>
      <c r="Y949" s="566"/>
      <c r="Z949" s="566"/>
      <c r="AA949" s="566"/>
      <c r="AB949" s="566"/>
      <c r="AC949" s="566"/>
      <c r="AD949" s="566"/>
    </row>
    <row r="950" spans="18:30" x14ac:dyDescent="0.25">
      <c r="R950" s="566"/>
      <c r="S950" s="566"/>
      <c r="T950" s="566"/>
      <c r="U950" s="566"/>
      <c r="V950" s="566"/>
      <c r="W950" s="566"/>
      <c r="X950" s="566"/>
      <c r="Y950" s="566"/>
      <c r="Z950" s="566"/>
      <c r="AA950" s="566"/>
      <c r="AB950" s="566"/>
      <c r="AC950" s="566"/>
      <c r="AD950" s="566"/>
    </row>
    <row r="951" spans="18:30" x14ac:dyDescent="0.25">
      <c r="R951" s="566"/>
      <c r="S951" s="566"/>
      <c r="T951" s="566"/>
      <c r="U951" s="566"/>
      <c r="V951" s="566"/>
      <c r="W951" s="566"/>
      <c r="X951" s="566"/>
      <c r="Y951" s="566"/>
      <c r="Z951" s="566"/>
      <c r="AA951" s="566"/>
      <c r="AB951" s="566"/>
      <c r="AC951" s="566"/>
      <c r="AD951" s="566"/>
    </row>
    <row r="952" spans="18:30" x14ac:dyDescent="0.25">
      <c r="R952" s="566"/>
      <c r="S952" s="566"/>
      <c r="T952" s="566"/>
      <c r="U952" s="566"/>
      <c r="V952" s="566"/>
      <c r="W952" s="566"/>
      <c r="X952" s="566"/>
      <c r="Y952" s="566"/>
      <c r="Z952" s="566"/>
      <c r="AA952" s="566"/>
      <c r="AB952" s="566"/>
      <c r="AC952" s="566"/>
      <c r="AD952" s="566"/>
    </row>
    <row r="953" spans="18:30" x14ac:dyDescent="0.25">
      <c r="R953" s="566"/>
      <c r="S953" s="566"/>
      <c r="T953" s="566"/>
      <c r="U953" s="566"/>
      <c r="V953" s="566"/>
      <c r="W953" s="566"/>
      <c r="X953" s="566"/>
      <c r="Y953" s="566"/>
      <c r="Z953" s="566"/>
      <c r="AA953" s="566"/>
      <c r="AB953" s="566"/>
      <c r="AC953" s="566"/>
      <c r="AD953" s="566"/>
    </row>
    <row r="954" spans="18:30" x14ac:dyDescent="0.25">
      <c r="R954" s="566"/>
      <c r="S954" s="566"/>
      <c r="T954" s="566"/>
      <c r="U954" s="566"/>
      <c r="V954" s="566"/>
      <c r="W954" s="566"/>
      <c r="X954" s="566"/>
      <c r="Y954" s="566"/>
      <c r="Z954" s="566"/>
      <c r="AA954" s="566"/>
      <c r="AB954" s="566"/>
      <c r="AC954" s="566"/>
      <c r="AD954" s="566"/>
    </row>
    <row r="955" spans="18:30" x14ac:dyDescent="0.25">
      <c r="R955" s="566"/>
      <c r="S955" s="566"/>
      <c r="T955" s="566"/>
      <c r="U955" s="566"/>
      <c r="V955" s="566"/>
      <c r="W955" s="566"/>
      <c r="X955" s="566"/>
      <c r="Y955" s="566"/>
      <c r="Z955" s="566"/>
      <c r="AA955" s="566"/>
      <c r="AB955" s="566"/>
      <c r="AC955" s="566"/>
      <c r="AD955" s="566"/>
    </row>
    <row r="956" spans="18:30" x14ac:dyDescent="0.25">
      <c r="R956" s="566"/>
      <c r="S956" s="566"/>
      <c r="T956" s="566"/>
      <c r="U956" s="566"/>
      <c r="V956" s="566"/>
      <c r="W956" s="566"/>
      <c r="X956" s="566"/>
      <c r="Y956" s="566"/>
      <c r="Z956" s="566"/>
      <c r="AA956" s="566"/>
      <c r="AB956" s="566"/>
      <c r="AC956" s="566"/>
      <c r="AD956" s="566"/>
    </row>
    <row r="957" spans="18:30" x14ac:dyDescent="0.25">
      <c r="R957" s="566"/>
      <c r="S957" s="566"/>
      <c r="T957" s="566"/>
      <c r="U957" s="566"/>
      <c r="V957" s="566"/>
      <c r="W957" s="566"/>
      <c r="X957" s="566"/>
      <c r="Y957" s="566"/>
      <c r="Z957" s="566"/>
      <c r="AA957" s="566"/>
      <c r="AB957" s="566"/>
      <c r="AC957" s="566"/>
      <c r="AD957" s="566"/>
    </row>
    <row r="958" spans="18:30" x14ac:dyDescent="0.25">
      <c r="R958" s="566"/>
      <c r="S958" s="566"/>
      <c r="T958" s="566"/>
      <c r="U958" s="566"/>
      <c r="V958" s="566"/>
      <c r="W958" s="566"/>
      <c r="X958" s="566"/>
      <c r="Y958" s="566"/>
      <c r="Z958" s="566"/>
      <c r="AA958" s="566"/>
      <c r="AB958" s="566"/>
      <c r="AC958" s="566"/>
      <c r="AD958" s="566"/>
    </row>
    <row r="959" spans="18:30" x14ac:dyDescent="0.25">
      <c r="R959" s="566"/>
      <c r="S959" s="566"/>
      <c r="T959" s="566"/>
      <c r="U959" s="566"/>
      <c r="V959" s="566"/>
      <c r="W959" s="566"/>
      <c r="X959" s="566"/>
      <c r="Y959" s="566"/>
      <c r="Z959" s="566"/>
      <c r="AA959" s="566"/>
      <c r="AB959" s="566"/>
      <c r="AC959" s="566"/>
      <c r="AD959" s="566"/>
    </row>
    <row r="960" spans="18:30" x14ac:dyDescent="0.25">
      <c r="R960" s="566"/>
      <c r="S960" s="566"/>
      <c r="T960" s="566"/>
      <c r="U960" s="566"/>
      <c r="V960" s="566"/>
      <c r="W960" s="566"/>
      <c r="X960" s="566"/>
      <c r="Y960" s="566"/>
      <c r="Z960" s="566"/>
      <c r="AA960" s="566"/>
      <c r="AB960" s="566"/>
      <c r="AC960" s="566"/>
      <c r="AD960" s="566"/>
    </row>
    <row r="961" spans="18:30" x14ac:dyDescent="0.25">
      <c r="R961" s="566"/>
      <c r="S961" s="566"/>
      <c r="T961" s="566"/>
      <c r="U961" s="566"/>
      <c r="V961" s="566"/>
      <c r="W961" s="566"/>
      <c r="X961" s="566"/>
      <c r="Y961" s="566"/>
      <c r="Z961" s="566"/>
      <c r="AA961" s="566"/>
      <c r="AB961" s="566"/>
      <c r="AC961" s="566"/>
      <c r="AD961" s="566"/>
    </row>
    <row r="962" spans="18:30" x14ac:dyDescent="0.25">
      <c r="R962" s="566"/>
      <c r="S962" s="566"/>
      <c r="T962" s="566"/>
      <c r="U962" s="566"/>
      <c r="V962" s="566"/>
      <c r="W962" s="566"/>
      <c r="X962" s="566"/>
      <c r="Y962" s="566"/>
      <c r="Z962" s="566"/>
      <c r="AA962" s="566"/>
      <c r="AB962" s="566"/>
      <c r="AC962" s="566"/>
      <c r="AD962" s="566"/>
    </row>
    <row r="963" spans="18:30" x14ac:dyDescent="0.25">
      <c r="R963" s="566"/>
      <c r="S963" s="566"/>
      <c r="T963" s="566"/>
      <c r="U963" s="566"/>
      <c r="V963" s="566"/>
      <c r="W963" s="566"/>
      <c r="X963" s="566"/>
      <c r="Y963" s="566"/>
      <c r="Z963" s="566"/>
      <c r="AA963" s="566"/>
      <c r="AB963" s="566"/>
      <c r="AC963" s="566"/>
      <c r="AD963" s="566"/>
    </row>
    <row r="964" spans="18:30" x14ac:dyDescent="0.25">
      <c r="R964" s="566"/>
      <c r="S964" s="566"/>
      <c r="T964" s="566"/>
      <c r="U964" s="566"/>
      <c r="V964" s="566"/>
      <c r="W964" s="566"/>
      <c r="X964" s="566"/>
      <c r="Y964" s="566"/>
      <c r="Z964" s="566"/>
      <c r="AA964" s="566"/>
      <c r="AB964" s="566"/>
      <c r="AC964" s="566"/>
      <c r="AD964" s="566"/>
    </row>
    <row r="965" spans="18:30" x14ac:dyDescent="0.25">
      <c r="R965" s="566"/>
      <c r="S965" s="566"/>
      <c r="T965" s="566"/>
      <c r="U965" s="566"/>
      <c r="V965" s="566"/>
      <c r="W965" s="566"/>
      <c r="X965" s="566"/>
      <c r="Y965" s="566"/>
      <c r="Z965" s="566"/>
      <c r="AA965" s="566"/>
      <c r="AB965" s="566"/>
      <c r="AC965" s="566"/>
      <c r="AD965" s="566"/>
    </row>
    <row r="966" spans="18:30" x14ac:dyDescent="0.25">
      <c r="R966" s="566"/>
      <c r="S966" s="566"/>
      <c r="T966" s="566"/>
      <c r="U966" s="566"/>
      <c r="V966" s="566"/>
      <c r="W966" s="566"/>
      <c r="X966" s="566"/>
      <c r="Y966" s="566"/>
      <c r="Z966" s="566"/>
      <c r="AA966" s="566"/>
      <c r="AB966" s="566"/>
      <c r="AC966" s="566"/>
      <c r="AD966" s="566"/>
    </row>
    <row r="967" spans="18:30" x14ac:dyDescent="0.25">
      <c r="R967" s="566"/>
      <c r="S967" s="566"/>
      <c r="T967" s="566"/>
      <c r="U967" s="566"/>
      <c r="V967" s="566"/>
      <c r="W967" s="566"/>
      <c r="X967" s="566"/>
      <c r="Y967" s="566"/>
      <c r="Z967" s="566"/>
      <c r="AA967" s="566"/>
      <c r="AB967" s="566"/>
      <c r="AC967" s="566"/>
      <c r="AD967" s="566"/>
    </row>
    <row r="968" spans="18:30" x14ac:dyDescent="0.25">
      <c r="R968" s="566"/>
      <c r="S968" s="566"/>
      <c r="T968" s="566"/>
      <c r="U968" s="566"/>
      <c r="V968" s="566"/>
      <c r="W968" s="566"/>
      <c r="X968" s="566"/>
      <c r="Y968" s="566"/>
      <c r="Z968" s="566"/>
      <c r="AA968" s="566"/>
      <c r="AB968" s="566"/>
      <c r="AC968" s="566"/>
      <c r="AD968" s="566"/>
    </row>
    <row r="969" spans="18:30" x14ac:dyDescent="0.25">
      <c r="R969" s="566"/>
      <c r="S969" s="566"/>
      <c r="T969" s="566"/>
      <c r="U969" s="566"/>
      <c r="V969" s="566"/>
      <c r="W969" s="566"/>
      <c r="X969" s="566"/>
      <c r="Y969" s="566"/>
      <c r="Z969" s="566"/>
      <c r="AA969" s="566"/>
      <c r="AB969" s="566"/>
      <c r="AC969" s="566"/>
      <c r="AD969" s="566"/>
    </row>
    <row r="970" spans="18:30" x14ac:dyDescent="0.25">
      <c r="R970" s="566"/>
      <c r="S970" s="566"/>
      <c r="T970" s="566"/>
      <c r="U970" s="566"/>
      <c r="V970" s="566"/>
      <c r="W970" s="566"/>
      <c r="X970" s="566"/>
      <c r="Y970" s="566"/>
      <c r="Z970" s="566"/>
      <c r="AA970" s="566"/>
      <c r="AB970" s="566"/>
      <c r="AC970" s="566"/>
      <c r="AD970" s="566"/>
    </row>
    <row r="971" spans="18:30" x14ac:dyDescent="0.25">
      <c r="R971" s="566"/>
      <c r="S971" s="566"/>
      <c r="T971" s="566"/>
      <c r="U971" s="566"/>
      <c r="V971" s="566"/>
      <c r="W971" s="566"/>
      <c r="X971" s="566"/>
      <c r="Y971" s="566"/>
      <c r="Z971" s="566"/>
      <c r="AA971" s="566"/>
      <c r="AB971" s="566"/>
      <c r="AC971" s="566"/>
      <c r="AD971" s="566"/>
    </row>
    <row r="972" spans="18:30" x14ac:dyDescent="0.25">
      <c r="R972" s="566"/>
      <c r="S972" s="566"/>
      <c r="T972" s="566"/>
      <c r="U972" s="566"/>
      <c r="V972" s="566"/>
      <c r="W972" s="566"/>
      <c r="X972" s="566"/>
      <c r="Y972" s="566"/>
      <c r="Z972" s="566"/>
      <c r="AA972" s="566"/>
      <c r="AB972" s="566"/>
      <c r="AC972" s="566"/>
      <c r="AD972" s="566"/>
    </row>
    <row r="973" spans="18:30" x14ac:dyDescent="0.25">
      <c r="R973" s="566"/>
      <c r="S973" s="566"/>
      <c r="T973" s="566"/>
      <c r="U973" s="566"/>
      <c r="V973" s="566"/>
      <c r="W973" s="566"/>
      <c r="X973" s="566"/>
      <c r="Y973" s="566"/>
      <c r="Z973" s="566"/>
      <c r="AA973" s="566"/>
      <c r="AB973" s="566"/>
      <c r="AC973" s="566"/>
      <c r="AD973" s="566"/>
    </row>
    <row r="974" spans="18:30" x14ac:dyDescent="0.25">
      <c r="R974" s="566"/>
      <c r="S974" s="566"/>
      <c r="T974" s="566"/>
      <c r="U974" s="566"/>
      <c r="V974" s="566"/>
      <c r="W974" s="566"/>
      <c r="X974" s="566"/>
      <c r="Y974" s="566"/>
      <c r="Z974" s="566"/>
      <c r="AA974" s="566"/>
      <c r="AB974" s="566"/>
      <c r="AC974" s="566"/>
      <c r="AD974" s="566"/>
    </row>
    <row r="975" spans="18:30" x14ac:dyDescent="0.25">
      <c r="R975" s="566"/>
      <c r="S975" s="566"/>
      <c r="T975" s="566"/>
      <c r="U975" s="566"/>
      <c r="V975" s="566"/>
      <c r="W975" s="566"/>
      <c r="X975" s="566"/>
      <c r="Y975" s="566"/>
      <c r="Z975" s="566"/>
      <c r="AA975" s="566"/>
      <c r="AB975" s="566"/>
      <c r="AC975" s="566"/>
      <c r="AD975" s="566"/>
    </row>
    <row r="976" spans="18:30" x14ac:dyDescent="0.25">
      <c r="R976" s="566"/>
      <c r="S976" s="566"/>
      <c r="T976" s="566"/>
      <c r="U976" s="566"/>
      <c r="V976" s="566"/>
      <c r="W976" s="566"/>
      <c r="X976" s="566"/>
      <c r="Y976" s="566"/>
      <c r="Z976" s="566"/>
      <c r="AA976" s="566"/>
      <c r="AB976" s="566"/>
      <c r="AC976" s="566"/>
      <c r="AD976" s="566"/>
    </row>
    <row r="977" spans="18:30" x14ac:dyDescent="0.25">
      <c r="R977" s="566"/>
      <c r="S977" s="566"/>
      <c r="T977" s="566"/>
      <c r="U977" s="566"/>
      <c r="V977" s="566"/>
      <c r="W977" s="566"/>
      <c r="X977" s="566"/>
      <c r="Y977" s="566"/>
      <c r="Z977" s="566"/>
      <c r="AA977" s="566"/>
      <c r="AB977" s="566"/>
      <c r="AC977" s="566"/>
      <c r="AD977" s="566"/>
    </row>
    <row r="978" spans="18:30" x14ac:dyDescent="0.25">
      <c r="R978" s="566"/>
      <c r="S978" s="566"/>
      <c r="T978" s="566"/>
      <c r="U978" s="566"/>
      <c r="V978" s="566"/>
      <c r="W978" s="566"/>
      <c r="X978" s="566"/>
      <c r="Y978" s="566"/>
      <c r="Z978" s="566"/>
      <c r="AA978" s="566"/>
      <c r="AB978" s="566"/>
      <c r="AC978" s="566"/>
      <c r="AD978" s="566"/>
    </row>
    <row r="979" spans="18:30" x14ac:dyDescent="0.25">
      <c r="R979" s="566"/>
      <c r="S979" s="566"/>
      <c r="T979" s="566"/>
      <c r="U979" s="566"/>
      <c r="V979" s="566"/>
      <c r="W979" s="566"/>
      <c r="X979" s="566"/>
      <c r="Y979" s="566"/>
      <c r="Z979" s="566"/>
      <c r="AA979" s="566"/>
      <c r="AB979" s="566"/>
      <c r="AC979" s="566"/>
      <c r="AD979" s="566"/>
    </row>
    <row r="980" spans="18:30" x14ac:dyDescent="0.25">
      <c r="R980" s="566"/>
      <c r="S980" s="566"/>
      <c r="T980" s="566"/>
      <c r="U980" s="566"/>
      <c r="V980" s="566"/>
      <c r="W980" s="566"/>
      <c r="X980" s="566"/>
      <c r="Y980" s="566"/>
      <c r="Z980" s="566"/>
      <c r="AA980" s="566"/>
      <c r="AB980" s="566"/>
      <c r="AC980" s="566"/>
      <c r="AD980" s="566"/>
    </row>
    <row r="981" spans="18:30" x14ac:dyDescent="0.25">
      <c r="R981" s="566"/>
      <c r="S981" s="566"/>
      <c r="T981" s="566"/>
      <c r="U981" s="566"/>
      <c r="V981" s="566"/>
      <c r="W981" s="566"/>
      <c r="X981" s="566"/>
      <c r="Y981" s="566"/>
      <c r="Z981" s="566"/>
      <c r="AA981" s="566"/>
      <c r="AB981" s="566"/>
      <c r="AC981" s="566"/>
      <c r="AD981" s="566"/>
    </row>
    <row r="982" spans="18:30" x14ac:dyDescent="0.25">
      <c r="R982" s="566"/>
      <c r="S982" s="566"/>
      <c r="T982" s="566"/>
      <c r="U982" s="566"/>
      <c r="V982" s="566"/>
      <c r="W982" s="566"/>
      <c r="X982" s="566"/>
      <c r="Y982" s="566"/>
      <c r="Z982" s="566"/>
      <c r="AA982" s="566"/>
      <c r="AB982" s="566"/>
      <c r="AC982" s="566"/>
      <c r="AD982" s="566"/>
    </row>
    <row r="983" spans="18:30" x14ac:dyDescent="0.25">
      <c r="R983" s="566"/>
      <c r="S983" s="566"/>
      <c r="T983" s="566"/>
      <c r="U983" s="566"/>
      <c r="V983" s="566"/>
      <c r="W983" s="566"/>
      <c r="X983" s="566"/>
      <c r="Y983" s="566"/>
      <c r="Z983" s="566"/>
      <c r="AA983" s="566"/>
      <c r="AB983" s="566"/>
      <c r="AC983" s="566"/>
      <c r="AD983" s="566"/>
    </row>
    <row r="984" spans="18:30" x14ac:dyDescent="0.25">
      <c r="R984" s="566"/>
      <c r="S984" s="566"/>
      <c r="T984" s="566"/>
      <c r="U984" s="566"/>
      <c r="V984" s="566"/>
      <c r="W984" s="566"/>
      <c r="X984" s="566"/>
      <c r="Y984" s="566"/>
      <c r="Z984" s="566"/>
      <c r="AA984" s="566"/>
      <c r="AB984" s="566"/>
      <c r="AC984" s="566"/>
      <c r="AD984" s="566"/>
    </row>
    <row r="985" spans="18:30" x14ac:dyDescent="0.25">
      <c r="R985" s="566"/>
      <c r="S985" s="566"/>
      <c r="T985" s="566"/>
      <c r="U985" s="566"/>
      <c r="V985" s="566"/>
      <c r="W985" s="566"/>
      <c r="X985" s="566"/>
      <c r="Y985" s="566"/>
      <c r="Z985" s="566"/>
      <c r="AA985" s="566"/>
      <c r="AB985" s="566"/>
      <c r="AC985" s="566"/>
      <c r="AD985" s="566"/>
    </row>
    <row r="986" spans="18:30" x14ac:dyDescent="0.25">
      <c r="R986" s="566"/>
      <c r="S986" s="566"/>
      <c r="T986" s="566"/>
      <c r="U986" s="566"/>
      <c r="V986" s="566"/>
      <c r="W986" s="566"/>
      <c r="X986" s="566"/>
      <c r="Y986" s="566"/>
      <c r="Z986" s="566"/>
      <c r="AA986" s="566"/>
      <c r="AB986" s="566"/>
      <c r="AC986" s="566"/>
      <c r="AD986" s="566"/>
    </row>
    <row r="987" spans="18:30" x14ac:dyDescent="0.25">
      <c r="R987" s="566"/>
      <c r="S987" s="566"/>
      <c r="T987" s="566"/>
      <c r="U987" s="566"/>
      <c r="V987" s="566"/>
      <c r="W987" s="566"/>
      <c r="X987" s="566"/>
      <c r="Y987" s="566"/>
      <c r="Z987" s="566"/>
      <c r="AA987" s="566"/>
      <c r="AB987" s="566"/>
      <c r="AC987" s="566"/>
      <c r="AD987" s="566"/>
    </row>
    <row r="988" spans="18:30" x14ac:dyDescent="0.25">
      <c r="R988" s="566"/>
      <c r="S988" s="566"/>
      <c r="T988" s="566"/>
      <c r="U988" s="566"/>
      <c r="V988" s="566"/>
      <c r="W988" s="566"/>
      <c r="X988" s="566"/>
      <c r="Y988" s="566"/>
      <c r="Z988" s="566"/>
      <c r="AA988" s="566"/>
      <c r="AB988" s="566"/>
      <c r="AC988" s="566"/>
      <c r="AD988" s="566"/>
    </row>
    <row r="989" spans="18:30" x14ac:dyDescent="0.25">
      <c r="R989" s="566"/>
      <c r="S989" s="566"/>
      <c r="T989" s="566"/>
      <c r="U989" s="566"/>
      <c r="V989" s="566"/>
      <c r="W989" s="566"/>
      <c r="X989" s="566"/>
      <c r="Y989" s="566"/>
      <c r="Z989" s="566"/>
      <c r="AA989" s="566"/>
      <c r="AB989" s="566"/>
      <c r="AC989" s="566"/>
      <c r="AD989" s="566"/>
    </row>
    <row r="990" spans="18:30" x14ac:dyDescent="0.25">
      <c r="R990" s="566"/>
      <c r="S990" s="566"/>
      <c r="T990" s="566"/>
      <c r="U990" s="566"/>
      <c r="V990" s="566"/>
      <c r="W990" s="566"/>
      <c r="X990" s="566"/>
      <c r="Y990" s="566"/>
      <c r="Z990" s="566"/>
      <c r="AA990" s="566"/>
      <c r="AB990" s="566"/>
      <c r="AC990" s="566"/>
      <c r="AD990" s="566"/>
    </row>
    <row r="991" spans="18:30" x14ac:dyDescent="0.25">
      <c r="R991" s="566"/>
      <c r="S991" s="566"/>
      <c r="T991" s="566"/>
      <c r="U991" s="566"/>
      <c r="V991" s="566"/>
      <c r="W991" s="566"/>
      <c r="X991" s="566"/>
      <c r="Y991" s="566"/>
      <c r="Z991" s="566"/>
      <c r="AA991" s="566"/>
      <c r="AB991" s="566"/>
      <c r="AC991" s="566"/>
      <c r="AD991" s="566"/>
    </row>
    <row r="992" spans="18:30" x14ac:dyDescent="0.25">
      <c r="R992" s="566"/>
      <c r="S992" s="566"/>
      <c r="T992" s="566"/>
      <c r="U992" s="566"/>
      <c r="V992" s="566"/>
      <c r="W992" s="566"/>
      <c r="X992" s="566"/>
      <c r="Y992" s="566"/>
      <c r="Z992" s="566"/>
      <c r="AA992" s="566"/>
      <c r="AB992" s="566"/>
      <c r="AC992" s="566"/>
      <c r="AD992" s="566"/>
    </row>
    <row r="993" spans="18:30" x14ac:dyDescent="0.25">
      <c r="R993" s="566"/>
      <c r="S993" s="566"/>
      <c r="T993" s="566"/>
      <c r="U993" s="566"/>
      <c r="V993" s="566"/>
      <c r="W993" s="566"/>
      <c r="X993" s="566"/>
      <c r="Y993" s="566"/>
      <c r="Z993" s="566"/>
      <c r="AA993" s="566"/>
      <c r="AB993" s="566"/>
      <c r="AC993" s="566"/>
      <c r="AD993" s="566"/>
    </row>
    <row r="994" spans="18:30" x14ac:dyDescent="0.25">
      <c r="R994" s="566"/>
      <c r="S994" s="566"/>
      <c r="T994" s="566"/>
      <c r="U994" s="566"/>
      <c r="V994" s="566"/>
      <c r="W994" s="566"/>
      <c r="X994" s="566"/>
      <c r="Y994" s="566"/>
      <c r="Z994" s="566"/>
      <c r="AA994" s="566"/>
      <c r="AB994" s="566"/>
      <c r="AC994" s="566"/>
      <c r="AD994" s="566"/>
    </row>
    <row r="995" spans="18:30" x14ac:dyDescent="0.25">
      <c r="R995" s="566"/>
      <c r="S995" s="566"/>
      <c r="T995" s="566"/>
      <c r="U995" s="566"/>
      <c r="V995" s="566"/>
      <c r="W995" s="566"/>
      <c r="X995" s="566"/>
      <c r="Y995" s="566"/>
      <c r="Z995" s="566"/>
      <c r="AA995" s="566"/>
      <c r="AB995" s="566"/>
      <c r="AC995" s="566"/>
      <c r="AD995" s="566"/>
    </row>
    <row r="996" spans="18:30" x14ac:dyDescent="0.25">
      <c r="R996" s="566"/>
      <c r="S996" s="566"/>
      <c r="T996" s="566"/>
      <c r="U996" s="566"/>
      <c r="V996" s="566"/>
      <c r="W996" s="566"/>
      <c r="X996" s="566"/>
      <c r="Y996" s="566"/>
      <c r="Z996" s="566"/>
      <c r="AA996" s="566"/>
      <c r="AB996" s="566"/>
      <c r="AC996" s="566"/>
      <c r="AD996" s="566"/>
    </row>
    <row r="997" spans="18:30" x14ac:dyDescent="0.25">
      <c r="R997" s="566"/>
      <c r="S997" s="566"/>
      <c r="T997" s="566"/>
      <c r="U997" s="566"/>
      <c r="V997" s="566"/>
      <c r="W997" s="566"/>
      <c r="X997" s="566"/>
      <c r="Y997" s="566"/>
      <c r="Z997" s="566"/>
      <c r="AA997" s="566"/>
      <c r="AB997" s="566"/>
      <c r="AC997" s="566"/>
      <c r="AD997" s="566"/>
    </row>
    <row r="998" spans="18:30" x14ac:dyDescent="0.25">
      <c r="R998" s="566"/>
      <c r="S998" s="566"/>
      <c r="T998" s="566"/>
      <c r="U998" s="566"/>
      <c r="V998" s="566"/>
      <c r="W998" s="566"/>
      <c r="X998" s="566"/>
      <c r="Y998" s="566"/>
      <c r="Z998" s="566"/>
      <c r="AA998" s="566"/>
      <c r="AB998" s="566"/>
      <c r="AC998" s="566"/>
      <c r="AD998" s="566"/>
    </row>
    <row r="999" spans="18:30" x14ac:dyDescent="0.25">
      <c r="R999" s="566"/>
      <c r="S999" s="566"/>
      <c r="T999" s="566"/>
      <c r="U999" s="566"/>
      <c r="V999" s="566"/>
      <c r="W999" s="566"/>
      <c r="X999" s="566"/>
      <c r="Y999" s="566"/>
      <c r="Z999" s="566"/>
      <c r="AA999" s="566"/>
      <c r="AB999" s="566"/>
      <c r="AC999" s="566"/>
      <c r="AD999" s="566"/>
    </row>
    <row r="1000" spans="18:30" x14ac:dyDescent="0.25">
      <c r="R1000" s="566"/>
      <c r="S1000" s="566"/>
      <c r="T1000" s="566"/>
      <c r="U1000" s="566"/>
      <c r="V1000" s="566"/>
      <c r="W1000" s="566"/>
      <c r="X1000" s="566"/>
      <c r="Y1000" s="566"/>
      <c r="Z1000" s="566"/>
      <c r="AA1000" s="566"/>
      <c r="AB1000" s="566"/>
      <c r="AC1000" s="566"/>
      <c r="AD1000" s="566"/>
    </row>
    <row r="1001" spans="18:30" x14ac:dyDescent="0.25">
      <c r="R1001" s="566"/>
      <c r="S1001" s="566"/>
      <c r="T1001" s="566"/>
      <c r="U1001" s="566"/>
      <c r="V1001" s="566"/>
      <c r="W1001" s="566"/>
      <c r="X1001" s="566"/>
      <c r="Y1001" s="566"/>
      <c r="Z1001" s="566"/>
      <c r="AA1001" s="566"/>
      <c r="AB1001" s="566"/>
      <c r="AC1001" s="566"/>
      <c r="AD1001" s="566"/>
    </row>
    <row r="1002" spans="18:30" x14ac:dyDescent="0.25">
      <c r="R1002" s="566"/>
      <c r="S1002" s="566"/>
      <c r="T1002" s="566"/>
      <c r="U1002" s="566"/>
      <c r="V1002" s="566"/>
      <c r="W1002" s="566"/>
      <c r="X1002" s="566"/>
      <c r="Y1002" s="566"/>
      <c r="Z1002" s="566"/>
      <c r="AA1002" s="566"/>
      <c r="AB1002" s="566"/>
      <c r="AC1002" s="566"/>
      <c r="AD1002" s="566"/>
    </row>
    <row r="1003" spans="18:30" x14ac:dyDescent="0.25">
      <c r="R1003" s="566"/>
      <c r="S1003" s="566"/>
      <c r="T1003" s="566"/>
      <c r="U1003" s="566"/>
      <c r="V1003" s="566"/>
      <c r="W1003" s="566"/>
      <c r="X1003" s="566"/>
      <c r="Y1003" s="566"/>
      <c r="Z1003" s="566"/>
      <c r="AA1003" s="566"/>
      <c r="AB1003" s="566"/>
      <c r="AC1003" s="566"/>
      <c r="AD1003" s="566"/>
    </row>
    <row r="1004" spans="18:30" x14ac:dyDescent="0.25">
      <c r="R1004" s="566"/>
      <c r="S1004" s="566"/>
      <c r="T1004" s="566"/>
      <c r="U1004" s="566"/>
      <c r="V1004" s="566"/>
      <c r="W1004" s="566"/>
      <c r="X1004" s="566"/>
      <c r="Y1004" s="566"/>
      <c r="Z1004" s="566"/>
      <c r="AA1004" s="566"/>
      <c r="AB1004" s="566"/>
      <c r="AC1004" s="566"/>
      <c r="AD1004" s="566"/>
    </row>
    <row r="1005" spans="18:30" x14ac:dyDescent="0.25">
      <c r="R1005" s="566"/>
      <c r="S1005" s="566"/>
      <c r="T1005" s="566"/>
      <c r="U1005" s="566"/>
      <c r="V1005" s="566"/>
      <c r="W1005" s="566"/>
      <c r="X1005" s="566"/>
      <c r="Y1005" s="566"/>
      <c r="Z1005" s="566"/>
      <c r="AA1005" s="566"/>
      <c r="AB1005" s="566"/>
      <c r="AC1005" s="566"/>
      <c r="AD1005" s="566"/>
    </row>
    <row r="1006" spans="18:30" x14ac:dyDescent="0.25">
      <c r="R1006" s="566"/>
      <c r="S1006" s="566"/>
      <c r="T1006" s="566"/>
      <c r="U1006" s="566"/>
      <c r="V1006" s="566"/>
      <c r="W1006" s="566"/>
      <c r="X1006" s="566"/>
      <c r="Y1006" s="566"/>
      <c r="Z1006" s="566"/>
      <c r="AA1006" s="566"/>
      <c r="AB1006" s="566"/>
      <c r="AC1006" s="566"/>
      <c r="AD1006" s="566"/>
    </row>
    <row r="1007" spans="18:30" x14ac:dyDescent="0.25">
      <c r="R1007" s="566"/>
      <c r="S1007" s="566"/>
      <c r="T1007" s="566"/>
      <c r="U1007" s="566"/>
      <c r="V1007" s="566"/>
      <c r="W1007" s="566"/>
      <c r="X1007" s="566"/>
      <c r="Y1007" s="566"/>
      <c r="Z1007" s="566"/>
      <c r="AA1007" s="566"/>
      <c r="AB1007" s="566"/>
      <c r="AC1007" s="566"/>
      <c r="AD1007" s="566"/>
    </row>
    <row r="1008" spans="18:30" x14ac:dyDescent="0.25">
      <c r="R1008" s="566"/>
      <c r="S1008" s="566"/>
      <c r="T1008" s="566"/>
      <c r="U1008" s="566"/>
      <c r="V1008" s="566"/>
      <c r="W1008" s="566"/>
      <c r="X1008" s="566"/>
      <c r="Y1008" s="566"/>
      <c r="Z1008" s="566"/>
      <c r="AA1008" s="566"/>
      <c r="AB1008" s="566"/>
      <c r="AC1008" s="566"/>
      <c r="AD1008" s="566"/>
    </row>
    <row r="1009" spans="18:30" x14ac:dyDescent="0.25">
      <c r="R1009" s="566"/>
      <c r="S1009" s="566"/>
      <c r="T1009" s="566"/>
      <c r="U1009" s="566"/>
      <c r="V1009" s="566"/>
      <c r="W1009" s="566"/>
      <c r="X1009" s="566"/>
      <c r="Y1009" s="566"/>
      <c r="Z1009" s="566"/>
      <c r="AA1009" s="566"/>
      <c r="AB1009" s="566"/>
      <c r="AC1009" s="566"/>
      <c r="AD1009" s="566"/>
    </row>
    <row r="1010" spans="18:30" x14ac:dyDescent="0.25">
      <c r="R1010" s="566"/>
      <c r="S1010" s="566"/>
      <c r="T1010" s="566"/>
      <c r="U1010" s="566"/>
      <c r="V1010" s="566"/>
      <c r="W1010" s="566"/>
      <c r="X1010" s="566"/>
      <c r="Y1010" s="566"/>
      <c r="Z1010" s="566"/>
      <c r="AA1010" s="566"/>
      <c r="AB1010" s="566"/>
      <c r="AC1010" s="566"/>
      <c r="AD1010" s="566"/>
    </row>
    <row r="1011" spans="18:30" x14ac:dyDescent="0.25">
      <c r="R1011" s="566"/>
      <c r="S1011" s="566"/>
      <c r="T1011" s="566"/>
      <c r="U1011" s="566"/>
      <c r="V1011" s="566"/>
      <c r="W1011" s="566"/>
      <c r="X1011" s="566"/>
      <c r="Y1011" s="566"/>
      <c r="Z1011" s="566"/>
      <c r="AA1011" s="566"/>
      <c r="AB1011" s="566"/>
      <c r="AC1011" s="566"/>
      <c r="AD1011" s="566"/>
    </row>
    <row r="1012" spans="18:30" x14ac:dyDescent="0.25">
      <c r="R1012" s="566"/>
      <c r="S1012" s="566"/>
      <c r="T1012" s="566"/>
      <c r="U1012" s="566"/>
      <c r="V1012" s="566"/>
      <c r="W1012" s="566"/>
      <c r="X1012" s="566"/>
      <c r="Y1012" s="566"/>
      <c r="Z1012" s="566"/>
      <c r="AA1012" s="566"/>
      <c r="AB1012" s="566"/>
      <c r="AC1012" s="566"/>
      <c r="AD1012" s="566"/>
    </row>
    <row r="1013" spans="18:30" x14ac:dyDescent="0.25">
      <c r="R1013" s="566"/>
      <c r="S1013" s="566"/>
      <c r="T1013" s="566"/>
      <c r="U1013" s="566"/>
      <c r="V1013" s="566"/>
      <c r="W1013" s="566"/>
      <c r="X1013" s="566"/>
      <c r="Y1013" s="566"/>
      <c r="Z1013" s="566"/>
      <c r="AA1013" s="566"/>
      <c r="AB1013" s="566"/>
      <c r="AC1013" s="566"/>
      <c r="AD1013" s="566"/>
    </row>
    <row r="1014" spans="18:30" x14ac:dyDescent="0.25">
      <c r="R1014" s="566"/>
      <c r="S1014" s="566"/>
      <c r="T1014" s="566"/>
      <c r="U1014" s="566"/>
      <c r="V1014" s="566"/>
      <c r="W1014" s="566"/>
      <c r="X1014" s="566"/>
      <c r="Y1014" s="566"/>
      <c r="Z1014" s="566"/>
      <c r="AA1014" s="566"/>
      <c r="AB1014" s="566"/>
      <c r="AC1014" s="566"/>
      <c r="AD1014" s="566"/>
    </row>
    <row r="1015" spans="18:30" x14ac:dyDescent="0.25">
      <c r="R1015" s="566"/>
      <c r="S1015" s="566"/>
      <c r="T1015" s="566"/>
      <c r="U1015" s="566"/>
      <c r="V1015" s="566"/>
      <c r="W1015" s="566"/>
      <c r="X1015" s="566"/>
      <c r="Y1015" s="566"/>
      <c r="Z1015" s="566"/>
      <c r="AA1015" s="566"/>
      <c r="AB1015" s="566"/>
      <c r="AC1015" s="566"/>
      <c r="AD1015" s="566"/>
    </row>
    <row r="1016" spans="18:30" x14ac:dyDescent="0.25">
      <c r="R1016" s="566"/>
      <c r="S1016" s="566"/>
      <c r="T1016" s="566"/>
      <c r="U1016" s="566"/>
      <c r="V1016" s="566"/>
      <c r="W1016" s="566"/>
      <c r="X1016" s="566"/>
      <c r="Y1016" s="566"/>
      <c r="Z1016" s="566"/>
      <c r="AA1016" s="566"/>
      <c r="AB1016" s="566"/>
      <c r="AC1016" s="566"/>
      <c r="AD1016" s="566"/>
    </row>
    <row r="1017" spans="18:30" x14ac:dyDescent="0.25">
      <c r="R1017" s="566"/>
      <c r="S1017" s="566"/>
      <c r="T1017" s="566"/>
      <c r="U1017" s="566"/>
      <c r="V1017" s="566"/>
      <c r="W1017" s="566"/>
      <c r="X1017" s="566"/>
      <c r="Y1017" s="566"/>
      <c r="Z1017" s="566"/>
      <c r="AA1017" s="566"/>
      <c r="AB1017" s="566"/>
      <c r="AC1017" s="566"/>
      <c r="AD1017" s="566"/>
    </row>
    <row r="1018" spans="18:30" x14ac:dyDescent="0.25">
      <c r="R1018" s="566"/>
      <c r="S1018" s="566"/>
      <c r="T1018" s="566"/>
      <c r="U1018" s="566"/>
      <c r="V1018" s="566"/>
      <c r="W1018" s="566"/>
      <c r="X1018" s="566"/>
      <c r="Y1018" s="566"/>
      <c r="Z1018" s="566"/>
      <c r="AA1018" s="566"/>
      <c r="AB1018" s="566"/>
      <c r="AC1018" s="566"/>
      <c r="AD1018" s="566"/>
    </row>
    <row r="1019" spans="18:30" x14ac:dyDescent="0.25">
      <c r="R1019" s="566"/>
      <c r="S1019" s="566"/>
      <c r="T1019" s="566"/>
      <c r="U1019" s="566"/>
      <c r="V1019" s="566"/>
      <c r="W1019" s="566"/>
      <c r="X1019" s="566"/>
      <c r="Y1019" s="566"/>
      <c r="Z1019" s="566"/>
      <c r="AA1019" s="566"/>
      <c r="AB1019" s="566"/>
      <c r="AC1019" s="566"/>
      <c r="AD1019" s="566"/>
    </row>
    <row r="1020" spans="18:30" x14ac:dyDescent="0.25">
      <c r="R1020" s="566"/>
      <c r="S1020" s="566"/>
      <c r="T1020" s="566"/>
      <c r="U1020" s="566"/>
      <c r="V1020" s="566"/>
      <c r="W1020" s="566"/>
      <c r="X1020" s="566"/>
      <c r="Y1020" s="566"/>
      <c r="Z1020" s="566"/>
      <c r="AA1020" s="566"/>
      <c r="AB1020" s="566"/>
      <c r="AC1020" s="566"/>
      <c r="AD1020" s="566"/>
    </row>
    <row r="1021" spans="18:30" x14ac:dyDescent="0.25">
      <c r="R1021" s="566"/>
      <c r="S1021" s="566"/>
      <c r="T1021" s="566"/>
      <c r="U1021" s="566"/>
      <c r="V1021" s="566"/>
      <c r="W1021" s="566"/>
      <c r="X1021" s="566"/>
      <c r="Y1021" s="566"/>
      <c r="Z1021" s="566"/>
      <c r="AA1021" s="566"/>
      <c r="AB1021" s="566"/>
      <c r="AC1021" s="566"/>
      <c r="AD1021" s="566"/>
    </row>
    <row r="1022" spans="18:30" x14ac:dyDescent="0.25">
      <c r="R1022" s="566"/>
      <c r="S1022" s="566"/>
      <c r="T1022" s="566"/>
      <c r="U1022" s="566"/>
      <c r="V1022" s="566"/>
      <c r="W1022" s="566"/>
      <c r="X1022" s="566"/>
      <c r="Y1022" s="566"/>
      <c r="Z1022" s="566"/>
      <c r="AA1022" s="566"/>
      <c r="AB1022" s="566"/>
      <c r="AC1022" s="566"/>
      <c r="AD1022" s="566"/>
    </row>
    <row r="1023" spans="18:30" x14ac:dyDescent="0.25">
      <c r="R1023" s="566"/>
      <c r="S1023" s="566"/>
      <c r="T1023" s="566"/>
      <c r="U1023" s="566"/>
      <c r="V1023" s="566"/>
      <c r="W1023" s="566"/>
      <c r="X1023" s="566"/>
      <c r="Y1023" s="566"/>
      <c r="Z1023" s="566"/>
      <c r="AA1023" s="566"/>
      <c r="AB1023" s="566"/>
      <c r="AC1023" s="566"/>
      <c r="AD1023" s="566"/>
    </row>
    <row r="1024" spans="18:30" x14ac:dyDescent="0.25">
      <c r="R1024" s="566"/>
      <c r="S1024" s="566"/>
      <c r="T1024" s="566"/>
      <c r="U1024" s="566"/>
      <c r="V1024" s="566"/>
      <c r="W1024" s="566"/>
      <c r="X1024" s="566"/>
      <c r="Y1024" s="566"/>
      <c r="Z1024" s="566"/>
      <c r="AA1024" s="566"/>
      <c r="AB1024" s="566"/>
      <c r="AC1024" s="566"/>
      <c r="AD1024" s="566"/>
    </row>
    <row r="1025" spans="18:30" x14ac:dyDescent="0.25">
      <c r="R1025" s="566"/>
      <c r="S1025" s="566"/>
      <c r="T1025" s="566"/>
      <c r="U1025" s="566"/>
      <c r="V1025" s="566"/>
      <c r="W1025" s="566"/>
      <c r="X1025" s="566"/>
      <c r="Y1025" s="566"/>
      <c r="Z1025" s="566"/>
      <c r="AA1025" s="566"/>
      <c r="AB1025" s="566"/>
      <c r="AC1025" s="566"/>
      <c r="AD1025" s="566"/>
    </row>
    <row r="1026" spans="18:30" x14ac:dyDescent="0.25">
      <c r="R1026" s="566"/>
      <c r="S1026" s="566"/>
      <c r="T1026" s="566"/>
      <c r="U1026" s="566"/>
      <c r="V1026" s="566"/>
      <c r="W1026" s="566"/>
      <c r="X1026" s="566"/>
      <c r="Y1026" s="566"/>
      <c r="Z1026" s="566"/>
      <c r="AA1026" s="566"/>
      <c r="AB1026" s="566"/>
      <c r="AC1026" s="566"/>
      <c r="AD1026" s="566"/>
    </row>
    <row r="1027" spans="18:30" x14ac:dyDescent="0.25">
      <c r="R1027" s="566"/>
      <c r="S1027" s="566"/>
      <c r="T1027" s="566"/>
      <c r="U1027" s="566"/>
      <c r="V1027" s="566"/>
      <c r="W1027" s="566"/>
      <c r="X1027" s="566"/>
      <c r="Y1027" s="566"/>
      <c r="Z1027" s="566"/>
      <c r="AA1027" s="566"/>
      <c r="AB1027" s="566"/>
      <c r="AC1027" s="566"/>
      <c r="AD1027" s="566"/>
    </row>
    <row r="1028" spans="18:30" x14ac:dyDescent="0.25">
      <c r="R1028" s="566"/>
      <c r="S1028" s="566"/>
      <c r="T1028" s="566"/>
      <c r="U1028" s="566"/>
      <c r="V1028" s="566"/>
      <c r="W1028" s="566"/>
      <c r="X1028" s="566"/>
      <c r="Y1028" s="566"/>
      <c r="Z1028" s="566"/>
      <c r="AA1028" s="566"/>
      <c r="AB1028" s="566"/>
      <c r="AC1028" s="566"/>
      <c r="AD1028" s="566"/>
    </row>
    <row r="1029" spans="18:30" x14ac:dyDescent="0.25">
      <c r="R1029" s="566"/>
      <c r="S1029" s="566"/>
      <c r="T1029" s="566"/>
      <c r="U1029" s="566"/>
      <c r="V1029" s="566"/>
      <c r="W1029" s="566"/>
      <c r="X1029" s="566"/>
      <c r="Y1029" s="566"/>
      <c r="Z1029" s="566"/>
      <c r="AA1029" s="566"/>
      <c r="AB1029" s="566"/>
      <c r="AC1029" s="566"/>
      <c r="AD1029" s="566"/>
    </row>
    <row r="1030" spans="18:30" x14ac:dyDescent="0.25">
      <c r="R1030" s="566"/>
      <c r="S1030" s="566"/>
      <c r="T1030" s="566"/>
      <c r="U1030" s="566"/>
      <c r="V1030" s="566"/>
      <c r="W1030" s="566"/>
      <c r="X1030" s="566"/>
      <c r="Y1030" s="566"/>
      <c r="Z1030" s="566"/>
      <c r="AA1030" s="566"/>
      <c r="AB1030" s="566"/>
      <c r="AC1030" s="566"/>
      <c r="AD1030" s="566"/>
    </row>
    <row r="1031" spans="18:30" x14ac:dyDescent="0.25">
      <c r="R1031" s="566"/>
      <c r="S1031" s="566"/>
      <c r="T1031" s="566"/>
      <c r="U1031" s="566"/>
      <c r="V1031" s="566"/>
      <c r="W1031" s="566"/>
      <c r="X1031" s="566"/>
      <c r="Y1031" s="566"/>
      <c r="Z1031" s="566"/>
      <c r="AA1031" s="566"/>
      <c r="AB1031" s="566"/>
      <c r="AC1031" s="566"/>
      <c r="AD1031" s="566"/>
    </row>
    <row r="1032" spans="18:30" x14ac:dyDescent="0.25">
      <c r="R1032" s="566"/>
      <c r="S1032" s="566"/>
      <c r="T1032" s="566"/>
      <c r="U1032" s="566"/>
      <c r="V1032" s="566"/>
      <c r="W1032" s="566"/>
      <c r="X1032" s="566"/>
      <c r="Y1032" s="566"/>
      <c r="Z1032" s="566"/>
      <c r="AA1032" s="566"/>
      <c r="AB1032" s="566"/>
      <c r="AC1032" s="566"/>
      <c r="AD1032" s="566"/>
    </row>
    <row r="1033" spans="18:30" x14ac:dyDescent="0.25">
      <c r="R1033" s="566"/>
      <c r="S1033" s="566"/>
      <c r="T1033" s="566"/>
      <c r="U1033" s="566"/>
      <c r="V1033" s="566"/>
      <c r="W1033" s="566"/>
      <c r="X1033" s="566"/>
      <c r="Y1033" s="566"/>
      <c r="Z1033" s="566"/>
      <c r="AA1033" s="566"/>
      <c r="AB1033" s="566"/>
      <c r="AC1033" s="566"/>
      <c r="AD1033" s="566"/>
    </row>
    <row r="1034" spans="18:30" x14ac:dyDescent="0.25">
      <c r="R1034" s="566"/>
      <c r="S1034" s="566"/>
      <c r="T1034" s="566"/>
      <c r="U1034" s="566"/>
      <c r="V1034" s="566"/>
      <c r="W1034" s="566"/>
      <c r="X1034" s="566"/>
      <c r="Y1034" s="566"/>
      <c r="Z1034" s="566"/>
      <c r="AA1034" s="566"/>
      <c r="AB1034" s="566"/>
      <c r="AC1034" s="566"/>
      <c r="AD1034" s="566"/>
    </row>
    <row r="1035" spans="18:30" x14ac:dyDescent="0.25">
      <c r="R1035" s="566"/>
      <c r="S1035" s="566"/>
      <c r="T1035" s="566"/>
      <c r="U1035" s="566"/>
      <c r="V1035" s="566"/>
      <c r="W1035" s="566"/>
      <c r="X1035" s="566"/>
      <c r="Y1035" s="566"/>
      <c r="Z1035" s="566"/>
      <c r="AA1035" s="566"/>
      <c r="AB1035" s="566"/>
      <c r="AC1035" s="566"/>
      <c r="AD1035" s="566"/>
    </row>
    <row r="1036" spans="18:30" x14ac:dyDescent="0.25">
      <c r="R1036" s="566"/>
      <c r="S1036" s="566"/>
      <c r="T1036" s="566"/>
      <c r="U1036" s="566"/>
      <c r="V1036" s="566"/>
      <c r="W1036" s="566"/>
      <c r="X1036" s="566"/>
      <c r="Y1036" s="566"/>
      <c r="Z1036" s="566"/>
      <c r="AA1036" s="566"/>
      <c r="AB1036" s="566"/>
      <c r="AC1036" s="566"/>
      <c r="AD1036" s="566"/>
    </row>
    <row r="1037" spans="18:30" x14ac:dyDescent="0.25">
      <c r="R1037" s="566"/>
      <c r="S1037" s="566"/>
      <c r="T1037" s="566"/>
      <c r="U1037" s="566"/>
      <c r="V1037" s="566"/>
      <c r="W1037" s="566"/>
      <c r="X1037" s="566"/>
      <c r="Y1037" s="566"/>
      <c r="Z1037" s="566"/>
      <c r="AA1037" s="566"/>
      <c r="AB1037" s="566"/>
      <c r="AC1037" s="566"/>
      <c r="AD1037" s="566"/>
    </row>
    <row r="1038" spans="18:30" x14ac:dyDescent="0.25">
      <c r="R1038" s="566"/>
      <c r="S1038" s="566"/>
      <c r="T1038" s="566"/>
      <c r="U1038" s="566"/>
      <c r="V1038" s="566"/>
      <c r="W1038" s="566"/>
      <c r="X1038" s="566"/>
      <c r="Y1038" s="566"/>
      <c r="Z1038" s="566"/>
      <c r="AA1038" s="566"/>
      <c r="AB1038" s="566"/>
      <c r="AC1038" s="566"/>
      <c r="AD1038" s="566"/>
    </row>
    <row r="1039" spans="18:30" x14ac:dyDescent="0.25">
      <c r="R1039" s="566"/>
      <c r="S1039" s="566"/>
      <c r="T1039" s="566"/>
      <c r="U1039" s="566"/>
      <c r="V1039" s="566"/>
      <c r="W1039" s="566"/>
      <c r="X1039" s="566"/>
      <c r="Y1039" s="566"/>
      <c r="Z1039" s="566"/>
      <c r="AA1039" s="566"/>
      <c r="AB1039" s="566"/>
      <c r="AC1039" s="566"/>
      <c r="AD1039" s="566"/>
    </row>
    <row r="1040" spans="18:30" x14ac:dyDescent="0.25">
      <c r="R1040" s="566"/>
      <c r="S1040" s="566"/>
      <c r="T1040" s="566"/>
      <c r="U1040" s="566"/>
      <c r="V1040" s="566"/>
      <c r="W1040" s="566"/>
      <c r="X1040" s="566"/>
      <c r="Y1040" s="566"/>
      <c r="Z1040" s="566"/>
      <c r="AA1040" s="566"/>
      <c r="AB1040" s="566"/>
      <c r="AC1040" s="566"/>
      <c r="AD1040" s="566"/>
    </row>
    <row r="1041" spans="18:30" x14ac:dyDescent="0.25">
      <c r="R1041" s="566"/>
      <c r="S1041" s="566"/>
      <c r="T1041" s="566"/>
      <c r="U1041" s="566"/>
      <c r="V1041" s="566"/>
      <c r="W1041" s="566"/>
      <c r="X1041" s="566"/>
      <c r="Y1041" s="566"/>
      <c r="Z1041" s="566"/>
      <c r="AA1041" s="566"/>
      <c r="AB1041" s="566"/>
      <c r="AC1041" s="566"/>
      <c r="AD1041" s="566"/>
    </row>
    <row r="1042" spans="18:30" x14ac:dyDescent="0.25">
      <c r="R1042" s="566"/>
      <c r="S1042" s="566"/>
      <c r="T1042" s="566"/>
      <c r="U1042" s="566"/>
      <c r="V1042" s="566"/>
      <c r="W1042" s="566"/>
      <c r="X1042" s="566"/>
      <c r="Y1042" s="566"/>
      <c r="Z1042" s="566"/>
      <c r="AA1042" s="566"/>
      <c r="AB1042" s="566"/>
      <c r="AC1042" s="566"/>
      <c r="AD1042" s="566"/>
    </row>
    <row r="1043" spans="18:30" x14ac:dyDescent="0.25">
      <c r="R1043" s="566"/>
      <c r="S1043" s="566"/>
      <c r="T1043" s="566"/>
      <c r="U1043" s="566"/>
      <c r="V1043" s="566"/>
      <c r="W1043" s="566"/>
      <c r="X1043" s="566"/>
      <c r="Y1043" s="566"/>
      <c r="Z1043" s="566"/>
      <c r="AA1043" s="566"/>
      <c r="AB1043" s="566"/>
      <c r="AC1043" s="566"/>
      <c r="AD1043" s="566"/>
    </row>
    <row r="1044" spans="18:30" x14ac:dyDescent="0.25">
      <c r="R1044" s="566"/>
      <c r="S1044" s="566"/>
      <c r="T1044" s="566"/>
      <c r="U1044" s="566"/>
      <c r="V1044" s="566"/>
      <c r="W1044" s="566"/>
      <c r="X1044" s="566"/>
      <c r="Y1044" s="566"/>
      <c r="Z1044" s="566"/>
      <c r="AA1044" s="566"/>
      <c r="AB1044" s="566"/>
      <c r="AC1044" s="566"/>
      <c r="AD1044" s="566"/>
    </row>
    <row r="1045" spans="18:30" x14ac:dyDescent="0.25">
      <c r="R1045" s="566"/>
      <c r="S1045" s="566"/>
      <c r="T1045" s="566"/>
      <c r="U1045" s="566"/>
      <c r="V1045" s="566"/>
      <c r="W1045" s="566"/>
      <c r="X1045" s="566"/>
      <c r="Y1045" s="566"/>
      <c r="Z1045" s="566"/>
      <c r="AA1045" s="566"/>
      <c r="AB1045" s="566"/>
      <c r="AC1045" s="566"/>
      <c r="AD1045" s="566"/>
    </row>
    <row r="1046" spans="18:30" x14ac:dyDescent="0.25">
      <c r="R1046" s="566"/>
      <c r="S1046" s="566"/>
      <c r="T1046" s="566"/>
      <c r="U1046" s="566"/>
      <c r="V1046" s="566"/>
      <c r="W1046" s="566"/>
      <c r="X1046" s="566"/>
      <c r="Y1046" s="566"/>
      <c r="Z1046" s="566"/>
      <c r="AA1046" s="566"/>
      <c r="AB1046" s="566"/>
      <c r="AC1046" s="566"/>
      <c r="AD1046" s="566"/>
    </row>
    <row r="1047" spans="18:30" x14ac:dyDescent="0.25">
      <c r="R1047" s="566"/>
      <c r="S1047" s="566"/>
      <c r="T1047" s="566"/>
      <c r="U1047" s="566"/>
      <c r="V1047" s="566"/>
      <c r="W1047" s="566"/>
      <c r="X1047" s="566"/>
      <c r="Y1047" s="566"/>
      <c r="Z1047" s="566"/>
      <c r="AA1047" s="566"/>
      <c r="AB1047" s="566"/>
      <c r="AC1047" s="566"/>
      <c r="AD1047" s="566"/>
    </row>
    <row r="1048" spans="18:30" x14ac:dyDescent="0.25">
      <c r="R1048" s="566"/>
      <c r="S1048" s="566"/>
      <c r="T1048" s="566"/>
      <c r="U1048" s="566"/>
      <c r="V1048" s="566"/>
      <c r="W1048" s="566"/>
      <c r="X1048" s="566"/>
      <c r="Y1048" s="566"/>
      <c r="Z1048" s="566"/>
      <c r="AA1048" s="566"/>
      <c r="AB1048" s="566"/>
      <c r="AC1048" s="566"/>
      <c r="AD1048" s="566"/>
    </row>
    <row r="1049" spans="18:30" x14ac:dyDescent="0.25">
      <c r="R1049" s="566"/>
      <c r="S1049" s="566"/>
      <c r="T1049" s="566"/>
      <c r="U1049" s="566"/>
      <c r="V1049" s="566"/>
      <c r="W1049" s="566"/>
      <c r="X1049" s="566"/>
      <c r="Y1049" s="566"/>
      <c r="Z1049" s="566"/>
      <c r="AA1049" s="566"/>
      <c r="AB1049" s="566"/>
      <c r="AC1049" s="566"/>
      <c r="AD1049" s="566"/>
    </row>
    <row r="1050" spans="18:30" x14ac:dyDescent="0.25">
      <c r="R1050" s="566"/>
      <c r="S1050" s="566"/>
      <c r="T1050" s="566"/>
      <c r="U1050" s="566"/>
      <c r="V1050" s="566"/>
      <c r="W1050" s="566"/>
      <c r="X1050" s="566"/>
      <c r="Y1050" s="566"/>
      <c r="Z1050" s="566"/>
      <c r="AA1050" s="566"/>
      <c r="AB1050" s="566"/>
      <c r="AC1050" s="566"/>
      <c r="AD1050" s="566"/>
    </row>
    <row r="1051" spans="18:30" x14ac:dyDescent="0.25">
      <c r="R1051" s="566"/>
      <c r="S1051" s="566"/>
      <c r="T1051" s="566"/>
      <c r="U1051" s="566"/>
      <c r="V1051" s="566"/>
      <c r="W1051" s="566"/>
      <c r="X1051" s="566"/>
      <c r="Y1051" s="566"/>
      <c r="Z1051" s="566"/>
      <c r="AA1051" s="566"/>
      <c r="AB1051" s="566"/>
      <c r="AC1051" s="566"/>
      <c r="AD1051" s="566"/>
    </row>
    <row r="1052" spans="18:30" x14ac:dyDescent="0.25">
      <c r="R1052" s="566"/>
      <c r="S1052" s="566"/>
      <c r="T1052" s="566"/>
      <c r="U1052" s="566"/>
      <c r="V1052" s="566"/>
      <c r="W1052" s="566"/>
      <c r="X1052" s="566"/>
      <c r="Y1052" s="566"/>
      <c r="Z1052" s="566"/>
      <c r="AA1052" s="566"/>
      <c r="AB1052" s="566"/>
      <c r="AC1052" s="566"/>
      <c r="AD1052" s="566"/>
    </row>
    <row r="1053" spans="18:30" x14ac:dyDescent="0.25">
      <c r="R1053" s="566"/>
      <c r="S1053" s="566"/>
      <c r="T1053" s="566"/>
      <c r="U1053" s="566"/>
      <c r="V1053" s="566"/>
      <c r="W1053" s="566"/>
      <c r="X1053" s="566"/>
      <c r="Y1053" s="566"/>
      <c r="Z1053" s="566"/>
      <c r="AA1053" s="566"/>
      <c r="AB1053" s="566"/>
      <c r="AC1053" s="566"/>
      <c r="AD1053" s="566"/>
    </row>
    <row r="1054" spans="18:30" x14ac:dyDescent="0.25">
      <c r="R1054" s="566"/>
      <c r="S1054" s="566"/>
      <c r="T1054" s="566"/>
      <c r="U1054" s="566"/>
      <c r="V1054" s="566"/>
      <c r="W1054" s="566"/>
      <c r="X1054" s="566"/>
      <c r="Y1054" s="566"/>
      <c r="Z1054" s="566"/>
      <c r="AA1054" s="566"/>
      <c r="AB1054" s="566"/>
      <c r="AC1054" s="566"/>
      <c r="AD1054" s="566"/>
    </row>
    <row r="1055" spans="18:30" x14ac:dyDescent="0.25">
      <c r="R1055" s="566"/>
      <c r="S1055" s="566"/>
      <c r="T1055" s="566"/>
      <c r="U1055" s="566"/>
      <c r="V1055" s="566"/>
      <c r="W1055" s="566"/>
      <c r="X1055" s="566"/>
      <c r="Y1055" s="566"/>
      <c r="Z1055" s="566"/>
      <c r="AA1055" s="566"/>
      <c r="AB1055" s="566"/>
      <c r="AC1055" s="566"/>
      <c r="AD1055" s="566"/>
    </row>
    <row r="1056" spans="18:30" x14ac:dyDescent="0.25">
      <c r="R1056" s="566"/>
      <c r="S1056" s="566"/>
      <c r="T1056" s="566"/>
      <c r="U1056" s="566"/>
      <c r="V1056" s="566"/>
      <c r="W1056" s="566"/>
      <c r="X1056" s="566"/>
      <c r="Y1056" s="566"/>
      <c r="Z1056" s="566"/>
      <c r="AA1056" s="566"/>
      <c r="AB1056" s="566"/>
      <c r="AC1056" s="566"/>
      <c r="AD1056" s="566"/>
    </row>
    <row r="1057" spans="18:30" x14ac:dyDescent="0.25">
      <c r="R1057" s="566"/>
      <c r="S1057" s="566"/>
      <c r="T1057" s="566"/>
      <c r="U1057" s="566"/>
      <c r="V1057" s="566"/>
      <c r="W1057" s="566"/>
      <c r="X1057" s="566"/>
      <c r="Y1057" s="566"/>
      <c r="Z1057" s="566"/>
      <c r="AA1057" s="566"/>
      <c r="AB1057" s="566"/>
      <c r="AC1057" s="566"/>
      <c r="AD1057" s="566"/>
    </row>
    <row r="1058" spans="18:30" x14ac:dyDescent="0.25">
      <c r="R1058" s="566"/>
      <c r="S1058" s="566"/>
      <c r="T1058" s="566"/>
      <c r="U1058" s="566"/>
      <c r="V1058" s="566"/>
      <c r="W1058" s="566"/>
      <c r="X1058" s="566"/>
      <c r="Y1058" s="566"/>
      <c r="Z1058" s="566"/>
      <c r="AA1058" s="566"/>
      <c r="AB1058" s="566"/>
      <c r="AC1058" s="566"/>
      <c r="AD1058" s="566"/>
    </row>
    <row r="1059" spans="18:30" x14ac:dyDescent="0.25">
      <c r="R1059" s="566"/>
      <c r="S1059" s="566"/>
      <c r="T1059" s="566"/>
      <c r="U1059" s="566"/>
      <c r="V1059" s="566"/>
      <c r="W1059" s="566"/>
      <c r="X1059" s="566"/>
      <c r="Y1059" s="566"/>
      <c r="Z1059" s="566"/>
      <c r="AA1059" s="566"/>
      <c r="AB1059" s="566"/>
      <c r="AC1059" s="566"/>
      <c r="AD1059" s="566"/>
    </row>
    <row r="1060" spans="18:30" x14ac:dyDescent="0.25">
      <c r="R1060" s="566"/>
      <c r="S1060" s="566"/>
      <c r="T1060" s="566"/>
      <c r="U1060" s="566"/>
      <c r="V1060" s="566"/>
      <c r="W1060" s="566"/>
      <c r="X1060" s="566"/>
      <c r="Y1060" s="566"/>
      <c r="Z1060" s="566"/>
      <c r="AA1060" s="566"/>
      <c r="AB1060" s="566"/>
      <c r="AC1060" s="566"/>
      <c r="AD1060" s="566"/>
    </row>
    <row r="1061" spans="18:30" x14ac:dyDescent="0.25">
      <c r="R1061" s="566"/>
      <c r="S1061" s="566"/>
      <c r="T1061" s="566"/>
      <c r="U1061" s="566"/>
      <c r="V1061" s="566"/>
      <c r="W1061" s="566"/>
      <c r="X1061" s="566"/>
      <c r="Y1061" s="566"/>
      <c r="Z1061" s="566"/>
      <c r="AA1061" s="566"/>
      <c r="AB1061" s="566"/>
      <c r="AC1061" s="566"/>
      <c r="AD1061" s="566"/>
    </row>
    <row r="1062" spans="18:30" x14ac:dyDescent="0.25">
      <c r="R1062" s="566"/>
      <c r="S1062" s="566"/>
      <c r="T1062" s="566"/>
      <c r="U1062" s="566"/>
      <c r="V1062" s="566"/>
      <c r="W1062" s="566"/>
      <c r="X1062" s="566"/>
      <c r="Y1062" s="566"/>
      <c r="Z1062" s="566"/>
      <c r="AA1062" s="566"/>
      <c r="AB1062" s="566"/>
      <c r="AC1062" s="566"/>
      <c r="AD1062" s="566"/>
    </row>
    <row r="1063" spans="18:30" x14ac:dyDescent="0.25">
      <c r="R1063" s="566"/>
      <c r="S1063" s="566"/>
      <c r="T1063" s="566"/>
      <c r="U1063" s="566"/>
      <c r="V1063" s="566"/>
      <c r="W1063" s="566"/>
      <c r="X1063" s="566"/>
      <c r="Y1063" s="566"/>
      <c r="Z1063" s="566"/>
      <c r="AA1063" s="566"/>
      <c r="AB1063" s="566"/>
      <c r="AC1063" s="566"/>
      <c r="AD1063" s="566"/>
    </row>
    <row r="1064" spans="18:30" x14ac:dyDescent="0.25">
      <c r="R1064" s="566"/>
      <c r="S1064" s="566"/>
      <c r="T1064" s="566"/>
      <c r="U1064" s="566"/>
      <c r="V1064" s="566"/>
      <c r="W1064" s="566"/>
      <c r="X1064" s="566"/>
      <c r="Y1064" s="566"/>
      <c r="Z1064" s="566"/>
      <c r="AA1064" s="566"/>
      <c r="AB1064" s="566"/>
      <c r="AC1064" s="566"/>
      <c r="AD1064" s="566"/>
    </row>
    <row r="1065" spans="18:30" x14ac:dyDescent="0.25">
      <c r="R1065" s="566"/>
      <c r="S1065" s="566"/>
      <c r="T1065" s="566"/>
      <c r="U1065" s="566"/>
      <c r="V1065" s="566"/>
      <c r="W1065" s="566"/>
      <c r="X1065" s="566"/>
      <c r="Y1065" s="566"/>
      <c r="Z1065" s="566"/>
      <c r="AA1065" s="566"/>
      <c r="AB1065" s="566"/>
      <c r="AC1065" s="566"/>
      <c r="AD1065" s="566"/>
    </row>
    <row r="1066" spans="18:30" x14ac:dyDescent="0.25">
      <c r="R1066" s="566"/>
      <c r="S1066" s="566"/>
      <c r="T1066" s="566"/>
      <c r="U1066" s="566"/>
      <c r="V1066" s="566"/>
      <c r="W1066" s="566"/>
      <c r="X1066" s="566"/>
      <c r="Y1066" s="566"/>
      <c r="Z1066" s="566"/>
      <c r="AA1066" s="566"/>
      <c r="AB1066" s="566"/>
      <c r="AC1066" s="566"/>
      <c r="AD1066" s="566"/>
    </row>
    <row r="1067" spans="18:30" x14ac:dyDescent="0.25">
      <c r="R1067" s="566"/>
      <c r="S1067" s="566"/>
      <c r="T1067" s="566"/>
      <c r="U1067" s="566"/>
      <c r="V1067" s="566"/>
      <c r="W1067" s="566"/>
      <c r="X1067" s="566"/>
      <c r="Y1067" s="566"/>
      <c r="Z1067" s="566"/>
      <c r="AA1067" s="566"/>
      <c r="AB1067" s="566"/>
      <c r="AC1067" s="566"/>
      <c r="AD1067" s="566"/>
    </row>
    <row r="1068" spans="18:30" x14ac:dyDescent="0.25">
      <c r="R1068" s="566"/>
      <c r="S1068" s="566"/>
      <c r="T1068" s="566"/>
      <c r="U1068" s="566"/>
      <c r="V1068" s="566"/>
      <c r="W1068" s="566"/>
      <c r="X1068" s="566"/>
      <c r="Y1068" s="566"/>
      <c r="Z1068" s="566"/>
      <c r="AA1068" s="566"/>
      <c r="AB1068" s="566"/>
      <c r="AC1068" s="566"/>
      <c r="AD1068" s="566"/>
    </row>
    <row r="1069" spans="18:30" x14ac:dyDescent="0.25">
      <c r="R1069" s="566"/>
      <c r="S1069" s="566"/>
      <c r="T1069" s="566"/>
      <c r="U1069" s="566"/>
      <c r="V1069" s="566"/>
      <c r="W1069" s="566"/>
      <c r="X1069" s="566"/>
      <c r="Y1069" s="566"/>
      <c r="Z1069" s="566"/>
      <c r="AA1069" s="566"/>
      <c r="AB1069" s="566"/>
      <c r="AC1069" s="566"/>
      <c r="AD1069" s="566"/>
    </row>
    <row r="1070" spans="18:30" x14ac:dyDescent="0.25">
      <c r="R1070" s="566"/>
      <c r="S1070" s="566"/>
      <c r="T1070" s="566"/>
      <c r="U1070" s="566"/>
      <c r="V1070" s="566"/>
      <c r="W1070" s="566"/>
      <c r="X1070" s="566"/>
      <c r="Y1070" s="566"/>
      <c r="Z1070" s="566"/>
      <c r="AA1070" s="566"/>
      <c r="AB1070" s="566"/>
      <c r="AC1070" s="566"/>
      <c r="AD1070" s="566"/>
    </row>
    <row r="1071" spans="18:30" x14ac:dyDescent="0.25">
      <c r="R1071" s="566"/>
      <c r="S1071" s="566"/>
      <c r="T1071" s="566"/>
      <c r="U1071" s="566"/>
      <c r="V1071" s="566"/>
      <c r="W1071" s="566"/>
      <c r="X1071" s="566"/>
      <c r="Y1071" s="566"/>
      <c r="Z1071" s="566"/>
      <c r="AA1071" s="566"/>
      <c r="AB1071" s="566"/>
      <c r="AC1071" s="566"/>
      <c r="AD1071" s="566"/>
    </row>
    <row r="1072" spans="18:30" x14ac:dyDescent="0.25">
      <c r="R1072" s="566"/>
      <c r="S1072" s="566"/>
      <c r="T1072" s="566"/>
      <c r="U1072" s="566"/>
      <c r="V1072" s="566"/>
      <c r="W1072" s="566"/>
      <c r="X1072" s="566"/>
      <c r="Y1072" s="566"/>
      <c r="Z1072" s="566"/>
      <c r="AA1072" s="566"/>
      <c r="AB1072" s="566"/>
      <c r="AC1072" s="566"/>
      <c r="AD1072" s="566"/>
    </row>
    <row r="1073" spans="18:30" x14ac:dyDescent="0.25">
      <c r="R1073" s="566"/>
      <c r="S1073" s="566"/>
      <c r="T1073" s="566"/>
      <c r="U1073" s="566"/>
      <c r="V1073" s="566"/>
      <c r="W1073" s="566"/>
      <c r="X1073" s="566"/>
      <c r="Y1073" s="566"/>
      <c r="Z1073" s="566"/>
      <c r="AA1073" s="566"/>
      <c r="AB1073" s="566"/>
      <c r="AC1073" s="566"/>
      <c r="AD1073" s="566"/>
    </row>
    <row r="1074" spans="18:30" x14ac:dyDescent="0.25">
      <c r="R1074" s="566"/>
      <c r="S1074" s="566"/>
      <c r="T1074" s="566"/>
      <c r="U1074" s="566"/>
      <c r="V1074" s="566"/>
      <c r="W1074" s="566"/>
      <c r="X1074" s="566"/>
      <c r="Y1074" s="566"/>
      <c r="Z1074" s="566"/>
      <c r="AA1074" s="566"/>
      <c r="AB1074" s="566"/>
      <c r="AC1074" s="566"/>
      <c r="AD1074" s="566"/>
    </row>
    <row r="1075" spans="18:30" x14ac:dyDescent="0.25">
      <c r="R1075" s="566"/>
      <c r="S1075" s="566"/>
      <c r="T1075" s="566"/>
      <c r="U1075" s="566"/>
      <c r="V1075" s="566"/>
      <c r="W1075" s="566"/>
      <c r="X1075" s="566"/>
      <c r="Y1075" s="566"/>
      <c r="Z1075" s="566"/>
      <c r="AA1075" s="566"/>
      <c r="AB1075" s="566"/>
      <c r="AC1075" s="566"/>
      <c r="AD1075" s="566"/>
    </row>
    <row r="1076" spans="18:30" x14ac:dyDescent="0.25">
      <c r="R1076" s="566"/>
      <c r="S1076" s="566"/>
      <c r="T1076" s="566"/>
      <c r="U1076" s="566"/>
      <c r="V1076" s="566"/>
      <c r="W1076" s="566"/>
      <c r="X1076" s="566"/>
      <c r="Y1076" s="566"/>
      <c r="Z1076" s="566"/>
      <c r="AA1076" s="566"/>
      <c r="AB1076" s="566"/>
      <c r="AC1076" s="566"/>
      <c r="AD1076" s="566"/>
    </row>
    <row r="1077" spans="18:30" x14ac:dyDescent="0.25">
      <c r="R1077" s="566"/>
      <c r="S1077" s="566"/>
      <c r="T1077" s="566"/>
      <c r="U1077" s="566"/>
      <c r="V1077" s="566"/>
      <c r="W1077" s="566"/>
      <c r="X1077" s="566"/>
      <c r="Y1077" s="566"/>
      <c r="Z1077" s="566"/>
      <c r="AA1077" s="566"/>
      <c r="AB1077" s="566"/>
      <c r="AC1077" s="566"/>
      <c r="AD1077" s="566"/>
    </row>
    <row r="1078" spans="18:30" x14ac:dyDescent="0.25">
      <c r="R1078" s="566"/>
      <c r="S1078" s="566"/>
      <c r="T1078" s="566"/>
      <c r="U1078" s="566"/>
      <c r="V1078" s="566"/>
      <c r="W1078" s="566"/>
      <c r="X1078" s="566"/>
      <c r="Y1078" s="566"/>
      <c r="Z1078" s="566"/>
      <c r="AA1078" s="566"/>
      <c r="AB1078" s="566"/>
      <c r="AC1078" s="566"/>
      <c r="AD1078" s="566"/>
    </row>
    <row r="1079" spans="18:30" x14ac:dyDescent="0.25">
      <c r="R1079" s="566"/>
      <c r="S1079" s="566"/>
      <c r="T1079" s="566"/>
      <c r="U1079" s="566"/>
      <c r="V1079" s="566"/>
      <c r="W1079" s="566"/>
      <c r="X1079" s="566"/>
      <c r="Y1079" s="566"/>
      <c r="Z1079" s="566"/>
      <c r="AA1079" s="566"/>
      <c r="AB1079" s="566"/>
      <c r="AC1079" s="566"/>
      <c r="AD1079" s="566"/>
    </row>
    <row r="1080" spans="18:30" x14ac:dyDescent="0.25">
      <c r="R1080" s="566"/>
      <c r="S1080" s="566"/>
      <c r="T1080" s="566"/>
      <c r="U1080" s="566"/>
      <c r="V1080" s="566"/>
      <c r="W1080" s="566"/>
      <c r="X1080" s="566"/>
      <c r="Y1080" s="566"/>
      <c r="Z1080" s="566"/>
      <c r="AA1080" s="566"/>
      <c r="AB1080" s="566"/>
      <c r="AC1080" s="566"/>
      <c r="AD1080" s="566"/>
    </row>
    <row r="1081" spans="18:30" x14ac:dyDescent="0.25">
      <c r="R1081" s="566"/>
      <c r="S1081" s="566"/>
      <c r="T1081" s="566"/>
      <c r="U1081" s="566"/>
      <c r="V1081" s="566"/>
      <c r="W1081" s="566"/>
      <c r="X1081" s="566"/>
      <c r="Y1081" s="566"/>
      <c r="Z1081" s="566"/>
      <c r="AA1081" s="566"/>
      <c r="AB1081" s="566"/>
      <c r="AC1081" s="566"/>
      <c r="AD1081" s="566"/>
    </row>
    <row r="1082" spans="18:30" x14ac:dyDescent="0.25">
      <c r="R1082" s="566"/>
      <c r="S1082" s="566"/>
      <c r="T1082" s="566"/>
      <c r="U1082" s="566"/>
      <c r="V1082" s="566"/>
      <c r="W1082" s="566"/>
      <c r="X1082" s="566"/>
      <c r="Y1082" s="566"/>
      <c r="Z1082" s="566"/>
      <c r="AA1082" s="566"/>
      <c r="AB1082" s="566"/>
      <c r="AC1082" s="566"/>
      <c r="AD1082" s="566"/>
    </row>
    <row r="1083" spans="18:30" x14ac:dyDescent="0.25">
      <c r="R1083" s="566"/>
      <c r="S1083" s="566"/>
      <c r="T1083" s="566"/>
      <c r="U1083" s="566"/>
      <c r="V1083" s="566"/>
      <c r="W1083" s="566"/>
      <c r="X1083" s="566"/>
      <c r="Y1083" s="566"/>
      <c r="Z1083" s="566"/>
      <c r="AA1083" s="566"/>
      <c r="AB1083" s="566"/>
      <c r="AC1083" s="566"/>
      <c r="AD1083" s="566"/>
    </row>
    <row r="1084" spans="18:30" x14ac:dyDescent="0.25">
      <c r="R1084" s="566"/>
      <c r="S1084" s="566"/>
      <c r="T1084" s="566"/>
      <c r="U1084" s="566"/>
      <c r="V1084" s="566"/>
      <c r="W1084" s="566"/>
      <c r="X1084" s="566"/>
      <c r="Y1084" s="566"/>
      <c r="Z1084" s="566"/>
      <c r="AA1084" s="566"/>
      <c r="AB1084" s="566"/>
      <c r="AC1084" s="566"/>
      <c r="AD1084" s="566"/>
    </row>
    <row r="1085" spans="18:30" x14ac:dyDescent="0.25">
      <c r="R1085" s="566"/>
      <c r="S1085" s="566"/>
      <c r="T1085" s="566"/>
      <c r="U1085" s="566"/>
      <c r="V1085" s="566"/>
      <c r="W1085" s="566"/>
      <c r="X1085" s="566"/>
      <c r="Y1085" s="566"/>
      <c r="Z1085" s="566"/>
      <c r="AA1085" s="566"/>
      <c r="AB1085" s="566"/>
      <c r="AC1085" s="566"/>
      <c r="AD1085" s="566"/>
    </row>
    <row r="1086" spans="18:30" x14ac:dyDescent="0.25">
      <c r="R1086" s="566"/>
      <c r="S1086" s="566"/>
      <c r="T1086" s="566"/>
      <c r="U1086" s="566"/>
      <c r="V1086" s="566"/>
      <c r="W1086" s="566"/>
      <c r="X1086" s="566"/>
      <c r="Y1086" s="566"/>
      <c r="Z1086" s="566"/>
      <c r="AA1086" s="566"/>
      <c r="AB1086" s="566"/>
      <c r="AC1086" s="566"/>
      <c r="AD1086" s="566"/>
    </row>
    <row r="1087" spans="18:30" x14ac:dyDescent="0.25">
      <c r="R1087" s="566"/>
      <c r="S1087" s="566"/>
      <c r="T1087" s="566"/>
      <c r="U1087" s="566"/>
      <c r="V1087" s="566"/>
      <c r="W1087" s="566"/>
      <c r="X1087" s="566"/>
      <c r="Y1087" s="566"/>
      <c r="Z1087" s="566"/>
      <c r="AA1087" s="566"/>
      <c r="AB1087" s="566"/>
      <c r="AC1087" s="566"/>
      <c r="AD1087" s="566"/>
    </row>
    <row r="1088" spans="18:30" x14ac:dyDescent="0.25">
      <c r="R1088" s="566"/>
      <c r="S1088" s="566"/>
      <c r="T1088" s="566"/>
      <c r="U1088" s="566"/>
      <c r="V1088" s="566"/>
      <c r="W1088" s="566"/>
      <c r="X1088" s="566"/>
      <c r="Y1088" s="566"/>
      <c r="Z1088" s="566"/>
      <c r="AA1088" s="566"/>
      <c r="AB1088" s="566"/>
      <c r="AC1088" s="566"/>
      <c r="AD1088" s="566"/>
    </row>
    <row r="1089" spans="18:30" x14ac:dyDescent="0.25">
      <c r="R1089" s="566"/>
      <c r="S1089" s="566"/>
      <c r="T1089" s="566"/>
      <c r="U1089" s="566"/>
      <c r="V1089" s="566"/>
      <c r="W1089" s="566"/>
      <c r="X1089" s="566"/>
      <c r="Y1089" s="566"/>
      <c r="Z1089" s="566"/>
      <c r="AA1089" s="566"/>
      <c r="AB1089" s="566"/>
      <c r="AC1089" s="566"/>
      <c r="AD1089" s="566"/>
    </row>
    <row r="1090" spans="18:30" x14ac:dyDescent="0.25">
      <c r="R1090" s="566"/>
      <c r="S1090" s="566"/>
      <c r="T1090" s="566"/>
      <c r="U1090" s="566"/>
      <c r="V1090" s="566"/>
      <c r="W1090" s="566"/>
      <c r="X1090" s="566"/>
      <c r="Y1090" s="566"/>
      <c r="Z1090" s="566"/>
      <c r="AA1090" s="566"/>
      <c r="AB1090" s="566"/>
      <c r="AC1090" s="566"/>
      <c r="AD1090" s="566"/>
    </row>
    <row r="1091" spans="18:30" x14ac:dyDescent="0.25">
      <c r="R1091" s="566"/>
      <c r="S1091" s="566"/>
      <c r="T1091" s="566"/>
      <c r="U1091" s="566"/>
      <c r="V1091" s="566"/>
      <c r="W1091" s="566"/>
      <c r="X1091" s="566"/>
      <c r="Y1091" s="566"/>
      <c r="Z1091" s="566"/>
      <c r="AA1091" s="566"/>
      <c r="AB1091" s="566"/>
      <c r="AC1091" s="566"/>
      <c r="AD1091" s="566"/>
    </row>
    <row r="1092" spans="18:30" x14ac:dyDescent="0.25">
      <c r="R1092" s="566"/>
      <c r="S1092" s="566"/>
      <c r="T1092" s="566"/>
      <c r="U1092" s="566"/>
      <c r="V1092" s="566"/>
      <c r="W1092" s="566"/>
      <c r="X1092" s="566"/>
      <c r="Y1092" s="566"/>
      <c r="Z1092" s="566"/>
      <c r="AA1092" s="566"/>
      <c r="AB1092" s="566"/>
      <c r="AC1092" s="566"/>
      <c r="AD1092" s="566"/>
    </row>
    <row r="1093" spans="18:30" x14ac:dyDescent="0.25">
      <c r="R1093" s="566"/>
      <c r="S1093" s="566"/>
      <c r="T1093" s="566"/>
      <c r="U1093" s="566"/>
      <c r="V1093" s="566"/>
      <c r="W1093" s="566"/>
      <c r="X1093" s="566"/>
      <c r="Y1093" s="566"/>
      <c r="Z1093" s="566"/>
      <c r="AA1093" s="566"/>
      <c r="AB1093" s="566"/>
      <c r="AC1093" s="566"/>
      <c r="AD1093" s="566"/>
    </row>
    <row r="1094" spans="18:30" x14ac:dyDescent="0.25">
      <c r="R1094" s="566"/>
      <c r="S1094" s="566"/>
      <c r="T1094" s="566"/>
      <c r="U1094" s="566"/>
      <c r="V1094" s="566"/>
      <c r="W1094" s="566"/>
      <c r="X1094" s="566"/>
      <c r="Y1094" s="566"/>
      <c r="Z1094" s="566"/>
      <c r="AA1094" s="566"/>
      <c r="AB1094" s="566"/>
      <c r="AC1094" s="566"/>
      <c r="AD1094" s="566"/>
    </row>
    <row r="1095" spans="18:30" x14ac:dyDescent="0.25">
      <c r="R1095" s="566"/>
      <c r="S1095" s="566"/>
      <c r="T1095" s="566"/>
      <c r="U1095" s="566"/>
      <c r="V1095" s="566"/>
      <c r="W1095" s="566"/>
      <c r="X1095" s="566"/>
      <c r="Y1095" s="566"/>
      <c r="Z1095" s="566"/>
      <c r="AA1095" s="566"/>
      <c r="AB1095" s="566"/>
      <c r="AC1095" s="566"/>
      <c r="AD1095" s="566"/>
    </row>
    <row r="1096" spans="18:30" x14ac:dyDescent="0.25">
      <c r="R1096" s="566"/>
      <c r="S1096" s="566"/>
      <c r="T1096" s="566"/>
      <c r="U1096" s="566"/>
      <c r="V1096" s="566"/>
      <c r="W1096" s="566"/>
      <c r="X1096" s="566"/>
      <c r="Y1096" s="566"/>
      <c r="Z1096" s="566"/>
      <c r="AA1096" s="566"/>
      <c r="AB1096" s="566"/>
      <c r="AC1096" s="566"/>
      <c r="AD1096" s="566"/>
    </row>
    <row r="1097" spans="18:30" x14ac:dyDescent="0.25">
      <c r="R1097" s="566"/>
      <c r="S1097" s="566"/>
      <c r="T1097" s="566"/>
      <c r="U1097" s="566"/>
      <c r="V1097" s="566"/>
      <c r="W1097" s="566"/>
      <c r="X1097" s="566"/>
      <c r="Y1097" s="566"/>
      <c r="Z1097" s="566"/>
      <c r="AA1097" s="566"/>
      <c r="AB1097" s="566"/>
      <c r="AC1097" s="566"/>
      <c r="AD1097" s="566"/>
    </row>
    <row r="1098" spans="18:30" x14ac:dyDescent="0.25">
      <c r="R1098" s="566"/>
      <c r="S1098" s="566"/>
      <c r="T1098" s="566"/>
      <c r="U1098" s="566"/>
      <c r="V1098" s="566"/>
      <c r="W1098" s="566"/>
      <c r="X1098" s="566"/>
      <c r="Y1098" s="566"/>
      <c r="Z1098" s="566"/>
      <c r="AA1098" s="566"/>
      <c r="AB1098" s="566"/>
      <c r="AC1098" s="566"/>
      <c r="AD1098" s="566"/>
    </row>
    <row r="1099" spans="18:30" x14ac:dyDescent="0.25">
      <c r="R1099" s="566"/>
      <c r="S1099" s="566"/>
      <c r="T1099" s="566"/>
      <c r="U1099" s="566"/>
      <c r="V1099" s="566"/>
      <c r="W1099" s="566"/>
      <c r="X1099" s="566"/>
      <c r="Y1099" s="566"/>
      <c r="Z1099" s="566"/>
      <c r="AA1099" s="566"/>
      <c r="AB1099" s="566"/>
      <c r="AC1099" s="566"/>
      <c r="AD1099" s="566"/>
    </row>
    <row r="1100" spans="18:30" x14ac:dyDescent="0.25">
      <c r="R1100" s="566"/>
      <c r="S1100" s="566"/>
      <c r="T1100" s="566"/>
      <c r="U1100" s="566"/>
      <c r="V1100" s="566"/>
      <c r="W1100" s="566"/>
      <c r="X1100" s="566"/>
      <c r="Y1100" s="566"/>
      <c r="Z1100" s="566"/>
      <c r="AA1100" s="566"/>
      <c r="AB1100" s="566"/>
      <c r="AC1100" s="566"/>
      <c r="AD1100" s="566"/>
    </row>
    <row r="1101" spans="18:30" x14ac:dyDescent="0.25">
      <c r="R1101" s="566"/>
      <c r="S1101" s="566"/>
      <c r="T1101" s="566"/>
      <c r="U1101" s="566"/>
      <c r="V1101" s="566"/>
      <c r="W1101" s="566"/>
      <c r="X1101" s="566"/>
      <c r="Y1101" s="566"/>
      <c r="Z1101" s="566"/>
      <c r="AA1101" s="566"/>
      <c r="AB1101" s="566"/>
      <c r="AC1101" s="566"/>
      <c r="AD1101" s="566"/>
    </row>
    <row r="1102" spans="18:30" x14ac:dyDescent="0.25">
      <c r="R1102" s="566"/>
      <c r="S1102" s="566"/>
      <c r="T1102" s="566"/>
      <c r="U1102" s="566"/>
      <c r="V1102" s="566"/>
      <c r="W1102" s="566"/>
      <c r="X1102" s="566"/>
      <c r="Y1102" s="566"/>
      <c r="Z1102" s="566"/>
      <c r="AA1102" s="566"/>
      <c r="AB1102" s="566"/>
      <c r="AC1102" s="566"/>
      <c r="AD1102" s="566"/>
    </row>
    <row r="1103" spans="18:30" x14ac:dyDescent="0.25">
      <c r="R1103" s="566"/>
      <c r="S1103" s="566"/>
      <c r="T1103" s="566"/>
      <c r="U1103" s="566"/>
      <c r="V1103" s="566"/>
      <c r="W1103" s="566"/>
      <c r="X1103" s="566"/>
      <c r="Y1103" s="566"/>
      <c r="Z1103" s="566"/>
      <c r="AA1103" s="566"/>
      <c r="AB1103" s="566"/>
      <c r="AC1103" s="566"/>
      <c r="AD1103" s="566"/>
    </row>
    <row r="1104" spans="18:30" x14ac:dyDescent="0.25">
      <c r="R1104" s="566"/>
      <c r="S1104" s="566"/>
      <c r="T1104" s="566"/>
      <c r="U1104" s="566"/>
      <c r="V1104" s="566"/>
      <c r="W1104" s="566"/>
      <c r="X1104" s="566"/>
      <c r="Y1104" s="566"/>
      <c r="Z1104" s="566"/>
      <c r="AA1104" s="566"/>
      <c r="AB1104" s="566"/>
      <c r="AC1104" s="566"/>
      <c r="AD1104" s="566"/>
    </row>
    <row r="1105" spans="18:30" x14ac:dyDescent="0.25">
      <c r="R1105" s="566"/>
      <c r="S1105" s="566"/>
      <c r="T1105" s="566"/>
      <c r="U1105" s="566"/>
      <c r="V1105" s="566"/>
      <c r="W1105" s="566"/>
      <c r="X1105" s="566"/>
      <c r="Y1105" s="566"/>
      <c r="Z1105" s="566"/>
      <c r="AA1105" s="566"/>
      <c r="AB1105" s="566"/>
      <c r="AC1105" s="566"/>
      <c r="AD1105" s="566"/>
    </row>
    <row r="1106" spans="18:30" x14ac:dyDescent="0.25">
      <c r="R1106" s="566"/>
      <c r="S1106" s="566"/>
      <c r="T1106" s="566"/>
      <c r="U1106" s="566"/>
      <c r="V1106" s="566"/>
      <c r="W1106" s="566"/>
      <c r="X1106" s="566"/>
      <c r="Y1106" s="566"/>
      <c r="Z1106" s="566"/>
      <c r="AA1106" s="566"/>
      <c r="AB1106" s="566"/>
      <c r="AC1106" s="566"/>
      <c r="AD1106" s="566"/>
    </row>
    <row r="1107" spans="18:30" x14ac:dyDescent="0.25">
      <c r="R1107" s="566"/>
      <c r="S1107" s="566"/>
      <c r="T1107" s="566"/>
      <c r="U1107" s="566"/>
      <c r="V1107" s="566"/>
      <c r="W1107" s="566"/>
      <c r="X1107" s="566"/>
      <c r="Y1107" s="566"/>
      <c r="Z1107" s="566"/>
      <c r="AA1107" s="566"/>
      <c r="AB1107" s="566"/>
      <c r="AC1107" s="566"/>
      <c r="AD1107" s="566"/>
    </row>
    <row r="1108" spans="18:30" x14ac:dyDescent="0.25">
      <c r="R1108" s="566"/>
      <c r="S1108" s="566"/>
      <c r="T1108" s="566"/>
      <c r="U1108" s="566"/>
      <c r="V1108" s="566"/>
      <c r="W1108" s="566"/>
      <c r="X1108" s="566"/>
      <c r="Y1108" s="566"/>
      <c r="Z1108" s="566"/>
      <c r="AA1108" s="566"/>
      <c r="AB1108" s="566"/>
      <c r="AC1108" s="566"/>
      <c r="AD1108" s="566"/>
    </row>
    <row r="1109" spans="18:30" x14ac:dyDescent="0.25">
      <c r="R1109" s="566"/>
      <c r="S1109" s="566"/>
      <c r="T1109" s="566"/>
      <c r="U1109" s="566"/>
      <c r="V1109" s="566"/>
      <c r="W1109" s="566"/>
      <c r="X1109" s="566"/>
      <c r="Y1109" s="566"/>
      <c r="Z1109" s="566"/>
      <c r="AA1109" s="566"/>
      <c r="AB1109" s="566"/>
      <c r="AC1109" s="566"/>
      <c r="AD1109" s="566"/>
    </row>
    <row r="1110" spans="18:30" x14ac:dyDescent="0.25">
      <c r="R1110" s="566"/>
      <c r="S1110" s="566"/>
      <c r="T1110" s="566"/>
      <c r="U1110" s="566"/>
      <c r="V1110" s="566"/>
      <c r="W1110" s="566"/>
      <c r="X1110" s="566"/>
      <c r="Y1110" s="566"/>
      <c r="Z1110" s="566"/>
      <c r="AA1110" s="566"/>
      <c r="AB1110" s="566"/>
      <c r="AC1110" s="566"/>
      <c r="AD1110" s="566"/>
    </row>
    <row r="1111" spans="18:30" x14ac:dyDescent="0.25">
      <c r="R1111" s="566"/>
      <c r="S1111" s="566"/>
      <c r="T1111" s="566"/>
      <c r="U1111" s="566"/>
      <c r="V1111" s="566"/>
      <c r="W1111" s="566"/>
      <c r="X1111" s="566"/>
      <c r="Y1111" s="566"/>
      <c r="Z1111" s="566"/>
      <c r="AA1111" s="566"/>
      <c r="AB1111" s="566"/>
      <c r="AC1111" s="566"/>
      <c r="AD1111" s="566"/>
    </row>
    <row r="1112" spans="18:30" x14ac:dyDescent="0.25">
      <c r="R1112" s="566"/>
      <c r="S1112" s="566"/>
      <c r="T1112" s="566"/>
      <c r="U1112" s="566"/>
      <c r="V1112" s="566"/>
      <c r="W1112" s="566"/>
      <c r="X1112" s="566"/>
      <c r="Y1112" s="566"/>
      <c r="Z1112" s="566"/>
      <c r="AA1112" s="566"/>
      <c r="AB1112" s="566"/>
      <c r="AC1112" s="566"/>
      <c r="AD1112" s="566"/>
    </row>
    <row r="1113" spans="18:30" x14ac:dyDescent="0.25">
      <c r="R1113" s="566"/>
      <c r="S1113" s="566"/>
      <c r="T1113" s="566"/>
      <c r="U1113" s="566"/>
      <c r="V1113" s="566"/>
      <c r="W1113" s="566"/>
      <c r="X1113" s="566"/>
      <c r="Y1113" s="566"/>
      <c r="Z1113" s="566"/>
      <c r="AA1113" s="566"/>
      <c r="AB1113" s="566"/>
      <c r="AC1113" s="566"/>
      <c r="AD1113" s="566"/>
    </row>
    <row r="1114" spans="18:30" x14ac:dyDescent="0.25">
      <c r="R1114" s="566"/>
      <c r="S1114" s="566"/>
      <c r="T1114" s="566"/>
      <c r="U1114" s="566"/>
      <c r="V1114" s="566"/>
      <c r="W1114" s="566"/>
      <c r="X1114" s="566"/>
      <c r="Y1114" s="566"/>
      <c r="Z1114" s="566"/>
      <c r="AA1114" s="566"/>
      <c r="AB1114" s="566"/>
      <c r="AC1114" s="566"/>
      <c r="AD1114" s="566"/>
    </row>
    <row r="1115" spans="18:30" x14ac:dyDescent="0.25">
      <c r="R1115" s="566"/>
      <c r="S1115" s="566"/>
      <c r="T1115" s="566"/>
      <c r="U1115" s="566"/>
      <c r="V1115" s="566"/>
      <c r="W1115" s="566"/>
      <c r="X1115" s="566"/>
      <c r="Y1115" s="566"/>
      <c r="Z1115" s="566"/>
      <c r="AA1115" s="566"/>
      <c r="AB1115" s="566"/>
      <c r="AC1115" s="566"/>
      <c r="AD1115" s="566"/>
    </row>
    <row r="1116" spans="18:30" x14ac:dyDescent="0.25">
      <c r="R1116" s="566"/>
      <c r="S1116" s="566"/>
      <c r="T1116" s="566"/>
      <c r="U1116" s="566"/>
      <c r="V1116" s="566"/>
      <c r="W1116" s="566"/>
      <c r="X1116" s="566"/>
      <c r="Y1116" s="566"/>
      <c r="Z1116" s="566"/>
      <c r="AA1116" s="566"/>
      <c r="AB1116" s="566"/>
      <c r="AC1116" s="566"/>
      <c r="AD1116" s="566"/>
    </row>
    <row r="1117" spans="18:30" x14ac:dyDescent="0.25">
      <c r="R1117" s="566"/>
      <c r="S1117" s="566"/>
      <c r="T1117" s="566"/>
      <c r="U1117" s="566"/>
      <c r="V1117" s="566"/>
      <c r="W1117" s="566"/>
      <c r="X1117" s="566"/>
      <c r="Y1117" s="566"/>
      <c r="Z1117" s="566"/>
      <c r="AA1117" s="566"/>
      <c r="AB1117" s="566"/>
      <c r="AC1117" s="566"/>
      <c r="AD1117" s="566"/>
    </row>
    <row r="1118" spans="18:30" x14ac:dyDescent="0.25">
      <c r="R1118" s="566"/>
      <c r="S1118" s="566"/>
      <c r="T1118" s="566"/>
      <c r="U1118" s="566"/>
      <c r="V1118" s="566"/>
      <c r="W1118" s="566"/>
      <c r="X1118" s="566"/>
      <c r="Y1118" s="566"/>
      <c r="Z1118" s="566"/>
      <c r="AA1118" s="566"/>
      <c r="AB1118" s="566"/>
      <c r="AC1118" s="566"/>
      <c r="AD1118" s="566"/>
    </row>
    <row r="1119" spans="18:30" x14ac:dyDescent="0.25">
      <c r="R1119" s="566"/>
      <c r="S1119" s="566"/>
      <c r="T1119" s="566"/>
      <c r="U1119" s="566"/>
      <c r="V1119" s="566"/>
      <c r="W1119" s="566"/>
      <c r="X1119" s="566"/>
      <c r="Y1119" s="566"/>
      <c r="Z1119" s="566"/>
      <c r="AA1119" s="566"/>
      <c r="AB1119" s="566"/>
      <c r="AC1119" s="566"/>
      <c r="AD1119" s="566"/>
    </row>
    <row r="1120" spans="18:30" x14ac:dyDescent="0.25">
      <c r="R1120" s="566"/>
      <c r="S1120" s="566"/>
      <c r="T1120" s="566"/>
      <c r="U1120" s="566"/>
      <c r="V1120" s="566"/>
      <c r="W1120" s="566"/>
      <c r="X1120" s="566"/>
      <c r="Y1120" s="566"/>
      <c r="Z1120" s="566"/>
      <c r="AA1120" s="566"/>
      <c r="AB1120" s="566"/>
      <c r="AC1120" s="566"/>
      <c r="AD1120" s="566"/>
    </row>
    <row r="1121" spans="18:30" x14ac:dyDescent="0.25">
      <c r="R1121" s="566"/>
      <c r="S1121" s="566"/>
      <c r="T1121" s="566"/>
      <c r="U1121" s="566"/>
      <c r="V1121" s="566"/>
      <c r="W1121" s="566"/>
      <c r="X1121" s="566"/>
      <c r="Y1121" s="566"/>
      <c r="Z1121" s="566"/>
      <c r="AA1121" s="566"/>
      <c r="AB1121" s="566"/>
      <c r="AC1121" s="566"/>
      <c r="AD1121" s="566"/>
    </row>
    <row r="1122" spans="18:30" x14ac:dyDescent="0.25">
      <c r="R1122" s="566"/>
      <c r="S1122" s="566"/>
      <c r="T1122" s="566"/>
      <c r="U1122" s="566"/>
      <c r="V1122" s="566"/>
      <c r="W1122" s="566"/>
      <c r="X1122" s="566"/>
      <c r="Y1122" s="566"/>
      <c r="Z1122" s="566"/>
      <c r="AA1122" s="566"/>
      <c r="AB1122" s="566"/>
      <c r="AC1122" s="566"/>
      <c r="AD1122" s="566"/>
    </row>
    <row r="1123" spans="18:30" x14ac:dyDescent="0.25">
      <c r="R1123" s="566"/>
      <c r="S1123" s="566"/>
      <c r="T1123" s="566"/>
      <c r="U1123" s="566"/>
      <c r="V1123" s="566"/>
      <c r="W1123" s="566"/>
      <c r="X1123" s="566"/>
      <c r="Y1123" s="566"/>
      <c r="Z1123" s="566"/>
      <c r="AA1123" s="566"/>
      <c r="AB1123" s="566"/>
      <c r="AC1123" s="566"/>
      <c r="AD1123" s="566"/>
    </row>
    <row r="1124" spans="18:30" x14ac:dyDescent="0.25">
      <c r="R1124" s="566"/>
      <c r="S1124" s="566"/>
      <c r="T1124" s="566"/>
      <c r="U1124" s="566"/>
      <c r="V1124" s="566"/>
      <c r="W1124" s="566"/>
      <c r="X1124" s="566"/>
      <c r="Y1124" s="566"/>
      <c r="Z1124" s="566"/>
      <c r="AA1124" s="566"/>
      <c r="AB1124" s="566"/>
      <c r="AC1124" s="566"/>
      <c r="AD1124" s="566"/>
    </row>
    <row r="1125" spans="18:30" x14ac:dyDescent="0.25">
      <c r="R1125" s="566"/>
      <c r="S1125" s="566"/>
      <c r="T1125" s="566"/>
      <c r="U1125" s="566"/>
      <c r="V1125" s="566"/>
      <c r="W1125" s="566"/>
      <c r="X1125" s="566"/>
      <c r="Y1125" s="566"/>
      <c r="Z1125" s="566"/>
      <c r="AA1125" s="566"/>
      <c r="AB1125" s="566"/>
      <c r="AC1125" s="566"/>
      <c r="AD1125" s="566"/>
    </row>
    <row r="1126" spans="18:30" x14ac:dyDescent="0.25">
      <c r="R1126" s="566"/>
      <c r="S1126" s="566"/>
      <c r="T1126" s="566"/>
      <c r="U1126" s="566"/>
      <c r="V1126" s="566"/>
      <c r="W1126" s="566"/>
      <c r="X1126" s="566"/>
      <c r="Y1126" s="566"/>
      <c r="Z1126" s="566"/>
      <c r="AA1126" s="566"/>
      <c r="AB1126" s="566"/>
      <c r="AC1126" s="566"/>
      <c r="AD1126" s="566"/>
    </row>
    <row r="1127" spans="18:30" x14ac:dyDescent="0.25">
      <c r="R1127" s="566"/>
      <c r="S1127" s="566"/>
      <c r="T1127" s="566"/>
      <c r="U1127" s="566"/>
      <c r="V1127" s="566"/>
      <c r="W1127" s="566"/>
      <c r="X1127" s="566"/>
      <c r="Y1127" s="566"/>
      <c r="Z1127" s="566"/>
      <c r="AA1127" s="566"/>
      <c r="AB1127" s="566"/>
      <c r="AC1127" s="566"/>
      <c r="AD1127" s="566"/>
    </row>
    <row r="1128" spans="18:30" x14ac:dyDescent="0.25">
      <c r="R1128" s="566"/>
      <c r="S1128" s="566"/>
      <c r="T1128" s="566"/>
      <c r="U1128" s="566"/>
      <c r="V1128" s="566"/>
      <c r="W1128" s="566"/>
      <c r="X1128" s="566"/>
      <c r="Y1128" s="566"/>
      <c r="Z1128" s="566"/>
      <c r="AA1128" s="566"/>
      <c r="AB1128" s="566"/>
      <c r="AC1128" s="566"/>
      <c r="AD1128" s="566"/>
    </row>
    <row r="1129" spans="18:30" x14ac:dyDescent="0.25">
      <c r="R1129" s="566"/>
      <c r="S1129" s="566"/>
      <c r="T1129" s="566"/>
      <c r="U1129" s="566"/>
      <c r="V1129" s="566"/>
      <c r="W1129" s="566"/>
      <c r="X1129" s="566"/>
      <c r="Y1129" s="566"/>
      <c r="Z1129" s="566"/>
      <c r="AA1129" s="566"/>
      <c r="AB1129" s="566"/>
      <c r="AC1129" s="566"/>
      <c r="AD1129" s="566"/>
    </row>
    <row r="1130" spans="18:30" x14ac:dyDescent="0.25">
      <c r="R1130" s="566"/>
      <c r="S1130" s="566"/>
      <c r="T1130" s="566"/>
      <c r="U1130" s="566"/>
      <c r="V1130" s="566"/>
      <c r="W1130" s="566"/>
      <c r="X1130" s="566"/>
      <c r="Y1130" s="566"/>
      <c r="Z1130" s="566"/>
      <c r="AA1130" s="566"/>
      <c r="AB1130" s="566"/>
      <c r="AC1130" s="566"/>
      <c r="AD1130" s="566"/>
    </row>
    <row r="1131" spans="18:30" x14ac:dyDescent="0.25">
      <c r="R1131" s="566"/>
      <c r="S1131" s="566"/>
      <c r="T1131" s="566"/>
      <c r="U1131" s="566"/>
      <c r="V1131" s="566"/>
      <c r="W1131" s="566"/>
      <c r="X1131" s="566"/>
      <c r="Y1131" s="566"/>
      <c r="Z1131" s="566"/>
      <c r="AA1131" s="566"/>
      <c r="AB1131" s="566"/>
      <c r="AC1131" s="566"/>
      <c r="AD1131" s="566"/>
    </row>
    <row r="1132" spans="18:30" x14ac:dyDescent="0.25">
      <c r="R1132" s="566"/>
      <c r="S1132" s="566"/>
      <c r="T1132" s="566"/>
      <c r="U1132" s="566"/>
      <c r="V1132" s="566"/>
      <c r="W1132" s="566"/>
      <c r="X1132" s="566"/>
      <c r="Y1132" s="566"/>
      <c r="Z1132" s="566"/>
      <c r="AA1132" s="566"/>
      <c r="AB1132" s="566"/>
      <c r="AC1132" s="566"/>
      <c r="AD1132" s="566"/>
    </row>
    <row r="1133" spans="18:30" x14ac:dyDescent="0.25">
      <c r="R1133" s="566"/>
      <c r="S1133" s="566"/>
      <c r="T1133" s="566"/>
      <c r="U1133" s="566"/>
      <c r="V1133" s="566"/>
      <c r="W1133" s="566"/>
      <c r="X1133" s="566"/>
      <c r="Y1133" s="566"/>
      <c r="Z1133" s="566"/>
      <c r="AA1133" s="566"/>
      <c r="AB1133" s="566"/>
      <c r="AC1133" s="566"/>
      <c r="AD1133" s="566"/>
    </row>
    <row r="1134" spans="18:30" x14ac:dyDescent="0.25">
      <c r="R1134" s="566"/>
      <c r="S1134" s="566"/>
      <c r="T1134" s="566"/>
      <c r="U1134" s="566"/>
      <c r="V1134" s="566"/>
      <c r="W1134" s="566"/>
      <c r="X1134" s="566"/>
      <c r="Y1134" s="566"/>
      <c r="Z1134" s="566"/>
      <c r="AA1134" s="566"/>
      <c r="AB1134" s="566"/>
      <c r="AC1134" s="566"/>
      <c r="AD1134" s="566"/>
    </row>
    <row r="1135" spans="18:30" x14ac:dyDescent="0.25">
      <c r="R1135" s="566"/>
      <c r="S1135" s="566"/>
      <c r="T1135" s="566"/>
      <c r="U1135" s="566"/>
      <c r="V1135" s="566"/>
      <c r="W1135" s="566"/>
      <c r="X1135" s="566"/>
      <c r="Y1135" s="566"/>
      <c r="Z1135" s="566"/>
      <c r="AA1135" s="566"/>
      <c r="AB1135" s="566"/>
      <c r="AC1135" s="566"/>
      <c r="AD1135" s="566"/>
    </row>
    <row r="1136" spans="18:30" x14ac:dyDescent="0.25">
      <c r="R1136" s="566"/>
      <c r="S1136" s="566"/>
      <c r="T1136" s="566"/>
      <c r="U1136" s="566"/>
      <c r="V1136" s="566"/>
      <c r="W1136" s="566"/>
      <c r="X1136" s="566"/>
      <c r="Y1136" s="566"/>
      <c r="Z1136" s="566"/>
      <c r="AA1136" s="566"/>
      <c r="AB1136" s="566"/>
      <c r="AC1136" s="566"/>
      <c r="AD1136" s="566"/>
    </row>
    <row r="1137" spans="18:30" x14ac:dyDescent="0.25">
      <c r="R1137" s="566"/>
      <c r="S1137" s="566"/>
      <c r="T1137" s="566"/>
      <c r="U1137" s="566"/>
      <c r="V1137" s="566"/>
      <c r="W1137" s="566"/>
      <c r="X1137" s="566"/>
      <c r="Y1137" s="566"/>
      <c r="Z1137" s="566"/>
      <c r="AA1137" s="566"/>
      <c r="AB1137" s="566"/>
      <c r="AC1137" s="566"/>
      <c r="AD1137" s="566"/>
    </row>
    <row r="1138" spans="18:30" x14ac:dyDescent="0.25">
      <c r="R1138" s="566"/>
      <c r="S1138" s="566"/>
      <c r="T1138" s="566"/>
      <c r="U1138" s="566"/>
      <c r="V1138" s="566"/>
      <c r="W1138" s="566"/>
      <c r="X1138" s="566"/>
      <c r="Y1138" s="566"/>
      <c r="Z1138" s="566"/>
      <c r="AA1138" s="566"/>
      <c r="AB1138" s="566"/>
      <c r="AC1138" s="566"/>
      <c r="AD1138" s="566"/>
    </row>
    <row r="1139" spans="18:30" x14ac:dyDescent="0.25">
      <c r="R1139" s="566"/>
      <c r="S1139" s="566"/>
      <c r="T1139" s="566"/>
      <c r="U1139" s="566"/>
      <c r="V1139" s="566"/>
      <c r="W1139" s="566"/>
      <c r="X1139" s="566"/>
      <c r="Y1139" s="566"/>
      <c r="Z1139" s="566"/>
      <c r="AA1139" s="566"/>
      <c r="AB1139" s="566"/>
      <c r="AC1139" s="566"/>
      <c r="AD1139" s="566"/>
    </row>
    <row r="1140" spans="18:30" x14ac:dyDescent="0.25">
      <c r="R1140" s="566"/>
      <c r="S1140" s="566"/>
      <c r="T1140" s="566"/>
      <c r="U1140" s="566"/>
      <c r="V1140" s="566"/>
      <c r="W1140" s="566"/>
      <c r="X1140" s="566"/>
      <c r="Y1140" s="566"/>
      <c r="Z1140" s="566"/>
      <c r="AA1140" s="566"/>
      <c r="AB1140" s="566"/>
      <c r="AC1140" s="566"/>
      <c r="AD1140" s="566"/>
    </row>
    <row r="1141" spans="18:30" x14ac:dyDescent="0.25">
      <c r="R1141" s="566"/>
      <c r="S1141" s="566"/>
      <c r="T1141" s="566"/>
      <c r="U1141" s="566"/>
      <c r="V1141" s="566"/>
      <c r="W1141" s="566"/>
      <c r="X1141" s="566"/>
      <c r="Y1141" s="566"/>
      <c r="Z1141" s="566"/>
      <c r="AA1141" s="566"/>
      <c r="AB1141" s="566"/>
      <c r="AC1141" s="566"/>
      <c r="AD1141" s="566"/>
    </row>
    <row r="1142" spans="18:30" x14ac:dyDescent="0.25">
      <c r="R1142" s="566"/>
      <c r="S1142" s="566"/>
      <c r="T1142" s="566"/>
      <c r="U1142" s="566"/>
      <c r="V1142" s="566"/>
      <c r="W1142" s="566"/>
      <c r="X1142" s="566"/>
      <c r="Y1142" s="566"/>
      <c r="Z1142" s="566"/>
      <c r="AA1142" s="566"/>
      <c r="AB1142" s="566"/>
      <c r="AC1142" s="566"/>
      <c r="AD1142" s="566"/>
    </row>
    <row r="1143" spans="18:30" x14ac:dyDescent="0.25">
      <c r="R1143" s="566"/>
      <c r="S1143" s="566"/>
      <c r="T1143" s="566"/>
      <c r="U1143" s="566"/>
      <c r="V1143" s="566"/>
      <c r="W1143" s="566"/>
      <c r="X1143" s="566"/>
      <c r="Y1143" s="566"/>
      <c r="Z1143" s="566"/>
      <c r="AA1143" s="566"/>
      <c r="AB1143" s="566"/>
      <c r="AC1143" s="566"/>
      <c r="AD1143" s="566"/>
    </row>
    <row r="1144" spans="18:30" x14ac:dyDescent="0.25">
      <c r="R1144" s="566"/>
      <c r="S1144" s="566"/>
      <c r="T1144" s="566"/>
      <c r="U1144" s="566"/>
      <c r="V1144" s="566"/>
      <c r="W1144" s="566"/>
      <c r="X1144" s="566"/>
      <c r="Y1144" s="566"/>
      <c r="Z1144" s="566"/>
      <c r="AA1144" s="566"/>
      <c r="AB1144" s="566"/>
      <c r="AC1144" s="566"/>
      <c r="AD1144" s="566"/>
    </row>
    <row r="1145" spans="18:30" x14ac:dyDescent="0.25">
      <c r="R1145" s="566"/>
      <c r="S1145" s="566"/>
      <c r="T1145" s="566"/>
      <c r="U1145" s="566"/>
      <c r="V1145" s="566"/>
      <c r="W1145" s="566"/>
      <c r="X1145" s="566"/>
      <c r="Y1145" s="566"/>
      <c r="Z1145" s="566"/>
      <c r="AA1145" s="566"/>
      <c r="AB1145" s="566"/>
      <c r="AC1145" s="566"/>
      <c r="AD1145" s="566"/>
    </row>
    <row r="1146" spans="18:30" x14ac:dyDescent="0.25">
      <c r="R1146" s="566"/>
      <c r="S1146" s="566"/>
      <c r="T1146" s="566"/>
      <c r="U1146" s="566"/>
      <c r="V1146" s="566"/>
      <c r="W1146" s="566"/>
      <c r="X1146" s="566"/>
      <c r="Y1146" s="566"/>
      <c r="Z1146" s="566"/>
      <c r="AA1146" s="566"/>
      <c r="AB1146" s="566"/>
      <c r="AC1146" s="566"/>
      <c r="AD1146" s="566"/>
    </row>
    <row r="1147" spans="18:30" x14ac:dyDescent="0.25">
      <c r="R1147" s="566"/>
      <c r="S1147" s="566"/>
      <c r="T1147" s="566"/>
      <c r="U1147" s="566"/>
      <c r="V1147" s="566"/>
      <c r="W1147" s="566"/>
      <c r="X1147" s="566"/>
      <c r="Y1147" s="566"/>
      <c r="Z1147" s="566"/>
      <c r="AA1147" s="566"/>
      <c r="AB1147" s="566"/>
      <c r="AC1147" s="566"/>
      <c r="AD1147" s="566"/>
    </row>
    <row r="1148" spans="18:30" x14ac:dyDescent="0.25">
      <c r="R1148" s="566"/>
      <c r="S1148" s="566"/>
      <c r="T1148" s="566"/>
      <c r="U1148" s="566"/>
      <c r="V1148" s="566"/>
      <c r="W1148" s="566"/>
      <c r="X1148" s="566"/>
      <c r="Y1148" s="566"/>
      <c r="Z1148" s="566"/>
      <c r="AA1148" s="566"/>
      <c r="AB1148" s="566"/>
      <c r="AC1148" s="566"/>
      <c r="AD1148" s="566"/>
    </row>
    <row r="1149" spans="18:30" x14ac:dyDescent="0.25">
      <c r="R1149" s="566"/>
      <c r="S1149" s="566"/>
      <c r="T1149" s="566"/>
      <c r="U1149" s="566"/>
      <c r="V1149" s="566"/>
      <c r="W1149" s="566"/>
      <c r="X1149" s="566"/>
      <c r="Y1149" s="566"/>
      <c r="Z1149" s="566"/>
      <c r="AA1149" s="566"/>
      <c r="AB1149" s="566"/>
      <c r="AC1149" s="566"/>
      <c r="AD1149" s="566"/>
    </row>
    <row r="1150" spans="18:30" x14ac:dyDescent="0.25">
      <c r="R1150" s="566"/>
      <c r="S1150" s="566"/>
      <c r="T1150" s="566"/>
      <c r="U1150" s="566"/>
      <c r="V1150" s="566"/>
      <c r="W1150" s="566"/>
      <c r="X1150" s="566"/>
      <c r="Y1150" s="566"/>
      <c r="Z1150" s="566"/>
      <c r="AA1150" s="566"/>
      <c r="AB1150" s="566"/>
      <c r="AC1150" s="566"/>
      <c r="AD1150" s="566"/>
    </row>
    <row r="1151" spans="18:30" x14ac:dyDescent="0.25">
      <c r="R1151" s="566"/>
      <c r="S1151" s="566"/>
      <c r="T1151" s="566"/>
      <c r="U1151" s="566"/>
      <c r="V1151" s="566"/>
      <c r="W1151" s="566"/>
      <c r="X1151" s="566"/>
      <c r="Y1151" s="566"/>
      <c r="Z1151" s="566"/>
      <c r="AA1151" s="566"/>
      <c r="AB1151" s="566"/>
      <c r="AC1151" s="566"/>
      <c r="AD1151" s="566"/>
    </row>
    <row r="1152" spans="18:30" x14ac:dyDescent="0.25">
      <c r="R1152" s="566"/>
      <c r="S1152" s="566"/>
      <c r="T1152" s="566"/>
      <c r="U1152" s="566"/>
      <c r="V1152" s="566"/>
      <c r="W1152" s="566"/>
      <c r="X1152" s="566"/>
      <c r="Y1152" s="566"/>
      <c r="Z1152" s="566"/>
      <c r="AA1152" s="566"/>
      <c r="AB1152" s="566"/>
      <c r="AC1152" s="566"/>
      <c r="AD1152" s="566"/>
    </row>
    <row r="1153" spans="18:30" x14ac:dyDescent="0.25">
      <c r="R1153" s="566"/>
      <c r="S1153" s="566"/>
      <c r="T1153" s="566"/>
      <c r="U1153" s="566"/>
      <c r="V1153" s="566"/>
      <c r="W1153" s="566"/>
      <c r="X1153" s="566"/>
      <c r="Y1153" s="566"/>
      <c r="Z1153" s="566"/>
      <c r="AA1153" s="566"/>
      <c r="AB1153" s="566"/>
      <c r="AC1153" s="566"/>
      <c r="AD1153" s="566"/>
    </row>
    <row r="1154" spans="18:30" x14ac:dyDescent="0.25">
      <c r="R1154" s="566"/>
      <c r="S1154" s="566"/>
      <c r="T1154" s="566"/>
      <c r="U1154" s="566"/>
      <c r="V1154" s="566"/>
      <c r="W1154" s="566"/>
      <c r="X1154" s="566"/>
      <c r="Y1154" s="566"/>
      <c r="Z1154" s="566"/>
      <c r="AA1154" s="566"/>
      <c r="AB1154" s="566"/>
      <c r="AC1154" s="566"/>
      <c r="AD1154" s="566"/>
    </row>
    <row r="1155" spans="18:30" x14ac:dyDescent="0.25">
      <c r="R1155" s="566"/>
      <c r="S1155" s="566"/>
      <c r="T1155" s="566"/>
      <c r="U1155" s="566"/>
      <c r="V1155" s="566"/>
      <c r="W1155" s="566"/>
      <c r="X1155" s="566"/>
      <c r="Y1155" s="566"/>
      <c r="Z1155" s="566"/>
      <c r="AA1155" s="566"/>
      <c r="AB1155" s="566"/>
      <c r="AC1155" s="566"/>
      <c r="AD1155" s="566"/>
    </row>
    <row r="1156" spans="18:30" x14ac:dyDescent="0.25">
      <c r="R1156" s="566"/>
      <c r="S1156" s="566"/>
      <c r="T1156" s="566"/>
      <c r="U1156" s="566"/>
      <c r="V1156" s="566"/>
      <c r="W1156" s="566"/>
      <c r="X1156" s="566"/>
      <c r="Y1156" s="566"/>
      <c r="Z1156" s="566"/>
      <c r="AA1156" s="566"/>
      <c r="AB1156" s="566"/>
      <c r="AC1156" s="566"/>
      <c r="AD1156" s="566"/>
    </row>
    <row r="1157" spans="18:30" x14ac:dyDescent="0.25">
      <c r="R1157" s="566"/>
      <c r="S1157" s="566"/>
      <c r="T1157" s="566"/>
      <c r="U1157" s="566"/>
      <c r="V1157" s="566"/>
      <c r="W1157" s="566"/>
      <c r="X1157" s="566"/>
      <c r="Y1157" s="566"/>
      <c r="Z1157" s="566"/>
      <c r="AA1157" s="566"/>
      <c r="AB1157" s="566"/>
      <c r="AC1157" s="566"/>
      <c r="AD1157" s="566"/>
    </row>
    <row r="1158" spans="18:30" x14ac:dyDescent="0.25">
      <c r="R1158" s="566"/>
      <c r="S1158" s="566"/>
      <c r="T1158" s="566"/>
      <c r="U1158" s="566"/>
      <c r="V1158" s="566"/>
      <c r="W1158" s="566"/>
      <c r="X1158" s="566"/>
      <c r="Y1158" s="566"/>
      <c r="Z1158" s="566"/>
      <c r="AA1158" s="566"/>
      <c r="AB1158" s="566"/>
      <c r="AC1158" s="566"/>
      <c r="AD1158" s="566"/>
    </row>
    <row r="1159" spans="18:30" x14ac:dyDescent="0.25">
      <c r="R1159" s="566"/>
      <c r="S1159" s="566"/>
      <c r="T1159" s="566"/>
      <c r="U1159" s="566"/>
      <c r="V1159" s="566"/>
      <c r="W1159" s="566"/>
      <c r="X1159" s="566"/>
      <c r="Y1159" s="566"/>
      <c r="Z1159" s="566"/>
      <c r="AA1159" s="566"/>
      <c r="AB1159" s="566"/>
      <c r="AC1159" s="566"/>
      <c r="AD1159" s="566"/>
    </row>
    <row r="1160" spans="18:30" x14ac:dyDescent="0.25">
      <c r="R1160" s="566"/>
      <c r="S1160" s="566"/>
      <c r="T1160" s="566"/>
      <c r="U1160" s="566"/>
      <c r="V1160" s="566"/>
      <c r="W1160" s="566"/>
      <c r="X1160" s="566"/>
      <c r="Y1160" s="566"/>
      <c r="Z1160" s="566"/>
      <c r="AA1160" s="566"/>
      <c r="AB1160" s="566"/>
      <c r="AC1160" s="566"/>
      <c r="AD1160" s="566"/>
    </row>
    <row r="1161" spans="18:30" x14ac:dyDescent="0.25">
      <c r="R1161" s="566"/>
      <c r="S1161" s="566"/>
      <c r="T1161" s="566"/>
      <c r="U1161" s="566"/>
      <c r="V1161" s="566"/>
      <c r="W1161" s="566"/>
      <c r="X1161" s="566"/>
      <c r="Y1161" s="566"/>
      <c r="Z1161" s="566"/>
      <c r="AA1161" s="566"/>
      <c r="AB1161" s="566"/>
      <c r="AC1161" s="566"/>
      <c r="AD1161" s="566"/>
    </row>
    <row r="1162" spans="18:30" x14ac:dyDescent="0.25">
      <c r="R1162" s="566"/>
      <c r="S1162" s="566"/>
      <c r="T1162" s="566"/>
      <c r="U1162" s="566"/>
      <c r="V1162" s="566"/>
      <c r="W1162" s="566"/>
      <c r="X1162" s="566"/>
      <c r="Y1162" s="566"/>
      <c r="Z1162" s="566"/>
      <c r="AA1162" s="566"/>
      <c r="AB1162" s="566"/>
      <c r="AC1162" s="566"/>
      <c r="AD1162" s="566"/>
    </row>
    <row r="1163" spans="18:30" x14ac:dyDescent="0.25">
      <c r="R1163" s="566"/>
      <c r="S1163" s="566"/>
      <c r="T1163" s="566"/>
      <c r="U1163" s="566"/>
      <c r="V1163" s="566"/>
      <c r="W1163" s="566"/>
      <c r="X1163" s="566"/>
      <c r="Y1163" s="566"/>
      <c r="Z1163" s="566"/>
      <c r="AA1163" s="566"/>
      <c r="AB1163" s="566"/>
      <c r="AC1163" s="566"/>
      <c r="AD1163" s="566"/>
    </row>
    <row r="1164" spans="18:30" x14ac:dyDescent="0.25">
      <c r="R1164" s="566"/>
      <c r="S1164" s="566"/>
      <c r="T1164" s="566"/>
      <c r="U1164" s="566"/>
      <c r="V1164" s="566"/>
      <c r="W1164" s="566"/>
      <c r="X1164" s="566"/>
      <c r="Y1164" s="566"/>
      <c r="Z1164" s="566"/>
      <c r="AA1164" s="566"/>
      <c r="AB1164" s="566"/>
      <c r="AC1164" s="566"/>
      <c r="AD1164" s="566"/>
    </row>
    <row r="1165" spans="18:30" x14ac:dyDescent="0.25">
      <c r="R1165" s="566"/>
      <c r="S1165" s="566"/>
      <c r="T1165" s="566"/>
      <c r="U1165" s="566"/>
      <c r="V1165" s="566"/>
      <c r="W1165" s="566"/>
      <c r="X1165" s="566"/>
      <c r="Y1165" s="566"/>
      <c r="Z1165" s="566"/>
      <c r="AA1165" s="566"/>
      <c r="AB1165" s="566"/>
      <c r="AC1165" s="566"/>
      <c r="AD1165" s="566"/>
    </row>
    <row r="1166" spans="18:30" x14ac:dyDescent="0.25">
      <c r="R1166" s="566"/>
      <c r="S1166" s="566"/>
      <c r="T1166" s="566"/>
      <c r="U1166" s="566"/>
      <c r="V1166" s="566"/>
      <c r="W1166" s="566"/>
      <c r="X1166" s="566"/>
      <c r="Y1166" s="566"/>
      <c r="Z1166" s="566"/>
      <c r="AA1166" s="566"/>
      <c r="AB1166" s="566"/>
      <c r="AC1166" s="566"/>
      <c r="AD1166" s="566"/>
    </row>
    <row r="1167" spans="18:30" x14ac:dyDescent="0.25">
      <c r="R1167" s="566"/>
      <c r="S1167" s="566"/>
      <c r="T1167" s="566"/>
      <c r="U1167" s="566"/>
      <c r="V1167" s="566"/>
      <c r="W1167" s="566"/>
      <c r="X1167" s="566"/>
      <c r="Y1167" s="566"/>
      <c r="Z1167" s="566"/>
      <c r="AA1167" s="566"/>
      <c r="AB1167" s="566"/>
      <c r="AC1167" s="566"/>
      <c r="AD1167" s="566"/>
    </row>
    <row r="1168" spans="18:30" x14ac:dyDescent="0.25">
      <c r="R1168" s="566"/>
      <c r="S1168" s="566"/>
      <c r="T1168" s="566"/>
      <c r="U1168" s="566"/>
      <c r="V1168" s="566"/>
      <c r="W1168" s="566"/>
      <c r="X1168" s="566"/>
      <c r="Y1168" s="566"/>
      <c r="Z1168" s="566"/>
      <c r="AA1168" s="566"/>
      <c r="AB1168" s="566"/>
      <c r="AC1168" s="566"/>
      <c r="AD1168" s="566"/>
    </row>
    <row r="1169" spans="18:30" x14ac:dyDescent="0.25">
      <c r="R1169" s="566"/>
      <c r="S1169" s="566"/>
      <c r="T1169" s="566"/>
      <c r="U1169" s="566"/>
      <c r="V1169" s="566"/>
      <c r="W1169" s="566"/>
      <c r="X1169" s="566"/>
      <c r="Y1169" s="566"/>
      <c r="Z1169" s="566"/>
      <c r="AA1169" s="566"/>
      <c r="AB1169" s="566"/>
      <c r="AC1169" s="566"/>
      <c r="AD1169" s="566"/>
    </row>
    <row r="1170" spans="18:30" x14ac:dyDescent="0.25">
      <c r="R1170" s="566"/>
      <c r="S1170" s="566"/>
      <c r="T1170" s="566"/>
      <c r="U1170" s="566"/>
      <c r="V1170" s="566"/>
      <c r="W1170" s="566"/>
      <c r="X1170" s="566"/>
      <c r="Y1170" s="566"/>
      <c r="Z1170" s="566"/>
      <c r="AA1170" s="566"/>
      <c r="AB1170" s="566"/>
      <c r="AC1170" s="566"/>
      <c r="AD1170" s="566"/>
    </row>
    <row r="1171" spans="18:30" x14ac:dyDescent="0.25">
      <c r="R1171" s="566"/>
      <c r="S1171" s="566"/>
      <c r="T1171" s="566"/>
      <c r="U1171" s="566"/>
      <c r="V1171" s="566"/>
      <c r="W1171" s="566"/>
      <c r="X1171" s="566"/>
      <c r="Y1171" s="566"/>
      <c r="Z1171" s="566"/>
      <c r="AA1171" s="566"/>
      <c r="AB1171" s="566"/>
      <c r="AC1171" s="566"/>
      <c r="AD1171" s="566"/>
    </row>
    <row r="1172" spans="18:30" x14ac:dyDescent="0.25">
      <c r="R1172" s="566"/>
      <c r="S1172" s="566"/>
      <c r="T1172" s="566"/>
      <c r="U1172" s="566"/>
      <c r="V1172" s="566"/>
      <c r="W1172" s="566"/>
      <c r="X1172" s="566"/>
      <c r="Y1172" s="566"/>
      <c r="Z1172" s="566"/>
      <c r="AA1172" s="566"/>
      <c r="AB1172" s="566"/>
      <c r="AC1172" s="566"/>
      <c r="AD1172" s="566"/>
    </row>
    <row r="1173" spans="18:30" x14ac:dyDescent="0.25">
      <c r="R1173" s="566"/>
      <c r="S1173" s="566"/>
      <c r="T1173" s="566"/>
      <c r="U1173" s="566"/>
      <c r="V1173" s="566"/>
      <c r="W1173" s="566"/>
      <c r="X1173" s="566"/>
      <c r="Y1173" s="566"/>
      <c r="Z1173" s="566"/>
      <c r="AA1173" s="566"/>
      <c r="AB1173" s="566"/>
      <c r="AC1173" s="566"/>
      <c r="AD1173" s="566"/>
    </row>
    <row r="1174" spans="18:30" x14ac:dyDescent="0.25">
      <c r="R1174" s="566"/>
      <c r="S1174" s="566"/>
      <c r="T1174" s="566"/>
      <c r="U1174" s="566"/>
      <c r="V1174" s="566"/>
      <c r="W1174" s="566"/>
      <c r="X1174" s="566"/>
      <c r="Y1174" s="566"/>
      <c r="Z1174" s="566"/>
      <c r="AA1174" s="566"/>
      <c r="AB1174" s="566"/>
      <c r="AC1174" s="566"/>
      <c r="AD1174" s="566"/>
    </row>
    <row r="1175" spans="18:30" x14ac:dyDescent="0.25">
      <c r="R1175" s="566"/>
      <c r="S1175" s="566"/>
      <c r="T1175" s="566"/>
      <c r="U1175" s="566"/>
      <c r="V1175" s="566"/>
      <c r="W1175" s="566"/>
      <c r="X1175" s="566"/>
      <c r="Y1175" s="566"/>
      <c r="Z1175" s="566"/>
      <c r="AA1175" s="566"/>
      <c r="AB1175" s="566"/>
      <c r="AC1175" s="566"/>
      <c r="AD1175" s="566"/>
    </row>
    <row r="1176" spans="18:30" x14ac:dyDescent="0.25">
      <c r="R1176" s="566"/>
      <c r="S1176" s="566"/>
      <c r="T1176" s="566"/>
      <c r="U1176" s="566"/>
      <c r="V1176" s="566"/>
      <c r="W1176" s="566"/>
      <c r="X1176" s="566"/>
      <c r="Y1176" s="566"/>
      <c r="Z1176" s="566"/>
      <c r="AA1176" s="566"/>
      <c r="AB1176" s="566"/>
      <c r="AC1176" s="566"/>
      <c r="AD1176" s="566"/>
    </row>
    <row r="1177" spans="18:30" x14ac:dyDescent="0.25">
      <c r="R1177" s="566"/>
      <c r="S1177" s="566"/>
      <c r="T1177" s="566"/>
      <c r="U1177" s="566"/>
      <c r="V1177" s="566"/>
      <c r="W1177" s="566"/>
      <c r="X1177" s="566"/>
      <c r="Y1177" s="566"/>
      <c r="Z1177" s="566"/>
      <c r="AA1177" s="566"/>
      <c r="AB1177" s="566"/>
      <c r="AC1177" s="566"/>
      <c r="AD1177" s="566"/>
    </row>
    <row r="1178" spans="18:30" x14ac:dyDescent="0.25">
      <c r="R1178" s="566"/>
      <c r="S1178" s="566"/>
      <c r="T1178" s="566"/>
      <c r="U1178" s="566"/>
      <c r="V1178" s="566"/>
      <c r="W1178" s="566"/>
      <c r="X1178" s="566"/>
      <c r="Y1178" s="566"/>
      <c r="Z1178" s="566"/>
      <c r="AA1178" s="566"/>
      <c r="AB1178" s="566"/>
      <c r="AC1178" s="566"/>
      <c r="AD1178" s="566"/>
    </row>
    <row r="1179" spans="18:30" x14ac:dyDescent="0.25">
      <c r="R1179" s="566"/>
      <c r="S1179" s="566"/>
      <c r="T1179" s="566"/>
      <c r="U1179" s="566"/>
      <c r="V1179" s="566"/>
      <c r="W1179" s="566"/>
      <c r="X1179" s="566"/>
      <c r="Y1179" s="566"/>
      <c r="Z1179" s="566"/>
      <c r="AA1179" s="566"/>
      <c r="AB1179" s="566"/>
      <c r="AC1179" s="566"/>
      <c r="AD1179" s="566"/>
    </row>
    <row r="1180" spans="18:30" x14ac:dyDescent="0.25">
      <c r="R1180" s="566"/>
      <c r="S1180" s="566"/>
      <c r="T1180" s="566"/>
      <c r="U1180" s="566"/>
      <c r="V1180" s="566"/>
      <c r="W1180" s="566"/>
      <c r="X1180" s="566"/>
      <c r="Y1180" s="566"/>
      <c r="Z1180" s="566"/>
      <c r="AA1180" s="566"/>
      <c r="AB1180" s="566"/>
      <c r="AC1180" s="566"/>
      <c r="AD1180" s="566"/>
    </row>
    <row r="1181" spans="18:30" x14ac:dyDescent="0.25">
      <c r="R1181" s="566"/>
      <c r="S1181" s="566"/>
      <c r="T1181" s="566"/>
      <c r="U1181" s="566"/>
      <c r="V1181" s="566"/>
      <c r="W1181" s="566"/>
      <c r="X1181" s="566"/>
      <c r="Y1181" s="566"/>
      <c r="Z1181" s="566"/>
      <c r="AA1181" s="566"/>
      <c r="AB1181" s="566"/>
      <c r="AC1181" s="566"/>
      <c r="AD1181" s="566"/>
    </row>
    <row r="1182" spans="18:30" x14ac:dyDescent="0.25">
      <c r="R1182" s="566"/>
      <c r="S1182" s="566"/>
      <c r="T1182" s="566"/>
      <c r="U1182" s="566"/>
      <c r="V1182" s="566"/>
      <c r="W1182" s="566"/>
      <c r="X1182" s="566"/>
      <c r="Y1182" s="566"/>
      <c r="Z1182" s="566"/>
      <c r="AA1182" s="566"/>
      <c r="AB1182" s="566"/>
      <c r="AC1182" s="566"/>
      <c r="AD1182" s="566"/>
    </row>
    <row r="1183" spans="18:30" x14ac:dyDescent="0.25">
      <c r="R1183" s="566"/>
      <c r="S1183" s="566"/>
      <c r="T1183" s="566"/>
      <c r="U1183" s="566"/>
      <c r="V1183" s="566"/>
      <c r="W1183" s="566"/>
      <c r="X1183" s="566"/>
      <c r="Y1183" s="566"/>
      <c r="Z1183" s="566"/>
      <c r="AA1183" s="566"/>
      <c r="AB1183" s="566"/>
      <c r="AC1183" s="566"/>
      <c r="AD1183" s="566"/>
    </row>
    <row r="1184" spans="18:30" x14ac:dyDescent="0.25">
      <c r="R1184" s="566"/>
      <c r="S1184" s="566"/>
      <c r="T1184" s="566"/>
      <c r="U1184" s="566"/>
      <c r="V1184" s="566"/>
      <c r="W1184" s="566"/>
      <c r="X1184" s="566"/>
      <c r="Y1184" s="566"/>
      <c r="Z1184" s="566"/>
      <c r="AA1184" s="566"/>
      <c r="AB1184" s="566"/>
      <c r="AC1184" s="566"/>
      <c r="AD1184" s="566"/>
    </row>
    <row r="1185" spans="18:30" x14ac:dyDescent="0.25">
      <c r="R1185" s="566"/>
      <c r="S1185" s="566"/>
      <c r="T1185" s="566"/>
      <c r="U1185" s="566"/>
      <c r="V1185" s="566"/>
      <c r="W1185" s="566"/>
      <c r="X1185" s="566"/>
      <c r="Y1185" s="566"/>
      <c r="Z1185" s="566"/>
      <c r="AA1185" s="566"/>
      <c r="AB1185" s="566"/>
      <c r="AC1185" s="566"/>
      <c r="AD1185" s="566"/>
    </row>
    <row r="1186" spans="18:30" x14ac:dyDescent="0.25">
      <c r="R1186" s="566"/>
      <c r="S1186" s="566"/>
      <c r="T1186" s="566"/>
      <c r="U1186" s="566"/>
      <c r="V1186" s="566"/>
      <c r="W1186" s="566"/>
      <c r="X1186" s="566"/>
      <c r="Y1186" s="566"/>
      <c r="Z1186" s="566"/>
      <c r="AA1186" s="566"/>
      <c r="AB1186" s="566"/>
      <c r="AC1186" s="566"/>
      <c r="AD1186" s="566"/>
    </row>
    <row r="1187" spans="18:30" x14ac:dyDescent="0.25">
      <c r="R1187" s="566"/>
      <c r="S1187" s="566"/>
      <c r="T1187" s="566"/>
      <c r="U1187" s="566"/>
      <c r="V1187" s="566"/>
      <c r="W1187" s="566"/>
      <c r="X1187" s="566"/>
      <c r="Y1187" s="566"/>
      <c r="Z1187" s="566"/>
      <c r="AA1187" s="566"/>
      <c r="AB1187" s="566"/>
      <c r="AC1187" s="566"/>
      <c r="AD1187" s="566"/>
    </row>
    <row r="1188" spans="18:30" x14ac:dyDescent="0.25">
      <c r="R1188" s="566"/>
      <c r="S1188" s="566"/>
      <c r="T1188" s="566"/>
      <c r="U1188" s="566"/>
      <c r="V1188" s="566"/>
      <c r="W1188" s="566"/>
      <c r="X1188" s="566"/>
      <c r="Y1188" s="566"/>
      <c r="Z1188" s="566"/>
      <c r="AA1188" s="566"/>
      <c r="AB1188" s="566"/>
      <c r="AC1188" s="566"/>
      <c r="AD1188" s="566"/>
    </row>
    <row r="1189" spans="18:30" x14ac:dyDescent="0.25">
      <c r="R1189" s="566"/>
      <c r="S1189" s="566"/>
      <c r="T1189" s="566"/>
      <c r="U1189" s="566"/>
      <c r="V1189" s="566"/>
      <c r="W1189" s="566"/>
      <c r="X1189" s="566"/>
      <c r="Y1189" s="566"/>
      <c r="Z1189" s="566"/>
      <c r="AA1189" s="566"/>
      <c r="AB1189" s="566"/>
      <c r="AC1189" s="566"/>
      <c r="AD1189" s="566"/>
    </row>
    <row r="1190" spans="18:30" x14ac:dyDescent="0.25">
      <c r="R1190" s="566"/>
      <c r="S1190" s="566"/>
      <c r="T1190" s="566"/>
      <c r="U1190" s="566"/>
      <c r="V1190" s="566"/>
      <c r="W1190" s="566"/>
      <c r="X1190" s="566"/>
      <c r="Y1190" s="566"/>
      <c r="Z1190" s="566"/>
      <c r="AA1190" s="566"/>
      <c r="AB1190" s="566"/>
      <c r="AC1190" s="566"/>
      <c r="AD1190" s="566"/>
    </row>
    <row r="1191" spans="18:30" x14ac:dyDescent="0.25">
      <c r="R1191" s="566"/>
      <c r="S1191" s="566"/>
      <c r="T1191" s="566"/>
      <c r="U1191" s="566"/>
      <c r="V1191" s="566"/>
      <c r="W1191" s="566"/>
      <c r="X1191" s="566"/>
      <c r="Y1191" s="566"/>
      <c r="Z1191" s="566"/>
      <c r="AA1191" s="566"/>
      <c r="AB1191" s="566"/>
      <c r="AC1191" s="566"/>
      <c r="AD1191" s="566"/>
    </row>
    <row r="1192" spans="18:30" x14ac:dyDescent="0.25">
      <c r="R1192" s="566"/>
      <c r="S1192" s="566"/>
      <c r="T1192" s="566"/>
      <c r="U1192" s="566"/>
      <c r="V1192" s="566"/>
      <c r="W1192" s="566"/>
      <c r="X1192" s="566"/>
      <c r="Y1192" s="566"/>
      <c r="Z1192" s="566"/>
      <c r="AA1192" s="566"/>
      <c r="AB1192" s="566"/>
      <c r="AC1192" s="566"/>
      <c r="AD1192" s="566"/>
    </row>
    <row r="1193" spans="18:30" x14ac:dyDescent="0.25">
      <c r="R1193" s="566"/>
      <c r="S1193" s="566"/>
      <c r="T1193" s="566"/>
      <c r="U1193" s="566"/>
      <c r="V1193" s="566"/>
      <c r="W1193" s="566"/>
      <c r="X1193" s="566"/>
      <c r="Y1193" s="566"/>
      <c r="Z1193" s="566"/>
      <c r="AA1193" s="566"/>
      <c r="AB1193" s="566"/>
      <c r="AC1193" s="566"/>
      <c r="AD1193" s="566"/>
    </row>
    <row r="1194" spans="18:30" x14ac:dyDescent="0.25">
      <c r="R1194" s="566"/>
      <c r="S1194" s="566"/>
      <c r="T1194" s="566"/>
      <c r="U1194" s="566"/>
      <c r="V1194" s="566"/>
      <c r="W1194" s="566"/>
      <c r="X1194" s="566"/>
      <c r="Y1194" s="566"/>
      <c r="Z1194" s="566"/>
      <c r="AA1194" s="566"/>
      <c r="AB1194" s="566"/>
      <c r="AC1194" s="566"/>
      <c r="AD1194" s="566"/>
    </row>
    <row r="1195" spans="18:30" x14ac:dyDescent="0.25">
      <c r="R1195" s="566"/>
      <c r="S1195" s="566"/>
      <c r="T1195" s="566"/>
      <c r="U1195" s="566"/>
      <c r="V1195" s="566"/>
      <c r="W1195" s="566"/>
      <c r="X1195" s="566"/>
      <c r="Y1195" s="566"/>
      <c r="Z1195" s="566"/>
      <c r="AA1195" s="566"/>
      <c r="AB1195" s="566"/>
      <c r="AC1195" s="566"/>
      <c r="AD1195" s="566"/>
    </row>
    <row r="1196" spans="18:30" x14ac:dyDescent="0.25">
      <c r="R1196" s="566"/>
      <c r="S1196" s="566"/>
      <c r="T1196" s="566"/>
      <c r="U1196" s="566"/>
      <c r="V1196" s="566"/>
      <c r="W1196" s="566"/>
      <c r="X1196" s="566"/>
      <c r="Y1196" s="566"/>
      <c r="Z1196" s="566"/>
      <c r="AA1196" s="566"/>
      <c r="AB1196" s="566"/>
      <c r="AC1196" s="566"/>
      <c r="AD1196" s="566"/>
    </row>
    <row r="1197" spans="18:30" x14ac:dyDescent="0.25">
      <c r="R1197" s="566"/>
      <c r="S1197" s="566"/>
      <c r="T1197" s="566"/>
      <c r="U1197" s="566"/>
      <c r="V1197" s="566"/>
      <c r="W1197" s="566"/>
      <c r="X1197" s="566"/>
      <c r="Y1197" s="566"/>
      <c r="Z1197" s="566"/>
      <c r="AA1197" s="566"/>
      <c r="AB1197" s="566"/>
      <c r="AC1197" s="566"/>
      <c r="AD1197" s="566"/>
    </row>
    <row r="1198" spans="18:30" x14ac:dyDescent="0.25">
      <c r="R1198" s="566"/>
      <c r="S1198" s="566"/>
      <c r="T1198" s="566"/>
      <c r="U1198" s="566"/>
      <c r="V1198" s="566"/>
      <c r="W1198" s="566"/>
      <c r="X1198" s="566"/>
      <c r="Y1198" s="566"/>
      <c r="Z1198" s="566"/>
      <c r="AA1198" s="566"/>
      <c r="AB1198" s="566"/>
      <c r="AC1198" s="566"/>
      <c r="AD1198" s="566"/>
    </row>
    <row r="1199" spans="18:30" x14ac:dyDescent="0.25">
      <c r="R1199" s="566"/>
      <c r="S1199" s="566"/>
      <c r="T1199" s="566"/>
      <c r="U1199" s="566"/>
      <c r="V1199" s="566"/>
      <c r="W1199" s="566"/>
      <c r="X1199" s="566"/>
      <c r="Y1199" s="566"/>
      <c r="Z1199" s="566"/>
      <c r="AA1199" s="566"/>
      <c r="AB1199" s="566"/>
      <c r="AC1199" s="566"/>
      <c r="AD1199" s="566"/>
    </row>
    <row r="1200" spans="18:30" x14ac:dyDescent="0.25">
      <c r="R1200" s="566"/>
      <c r="S1200" s="566"/>
      <c r="T1200" s="566"/>
      <c r="U1200" s="566"/>
      <c r="V1200" s="566"/>
      <c r="W1200" s="566"/>
      <c r="X1200" s="566"/>
      <c r="Y1200" s="566"/>
      <c r="Z1200" s="566"/>
      <c r="AA1200" s="566"/>
      <c r="AB1200" s="566"/>
      <c r="AC1200" s="566"/>
      <c r="AD1200" s="566"/>
    </row>
    <row r="1201" spans="18:30" x14ac:dyDescent="0.25">
      <c r="R1201" s="566"/>
      <c r="S1201" s="566"/>
      <c r="T1201" s="566"/>
      <c r="U1201" s="566"/>
      <c r="V1201" s="566"/>
      <c r="W1201" s="566"/>
      <c r="X1201" s="566"/>
      <c r="Y1201" s="566"/>
      <c r="Z1201" s="566"/>
      <c r="AA1201" s="566"/>
      <c r="AB1201" s="566"/>
      <c r="AC1201" s="566"/>
      <c r="AD1201" s="566"/>
    </row>
    <row r="1202" spans="18:30" x14ac:dyDescent="0.25">
      <c r="R1202" s="566"/>
      <c r="S1202" s="566"/>
      <c r="T1202" s="566"/>
      <c r="U1202" s="566"/>
      <c r="V1202" s="566"/>
      <c r="W1202" s="566"/>
      <c r="X1202" s="566"/>
      <c r="Y1202" s="566"/>
      <c r="Z1202" s="566"/>
      <c r="AA1202" s="566"/>
      <c r="AB1202" s="566"/>
      <c r="AC1202" s="566"/>
      <c r="AD1202" s="566"/>
    </row>
    <row r="1203" spans="18:30" x14ac:dyDescent="0.25">
      <c r="R1203" s="566"/>
      <c r="S1203" s="566"/>
      <c r="T1203" s="566"/>
      <c r="U1203" s="566"/>
      <c r="V1203" s="566"/>
      <c r="W1203" s="566"/>
      <c r="X1203" s="566"/>
      <c r="Y1203" s="566"/>
      <c r="Z1203" s="566"/>
      <c r="AA1203" s="566"/>
      <c r="AB1203" s="566"/>
      <c r="AC1203" s="566"/>
      <c r="AD1203" s="566"/>
    </row>
    <row r="1204" spans="18:30" x14ac:dyDescent="0.25">
      <c r="R1204" s="566"/>
      <c r="S1204" s="566"/>
      <c r="T1204" s="566"/>
      <c r="U1204" s="566"/>
      <c r="V1204" s="566"/>
      <c r="W1204" s="566"/>
      <c r="X1204" s="566"/>
      <c r="Y1204" s="566"/>
      <c r="Z1204" s="566"/>
      <c r="AA1204" s="566"/>
      <c r="AB1204" s="566"/>
      <c r="AC1204" s="566"/>
      <c r="AD1204" s="566"/>
    </row>
    <row r="1205" spans="18:30" x14ac:dyDescent="0.25">
      <c r="R1205" s="566"/>
      <c r="S1205" s="566"/>
      <c r="T1205" s="566"/>
      <c r="U1205" s="566"/>
      <c r="V1205" s="566"/>
      <c r="W1205" s="566"/>
      <c r="X1205" s="566"/>
      <c r="Y1205" s="566"/>
      <c r="Z1205" s="566"/>
      <c r="AA1205" s="566"/>
      <c r="AB1205" s="566"/>
      <c r="AC1205" s="566"/>
      <c r="AD1205" s="566"/>
    </row>
    <row r="1206" spans="18:30" x14ac:dyDescent="0.25">
      <c r="R1206" s="566"/>
      <c r="S1206" s="566"/>
      <c r="T1206" s="566"/>
      <c r="U1206" s="566"/>
      <c r="V1206" s="566"/>
      <c r="W1206" s="566"/>
      <c r="X1206" s="566"/>
      <c r="Y1206" s="566"/>
      <c r="Z1206" s="566"/>
      <c r="AA1206" s="566"/>
      <c r="AB1206" s="566"/>
      <c r="AC1206" s="566"/>
      <c r="AD1206" s="566"/>
    </row>
    <row r="1207" spans="18:30" x14ac:dyDescent="0.25">
      <c r="R1207" s="566"/>
      <c r="S1207" s="566"/>
      <c r="T1207" s="566"/>
      <c r="U1207" s="566"/>
      <c r="V1207" s="566"/>
      <c r="W1207" s="566"/>
      <c r="X1207" s="566"/>
      <c r="Y1207" s="566"/>
      <c r="Z1207" s="566"/>
      <c r="AA1207" s="566"/>
      <c r="AB1207" s="566"/>
      <c r="AC1207" s="566"/>
      <c r="AD1207" s="566"/>
    </row>
    <row r="1208" spans="18:30" x14ac:dyDescent="0.25">
      <c r="R1208" s="566"/>
      <c r="S1208" s="566"/>
      <c r="T1208" s="566"/>
      <c r="U1208" s="566"/>
      <c r="V1208" s="566"/>
      <c r="W1208" s="566"/>
      <c r="X1208" s="566"/>
      <c r="Y1208" s="566"/>
      <c r="Z1208" s="566"/>
      <c r="AA1208" s="566"/>
      <c r="AB1208" s="566"/>
      <c r="AC1208" s="566"/>
      <c r="AD1208" s="566"/>
    </row>
    <row r="1209" spans="18:30" x14ac:dyDescent="0.25">
      <c r="R1209" s="566"/>
      <c r="S1209" s="566"/>
      <c r="T1209" s="566"/>
      <c r="U1209" s="566"/>
      <c r="V1209" s="566"/>
      <c r="W1209" s="566"/>
      <c r="X1209" s="566"/>
      <c r="Y1209" s="566"/>
      <c r="Z1209" s="566"/>
      <c r="AA1209" s="566"/>
      <c r="AB1209" s="566"/>
      <c r="AC1209" s="566"/>
      <c r="AD1209" s="566"/>
    </row>
    <row r="1210" spans="18:30" x14ac:dyDescent="0.25">
      <c r="R1210" s="566"/>
      <c r="S1210" s="566"/>
      <c r="T1210" s="566"/>
      <c r="U1210" s="566"/>
      <c r="V1210" s="566"/>
      <c r="W1210" s="566"/>
      <c r="X1210" s="566"/>
      <c r="Y1210" s="566"/>
      <c r="Z1210" s="566"/>
      <c r="AA1210" s="566"/>
      <c r="AB1210" s="566"/>
      <c r="AC1210" s="566"/>
      <c r="AD1210" s="566"/>
    </row>
    <row r="1211" spans="18:30" x14ac:dyDescent="0.25">
      <c r="R1211" s="566"/>
      <c r="S1211" s="566"/>
      <c r="T1211" s="566"/>
      <c r="U1211" s="566"/>
      <c r="V1211" s="566"/>
      <c r="W1211" s="566"/>
      <c r="X1211" s="566"/>
      <c r="Y1211" s="566"/>
      <c r="Z1211" s="566"/>
      <c r="AA1211" s="566"/>
      <c r="AB1211" s="566"/>
      <c r="AC1211" s="566"/>
      <c r="AD1211" s="566"/>
    </row>
    <row r="1212" spans="18:30" x14ac:dyDescent="0.25">
      <c r="R1212" s="566"/>
      <c r="S1212" s="566"/>
      <c r="T1212" s="566"/>
      <c r="U1212" s="566"/>
      <c r="V1212" s="566"/>
      <c r="W1212" s="566"/>
      <c r="X1212" s="566"/>
      <c r="Y1212" s="566"/>
      <c r="Z1212" s="566"/>
      <c r="AA1212" s="566"/>
      <c r="AB1212" s="566"/>
      <c r="AC1212" s="566"/>
      <c r="AD1212" s="566"/>
    </row>
    <row r="1213" spans="18:30" x14ac:dyDescent="0.25">
      <c r="R1213" s="566"/>
      <c r="S1213" s="566"/>
      <c r="T1213" s="566"/>
      <c r="U1213" s="566"/>
      <c r="V1213" s="566"/>
      <c r="W1213" s="566"/>
      <c r="X1213" s="566"/>
      <c r="Y1213" s="566"/>
      <c r="Z1213" s="566"/>
      <c r="AA1213" s="566"/>
      <c r="AB1213" s="566"/>
      <c r="AC1213" s="566"/>
      <c r="AD1213" s="566"/>
    </row>
    <row r="1214" spans="18:30" x14ac:dyDescent="0.25">
      <c r="R1214" s="566"/>
      <c r="S1214" s="566"/>
      <c r="T1214" s="566"/>
      <c r="U1214" s="566"/>
      <c r="V1214" s="566"/>
      <c r="W1214" s="566"/>
      <c r="X1214" s="566"/>
      <c r="Y1214" s="566"/>
      <c r="Z1214" s="566"/>
      <c r="AA1214" s="566"/>
      <c r="AB1214" s="566"/>
      <c r="AC1214" s="566"/>
      <c r="AD1214" s="566"/>
    </row>
    <row r="1215" spans="18:30" x14ac:dyDescent="0.25">
      <c r="R1215" s="566"/>
      <c r="S1215" s="566"/>
      <c r="T1215" s="566"/>
      <c r="U1215" s="566"/>
      <c r="V1215" s="566"/>
      <c r="W1215" s="566"/>
      <c r="X1215" s="566"/>
      <c r="Y1215" s="566"/>
      <c r="Z1215" s="566"/>
      <c r="AA1215" s="566"/>
      <c r="AB1215" s="566"/>
      <c r="AC1215" s="566"/>
      <c r="AD1215" s="566"/>
    </row>
    <row r="1216" spans="18:30" x14ac:dyDescent="0.25">
      <c r="R1216" s="566"/>
      <c r="S1216" s="566"/>
      <c r="T1216" s="566"/>
      <c r="U1216" s="566"/>
      <c r="V1216" s="566"/>
      <c r="W1216" s="566"/>
      <c r="X1216" s="566"/>
      <c r="Y1216" s="566"/>
      <c r="Z1216" s="566"/>
      <c r="AA1216" s="566"/>
      <c r="AB1216" s="566"/>
      <c r="AC1216" s="566"/>
      <c r="AD1216" s="566"/>
    </row>
    <row r="1217" spans="18:30" x14ac:dyDescent="0.25">
      <c r="R1217" s="566"/>
      <c r="S1217" s="566"/>
      <c r="T1217" s="566"/>
      <c r="U1217" s="566"/>
      <c r="V1217" s="566"/>
      <c r="W1217" s="566"/>
      <c r="X1217" s="566"/>
      <c r="Y1217" s="566"/>
      <c r="Z1217" s="566"/>
      <c r="AA1217" s="566"/>
      <c r="AB1217" s="566"/>
      <c r="AC1217" s="566"/>
      <c r="AD1217" s="566"/>
    </row>
    <row r="1218" spans="18:30" x14ac:dyDescent="0.25">
      <c r="R1218" s="566"/>
      <c r="S1218" s="566"/>
      <c r="T1218" s="566"/>
      <c r="U1218" s="566"/>
      <c r="V1218" s="566"/>
      <c r="W1218" s="566"/>
      <c r="X1218" s="566"/>
      <c r="Y1218" s="566"/>
      <c r="Z1218" s="566"/>
      <c r="AA1218" s="566"/>
      <c r="AB1218" s="566"/>
      <c r="AC1218" s="566"/>
      <c r="AD1218" s="566"/>
    </row>
    <row r="1219" spans="18:30" x14ac:dyDescent="0.25">
      <c r="R1219" s="566"/>
      <c r="S1219" s="566"/>
      <c r="T1219" s="566"/>
      <c r="U1219" s="566"/>
      <c r="V1219" s="566"/>
      <c r="W1219" s="566"/>
      <c r="X1219" s="566"/>
      <c r="Y1219" s="566"/>
      <c r="Z1219" s="566"/>
      <c r="AA1219" s="566"/>
      <c r="AB1219" s="566"/>
      <c r="AC1219" s="566"/>
      <c r="AD1219" s="566"/>
    </row>
    <row r="1220" spans="18:30" x14ac:dyDescent="0.25">
      <c r="R1220" s="566"/>
      <c r="S1220" s="566"/>
      <c r="T1220" s="566"/>
      <c r="U1220" s="566"/>
      <c r="V1220" s="566"/>
      <c r="W1220" s="566"/>
      <c r="X1220" s="566"/>
      <c r="Y1220" s="566"/>
      <c r="Z1220" s="566"/>
      <c r="AA1220" s="566"/>
      <c r="AB1220" s="566"/>
      <c r="AC1220" s="566"/>
      <c r="AD1220" s="566"/>
    </row>
    <row r="1221" spans="18:30" x14ac:dyDescent="0.25">
      <c r="R1221" s="566"/>
      <c r="S1221" s="566"/>
      <c r="T1221" s="566"/>
      <c r="U1221" s="566"/>
      <c r="V1221" s="566"/>
      <c r="W1221" s="566"/>
      <c r="X1221" s="566"/>
      <c r="Y1221" s="566"/>
      <c r="Z1221" s="566"/>
      <c r="AA1221" s="566"/>
      <c r="AB1221" s="566"/>
      <c r="AC1221" s="566"/>
      <c r="AD1221" s="566"/>
    </row>
    <row r="1222" spans="18:30" x14ac:dyDescent="0.25">
      <c r="R1222" s="566"/>
      <c r="S1222" s="566"/>
      <c r="T1222" s="566"/>
      <c r="U1222" s="566"/>
      <c r="V1222" s="566"/>
      <c r="W1222" s="566"/>
      <c r="X1222" s="566"/>
      <c r="Y1222" s="566"/>
      <c r="Z1222" s="566"/>
      <c r="AA1222" s="566"/>
      <c r="AB1222" s="566"/>
      <c r="AC1222" s="566"/>
      <c r="AD1222" s="566"/>
    </row>
    <row r="1223" spans="18:30" x14ac:dyDescent="0.25">
      <c r="R1223" s="566"/>
      <c r="S1223" s="566"/>
      <c r="T1223" s="566"/>
      <c r="U1223" s="566"/>
      <c r="V1223" s="566"/>
      <c r="W1223" s="566"/>
      <c r="X1223" s="566"/>
      <c r="Y1223" s="566"/>
      <c r="Z1223" s="566"/>
      <c r="AA1223" s="566"/>
      <c r="AB1223" s="566"/>
      <c r="AC1223" s="566"/>
      <c r="AD1223" s="566"/>
    </row>
    <row r="1224" spans="18:30" x14ac:dyDescent="0.25">
      <c r="R1224" s="566"/>
      <c r="S1224" s="566"/>
      <c r="T1224" s="566"/>
      <c r="U1224" s="566"/>
      <c r="V1224" s="566"/>
      <c r="W1224" s="566"/>
      <c r="X1224" s="566"/>
      <c r="Y1224" s="566"/>
      <c r="Z1224" s="566"/>
      <c r="AA1224" s="566"/>
      <c r="AB1224" s="566"/>
      <c r="AC1224" s="566"/>
      <c r="AD1224" s="566"/>
    </row>
    <row r="1225" spans="18:30" x14ac:dyDescent="0.25">
      <c r="R1225" s="566"/>
      <c r="S1225" s="566"/>
      <c r="T1225" s="566"/>
      <c r="U1225" s="566"/>
      <c r="V1225" s="566"/>
      <c r="W1225" s="566"/>
      <c r="X1225" s="566"/>
      <c r="Y1225" s="566"/>
      <c r="Z1225" s="566"/>
      <c r="AA1225" s="566"/>
      <c r="AB1225" s="566"/>
      <c r="AC1225" s="566"/>
      <c r="AD1225" s="566"/>
    </row>
    <row r="1226" spans="18:30" x14ac:dyDescent="0.25">
      <c r="R1226" s="566"/>
      <c r="S1226" s="566"/>
      <c r="T1226" s="566"/>
      <c r="U1226" s="566"/>
      <c r="V1226" s="566"/>
      <c r="W1226" s="566"/>
      <c r="X1226" s="566"/>
      <c r="Y1226" s="566"/>
      <c r="Z1226" s="566"/>
      <c r="AA1226" s="566"/>
      <c r="AB1226" s="566"/>
      <c r="AC1226" s="566"/>
      <c r="AD1226" s="566"/>
    </row>
    <row r="1227" spans="18:30" x14ac:dyDescent="0.25">
      <c r="R1227" s="566"/>
      <c r="S1227" s="566"/>
      <c r="T1227" s="566"/>
      <c r="U1227" s="566"/>
      <c r="V1227" s="566"/>
      <c r="W1227" s="566"/>
      <c r="X1227" s="566"/>
      <c r="Y1227" s="566"/>
      <c r="Z1227" s="566"/>
      <c r="AA1227" s="566"/>
      <c r="AB1227" s="566"/>
      <c r="AC1227" s="566"/>
      <c r="AD1227" s="566"/>
    </row>
    <row r="1228" spans="18:30" x14ac:dyDescent="0.25">
      <c r="R1228" s="566"/>
      <c r="S1228" s="566"/>
      <c r="T1228" s="566"/>
      <c r="U1228" s="566"/>
      <c r="V1228" s="566"/>
      <c r="W1228" s="566"/>
      <c r="X1228" s="566"/>
      <c r="Y1228" s="566"/>
      <c r="Z1228" s="566"/>
      <c r="AA1228" s="566"/>
      <c r="AB1228" s="566"/>
      <c r="AC1228" s="566"/>
      <c r="AD1228" s="566"/>
    </row>
    <row r="1229" spans="18:30" x14ac:dyDescent="0.25">
      <c r="R1229" s="566"/>
      <c r="S1229" s="566"/>
      <c r="T1229" s="566"/>
      <c r="U1229" s="566"/>
      <c r="V1229" s="566"/>
      <c r="W1229" s="566"/>
      <c r="X1229" s="566"/>
      <c r="Y1229" s="566"/>
      <c r="Z1229" s="566"/>
      <c r="AA1229" s="566"/>
      <c r="AB1229" s="566"/>
      <c r="AC1229" s="566"/>
      <c r="AD1229" s="566"/>
    </row>
    <row r="1230" spans="18:30" x14ac:dyDescent="0.25">
      <c r="R1230" s="566"/>
      <c r="S1230" s="566"/>
      <c r="T1230" s="566"/>
      <c r="U1230" s="566"/>
      <c r="V1230" s="566"/>
      <c r="W1230" s="566"/>
      <c r="X1230" s="566"/>
      <c r="Y1230" s="566"/>
      <c r="Z1230" s="566"/>
      <c r="AA1230" s="566"/>
      <c r="AB1230" s="566"/>
      <c r="AC1230" s="566"/>
      <c r="AD1230" s="566"/>
    </row>
    <row r="1231" spans="18:30" x14ac:dyDescent="0.25">
      <c r="R1231" s="566"/>
      <c r="S1231" s="566"/>
      <c r="T1231" s="566"/>
      <c r="U1231" s="566"/>
      <c r="V1231" s="566"/>
      <c r="W1231" s="566"/>
      <c r="X1231" s="566"/>
      <c r="Y1231" s="566"/>
      <c r="Z1231" s="566"/>
      <c r="AA1231" s="566"/>
      <c r="AB1231" s="566"/>
      <c r="AC1231" s="566"/>
      <c r="AD1231" s="566"/>
    </row>
    <row r="1232" spans="18:30" x14ac:dyDescent="0.25">
      <c r="R1232" s="566"/>
      <c r="S1232" s="566"/>
      <c r="T1232" s="566"/>
      <c r="U1232" s="566"/>
      <c r="V1232" s="566"/>
      <c r="W1232" s="566"/>
      <c r="X1232" s="566"/>
      <c r="Y1232" s="566"/>
      <c r="Z1232" s="566"/>
      <c r="AA1232" s="566"/>
      <c r="AB1232" s="566"/>
      <c r="AC1232" s="566"/>
      <c r="AD1232" s="566"/>
    </row>
    <row r="1233" spans="18:30" x14ac:dyDescent="0.25">
      <c r="R1233" s="566"/>
      <c r="S1233" s="566"/>
      <c r="T1233" s="566"/>
      <c r="U1233" s="566"/>
      <c r="V1233" s="566"/>
      <c r="W1233" s="566"/>
      <c r="X1233" s="566"/>
      <c r="Y1233" s="566"/>
      <c r="Z1233" s="566"/>
      <c r="AA1233" s="566"/>
      <c r="AB1233" s="566"/>
      <c r="AC1233" s="566"/>
      <c r="AD1233" s="566"/>
    </row>
    <row r="1234" spans="18:30" x14ac:dyDescent="0.25">
      <c r="R1234" s="566"/>
      <c r="S1234" s="566"/>
      <c r="T1234" s="566"/>
      <c r="U1234" s="566"/>
      <c r="V1234" s="566"/>
      <c r="W1234" s="566"/>
      <c r="X1234" s="566"/>
      <c r="Y1234" s="566"/>
      <c r="Z1234" s="566"/>
      <c r="AA1234" s="566"/>
      <c r="AB1234" s="566"/>
      <c r="AC1234" s="566"/>
      <c r="AD1234" s="566"/>
    </row>
    <row r="1235" spans="18:30" x14ac:dyDescent="0.25">
      <c r="R1235" s="566"/>
      <c r="S1235" s="566"/>
      <c r="T1235" s="566"/>
      <c r="U1235" s="566"/>
      <c r="V1235" s="566"/>
      <c r="W1235" s="566"/>
      <c r="X1235" s="566"/>
      <c r="Y1235" s="566"/>
      <c r="Z1235" s="566"/>
      <c r="AA1235" s="566"/>
      <c r="AB1235" s="566"/>
      <c r="AC1235" s="566"/>
      <c r="AD1235" s="566"/>
    </row>
    <row r="1236" spans="18:30" x14ac:dyDescent="0.25">
      <c r="R1236" s="566"/>
      <c r="S1236" s="566"/>
      <c r="T1236" s="566"/>
      <c r="U1236" s="566"/>
      <c r="V1236" s="566"/>
      <c r="W1236" s="566"/>
      <c r="X1236" s="566"/>
      <c r="Y1236" s="566"/>
      <c r="Z1236" s="566"/>
      <c r="AA1236" s="566"/>
      <c r="AB1236" s="566"/>
      <c r="AC1236" s="566"/>
      <c r="AD1236" s="566"/>
    </row>
    <row r="1237" spans="18:30" x14ac:dyDescent="0.25">
      <c r="R1237" s="566"/>
      <c r="S1237" s="566"/>
      <c r="T1237" s="566"/>
      <c r="U1237" s="566"/>
      <c r="V1237" s="566"/>
      <c r="W1237" s="566"/>
      <c r="X1237" s="566"/>
      <c r="Y1237" s="566"/>
      <c r="Z1237" s="566"/>
      <c r="AA1237" s="566"/>
      <c r="AB1237" s="566"/>
      <c r="AC1237" s="566"/>
      <c r="AD1237" s="566"/>
    </row>
    <row r="1238" spans="18:30" x14ac:dyDescent="0.25">
      <c r="R1238" s="566"/>
      <c r="S1238" s="566"/>
      <c r="T1238" s="566"/>
      <c r="U1238" s="566"/>
      <c r="V1238" s="566"/>
      <c r="W1238" s="566"/>
      <c r="X1238" s="566"/>
      <c r="Y1238" s="566"/>
      <c r="Z1238" s="566"/>
      <c r="AA1238" s="566"/>
      <c r="AB1238" s="566"/>
      <c r="AC1238" s="566"/>
      <c r="AD1238" s="566"/>
    </row>
    <row r="1239" spans="18:30" x14ac:dyDescent="0.25">
      <c r="R1239" s="566"/>
      <c r="S1239" s="566"/>
      <c r="T1239" s="566"/>
      <c r="U1239" s="566"/>
      <c r="V1239" s="566"/>
      <c r="W1239" s="566"/>
      <c r="X1239" s="566"/>
      <c r="Y1239" s="566"/>
      <c r="Z1239" s="566"/>
      <c r="AA1239" s="566"/>
      <c r="AB1239" s="566"/>
      <c r="AC1239" s="566"/>
      <c r="AD1239" s="566"/>
    </row>
    <row r="1240" spans="18:30" x14ac:dyDescent="0.25">
      <c r="R1240" s="566"/>
      <c r="S1240" s="566"/>
      <c r="T1240" s="566"/>
      <c r="U1240" s="566"/>
      <c r="V1240" s="566"/>
      <c r="W1240" s="566"/>
      <c r="X1240" s="566"/>
      <c r="Y1240" s="566"/>
      <c r="Z1240" s="566"/>
      <c r="AA1240" s="566"/>
      <c r="AB1240" s="566"/>
      <c r="AC1240" s="566"/>
      <c r="AD1240" s="566"/>
    </row>
    <row r="1241" spans="18:30" x14ac:dyDescent="0.25">
      <c r="R1241" s="566"/>
      <c r="S1241" s="566"/>
      <c r="T1241" s="566"/>
      <c r="U1241" s="566"/>
      <c r="V1241" s="566"/>
      <c r="W1241" s="566"/>
      <c r="X1241" s="566"/>
      <c r="Y1241" s="566"/>
      <c r="Z1241" s="566"/>
      <c r="AA1241" s="566"/>
      <c r="AB1241" s="566"/>
      <c r="AC1241" s="566"/>
      <c r="AD1241" s="566"/>
    </row>
    <row r="1242" spans="18:30" x14ac:dyDescent="0.25">
      <c r="R1242" s="566"/>
      <c r="S1242" s="566"/>
      <c r="T1242" s="566"/>
      <c r="U1242" s="566"/>
      <c r="V1242" s="566"/>
      <c r="W1242" s="566"/>
      <c r="X1242" s="566"/>
      <c r="Y1242" s="566"/>
      <c r="Z1242" s="566"/>
      <c r="AA1242" s="566"/>
      <c r="AB1242" s="566"/>
      <c r="AC1242" s="566"/>
      <c r="AD1242" s="566"/>
    </row>
    <row r="1243" spans="18:30" x14ac:dyDescent="0.25">
      <c r="R1243" s="566"/>
      <c r="S1243" s="566"/>
      <c r="T1243" s="566"/>
      <c r="U1243" s="566"/>
      <c r="V1243" s="566"/>
      <c r="W1243" s="566"/>
      <c r="X1243" s="566"/>
      <c r="Y1243" s="566"/>
      <c r="Z1243" s="566"/>
      <c r="AA1243" s="566"/>
      <c r="AB1243" s="566"/>
      <c r="AC1243" s="566"/>
      <c r="AD1243" s="566"/>
    </row>
    <row r="1244" spans="18:30" x14ac:dyDescent="0.25">
      <c r="R1244" s="566"/>
      <c r="S1244" s="566"/>
      <c r="T1244" s="566"/>
      <c r="U1244" s="566"/>
      <c r="V1244" s="566"/>
      <c r="W1244" s="566"/>
      <c r="X1244" s="566"/>
      <c r="Y1244" s="566"/>
      <c r="Z1244" s="566"/>
      <c r="AA1244" s="566"/>
      <c r="AB1244" s="566"/>
      <c r="AC1244" s="566"/>
      <c r="AD1244" s="566"/>
    </row>
    <row r="1245" spans="18:30" x14ac:dyDescent="0.25">
      <c r="R1245" s="566"/>
      <c r="S1245" s="566"/>
      <c r="T1245" s="566"/>
      <c r="U1245" s="566"/>
      <c r="V1245" s="566"/>
      <c r="W1245" s="566"/>
      <c r="X1245" s="566"/>
      <c r="Y1245" s="566"/>
      <c r="Z1245" s="566"/>
      <c r="AA1245" s="566"/>
      <c r="AB1245" s="566"/>
      <c r="AC1245" s="566"/>
      <c r="AD1245" s="566"/>
    </row>
    <row r="1246" spans="18:30" x14ac:dyDescent="0.25">
      <c r="R1246" s="566"/>
      <c r="S1246" s="566"/>
      <c r="T1246" s="566"/>
      <c r="U1246" s="566"/>
      <c r="V1246" s="566"/>
      <c r="W1246" s="566"/>
      <c r="X1246" s="566"/>
      <c r="Y1246" s="566"/>
      <c r="Z1246" s="566"/>
      <c r="AA1246" s="566"/>
      <c r="AB1246" s="566"/>
      <c r="AC1246" s="566"/>
      <c r="AD1246" s="566"/>
    </row>
    <row r="1247" spans="18:30" x14ac:dyDescent="0.25">
      <c r="R1247" s="566"/>
      <c r="S1247" s="566"/>
      <c r="T1247" s="566"/>
      <c r="U1247" s="566"/>
      <c r="V1247" s="566"/>
      <c r="W1247" s="566"/>
      <c r="X1247" s="566"/>
      <c r="Y1247" s="566"/>
      <c r="Z1247" s="566"/>
      <c r="AA1247" s="566"/>
      <c r="AB1247" s="566"/>
      <c r="AC1247" s="566"/>
      <c r="AD1247" s="566"/>
    </row>
    <row r="1248" spans="18:30" x14ac:dyDescent="0.25">
      <c r="R1248" s="566"/>
      <c r="S1248" s="566"/>
      <c r="T1248" s="566"/>
      <c r="U1248" s="566"/>
      <c r="V1248" s="566"/>
      <c r="W1248" s="566"/>
      <c r="X1248" s="566"/>
      <c r="Y1248" s="566"/>
      <c r="Z1248" s="566"/>
      <c r="AA1248" s="566"/>
      <c r="AB1248" s="566"/>
      <c r="AC1248" s="566"/>
      <c r="AD1248" s="566"/>
    </row>
    <row r="1249" spans="18:30" x14ac:dyDescent="0.25">
      <c r="R1249" s="566"/>
      <c r="S1249" s="566"/>
      <c r="T1249" s="566"/>
      <c r="U1249" s="566"/>
      <c r="V1249" s="566"/>
      <c r="W1249" s="566"/>
      <c r="X1249" s="566"/>
      <c r="Y1249" s="566"/>
      <c r="Z1249" s="566"/>
      <c r="AA1249" s="566"/>
      <c r="AB1249" s="566"/>
      <c r="AC1249" s="566"/>
      <c r="AD1249" s="566"/>
    </row>
    <row r="1250" spans="18:30" x14ac:dyDescent="0.25">
      <c r="R1250" s="566"/>
      <c r="S1250" s="566"/>
      <c r="T1250" s="566"/>
      <c r="U1250" s="566"/>
      <c r="V1250" s="566"/>
      <c r="W1250" s="566"/>
      <c r="X1250" s="566"/>
      <c r="Y1250" s="566"/>
      <c r="Z1250" s="566"/>
      <c r="AA1250" s="566"/>
      <c r="AB1250" s="566"/>
      <c r="AC1250" s="566"/>
      <c r="AD1250" s="566"/>
    </row>
    <row r="1251" spans="18:30" x14ac:dyDescent="0.25">
      <c r="R1251" s="566"/>
      <c r="S1251" s="566"/>
      <c r="T1251" s="566"/>
      <c r="U1251" s="566"/>
      <c r="V1251" s="566"/>
      <c r="W1251" s="566"/>
      <c r="X1251" s="566"/>
      <c r="Y1251" s="566"/>
      <c r="Z1251" s="566"/>
      <c r="AA1251" s="566"/>
      <c r="AB1251" s="566"/>
      <c r="AC1251" s="566"/>
      <c r="AD1251" s="566"/>
    </row>
    <row r="1252" spans="18:30" x14ac:dyDescent="0.25">
      <c r="R1252" s="566"/>
      <c r="S1252" s="566"/>
      <c r="T1252" s="566"/>
      <c r="U1252" s="566"/>
      <c r="V1252" s="566"/>
      <c r="W1252" s="566"/>
      <c r="X1252" s="566"/>
      <c r="Y1252" s="566"/>
      <c r="Z1252" s="566"/>
      <c r="AA1252" s="566"/>
      <c r="AB1252" s="566"/>
      <c r="AC1252" s="566"/>
      <c r="AD1252" s="566"/>
    </row>
    <row r="1253" spans="18:30" x14ac:dyDescent="0.25">
      <c r="R1253" s="566"/>
      <c r="S1253" s="566"/>
      <c r="T1253" s="566"/>
      <c r="U1253" s="566"/>
      <c r="V1253" s="566"/>
      <c r="W1253" s="566"/>
      <c r="X1253" s="566"/>
      <c r="Y1253" s="566"/>
      <c r="Z1253" s="566"/>
      <c r="AA1253" s="566"/>
      <c r="AB1253" s="566"/>
      <c r="AC1253" s="566"/>
      <c r="AD1253" s="566"/>
    </row>
    <row r="1254" spans="18:30" x14ac:dyDescent="0.25">
      <c r="R1254" s="566"/>
      <c r="S1254" s="566"/>
      <c r="T1254" s="566"/>
      <c r="U1254" s="566"/>
      <c r="V1254" s="566"/>
      <c r="W1254" s="566"/>
      <c r="X1254" s="566"/>
      <c r="Y1254" s="566"/>
      <c r="Z1254" s="566"/>
      <c r="AA1254" s="566"/>
      <c r="AB1254" s="566"/>
      <c r="AC1254" s="566"/>
      <c r="AD1254" s="566"/>
    </row>
    <row r="1255" spans="18:30" x14ac:dyDescent="0.25">
      <c r="R1255" s="566"/>
      <c r="S1255" s="566"/>
      <c r="T1255" s="566"/>
      <c r="U1255" s="566"/>
      <c r="V1255" s="566"/>
      <c r="W1255" s="566"/>
      <c r="X1255" s="566"/>
      <c r="Y1255" s="566"/>
      <c r="Z1255" s="566"/>
      <c r="AA1255" s="566"/>
      <c r="AB1255" s="566"/>
      <c r="AC1255" s="566"/>
      <c r="AD1255" s="566"/>
    </row>
    <row r="1256" spans="18:30" x14ac:dyDescent="0.25">
      <c r="R1256" s="566"/>
      <c r="S1256" s="566"/>
      <c r="T1256" s="566"/>
      <c r="U1256" s="566"/>
      <c r="V1256" s="566"/>
      <c r="W1256" s="566"/>
      <c r="X1256" s="566"/>
      <c r="Y1256" s="566"/>
      <c r="Z1256" s="566"/>
      <c r="AA1256" s="566"/>
      <c r="AB1256" s="566"/>
      <c r="AC1256" s="566"/>
      <c r="AD1256" s="566"/>
    </row>
    <row r="1257" spans="18:30" x14ac:dyDescent="0.25">
      <c r="R1257" s="566"/>
      <c r="S1257" s="566"/>
      <c r="T1257" s="566"/>
      <c r="U1257" s="566"/>
      <c r="V1257" s="566"/>
      <c r="W1257" s="566"/>
      <c r="X1257" s="566"/>
      <c r="Y1257" s="566"/>
      <c r="Z1257" s="566"/>
      <c r="AA1257" s="566"/>
      <c r="AB1257" s="566"/>
      <c r="AC1257" s="566"/>
      <c r="AD1257" s="566"/>
    </row>
    <row r="1258" spans="18:30" x14ac:dyDescent="0.25">
      <c r="R1258" s="566"/>
      <c r="S1258" s="566"/>
      <c r="T1258" s="566"/>
      <c r="U1258" s="566"/>
      <c r="V1258" s="566"/>
      <c r="W1258" s="566"/>
      <c r="X1258" s="566"/>
      <c r="Y1258" s="566"/>
      <c r="Z1258" s="566"/>
      <c r="AA1258" s="566"/>
      <c r="AB1258" s="566"/>
      <c r="AC1258" s="566"/>
      <c r="AD1258" s="566"/>
    </row>
    <row r="1259" spans="18:30" x14ac:dyDescent="0.25">
      <c r="R1259" s="566"/>
      <c r="S1259" s="566"/>
      <c r="T1259" s="566"/>
      <c r="U1259" s="566"/>
      <c r="V1259" s="566"/>
      <c r="W1259" s="566"/>
      <c r="X1259" s="566"/>
      <c r="Y1259" s="566"/>
      <c r="Z1259" s="566"/>
      <c r="AA1259" s="566"/>
      <c r="AB1259" s="566"/>
      <c r="AC1259" s="566"/>
      <c r="AD1259" s="566"/>
    </row>
    <row r="1260" spans="18:30" x14ac:dyDescent="0.25">
      <c r="R1260" s="566"/>
      <c r="S1260" s="566"/>
      <c r="T1260" s="566"/>
      <c r="U1260" s="566"/>
      <c r="V1260" s="566"/>
      <c r="W1260" s="566"/>
      <c r="X1260" s="566"/>
      <c r="Y1260" s="566"/>
      <c r="Z1260" s="566"/>
      <c r="AA1260" s="566"/>
      <c r="AB1260" s="566"/>
      <c r="AC1260" s="566"/>
      <c r="AD1260" s="566"/>
    </row>
    <row r="1261" spans="18:30" x14ac:dyDescent="0.25">
      <c r="R1261" s="566"/>
      <c r="S1261" s="566"/>
      <c r="T1261" s="566"/>
      <c r="U1261" s="566"/>
      <c r="V1261" s="566"/>
      <c r="W1261" s="566"/>
      <c r="X1261" s="566"/>
      <c r="Y1261" s="566"/>
      <c r="Z1261" s="566"/>
      <c r="AA1261" s="566"/>
      <c r="AB1261" s="566"/>
      <c r="AC1261" s="566"/>
      <c r="AD1261" s="566"/>
    </row>
    <row r="1262" spans="18:30" x14ac:dyDescent="0.25">
      <c r="R1262" s="566"/>
      <c r="S1262" s="566"/>
      <c r="T1262" s="566"/>
      <c r="U1262" s="566"/>
      <c r="V1262" s="566"/>
      <c r="W1262" s="566"/>
      <c r="X1262" s="566"/>
      <c r="Y1262" s="566"/>
      <c r="Z1262" s="566"/>
      <c r="AA1262" s="566"/>
      <c r="AB1262" s="566"/>
      <c r="AC1262" s="566"/>
      <c r="AD1262" s="566"/>
    </row>
    <row r="1263" spans="18:30" x14ac:dyDescent="0.25">
      <c r="R1263" s="566"/>
      <c r="S1263" s="566"/>
      <c r="T1263" s="566"/>
      <c r="U1263" s="566"/>
      <c r="V1263" s="566"/>
      <c r="W1263" s="566"/>
      <c r="X1263" s="566"/>
      <c r="Y1263" s="566"/>
      <c r="Z1263" s="566"/>
      <c r="AA1263" s="566"/>
      <c r="AB1263" s="566"/>
      <c r="AC1263" s="566"/>
      <c r="AD1263" s="566"/>
    </row>
    <row r="1264" spans="18:30" x14ac:dyDescent="0.25">
      <c r="R1264" s="566"/>
      <c r="S1264" s="566"/>
      <c r="T1264" s="566"/>
      <c r="U1264" s="566"/>
      <c r="V1264" s="566"/>
      <c r="W1264" s="566"/>
      <c r="X1264" s="566"/>
      <c r="Y1264" s="566"/>
      <c r="Z1264" s="566"/>
      <c r="AA1264" s="566"/>
      <c r="AB1264" s="566"/>
      <c r="AC1264" s="566"/>
      <c r="AD1264" s="566"/>
    </row>
    <row r="1265" spans="18:30" x14ac:dyDescent="0.25">
      <c r="R1265" s="566"/>
      <c r="S1265" s="566"/>
      <c r="T1265" s="566"/>
      <c r="U1265" s="566"/>
      <c r="V1265" s="566"/>
      <c r="W1265" s="566"/>
      <c r="X1265" s="566"/>
      <c r="Y1265" s="566"/>
      <c r="Z1265" s="566"/>
      <c r="AA1265" s="566"/>
      <c r="AB1265" s="566"/>
      <c r="AC1265" s="566"/>
      <c r="AD1265" s="566"/>
    </row>
    <row r="1266" spans="18:30" x14ac:dyDescent="0.25">
      <c r="R1266" s="566"/>
      <c r="S1266" s="566"/>
      <c r="T1266" s="566"/>
      <c r="U1266" s="566"/>
      <c r="V1266" s="566"/>
      <c r="W1266" s="566"/>
      <c r="X1266" s="566"/>
      <c r="Y1266" s="566"/>
      <c r="Z1266" s="566"/>
      <c r="AA1266" s="566"/>
      <c r="AB1266" s="566"/>
      <c r="AC1266" s="566"/>
      <c r="AD1266" s="566"/>
    </row>
    <row r="1267" spans="18:30" x14ac:dyDescent="0.25">
      <c r="R1267" s="566"/>
      <c r="S1267" s="566"/>
      <c r="T1267" s="566"/>
      <c r="U1267" s="566"/>
      <c r="V1267" s="566"/>
      <c r="W1267" s="566"/>
      <c r="X1267" s="566"/>
      <c r="Y1267" s="566"/>
      <c r="Z1267" s="566"/>
      <c r="AA1267" s="566"/>
      <c r="AB1267" s="566"/>
      <c r="AC1267" s="566"/>
      <c r="AD1267" s="566"/>
    </row>
    <row r="1268" spans="18:30" x14ac:dyDescent="0.25">
      <c r="R1268" s="566"/>
      <c r="S1268" s="566"/>
      <c r="T1268" s="566"/>
      <c r="U1268" s="566"/>
      <c r="V1268" s="566"/>
      <c r="W1268" s="566"/>
      <c r="X1268" s="566"/>
      <c r="Y1268" s="566"/>
      <c r="Z1268" s="566"/>
      <c r="AA1268" s="566"/>
      <c r="AB1268" s="566"/>
      <c r="AC1268" s="566"/>
      <c r="AD1268" s="566"/>
    </row>
    <row r="1269" spans="18:30" x14ac:dyDescent="0.25">
      <c r="R1269" s="566"/>
      <c r="S1269" s="566"/>
      <c r="T1269" s="566"/>
      <c r="U1269" s="566"/>
      <c r="V1269" s="566"/>
      <c r="W1269" s="566"/>
      <c r="X1269" s="566"/>
      <c r="Y1269" s="566"/>
      <c r="Z1269" s="566"/>
      <c r="AA1269" s="566"/>
      <c r="AB1269" s="566"/>
      <c r="AC1269" s="566"/>
      <c r="AD1269" s="566"/>
    </row>
    <row r="1270" spans="18:30" x14ac:dyDescent="0.25">
      <c r="R1270" s="566"/>
      <c r="S1270" s="566"/>
      <c r="T1270" s="566"/>
      <c r="U1270" s="566"/>
      <c r="V1270" s="566"/>
      <c r="W1270" s="566"/>
      <c r="X1270" s="566"/>
      <c r="Y1270" s="566"/>
      <c r="Z1270" s="566"/>
      <c r="AA1270" s="566"/>
      <c r="AB1270" s="566"/>
      <c r="AC1270" s="566"/>
      <c r="AD1270" s="566"/>
    </row>
    <row r="1271" spans="18:30" x14ac:dyDescent="0.25">
      <c r="R1271" s="566"/>
      <c r="S1271" s="566"/>
      <c r="T1271" s="566"/>
      <c r="U1271" s="566"/>
      <c r="V1271" s="566"/>
      <c r="W1271" s="566"/>
      <c r="X1271" s="566"/>
      <c r="Y1271" s="566"/>
      <c r="Z1271" s="566"/>
      <c r="AA1271" s="566"/>
      <c r="AB1271" s="566"/>
      <c r="AC1271" s="566"/>
      <c r="AD1271" s="566"/>
    </row>
    <row r="1272" spans="18:30" x14ac:dyDescent="0.25">
      <c r="R1272" s="566"/>
      <c r="S1272" s="566"/>
      <c r="T1272" s="566"/>
      <c r="U1272" s="566"/>
      <c r="V1272" s="566"/>
      <c r="W1272" s="566"/>
      <c r="X1272" s="566"/>
      <c r="Y1272" s="566"/>
      <c r="Z1272" s="566"/>
      <c r="AA1272" s="566"/>
      <c r="AB1272" s="566"/>
      <c r="AC1272" s="566"/>
      <c r="AD1272" s="566"/>
    </row>
    <row r="1273" spans="18:30" x14ac:dyDescent="0.25">
      <c r="R1273" s="566"/>
      <c r="S1273" s="566"/>
      <c r="T1273" s="566"/>
      <c r="U1273" s="566"/>
      <c r="V1273" s="566"/>
      <c r="W1273" s="566"/>
      <c r="X1273" s="566"/>
      <c r="Y1273" s="566"/>
      <c r="Z1273" s="566"/>
      <c r="AA1273" s="566"/>
      <c r="AB1273" s="566"/>
      <c r="AC1273" s="566"/>
      <c r="AD1273" s="566"/>
    </row>
    <row r="1274" spans="18:30" x14ac:dyDescent="0.25">
      <c r="R1274" s="566"/>
      <c r="S1274" s="566"/>
      <c r="T1274" s="566"/>
      <c r="U1274" s="566"/>
      <c r="V1274" s="566"/>
      <c r="W1274" s="566"/>
      <c r="X1274" s="566"/>
      <c r="Y1274" s="566"/>
      <c r="Z1274" s="566"/>
      <c r="AA1274" s="566"/>
      <c r="AB1274" s="566"/>
      <c r="AC1274" s="566"/>
      <c r="AD1274" s="566"/>
    </row>
    <row r="1275" spans="18:30" x14ac:dyDescent="0.25">
      <c r="R1275" s="566"/>
      <c r="S1275" s="566"/>
      <c r="T1275" s="566"/>
      <c r="U1275" s="566"/>
      <c r="V1275" s="566"/>
      <c r="W1275" s="566"/>
      <c r="X1275" s="566"/>
      <c r="Y1275" s="566"/>
      <c r="Z1275" s="566"/>
      <c r="AA1275" s="566"/>
      <c r="AB1275" s="566"/>
      <c r="AC1275" s="566"/>
      <c r="AD1275" s="566"/>
    </row>
    <row r="1276" spans="18:30" x14ac:dyDescent="0.25">
      <c r="R1276" s="566"/>
      <c r="S1276" s="566"/>
      <c r="T1276" s="566"/>
      <c r="U1276" s="566"/>
      <c r="V1276" s="566"/>
      <c r="W1276" s="566"/>
      <c r="X1276" s="566"/>
      <c r="Y1276" s="566"/>
      <c r="Z1276" s="566"/>
      <c r="AA1276" s="566"/>
      <c r="AB1276" s="566"/>
      <c r="AC1276" s="566"/>
      <c r="AD1276" s="566"/>
    </row>
    <row r="1277" spans="18:30" x14ac:dyDescent="0.25">
      <c r="R1277" s="566"/>
      <c r="S1277" s="566"/>
      <c r="T1277" s="566"/>
      <c r="U1277" s="566"/>
      <c r="V1277" s="566"/>
      <c r="W1277" s="566"/>
      <c r="X1277" s="566"/>
      <c r="Y1277" s="566"/>
      <c r="Z1277" s="566"/>
      <c r="AA1277" s="566"/>
      <c r="AB1277" s="566"/>
      <c r="AC1277" s="566"/>
      <c r="AD1277" s="566"/>
    </row>
    <row r="1278" spans="18:30" x14ac:dyDescent="0.25">
      <c r="R1278" s="566"/>
      <c r="S1278" s="566"/>
      <c r="T1278" s="566"/>
      <c r="U1278" s="566"/>
      <c r="V1278" s="566"/>
      <c r="W1278" s="566"/>
      <c r="X1278" s="566"/>
      <c r="Y1278" s="566"/>
      <c r="Z1278" s="566"/>
      <c r="AA1278" s="566"/>
      <c r="AB1278" s="566"/>
      <c r="AC1278" s="566"/>
      <c r="AD1278" s="566"/>
    </row>
    <row r="1279" spans="18:30" x14ac:dyDescent="0.25">
      <c r="R1279" s="566"/>
      <c r="S1279" s="566"/>
      <c r="T1279" s="566"/>
      <c r="U1279" s="566"/>
      <c r="V1279" s="566"/>
      <c r="W1279" s="566"/>
      <c r="X1279" s="566"/>
      <c r="Y1279" s="566"/>
      <c r="Z1279" s="566"/>
      <c r="AA1279" s="566"/>
      <c r="AB1279" s="566"/>
      <c r="AC1279" s="566"/>
      <c r="AD1279" s="566"/>
    </row>
    <row r="1280" spans="18:30" x14ac:dyDescent="0.25">
      <c r="R1280" s="566"/>
      <c r="S1280" s="566"/>
      <c r="T1280" s="566"/>
      <c r="U1280" s="566"/>
      <c r="V1280" s="566"/>
      <c r="W1280" s="566"/>
      <c r="X1280" s="566"/>
      <c r="Y1280" s="566"/>
      <c r="Z1280" s="566"/>
      <c r="AA1280" s="566"/>
      <c r="AB1280" s="566"/>
      <c r="AC1280" s="566"/>
      <c r="AD1280" s="566"/>
    </row>
    <row r="1281" spans="18:30" x14ac:dyDescent="0.25">
      <c r="R1281" s="566"/>
      <c r="S1281" s="566"/>
      <c r="T1281" s="566"/>
      <c r="U1281" s="566"/>
      <c r="V1281" s="566"/>
      <c r="W1281" s="566"/>
      <c r="X1281" s="566"/>
      <c r="Y1281" s="566"/>
      <c r="Z1281" s="566"/>
      <c r="AA1281" s="566"/>
      <c r="AB1281" s="566"/>
      <c r="AC1281" s="566"/>
      <c r="AD1281" s="566"/>
    </row>
    <row r="1282" spans="18:30" x14ac:dyDescent="0.25">
      <c r="R1282" s="566"/>
      <c r="S1282" s="566"/>
      <c r="T1282" s="566"/>
      <c r="U1282" s="566"/>
      <c r="V1282" s="566"/>
      <c r="W1282" s="566"/>
      <c r="X1282" s="566"/>
      <c r="Y1282" s="566"/>
      <c r="Z1282" s="566"/>
      <c r="AA1282" s="566"/>
      <c r="AB1282" s="566"/>
      <c r="AC1282" s="566"/>
      <c r="AD1282" s="566"/>
    </row>
    <row r="1283" spans="18:30" x14ac:dyDescent="0.25">
      <c r="R1283" s="566"/>
      <c r="S1283" s="566"/>
      <c r="T1283" s="566"/>
      <c r="U1283" s="566"/>
      <c r="V1283" s="566"/>
      <c r="W1283" s="566"/>
      <c r="X1283" s="566"/>
      <c r="Y1283" s="566"/>
      <c r="Z1283" s="566"/>
      <c r="AA1283" s="566"/>
      <c r="AB1283" s="566"/>
      <c r="AC1283" s="566"/>
      <c r="AD1283" s="566"/>
    </row>
    <row r="1284" spans="18:30" x14ac:dyDescent="0.25">
      <c r="R1284" s="566"/>
      <c r="S1284" s="566"/>
      <c r="T1284" s="566"/>
      <c r="U1284" s="566"/>
      <c r="V1284" s="566"/>
      <c r="W1284" s="566"/>
      <c r="X1284" s="566"/>
      <c r="Y1284" s="566"/>
      <c r="Z1284" s="566"/>
      <c r="AA1284" s="566"/>
      <c r="AB1284" s="566"/>
      <c r="AC1284" s="566"/>
      <c r="AD1284" s="566"/>
    </row>
    <row r="1285" spans="18:30" x14ac:dyDescent="0.25">
      <c r="R1285" s="566"/>
      <c r="S1285" s="566"/>
      <c r="T1285" s="566"/>
      <c r="U1285" s="566"/>
      <c r="V1285" s="566"/>
      <c r="W1285" s="566"/>
      <c r="X1285" s="566"/>
      <c r="Y1285" s="566"/>
      <c r="Z1285" s="566"/>
      <c r="AA1285" s="566"/>
      <c r="AB1285" s="566"/>
      <c r="AC1285" s="566"/>
      <c r="AD1285" s="566"/>
    </row>
    <row r="1286" spans="18:30" x14ac:dyDescent="0.25">
      <c r="R1286" s="566"/>
      <c r="S1286" s="566"/>
      <c r="T1286" s="566"/>
      <c r="U1286" s="566"/>
      <c r="V1286" s="566"/>
      <c r="W1286" s="566"/>
      <c r="X1286" s="566"/>
      <c r="Y1286" s="566"/>
      <c r="Z1286" s="566"/>
      <c r="AA1286" s="566"/>
      <c r="AB1286" s="566"/>
      <c r="AC1286" s="566"/>
      <c r="AD1286" s="566"/>
    </row>
    <row r="1287" spans="18:30" x14ac:dyDescent="0.25">
      <c r="R1287" s="566"/>
      <c r="S1287" s="566"/>
      <c r="T1287" s="566"/>
      <c r="U1287" s="566"/>
      <c r="V1287" s="566"/>
      <c r="W1287" s="566"/>
      <c r="X1287" s="566"/>
      <c r="Y1287" s="566"/>
      <c r="Z1287" s="566"/>
      <c r="AA1287" s="566"/>
      <c r="AB1287" s="566"/>
      <c r="AC1287" s="566"/>
      <c r="AD1287" s="566"/>
    </row>
    <row r="1288" spans="18:30" x14ac:dyDescent="0.25">
      <c r="R1288" s="566"/>
      <c r="S1288" s="566"/>
      <c r="T1288" s="566"/>
      <c r="U1288" s="566"/>
      <c r="V1288" s="566"/>
      <c r="W1288" s="566"/>
      <c r="X1288" s="566"/>
      <c r="Y1288" s="566"/>
      <c r="Z1288" s="566"/>
      <c r="AA1288" s="566"/>
      <c r="AB1288" s="566"/>
      <c r="AC1288" s="566"/>
      <c r="AD1288" s="566"/>
    </row>
    <row r="1289" spans="18:30" x14ac:dyDescent="0.25">
      <c r="R1289" s="566"/>
      <c r="S1289" s="566"/>
      <c r="T1289" s="566"/>
      <c r="U1289" s="566"/>
      <c r="V1289" s="566"/>
      <c r="W1289" s="566"/>
      <c r="X1289" s="566"/>
      <c r="Y1289" s="566"/>
      <c r="Z1289" s="566"/>
      <c r="AA1289" s="566"/>
      <c r="AB1289" s="566"/>
      <c r="AC1289" s="566"/>
      <c r="AD1289" s="566"/>
    </row>
    <row r="1290" spans="18:30" x14ac:dyDescent="0.25">
      <c r="R1290" s="566"/>
      <c r="S1290" s="566"/>
      <c r="T1290" s="566"/>
      <c r="U1290" s="566"/>
      <c r="V1290" s="566"/>
      <c r="W1290" s="566"/>
      <c r="X1290" s="566"/>
      <c r="Y1290" s="566"/>
      <c r="Z1290" s="566"/>
      <c r="AA1290" s="566"/>
      <c r="AB1290" s="566"/>
      <c r="AC1290" s="566"/>
      <c r="AD1290" s="566"/>
    </row>
    <row r="1291" spans="18:30" x14ac:dyDescent="0.25">
      <c r="R1291" s="566"/>
      <c r="S1291" s="566"/>
      <c r="T1291" s="566"/>
      <c r="U1291" s="566"/>
      <c r="V1291" s="566"/>
      <c r="W1291" s="566"/>
      <c r="X1291" s="566"/>
      <c r="Y1291" s="566"/>
      <c r="Z1291" s="566"/>
      <c r="AA1291" s="566"/>
      <c r="AB1291" s="566"/>
      <c r="AC1291" s="566"/>
      <c r="AD1291" s="566"/>
    </row>
    <row r="1292" spans="18:30" x14ac:dyDescent="0.25">
      <c r="R1292" s="566"/>
      <c r="S1292" s="566"/>
      <c r="T1292" s="566"/>
      <c r="U1292" s="566"/>
      <c r="V1292" s="566"/>
      <c r="W1292" s="566"/>
      <c r="X1292" s="566"/>
      <c r="Y1292" s="566"/>
      <c r="Z1292" s="566"/>
      <c r="AA1292" s="566"/>
      <c r="AB1292" s="566"/>
      <c r="AC1292" s="566"/>
      <c r="AD1292" s="566"/>
    </row>
    <row r="1293" spans="18:30" x14ac:dyDescent="0.25">
      <c r="R1293" s="566"/>
      <c r="S1293" s="566"/>
      <c r="T1293" s="566"/>
      <c r="U1293" s="566"/>
      <c r="V1293" s="566"/>
      <c r="W1293" s="566"/>
      <c r="X1293" s="566"/>
      <c r="Y1293" s="566"/>
      <c r="Z1293" s="566"/>
      <c r="AA1293" s="566"/>
      <c r="AB1293" s="566"/>
      <c r="AC1293" s="566"/>
      <c r="AD1293" s="566"/>
    </row>
    <row r="1294" spans="18:30" x14ac:dyDescent="0.25">
      <c r="R1294" s="566"/>
      <c r="S1294" s="566"/>
      <c r="T1294" s="566"/>
      <c r="U1294" s="566"/>
      <c r="V1294" s="566"/>
      <c r="W1294" s="566"/>
      <c r="X1294" s="566"/>
      <c r="Y1294" s="566"/>
      <c r="Z1294" s="566"/>
      <c r="AA1294" s="566"/>
      <c r="AB1294" s="566"/>
      <c r="AC1294" s="566"/>
      <c r="AD1294" s="566"/>
    </row>
    <row r="1295" spans="18:30" x14ac:dyDescent="0.25">
      <c r="R1295" s="566"/>
      <c r="S1295" s="566"/>
      <c r="T1295" s="566"/>
      <c r="U1295" s="566"/>
      <c r="V1295" s="566"/>
      <c r="W1295" s="566"/>
      <c r="X1295" s="566"/>
      <c r="Y1295" s="566"/>
      <c r="Z1295" s="566"/>
      <c r="AA1295" s="566"/>
      <c r="AB1295" s="566"/>
      <c r="AC1295" s="566"/>
      <c r="AD1295" s="566"/>
    </row>
    <row r="1296" spans="18:30" x14ac:dyDescent="0.25">
      <c r="R1296" s="566"/>
      <c r="S1296" s="566"/>
      <c r="T1296" s="566"/>
      <c r="U1296" s="566"/>
      <c r="V1296" s="566"/>
      <c r="W1296" s="566"/>
      <c r="X1296" s="566"/>
      <c r="Y1296" s="566"/>
      <c r="Z1296" s="566"/>
      <c r="AA1296" s="566"/>
      <c r="AB1296" s="566"/>
      <c r="AC1296" s="566"/>
      <c r="AD1296" s="566"/>
    </row>
    <row r="1297" spans="18:30" x14ac:dyDescent="0.25">
      <c r="R1297" s="566"/>
      <c r="S1297" s="566"/>
      <c r="T1297" s="566"/>
      <c r="U1297" s="566"/>
      <c r="V1297" s="566"/>
      <c r="W1297" s="566"/>
      <c r="X1297" s="566"/>
      <c r="Y1297" s="566"/>
      <c r="Z1297" s="566"/>
      <c r="AA1297" s="566"/>
      <c r="AB1297" s="566"/>
      <c r="AC1297" s="566"/>
      <c r="AD1297" s="566"/>
    </row>
    <row r="1298" spans="18:30" x14ac:dyDescent="0.25">
      <c r="R1298" s="566"/>
      <c r="S1298" s="566"/>
      <c r="T1298" s="566"/>
      <c r="U1298" s="566"/>
      <c r="V1298" s="566"/>
      <c r="W1298" s="566"/>
      <c r="X1298" s="566"/>
      <c r="Y1298" s="566"/>
      <c r="Z1298" s="566"/>
      <c r="AA1298" s="566"/>
      <c r="AB1298" s="566"/>
      <c r="AC1298" s="566"/>
      <c r="AD1298" s="566"/>
    </row>
    <row r="1299" spans="18:30" x14ac:dyDescent="0.25">
      <c r="R1299" s="566"/>
      <c r="S1299" s="566"/>
      <c r="T1299" s="566"/>
      <c r="U1299" s="566"/>
      <c r="V1299" s="566"/>
      <c r="W1299" s="566"/>
      <c r="X1299" s="566"/>
      <c r="Y1299" s="566"/>
      <c r="Z1299" s="566"/>
      <c r="AA1299" s="566"/>
      <c r="AB1299" s="566"/>
      <c r="AC1299" s="566"/>
      <c r="AD1299" s="566"/>
    </row>
    <row r="1300" spans="18:30" x14ac:dyDescent="0.25">
      <c r="R1300" s="566"/>
      <c r="S1300" s="566"/>
      <c r="T1300" s="566"/>
      <c r="U1300" s="566"/>
      <c r="V1300" s="566"/>
      <c r="W1300" s="566"/>
      <c r="X1300" s="566"/>
      <c r="Y1300" s="566"/>
      <c r="Z1300" s="566"/>
      <c r="AA1300" s="566"/>
      <c r="AB1300" s="566"/>
      <c r="AC1300" s="566"/>
      <c r="AD1300" s="566"/>
    </row>
    <row r="1301" spans="18:30" x14ac:dyDescent="0.25">
      <c r="R1301" s="566"/>
      <c r="S1301" s="566"/>
      <c r="T1301" s="566"/>
      <c r="U1301" s="566"/>
      <c r="V1301" s="566"/>
      <c r="W1301" s="566"/>
      <c r="X1301" s="566"/>
      <c r="Y1301" s="566"/>
      <c r="Z1301" s="566"/>
      <c r="AA1301" s="566"/>
      <c r="AB1301" s="566"/>
      <c r="AC1301" s="566"/>
      <c r="AD1301" s="566"/>
    </row>
    <row r="1302" spans="18:30" x14ac:dyDescent="0.25">
      <c r="R1302" s="566"/>
      <c r="S1302" s="566"/>
      <c r="T1302" s="566"/>
      <c r="U1302" s="566"/>
      <c r="V1302" s="566"/>
      <c r="W1302" s="566"/>
      <c r="X1302" s="566"/>
      <c r="Y1302" s="566"/>
      <c r="Z1302" s="566"/>
      <c r="AA1302" s="566"/>
      <c r="AB1302" s="566"/>
      <c r="AC1302" s="566"/>
      <c r="AD1302" s="566"/>
    </row>
    <row r="1303" spans="18:30" x14ac:dyDescent="0.25">
      <c r="R1303" s="566"/>
      <c r="S1303" s="566"/>
      <c r="T1303" s="566"/>
      <c r="U1303" s="566"/>
      <c r="V1303" s="566"/>
      <c r="W1303" s="566"/>
      <c r="X1303" s="566"/>
      <c r="Y1303" s="566"/>
      <c r="Z1303" s="566"/>
      <c r="AA1303" s="566"/>
      <c r="AB1303" s="566"/>
      <c r="AC1303" s="566"/>
      <c r="AD1303" s="566"/>
    </row>
    <row r="1304" spans="18:30" x14ac:dyDescent="0.25">
      <c r="R1304" s="566"/>
      <c r="S1304" s="566"/>
      <c r="T1304" s="566"/>
      <c r="U1304" s="566"/>
      <c r="V1304" s="566"/>
      <c r="W1304" s="566"/>
      <c r="X1304" s="566"/>
      <c r="Y1304" s="566"/>
      <c r="Z1304" s="566"/>
      <c r="AA1304" s="566"/>
      <c r="AB1304" s="566"/>
      <c r="AC1304" s="566"/>
      <c r="AD1304" s="566"/>
    </row>
    <row r="1305" spans="18:30" x14ac:dyDescent="0.25">
      <c r="R1305" s="566"/>
      <c r="S1305" s="566"/>
      <c r="T1305" s="566"/>
      <c r="U1305" s="566"/>
      <c r="V1305" s="566"/>
      <c r="W1305" s="566"/>
      <c r="X1305" s="566"/>
      <c r="Y1305" s="566"/>
      <c r="Z1305" s="566"/>
      <c r="AA1305" s="566"/>
      <c r="AB1305" s="566"/>
      <c r="AC1305" s="566"/>
      <c r="AD1305" s="566"/>
    </row>
    <row r="1306" spans="18:30" x14ac:dyDescent="0.25">
      <c r="R1306" s="566"/>
      <c r="S1306" s="566"/>
      <c r="T1306" s="566"/>
      <c r="U1306" s="566"/>
      <c r="V1306" s="566"/>
      <c r="W1306" s="566"/>
      <c r="X1306" s="566"/>
      <c r="Y1306" s="566"/>
      <c r="Z1306" s="566"/>
      <c r="AA1306" s="566"/>
      <c r="AB1306" s="566"/>
      <c r="AC1306" s="566"/>
      <c r="AD1306" s="566"/>
    </row>
    <row r="1307" spans="18:30" x14ac:dyDescent="0.25">
      <c r="R1307" s="566"/>
      <c r="S1307" s="566"/>
      <c r="T1307" s="566"/>
      <c r="U1307" s="566"/>
      <c r="V1307" s="566"/>
      <c r="W1307" s="566"/>
      <c r="X1307" s="566"/>
      <c r="Y1307" s="566"/>
      <c r="Z1307" s="566"/>
      <c r="AA1307" s="566"/>
      <c r="AB1307" s="566"/>
      <c r="AC1307" s="566"/>
      <c r="AD1307" s="566"/>
    </row>
    <row r="1308" spans="18:30" x14ac:dyDescent="0.25">
      <c r="R1308" s="566"/>
      <c r="S1308" s="566"/>
      <c r="T1308" s="566"/>
      <c r="U1308" s="566"/>
      <c r="V1308" s="566"/>
      <c r="W1308" s="566"/>
      <c r="X1308" s="566"/>
      <c r="Y1308" s="566"/>
      <c r="Z1308" s="566"/>
      <c r="AA1308" s="566"/>
      <c r="AB1308" s="566"/>
      <c r="AC1308" s="566"/>
      <c r="AD1308" s="566"/>
    </row>
    <row r="1309" spans="18:30" x14ac:dyDescent="0.25">
      <c r="R1309" s="566"/>
      <c r="S1309" s="566"/>
      <c r="T1309" s="566"/>
      <c r="U1309" s="566"/>
      <c r="V1309" s="566"/>
      <c r="W1309" s="566"/>
      <c r="X1309" s="566"/>
      <c r="Y1309" s="566"/>
      <c r="Z1309" s="566"/>
      <c r="AA1309" s="566"/>
      <c r="AB1309" s="566"/>
      <c r="AC1309" s="566"/>
      <c r="AD1309" s="566"/>
    </row>
    <row r="1310" spans="18:30" x14ac:dyDescent="0.25">
      <c r="R1310" s="566"/>
      <c r="S1310" s="566"/>
      <c r="T1310" s="566"/>
      <c r="U1310" s="566"/>
      <c r="V1310" s="566"/>
      <c r="W1310" s="566"/>
      <c r="X1310" s="566"/>
      <c r="Y1310" s="566"/>
      <c r="Z1310" s="566"/>
      <c r="AA1310" s="566"/>
      <c r="AB1310" s="566"/>
      <c r="AC1310" s="566"/>
      <c r="AD1310" s="566"/>
    </row>
    <row r="1311" spans="18:30" x14ac:dyDescent="0.25">
      <c r="R1311" s="566"/>
      <c r="S1311" s="566"/>
      <c r="T1311" s="566"/>
      <c r="U1311" s="566"/>
      <c r="V1311" s="566"/>
      <c r="W1311" s="566"/>
      <c r="X1311" s="566"/>
      <c r="Y1311" s="566"/>
      <c r="Z1311" s="566"/>
      <c r="AA1311" s="566"/>
      <c r="AB1311" s="566"/>
      <c r="AC1311" s="566"/>
      <c r="AD1311" s="566"/>
    </row>
    <row r="1312" spans="18:30" x14ac:dyDescent="0.25">
      <c r="R1312" s="566"/>
      <c r="S1312" s="566"/>
      <c r="T1312" s="566"/>
      <c r="U1312" s="566"/>
      <c r="V1312" s="566"/>
      <c r="W1312" s="566"/>
      <c r="X1312" s="566"/>
      <c r="Y1312" s="566"/>
      <c r="Z1312" s="566"/>
      <c r="AA1312" s="566"/>
      <c r="AB1312" s="566"/>
      <c r="AC1312" s="566"/>
      <c r="AD1312" s="566"/>
    </row>
    <row r="1313" spans="18:30" x14ac:dyDescent="0.25">
      <c r="R1313" s="566"/>
      <c r="S1313" s="566"/>
      <c r="T1313" s="566"/>
      <c r="U1313" s="566"/>
      <c r="V1313" s="566"/>
      <c r="W1313" s="566"/>
      <c r="X1313" s="566"/>
      <c r="Y1313" s="566"/>
      <c r="Z1313" s="566"/>
      <c r="AA1313" s="566"/>
      <c r="AB1313" s="566"/>
      <c r="AC1313" s="566"/>
      <c r="AD1313" s="566"/>
    </row>
    <row r="1314" spans="18:30" x14ac:dyDescent="0.25">
      <c r="R1314" s="566"/>
      <c r="S1314" s="566"/>
      <c r="T1314" s="566"/>
      <c r="U1314" s="566"/>
      <c r="V1314" s="566"/>
      <c r="W1314" s="566"/>
      <c r="X1314" s="566"/>
      <c r="Y1314" s="566"/>
      <c r="Z1314" s="566"/>
      <c r="AA1314" s="566"/>
      <c r="AB1314" s="566"/>
      <c r="AC1314" s="566"/>
      <c r="AD1314" s="566"/>
    </row>
    <row r="1315" spans="18:30" x14ac:dyDescent="0.25">
      <c r="R1315" s="566"/>
      <c r="S1315" s="566"/>
      <c r="T1315" s="566"/>
      <c r="U1315" s="566"/>
      <c r="V1315" s="566"/>
      <c r="W1315" s="566"/>
      <c r="X1315" s="566"/>
      <c r="Y1315" s="566"/>
      <c r="Z1315" s="566"/>
      <c r="AA1315" s="566"/>
      <c r="AB1315" s="566"/>
      <c r="AC1315" s="566"/>
      <c r="AD1315" s="566"/>
    </row>
    <row r="1316" spans="18:30" x14ac:dyDescent="0.25">
      <c r="R1316" s="566"/>
      <c r="S1316" s="566"/>
      <c r="T1316" s="566"/>
      <c r="U1316" s="566"/>
      <c r="V1316" s="566"/>
      <c r="W1316" s="566"/>
      <c r="X1316" s="566"/>
      <c r="Y1316" s="566"/>
      <c r="Z1316" s="566"/>
      <c r="AA1316" s="566"/>
      <c r="AB1316" s="566"/>
      <c r="AC1316" s="566"/>
      <c r="AD1316" s="566"/>
    </row>
    <row r="1317" spans="18:30" x14ac:dyDescent="0.25">
      <c r="R1317" s="566"/>
      <c r="S1317" s="566"/>
      <c r="T1317" s="566"/>
      <c r="U1317" s="566"/>
      <c r="V1317" s="566"/>
      <c r="W1317" s="566"/>
      <c r="X1317" s="566"/>
      <c r="Y1317" s="566"/>
      <c r="Z1317" s="566"/>
      <c r="AA1317" s="566"/>
      <c r="AB1317" s="566"/>
      <c r="AC1317" s="566"/>
      <c r="AD1317" s="566"/>
    </row>
    <row r="1318" spans="18:30" x14ac:dyDescent="0.25">
      <c r="R1318" s="566"/>
      <c r="S1318" s="566"/>
      <c r="T1318" s="566"/>
      <c r="U1318" s="566"/>
      <c r="V1318" s="566"/>
      <c r="W1318" s="566"/>
      <c r="X1318" s="566"/>
      <c r="Y1318" s="566"/>
      <c r="Z1318" s="566"/>
      <c r="AA1318" s="566"/>
      <c r="AB1318" s="566"/>
      <c r="AC1318" s="566"/>
      <c r="AD1318" s="566"/>
    </row>
    <row r="1319" spans="18:30" x14ac:dyDescent="0.25">
      <c r="R1319" s="566"/>
      <c r="S1319" s="566"/>
      <c r="T1319" s="566"/>
      <c r="U1319" s="566"/>
      <c r="V1319" s="566"/>
      <c r="W1319" s="566"/>
      <c r="X1319" s="566"/>
      <c r="Y1319" s="566"/>
      <c r="Z1319" s="566"/>
      <c r="AA1319" s="566"/>
      <c r="AB1319" s="566"/>
      <c r="AC1319" s="566"/>
      <c r="AD1319" s="566"/>
    </row>
    <row r="1320" spans="18:30" x14ac:dyDescent="0.25">
      <c r="R1320" s="566"/>
      <c r="S1320" s="566"/>
      <c r="T1320" s="566"/>
      <c r="U1320" s="566"/>
      <c r="V1320" s="566"/>
      <c r="W1320" s="566"/>
      <c r="X1320" s="566"/>
      <c r="Y1320" s="566"/>
      <c r="Z1320" s="566"/>
      <c r="AA1320" s="566"/>
      <c r="AB1320" s="566"/>
      <c r="AC1320" s="566"/>
      <c r="AD1320" s="566"/>
    </row>
    <row r="1321" spans="18:30" x14ac:dyDescent="0.25">
      <c r="R1321" s="566"/>
      <c r="S1321" s="566"/>
      <c r="T1321" s="566"/>
      <c r="U1321" s="566"/>
      <c r="V1321" s="566"/>
      <c r="W1321" s="566"/>
      <c r="X1321" s="566"/>
      <c r="Y1321" s="566"/>
      <c r="Z1321" s="566"/>
      <c r="AA1321" s="566"/>
      <c r="AB1321" s="566"/>
      <c r="AC1321" s="566"/>
      <c r="AD1321" s="566"/>
    </row>
    <row r="1322" spans="18:30" x14ac:dyDescent="0.25">
      <c r="R1322" s="566"/>
      <c r="S1322" s="566"/>
      <c r="T1322" s="566"/>
      <c r="U1322" s="566"/>
      <c r="V1322" s="566"/>
      <c r="W1322" s="566"/>
      <c r="X1322" s="566"/>
      <c r="Y1322" s="566"/>
      <c r="Z1322" s="566"/>
      <c r="AA1322" s="566"/>
      <c r="AB1322" s="566"/>
      <c r="AC1322" s="566"/>
      <c r="AD1322" s="566"/>
    </row>
    <row r="1323" spans="18:30" x14ac:dyDescent="0.25">
      <c r="R1323" s="566"/>
      <c r="S1323" s="566"/>
      <c r="T1323" s="566"/>
      <c r="U1323" s="566"/>
      <c r="V1323" s="566"/>
      <c r="W1323" s="566"/>
      <c r="X1323" s="566"/>
      <c r="Y1323" s="566"/>
      <c r="Z1323" s="566"/>
      <c r="AA1323" s="566"/>
      <c r="AB1323" s="566"/>
      <c r="AC1323" s="566"/>
      <c r="AD1323" s="566"/>
    </row>
    <row r="1324" spans="18:30" x14ac:dyDescent="0.25">
      <c r="R1324" s="566"/>
      <c r="S1324" s="566"/>
      <c r="T1324" s="566"/>
      <c r="U1324" s="566"/>
      <c r="V1324" s="566"/>
      <c r="W1324" s="566"/>
      <c r="X1324" s="566"/>
      <c r="Y1324" s="566"/>
      <c r="Z1324" s="566"/>
      <c r="AA1324" s="566"/>
      <c r="AB1324" s="566"/>
      <c r="AC1324" s="566"/>
      <c r="AD1324" s="566"/>
    </row>
    <row r="1325" spans="18:30" x14ac:dyDescent="0.25">
      <c r="R1325" s="566"/>
      <c r="S1325" s="566"/>
      <c r="T1325" s="566"/>
      <c r="U1325" s="566"/>
      <c r="V1325" s="566"/>
      <c r="W1325" s="566"/>
      <c r="X1325" s="566"/>
      <c r="Y1325" s="566"/>
      <c r="Z1325" s="566"/>
      <c r="AA1325" s="566"/>
      <c r="AB1325" s="566"/>
      <c r="AC1325" s="566"/>
      <c r="AD1325" s="566"/>
    </row>
    <row r="1326" spans="18:30" x14ac:dyDescent="0.25">
      <c r="R1326" s="566"/>
      <c r="S1326" s="566"/>
      <c r="T1326" s="566"/>
      <c r="U1326" s="566"/>
      <c r="V1326" s="566"/>
      <c r="W1326" s="566"/>
      <c r="X1326" s="566"/>
      <c r="Y1326" s="566"/>
      <c r="Z1326" s="566"/>
      <c r="AA1326" s="566"/>
      <c r="AB1326" s="566"/>
      <c r="AC1326" s="566"/>
      <c r="AD1326" s="566"/>
    </row>
    <row r="1327" spans="18:30" x14ac:dyDescent="0.25">
      <c r="R1327" s="566"/>
      <c r="S1327" s="566"/>
      <c r="T1327" s="566"/>
      <c r="U1327" s="566"/>
      <c r="V1327" s="566"/>
      <c r="W1327" s="566"/>
      <c r="X1327" s="566"/>
      <c r="Y1327" s="566"/>
      <c r="Z1327" s="566"/>
      <c r="AA1327" s="566"/>
      <c r="AB1327" s="566"/>
      <c r="AC1327" s="566"/>
      <c r="AD1327" s="566"/>
    </row>
    <row r="1328" spans="18:30" x14ac:dyDescent="0.25">
      <c r="R1328" s="566"/>
      <c r="S1328" s="566"/>
      <c r="T1328" s="566"/>
      <c r="U1328" s="566"/>
      <c r="V1328" s="566"/>
      <c r="W1328" s="566"/>
      <c r="X1328" s="566"/>
      <c r="Y1328" s="566"/>
      <c r="Z1328" s="566"/>
      <c r="AA1328" s="566"/>
      <c r="AB1328" s="566"/>
      <c r="AC1328" s="566"/>
      <c r="AD1328" s="566"/>
    </row>
    <row r="1329" spans="18:30" x14ac:dyDescent="0.25">
      <c r="R1329" s="566"/>
      <c r="S1329" s="566"/>
      <c r="T1329" s="566"/>
      <c r="U1329" s="566"/>
      <c r="V1329" s="566"/>
      <c r="W1329" s="566"/>
      <c r="X1329" s="566"/>
      <c r="Y1329" s="566"/>
      <c r="Z1329" s="566"/>
      <c r="AA1329" s="566"/>
      <c r="AB1329" s="566"/>
      <c r="AC1329" s="566"/>
      <c r="AD1329" s="566"/>
    </row>
    <row r="1330" spans="18:30" x14ac:dyDescent="0.25">
      <c r="R1330" s="566"/>
      <c r="S1330" s="566"/>
      <c r="T1330" s="566"/>
      <c r="U1330" s="566"/>
      <c r="V1330" s="566"/>
      <c r="W1330" s="566"/>
      <c r="X1330" s="566"/>
      <c r="Y1330" s="566"/>
      <c r="Z1330" s="566"/>
      <c r="AA1330" s="566"/>
      <c r="AB1330" s="566"/>
      <c r="AC1330" s="566"/>
      <c r="AD1330" s="566"/>
    </row>
    <row r="1331" spans="18:30" x14ac:dyDescent="0.25">
      <c r="R1331" s="566"/>
      <c r="S1331" s="566"/>
      <c r="T1331" s="566"/>
      <c r="U1331" s="566"/>
      <c r="V1331" s="566"/>
      <c r="W1331" s="566"/>
      <c r="X1331" s="566"/>
      <c r="Y1331" s="566"/>
      <c r="Z1331" s="566"/>
      <c r="AA1331" s="566"/>
      <c r="AB1331" s="566"/>
      <c r="AC1331" s="566"/>
      <c r="AD1331" s="566"/>
    </row>
    <row r="1332" spans="18:30" x14ac:dyDescent="0.25">
      <c r="R1332" s="566"/>
      <c r="S1332" s="566"/>
      <c r="T1332" s="566"/>
      <c r="U1332" s="566"/>
      <c r="V1332" s="566"/>
      <c r="W1332" s="566"/>
      <c r="X1332" s="566"/>
      <c r="Y1332" s="566"/>
      <c r="Z1332" s="566"/>
      <c r="AA1332" s="566"/>
      <c r="AB1332" s="566"/>
      <c r="AC1332" s="566"/>
      <c r="AD1332" s="566"/>
    </row>
    <row r="1333" spans="18:30" x14ac:dyDescent="0.25">
      <c r="R1333" s="566"/>
      <c r="S1333" s="566"/>
      <c r="T1333" s="566"/>
      <c r="U1333" s="566"/>
      <c r="V1333" s="566"/>
      <c r="W1333" s="566"/>
      <c r="X1333" s="566"/>
      <c r="Y1333" s="566"/>
      <c r="Z1333" s="566"/>
      <c r="AA1333" s="566"/>
      <c r="AB1333" s="566"/>
      <c r="AC1333" s="566"/>
      <c r="AD1333" s="566"/>
    </row>
    <row r="1334" spans="18:30" x14ac:dyDescent="0.25">
      <c r="R1334" s="566"/>
      <c r="S1334" s="566"/>
      <c r="T1334" s="566"/>
      <c r="U1334" s="566"/>
      <c r="V1334" s="566"/>
      <c r="W1334" s="566"/>
      <c r="X1334" s="566"/>
      <c r="Y1334" s="566"/>
      <c r="Z1334" s="566"/>
      <c r="AA1334" s="566"/>
      <c r="AB1334" s="566"/>
      <c r="AC1334" s="566"/>
      <c r="AD1334" s="566"/>
    </row>
    <row r="1335" spans="18:30" x14ac:dyDescent="0.25">
      <c r="R1335" s="566"/>
      <c r="S1335" s="566"/>
      <c r="T1335" s="566"/>
      <c r="U1335" s="566"/>
      <c r="V1335" s="566"/>
      <c r="W1335" s="566"/>
      <c r="X1335" s="566"/>
      <c r="Y1335" s="566"/>
      <c r="Z1335" s="566"/>
      <c r="AA1335" s="566"/>
      <c r="AB1335" s="566"/>
      <c r="AC1335" s="566"/>
      <c r="AD1335" s="566"/>
    </row>
    <row r="1336" spans="18:30" x14ac:dyDescent="0.25">
      <c r="R1336" s="566"/>
      <c r="S1336" s="566"/>
      <c r="T1336" s="566"/>
      <c r="U1336" s="566"/>
      <c r="V1336" s="566"/>
      <c r="W1336" s="566"/>
      <c r="X1336" s="566"/>
      <c r="Y1336" s="566"/>
      <c r="Z1336" s="566"/>
      <c r="AA1336" s="566"/>
      <c r="AB1336" s="566"/>
      <c r="AC1336" s="566"/>
      <c r="AD1336" s="566"/>
    </row>
    <row r="1337" spans="18:30" x14ac:dyDescent="0.25">
      <c r="R1337" s="566"/>
      <c r="S1337" s="566"/>
      <c r="T1337" s="566"/>
      <c r="U1337" s="566"/>
      <c r="V1337" s="566"/>
      <c r="W1337" s="566"/>
      <c r="X1337" s="566"/>
      <c r="Y1337" s="566"/>
      <c r="Z1337" s="566"/>
      <c r="AA1337" s="566"/>
      <c r="AB1337" s="566"/>
      <c r="AC1337" s="566"/>
      <c r="AD1337" s="566"/>
    </row>
    <row r="1338" spans="18:30" x14ac:dyDescent="0.25">
      <c r="R1338" s="566"/>
      <c r="S1338" s="566"/>
      <c r="T1338" s="566"/>
      <c r="U1338" s="566"/>
      <c r="V1338" s="566"/>
      <c r="W1338" s="566"/>
      <c r="X1338" s="566"/>
      <c r="Y1338" s="566"/>
      <c r="Z1338" s="566"/>
      <c r="AA1338" s="566"/>
      <c r="AB1338" s="566"/>
      <c r="AC1338" s="566"/>
      <c r="AD1338" s="566"/>
    </row>
    <row r="1339" spans="18:30" x14ac:dyDescent="0.25">
      <c r="R1339" s="566"/>
      <c r="S1339" s="566"/>
      <c r="T1339" s="566"/>
      <c r="U1339" s="566"/>
      <c r="V1339" s="566"/>
      <c r="W1339" s="566"/>
      <c r="X1339" s="566"/>
      <c r="Y1339" s="566"/>
      <c r="Z1339" s="566"/>
      <c r="AA1339" s="566"/>
      <c r="AB1339" s="566"/>
      <c r="AC1339" s="566"/>
      <c r="AD1339" s="566"/>
    </row>
    <row r="1340" spans="18:30" x14ac:dyDescent="0.25">
      <c r="R1340" s="566"/>
      <c r="S1340" s="566"/>
      <c r="T1340" s="566"/>
      <c r="U1340" s="566"/>
      <c r="V1340" s="566"/>
      <c r="W1340" s="566"/>
      <c r="X1340" s="566"/>
      <c r="Y1340" s="566"/>
      <c r="Z1340" s="566"/>
      <c r="AA1340" s="566"/>
      <c r="AB1340" s="566"/>
      <c r="AC1340" s="566"/>
      <c r="AD1340" s="566"/>
    </row>
    <row r="1341" spans="18:30" x14ac:dyDescent="0.25">
      <c r="R1341" s="566"/>
      <c r="S1341" s="566"/>
      <c r="T1341" s="566"/>
      <c r="U1341" s="566"/>
      <c r="V1341" s="566"/>
      <c r="W1341" s="566"/>
      <c r="X1341" s="566"/>
      <c r="Y1341" s="566"/>
      <c r="Z1341" s="566"/>
      <c r="AA1341" s="566"/>
      <c r="AB1341" s="566"/>
      <c r="AC1341" s="566"/>
      <c r="AD1341" s="566"/>
    </row>
    <row r="1342" spans="18:30" x14ac:dyDescent="0.25">
      <c r="R1342" s="566"/>
      <c r="S1342" s="566"/>
      <c r="T1342" s="566"/>
      <c r="U1342" s="566"/>
      <c r="V1342" s="566"/>
      <c r="W1342" s="566"/>
      <c r="X1342" s="566"/>
      <c r="Y1342" s="566"/>
      <c r="Z1342" s="566"/>
      <c r="AA1342" s="566"/>
      <c r="AB1342" s="566"/>
      <c r="AC1342" s="566"/>
      <c r="AD1342" s="566"/>
    </row>
    <row r="1343" spans="18:30" x14ac:dyDescent="0.25">
      <c r="R1343" s="566"/>
      <c r="S1343" s="566"/>
      <c r="T1343" s="566"/>
      <c r="U1343" s="566"/>
      <c r="V1343" s="566"/>
      <c r="W1343" s="566"/>
      <c r="X1343" s="566"/>
      <c r="Y1343" s="566"/>
      <c r="Z1343" s="566"/>
      <c r="AA1343" s="566"/>
      <c r="AB1343" s="566"/>
      <c r="AC1343" s="566"/>
      <c r="AD1343" s="566"/>
    </row>
    <row r="1344" spans="18:30" x14ac:dyDescent="0.25">
      <c r="R1344" s="566"/>
      <c r="S1344" s="566"/>
      <c r="T1344" s="566"/>
      <c r="U1344" s="566"/>
      <c r="V1344" s="566"/>
      <c r="W1344" s="566"/>
      <c r="X1344" s="566"/>
      <c r="Y1344" s="566"/>
      <c r="Z1344" s="566"/>
      <c r="AA1344" s="566"/>
      <c r="AB1344" s="566"/>
      <c r="AC1344" s="566"/>
      <c r="AD1344" s="566"/>
    </row>
    <row r="1345" spans="18:30" x14ac:dyDescent="0.25">
      <c r="R1345" s="566"/>
      <c r="S1345" s="566"/>
      <c r="T1345" s="566"/>
      <c r="U1345" s="566"/>
      <c r="V1345" s="566"/>
      <c r="W1345" s="566"/>
      <c r="X1345" s="566"/>
      <c r="Y1345" s="566"/>
      <c r="Z1345" s="566"/>
      <c r="AA1345" s="566"/>
      <c r="AB1345" s="566"/>
      <c r="AC1345" s="566"/>
      <c r="AD1345" s="566"/>
    </row>
    <row r="1346" spans="18:30" x14ac:dyDescent="0.25">
      <c r="R1346" s="566"/>
      <c r="S1346" s="566"/>
      <c r="T1346" s="566"/>
      <c r="U1346" s="566"/>
      <c r="V1346" s="566"/>
      <c r="W1346" s="566"/>
      <c r="X1346" s="566"/>
      <c r="Y1346" s="566"/>
      <c r="Z1346" s="566"/>
      <c r="AA1346" s="566"/>
      <c r="AB1346" s="566"/>
      <c r="AC1346" s="566"/>
      <c r="AD1346" s="566"/>
    </row>
    <row r="1347" spans="18:30" x14ac:dyDescent="0.25">
      <c r="R1347" s="566"/>
      <c r="S1347" s="566"/>
      <c r="T1347" s="566"/>
      <c r="U1347" s="566"/>
      <c r="V1347" s="566"/>
      <c r="W1347" s="566"/>
      <c r="X1347" s="566"/>
      <c r="Y1347" s="566"/>
      <c r="Z1347" s="566"/>
      <c r="AA1347" s="566"/>
      <c r="AB1347" s="566"/>
      <c r="AC1347" s="566"/>
      <c r="AD1347" s="566"/>
    </row>
    <row r="1348" spans="18:30" x14ac:dyDescent="0.25">
      <c r="R1348" s="566"/>
      <c r="S1348" s="566"/>
      <c r="T1348" s="566"/>
      <c r="U1348" s="566"/>
      <c r="V1348" s="566"/>
      <c r="W1348" s="566"/>
      <c r="X1348" s="566"/>
      <c r="Y1348" s="566"/>
      <c r="Z1348" s="566"/>
      <c r="AA1348" s="566"/>
      <c r="AB1348" s="566"/>
      <c r="AC1348" s="566"/>
      <c r="AD1348" s="566"/>
    </row>
    <row r="1349" spans="18:30" x14ac:dyDescent="0.25">
      <c r="R1349" s="566"/>
      <c r="S1349" s="566"/>
      <c r="T1349" s="566"/>
      <c r="U1349" s="566"/>
      <c r="V1349" s="566"/>
      <c r="W1349" s="566"/>
      <c r="X1349" s="566"/>
      <c r="Y1349" s="566"/>
      <c r="Z1349" s="566"/>
      <c r="AA1349" s="566"/>
      <c r="AB1349" s="566"/>
      <c r="AC1349" s="566"/>
      <c r="AD1349" s="566"/>
    </row>
    <row r="1350" spans="18:30" x14ac:dyDescent="0.25">
      <c r="R1350" s="566"/>
      <c r="S1350" s="566"/>
      <c r="T1350" s="566"/>
      <c r="U1350" s="566"/>
      <c r="V1350" s="566"/>
      <c r="W1350" s="566"/>
      <c r="X1350" s="566"/>
      <c r="Y1350" s="566"/>
      <c r="Z1350" s="566"/>
      <c r="AA1350" s="566"/>
      <c r="AB1350" s="566"/>
      <c r="AC1350" s="566"/>
      <c r="AD1350" s="566"/>
    </row>
    <row r="1351" spans="18:30" x14ac:dyDescent="0.25">
      <c r="R1351" s="566"/>
      <c r="S1351" s="566"/>
      <c r="T1351" s="566"/>
      <c r="U1351" s="566"/>
      <c r="V1351" s="566"/>
      <c r="W1351" s="566"/>
      <c r="X1351" s="566"/>
      <c r="Y1351" s="566"/>
      <c r="Z1351" s="566"/>
      <c r="AA1351" s="566"/>
      <c r="AB1351" s="566"/>
      <c r="AC1351" s="566"/>
      <c r="AD1351" s="566"/>
    </row>
    <row r="1352" spans="18:30" x14ac:dyDescent="0.25">
      <c r="R1352" s="566"/>
      <c r="S1352" s="566"/>
      <c r="T1352" s="566"/>
      <c r="U1352" s="566"/>
      <c r="V1352" s="566"/>
      <c r="W1352" s="566"/>
      <c r="X1352" s="566"/>
      <c r="Y1352" s="566"/>
      <c r="Z1352" s="566"/>
      <c r="AA1352" s="566"/>
      <c r="AB1352" s="566"/>
      <c r="AC1352" s="566"/>
      <c r="AD1352" s="566"/>
    </row>
    <row r="1353" spans="18:30" x14ac:dyDescent="0.25">
      <c r="R1353" s="566"/>
      <c r="S1353" s="566"/>
      <c r="T1353" s="566"/>
      <c r="U1353" s="566"/>
      <c r="V1353" s="566"/>
      <c r="W1353" s="566"/>
      <c r="X1353" s="566"/>
      <c r="Y1353" s="566"/>
      <c r="Z1353" s="566"/>
      <c r="AA1353" s="566"/>
      <c r="AB1353" s="566"/>
      <c r="AC1353" s="566"/>
      <c r="AD1353" s="566"/>
    </row>
    <row r="1354" spans="18:30" x14ac:dyDescent="0.25">
      <c r="R1354" s="566"/>
      <c r="S1354" s="566"/>
      <c r="T1354" s="566"/>
      <c r="U1354" s="566"/>
      <c r="V1354" s="566"/>
      <c r="W1354" s="566"/>
      <c r="X1354" s="566"/>
      <c r="Y1354" s="566"/>
      <c r="Z1354" s="566"/>
      <c r="AA1354" s="566"/>
      <c r="AB1354" s="566"/>
      <c r="AC1354" s="566"/>
      <c r="AD1354" s="566"/>
    </row>
    <row r="1355" spans="18:30" x14ac:dyDescent="0.25">
      <c r="R1355" s="566"/>
      <c r="S1355" s="566"/>
      <c r="T1355" s="566"/>
      <c r="U1355" s="566"/>
      <c r="V1355" s="566"/>
      <c r="W1355" s="566"/>
      <c r="X1355" s="566"/>
      <c r="Y1355" s="566"/>
      <c r="Z1355" s="566"/>
      <c r="AA1355" s="566"/>
      <c r="AB1355" s="566"/>
      <c r="AC1355" s="566"/>
      <c r="AD1355" s="566"/>
    </row>
    <row r="1356" spans="18:30" x14ac:dyDescent="0.25">
      <c r="R1356" s="566"/>
      <c r="S1356" s="566"/>
      <c r="T1356" s="566"/>
      <c r="U1356" s="566"/>
      <c r="V1356" s="566"/>
      <c r="W1356" s="566"/>
      <c r="X1356" s="566"/>
      <c r="Y1356" s="566"/>
      <c r="Z1356" s="566"/>
      <c r="AA1356" s="566"/>
      <c r="AB1356" s="566"/>
      <c r="AC1356" s="566"/>
      <c r="AD1356" s="566"/>
    </row>
    <row r="1357" spans="18:30" x14ac:dyDescent="0.25">
      <c r="R1357" s="566"/>
      <c r="S1357" s="566"/>
      <c r="T1357" s="566"/>
      <c r="U1357" s="566"/>
      <c r="V1357" s="566"/>
      <c r="W1357" s="566"/>
      <c r="X1357" s="566"/>
      <c r="Y1357" s="566"/>
      <c r="Z1357" s="566"/>
      <c r="AA1357" s="566"/>
      <c r="AB1357" s="566"/>
      <c r="AC1357" s="566"/>
      <c r="AD1357" s="566"/>
    </row>
    <row r="1358" spans="18:30" x14ac:dyDescent="0.25">
      <c r="R1358" s="566"/>
      <c r="S1358" s="566"/>
      <c r="T1358" s="566"/>
      <c r="U1358" s="566"/>
      <c r="V1358" s="566"/>
      <c r="W1358" s="566"/>
      <c r="X1358" s="566"/>
      <c r="Y1358" s="566"/>
      <c r="Z1358" s="566"/>
      <c r="AA1358" s="566"/>
      <c r="AB1358" s="566"/>
      <c r="AC1358" s="566"/>
      <c r="AD1358" s="566"/>
    </row>
    <row r="1359" spans="18:30" x14ac:dyDescent="0.25">
      <c r="R1359" s="566"/>
      <c r="S1359" s="566"/>
      <c r="T1359" s="566"/>
      <c r="U1359" s="566"/>
      <c r="V1359" s="566"/>
      <c r="W1359" s="566"/>
      <c r="X1359" s="566"/>
      <c r="Y1359" s="566"/>
      <c r="Z1359" s="566"/>
      <c r="AA1359" s="566"/>
      <c r="AB1359" s="566"/>
      <c r="AC1359" s="566"/>
      <c r="AD1359" s="566"/>
    </row>
    <row r="1360" spans="18:30" x14ac:dyDescent="0.25">
      <c r="R1360" s="566"/>
      <c r="S1360" s="566"/>
      <c r="T1360" s="566"/>
      <c r="U1360" s="566"/>
      <c r="V1360" s="566"/>
      <c r="W1360" s="566"/>
      <c r="X1360" s="566"/>
      <c r="Y1360" s="566"/>
      <c r="Z1360" s="566"/>
      <c r="AA1360" s="566"/>
      <c r="AB1360" s="566"/>
      <c r="AC1360" s="566"/>
      <c r="AD1360" s="566"/>
    </row>
    <row r="1361" spans="18:30" x14ac:dyDescent="0.25">
      <c r="R1361" s="566"/>
      <c r="S1361" s="566"/>
      <c r="T1361" s="566"/>
      <c r="U1361" s="566"/>
      <c r="V1361" s="566"/>
      <c r="W1361" s="566"/>
      <c r="X1361" s="566"/>
      <c r="Y1361" s="566"/>
      <c r="Z1361" s="566"/>
      <c r="AA1361" s="566"/>
      <c r="AB1361" s="566"/>
      <c r="AC1361" s="566"/>
      <c r="AD1361" s="566"/>
    </row>
    <row r="1362" spans="18:30" x14ac:dyDescent="0.25">
      <c r="R1362" s="566"/>
      <c r="S1362" s="566"/>
      <c r="T1362" s="566"/>
      <c r="U1362" s="566"/>
      <c r="V1362" s="566"/>
      <c r="W1362" s="566"/>
      <c r="X1362" s="566"/>
      <c r="Y1362" s="566"/>
      <c r="Z1362" s="566"/>
      <c r="AA1362" s="566"/>
      <c r="AB1362" s="566"/>
      <c r="AC1362" s="566"/>
      <c r="AD1362" s="566"/>
    </row>
    <row r="1363" spans="18:30" x14ac:dyDescent="0.25">
      <c r="R1363" s="566"/>
      <c r="S1363" s="566"/>
      <c r="T1363" s="566"/>
      <c r="U1363" s="566"/>
      <c r="V1363" s="566"/>
      <c r="W1363" s="566"/>
      <c r="X1363" s="566"/>
      <c r="Y1363" s="566"/>
      <c r="Z1363" s="566"/>
      <c r="AA1363" s="566"/>
      <c r="AB1363" s="566"/>
      <c r="AC1363" s="566"/>
      <c r="AD1363" s="566"/>
    </row>
    <row r="1364" spans="18:30" x14ac:dyDescent="0.25">
      <c r="R1364" s="566"/>
      <c r="S1364" s="566"/>
      <c r="T1364" s="566"/>
      <c r="U1364" s="566"/>
      <c r="V1364" s="566"/>
      <c r="W1364" s="566"/>
      <c r="X1364" s="566"/>
      <c r="Y1364" s="566"/>
      <c r="Z1364" s="566"/>
      <c r="AA1364" s="566"/>
      <c r="AB1364" s="566"/>
      <c r="AC1364" s="566"/>
      <c r="AD1364" s="566"/>
    </row>
    <row r="1365" spans="18:30" x14ac:dyDescent="0.25">
      <c r="R1365" s="566"/>
      <c r="S1365" s="566"/>
      <c r="T1365" s="566"/>
      <c r="U1365" s="566"/>
      <c r="V1365" s="566"/>
      <c r="W1365" s="566"/>
      <c r="X1365" s="566"/>
      <c r="Y1365" s="566"/>
      <c r="Z1365" s="566"/>
      <c r="AA1365" s="566"/>
      <c r="AB1365" s="566"/>
      <c r="AC1365" s="566"/>
      <c r="AD1365" s="566"/>
    </row>
    <row r="1366" spans="18:30" x14ac:dyDescent="0.25">
      <c r="R1366" s="566"/>
      <c r="S1366" s="566"/>
      <c r="T1366" s="566"/>
      <c r="U1366" s="566"/>
      <c r="V1366" s="566"/>
      <c r="W1366" s="566"/>
      <c r="X1366" s="566"/>
      <c r="Y1366" s="566"/>
      <c r="Z1366" s="566"/>
      <c r="AA1366" s="566"/>
      <c r="AB1366" s="566"/>
      <c r="AC1366" s="566"/>
      <c r="AD1366" s="566"/>
    </row>
    <row r="1367" spans="18:30" x14ac:dyDescent="0.25">
      <c r="R1367" s="566"/>
      <c r="S1367" s="566"/>
      <c r="T1367" s="566"/>
      <c r="U1367" s="566"/>
      <c r="V1367" s="566"/>
      <c r="W1367" s="566"/>
      <c r="X1367" s="566"/>
      <c r="Y1367" s="566"/>
      <c r="Z1367" s="566"/>
      <c r="AA1367" s="566"/>
      <c r="AB1367" s="566"/>
      <c r="AC1367" s="566"/>
      <c r="AD1367" s="566"/>
    </row>
    <row r="1368" spans="18:30" x14ac:dyDescent="0.25">
      <c r="R1368" s="566"/>
      <c r="S1368" s="566"/>
      <c r="T1368" s="566"/>
      <c r="U1368" s="566"/>
      <c r="V1368" s="566"/>
      <c r="W1368" s="566"/>
      <c r="X1368" s="566"/>
      <c r="Y1368" s="566"/>
      <c r="Z1368" s="566"/>
      <c r="AA1368" s="566"/>
      <c r="AB1368" s="566"/>
      <c r="AC1368" s="566"/>
      <c r="AD1368" s="566"/>
    </row>
    <row r="1369" spans="18:30" x14ac:dyDescent="0.25">
      <c r="R1369" s="566"/>
      <c r="S1369" s="566"/>
      <c r="T1369" s="566"/>
      <c r="U1369" s="566"/>
      <c r="V1369" s="566"/>
      <c r="W1369" s="566"/>
      <c r="X1369" s="566"/>
      <c r="Y1369" s="566"/>
      <c r="Z1369" s="566"/>
      <c r="AA1369" s="566"/>
      <c r="AB1369" s="566"/>
      <c r="AC1369" s="566"/>
      <c r="AD1369" s="566"/>
    </row>
    <row r="1370" spans="18:30" x14ac:dyDescent="0.25">
      <c r="R1370" s="566"/>
      <c r="S1370" s="566"/>
      <c r="T1370" s="566"/>
      <c r="U1370" s="566"/>
      <c r="V1370" s="566"/>
      <c r="W1370" s="566"/>
      <c r="X1370" s="566"/>
      <c r="Y1370" s="566"/>
      <c r="Z1370" s="566"/>
      <c r="AA1370" s="566"/>
      <c r="AB1370" s="566"/>
      <c r="AC1370" s="566"/>
      <c r="AD1370" s="566"/>
    </row>
    <row r="1371" spans="18:30" x14ac:dyDescent="0.25">
      <c r="R1371" s="566"/>
      <c r="S1371" s="566"/>
      <c r="T1371" s="566"/>
      <c r="U1371" s="566"/>
      <c r="V1371" s="566"/>
      <c r="W1371" s="566"/>
      <c r="X1371" s="566"/>
      <c r="Y1371" s="566"/>
      <c r="Z1371" s="566"/>
      <c r="AA1371" s="566"/>
      <c r="AB1371" s="566"/>
      <c r="AC1371" s="566"/>
      <c r="AD1371" s="566"/>
    </row>
    <row r="1372" spans="18:30" x14ac:dyDescent="0.25">
      <c r="R1372" s="566"/>
      <c r="S1372" s="566"/>
      <c r="T1372" s="566"/>
      <c r="U1372" s="566"/>
      <c r="V1372" s="566"/>
      <c r="W1372" s="566"/>
      <c r="X1372" s="566"/>
      <c r="Y1372" s="566"/>
      <c r="Z1372" s="566"/>
      <c r="AA1372" s="566"/>
      <c r="AB1372" s="566"/>
      <c r="AC1372" s="566"/>
      <c r="AD1372" s="566"/>
    </row>
    <row r="1373" spans="18:30" x14ac:dyDescent="0.25">
      <c r="R1373" s="566"/>
      <c r="S1373" s="566"/>
      <c r="T1373" s="566"/>
      <c r="U1373" s="566"/>
      <c r="V1373" s="566"/>
      <c r="W1373" s="566"/>
      <c r="X1373" s="566"/>
      <c r="Y1373" s="566"/>
      <c r="Z1373" s="566"/>
      <c r="AA1373" s="566"/>
      <c r="AB1373" s="566"/>
      <c r="AC1373" s="566"/>
      <c r="AD1373" s="566"/>
    </row>
    <row r="1374" spans="18:30" x14ac:dyDescent="0.25">
      <c r="R1374" s="566"/>
      <c r="S1374" s="566"/>
      <c r="T1374" s="566"/>
      <c r="U1374" s="566"/>
      <c r="V1374" s="566"/>
      <c r="W1374" s="566"/>
      <c r="X1374" s="566"/>
      <c r="Y1374" s="566"/>
      <c r="Z1374" s="566"/>
      <c r="AA1374" s="566"/>
      <c r="AB1374" s="566"/>
      <c r="AC1374" s="566"/>
      <c r="AD1374" s="566"/>
    </row>
    <row r="1375" spans="18:30" x14ac:dyDescent="0.25">
      <c r="R1375" s="566"/>
      <c r="S1375" s="566"/>
      <c r="T1375" s="566"/>
      <c r="U1375" s="566"/>
      <c r="V1375" s="566"/>
      <c r="W1375" s="566"/>
      <c r="X1375" s="566"/>
      <c r="Y1375" s="566"/>
      <c r="Z1375" s="566"/>
      <c r="AA1375" s="566"/>
      <c r="AB1375" s="566"/>
      <c r="AC1375" s="566"/>
      <c r="AD1375" s="566"/>
    </row>
    <row r="1376" spans="18:30" x14ac:dyDescent="0.25">
      <c r="R1376" s="566"/>
      <c r="S1376" s="566"/>
      <c r="T1376" s="566"/>
      <c r="U1376" s="566"/>
      <c r="V1376" s="566"/>
      <c r="W1376" s="566"/>
      <c r="X1376" s="566"/>
      <c r="Y1376" s="566"/>
      <c r="Z1376" s="566"/>
      <c r="AA1376" s="566"/>
      <c r="AB1376" s="566"/>
      <c r="AC1376" s="566"/>
      <c r="AD1376" s="566"/>
    </row>
    <row r="1377" spans="18:30" x14ac:dyDescent="0.25">
      <c r="R1377" s="566"/>
      <c r="S1377" s="566"/>
      <c r="T1377" s="566"/>
      <c r="U1377" s="566"/>
      <c r="V1377" s="566"/>
      <c r="W1377" s="566"/>
      <c r="X1377" s="566"/>
      <c r="Y1377" s="566"/>
      <c r="Z1377" s="566"/>
      <c r="AA1377" s="566"/>
      <c r="AB1377" s="566"/>
      <c r="AC1377" s="566"/>
      <c r="AD1377" s="566"/>
    </row>
    <row r="1378" spans="18:30" x14ac:dyDescent="0.25">
      <c r="R1378" s="566"/>
      <c r="S1378" s="566"/>
      <c r="T1378" s="566"/>
      <c r="U1378" s="566"/>
      <c r="V1378" s="566"/>
      <c r="W1378" s="566"/>
      <c r="X1378" s="566"/>
      <c r="Y1378" s="566"/>
      <c r="Z1378" s="566"/>
      <c r="AA1378" s="566"/>
      <c r="AB1378" s="566"/>
      <c r="AC1378" s="566"/>
      <c r="AD1378" s="566"/>
    </row>
    <row r="1379" spans="18:30" x14ac:dyDescent="0.25">
      <c r="R1379" s="566"/>
      <c r="S1379" s="566"/>
      <c r="T1379" s="566"/>
      <c r="U1379" s="566"/>
      <c r="V1379" s="566"/>
      <c r="W1379" s="566"/>
      <c r="X1379" s="566"/>
      <c r="Y1379" s="566"/>
      <c r="Z1379" s="566"/>
      <c r="AA1379" s="566"/>
      <c r="AB1379" s="566"/>
      <c r="AC1379" s="566"/>
      <c r="AD1379" s="566"/>
    </row>
    <row r="1380" spans="18:30" x14ac:dyDescent="0.25">
      <c r="R1380" s="566"/>
      <c r="S1380" s="566"/>
      <c r="T1380" s="566"/>
      <c r="U1380" s="566"/>
      <c r="V1380" s="566"/>
      <c r="W1380" s="566"/>
      <c r="X1380" s="566"/>
      <c r="Y1380" s="566"/>
      <c r="Z1380" s="566"/>
      <c r="AA1380" s="566"/>
      <c r="AB1380" s="566"/>
      <c r="AC1380" s="566"/>
      <c r="AD1380" s="566"/>
    </row>
    <row r="1381" spans="18:30" x14ac:dyDescent="0.25">
      <c r="R1381" s="566"/>
      <c r="S1381" s="566"/>
      <c r="T1381" s="566"/>
      <c r="U1381" s="566"/>
      <c r="V1381" s="566"/>
      <c r="W1381" s="566"/>
      <c r="X1381" s="566"/>
      <c r="Y1381" s="566"/>
      <c r="Z1381" s="566"/>
      <c r="AA1381" s="566"/>
      <c r="AB1381" s="566"/>
      <c r="AC1381" s="566"/>
      <c r="AD1381" s="566"/>
    </row>
    <row r="1382" spans="18:30" x14ac:dyDescent="0.25">
      <c r="R1382" s="566"/>
      <c r="S1382" s="566"/>
      <c r="T1382" s="566"/>
      <c r="U1382" s="566"/>
      <c r="V1382" s="566"/>
      <c r="W1382" s="566"/>
      <c r="X1382" s="566"/>
      <c r="Y1382" s="566"/>
      <c r="Z1382" s="566"/>
      <c r="AA1382" s="566"/>
      <c r="AB1382" s="566"/>
      <c r="AC1382" s="566"/>
      <c r="AD1382" s="566"/>
    </row>
    <row r="1383" spans="18:30" x14ac:dyDescent="0.25">
      <c r="R1383" s="566"/>
      <c r="S1383" s="566"/>
      <c r="T1383" s="566"/>
      <c r="U1383" s="566"/>
      <c r="V1383" s="566"/>
      <c r="W1383" s="566"/>
      <c r="X1383" s="566"/>
      <c r="Y1383" s="566"/>
      <c r="Z1383" s="566"/>
      <c r="AA1383" s="566"/>
      <c r="AB1383" s="566"/>
      <c r="AC1383" s="566"/>
      <c r="AD1383" s="566"/>
    </row>
    <row r="1384" spans="18:30" x14ac:dyDescent="0.25">
      <c r="R1384" s="566"/>
      <c r="S1384" s="566"/>
      <c r="T1384" s="566"/>
      <c r="U1384" s="566"/>
      <c r="V1384" s="566"/>
      <c r="W1384" s="566"/>
      <c r="X1384" s="566"/>
      <c r="Y1384" s="566"/>
      <c r="Z1384" s="566"/>
      <c r="AA1384" s="566"/>
      <c r="AB1384" s="566"/>
      <c r="AC1384" s="566"/>
      <c r="AD1384" s="566"/>
    </row>
    <row r="1385" spans="18:30" x14ac:dyDescent="0.25">
      <c r="R1385" s="566"/>
      <c r="S1385" s="566"/>
      <c r="T1385" s="566"/>
      <c r="U1385" s="566"/>
      <c r="V1385" s="566"/>
      <c r="W1385" s="566"/>
      <c r="X1385" s="566"/>
      <c r="Y1385" s="566"/>
      <c r="Z1385" s="566"/>
      <c r="AA1385" s="566"/>
      <c r="AB1385" s="566"/>
      <c r="AC1385" s="566"/>
      <c r="AD1385" s="566"/>
    </row>
    <row r="1386" spans="18:30" x14ac:dyDescent="0.25">
      <c r="R1386" s="566"/>
      <c r="S1386" s="566"/>
      <c r="T1386" s="566"/>
      <c r="U1386" s="566"/>
      <c r="V1386" s="566"/>
      <c r="W1386" s="566"/>
      <c r="X1386" s="566"/>
      <c r="Y1386" s="566"/>
      <c r="Z1386" s="566"/>
      <c r="AA1386" s="566"/>
      <c r="AB1386" s="566"/>
      <c r="AC1386" s="566"/>
      <c r="AD1386" s="566"/>
    </row>
    <row r="1387" spans="18:30" x14ac:dyDescent="0.25">
      <c r="R1387" s="566"/>
      <c r="S1387" s="566"/>
      <c r="T1387" s="566"/>
      <c r="U1387" s="566"/>
      <c r="V1387" s="566"/>
      <c r="W1387" s="566"/>
      <c r="X1387" s="566"/>
      <c r="Y1387" s="566"/>
      <c r="Z1387" s="566"/>
      <c r="AA1387" s="566"/>
      <c r="AB1387" s="566"/>
      <c r="AC1387" s="566"/>
      <c r="AD1387" s="566"/>
    </row>
    <row r="1388" spans="18:30" x14ac:dyDescent="0.25">
      <c r="R1388" s="566"/>
      <c r="S1388" s="566"/>
      <c r="T1388" s="566"/>
      <c r="U1388" s="566"/>
      <c r="V1388" s="566"/>
      <c r="W1388" s="566"/>
      <c r="X1388" s="566"/>
      <c r="Y1388" s="566"/>
      <c r="Z1388" s="566"/>
      <c r="AA1388" s="566"/>
      <c r="AB1388" s="566"/>
      <c r="AC1388" s="566"/>
      <c r="AD1388" s="566"/>
    </row>
    <row r="1389" spans="18:30" x14ac:dyDescent="0.25">
      <c r="R1389" s="566"/>
      <c r="S1389" s="566"/>
      <c r="T1389" s="566"/>
      <c r="U1389" s="566"/>
      <c r="V1389" s="566"/>
      <c r="W1389" s="566"/>
      <c r="X1389" s="566"/>
      <c r="Y1389" s="566"/>
      <c r="Z1389" s="566"/>
      <c r="AA1389" s="566"/>
      <c r="AB1389" s="566"/>
      <c r="AC1389" s="566"/>
      <c r="AD1389" s="566"/>
    </row>
    <row r="1390" spans="18:30" x14ac:dyDescent="0.25">
      <c r="R1390" s="566"/>
      <c r="S1390" s="566"/>
      <c r="T1390" s="566"/>
      <c r="U1390" s="566"/>
      <c r="V1390" s="566"/>
      <c r="W1390" s="566"/>
      <c r="X1390" s="566"/>
      <c r="Y1390" s="566"/>
      <c r="Z1390" s="566"/>
      <c r="AA1390" s="566"/>
      <c r="AB1390" s="566"/>
      <c r="AC1390" s="566"/>
      <c r="AD1390" s="566"/>
    </row>
    <row r="1391" spans="18:30" x14ac:dyDescent="0.25">
      <c r="R1391" s="566"/>
      <c r="S1391" s="566"/>
      <c r="T1391" s="566"/>
      <c r="U1391" s="566"/>
      <c r="V1391" s="566"/>
      <c r="W1391" s="566"/>
      <c r="X1391" s="566"/>
      <c r="Y1391" s="566"/>
      <c r="Z1391" s="566"/>
      <c r="AA1391" s="566"/>
      <c r="AB1391" s="566"/>
      <c r="AC1391" s="566"/>
      <c r="AD1391" s="566"/>
    </row>
    <row r="1392" spans="18:30" x14ac:dyDescent="0.25">
      <c r="R1392" s="566"/>
      <c r="S1392" s="566"/>
      <c r="T1392" s="566"/>
      <c r="U1392" s="566"/>
      <c r="V1392" s="566"/>
      <c r="W1392" s="566"/>
      <c r="X1392" s="566"/>
      <c r="Y1392" s="566"/>
      <c r="Z1392" s="566"/>
      <c r="AA1392" s="566"/>
      <c r="AB1392" s="566"/>
      <c r="AC1392" s="566"/>
      <c r="AD1392" s="566"/>
    </row>
    <row r="1393" spans="18:30" x14ac:dyDescent="0.25">
      <c r="R1393" s="566"/>
      <c r="S1393" s="566"/>
      <c r="T1393" s="566"/>
      <c r="U1393" s="566"/>
      <c r="V1393" s="566"/>
      <c r="W1393" s="566"/>
      <c r="X1393" s="566"/>
      <c r="Y1393" s="566"/>
      <c r="Z1393" s="566"/>
      <c r="AA1393" s="566"/>
      <c r="AB1393" s="566"/>
      <c r="AC1393" s="566"/>
      <c r="AD1393" s="566"/>
    </row>
    <row r="1394" spans="18:30" x14ac:dyDescent="0.25">
      <c r="R1394" s="566"/>
      <c r="S1394" s="566"/>
      <c r="T1394" s="566"/>
      <c r="U1394" s="566"/>
      <c r="V1394" s="566"/>
      <c r="W1394" s="566"/>
      <c r="X1394" s="566"/>
      <c r="Y1394" s="566"/>
      <c r="Z1394" s="566"/>
      <c r="AA1394" s="566"/>
      <c r="AB1394" s="566"/>
      <c r="AC1394" s="566"/>
      <c r="AD1394" s="566"/>
    </row>
    <row r="1395" spans="18:30" x14ac:dyDescent="0.25">
      <c r="R1395" s="566"/>
      <c r="S1395" s="566"/>
      <c r="T1395" s="566"/>
      <c r="U1395" s="566"/>
      <c r="V1395" s="566"/>
      <c r="W1395" s="566"/>
      <c r="X1395" s="566"/>
      <c r="Y1395" s="566"/>
      <c r="Z1395" s="566"/>
      <c r="AA1395" s="566"/>
      <c r="AB1395" s="566"/>
      <c r="AC1395" s="566"/>
      <c r="AD1395" s="566"/>
    </row>
    <row r="1396" spans="18:30" x14ac:dyDescent="0.25">
      <c r="R1396" s="566"/>
      <c r="S1396" s="566"/>
      <c r="T1396" s="566"/>
      <c r="U1396" s="566"/>
      <c r="V1396" s="566"/>
      <c r="W1396" s="566"/>
      <c r="X1396" s="566"/>
      <c r="Y1396" s="566"/>
      <c r="Z1396" s="566"/>
      <c r="AA1396" s="566"/>
      <c r="AB1396" s="566"/>
      <c r="AC1396" s="566"/>
      <c r="AD1396" s="566"/>
    </row>
    <row r="1397" spans="18:30" x14ac:dyDescent="0.25">
      <c r="R1397" s="566"/>
      <c r="S1397" s="566"/>
      <c r="T1397" s="566"/>
      <c r="U1397" s="566"/>
      <c r="V1397" s="566"/>
      <c r="W1397" s="566"/>
      <c r="X1397" s="566"/>
      <c r="Y1397" s="566"/>
      <c r="Z1397" s="566"/>
      <c r="AA1397" s="566"/>
      <c r="AB1397" s="566"/>
      <c r="AC1397" s="566"/>
      <c r="AD1397" s="566"/>
    </row>
    <row r="1398" spans="18:30" x14ac:dyDescent="0.25">
      <c r="R1398" s="566"/>
      <c r="S1398" s="566"/>
      <c r="T1398" s="566"/>
      <c r="U1398" s="566"/>
      <c r="V1398" s="566"/>
      <c r="W1398" s="566"/>
      <c r="X1398" s="566"/>
      <c r="Y1398" s="566"/>
      <c r="Z1398" s="566"/>
      <c r="AA1398" s="566"/>
      <c r="AB1398" s="566"/>
      <c r="AC1398" s="566"/>
      <c r="AD1398" s="566"/>
    </row>
    <row r="1399" spans="18:30" x14ac:dyDescent="0.25">
      <c r="R1399" s="566"/>
      <c r="S1399" s="566"/>
      <c r="T1399" s="566"/>
      <c r="U1399" s="566"/>
      <c r="V1399" s="566"/>
      <c r="W1399" s="566"/>
      <c r="X1399" s="566"/>
      <c r="Y1399" s="566"/>
      <c r="Z1399" s="566"/>
      <c r="AA1399" s="566"/>
      <c r="AB1399" s="566"/>
      <c r="AC1399" s="566"/>
      <c r="AD1399" s="566"/>
    </row>
    <row r="1400" spans="18:30" x14ac:dyDescent="0.25">
      <c r="R1400" s="566"/>
      <c r="S1400" s="566"/>
      <c r="T1400" s="566"/>
      <c r="U1400" s="566"/>
      <c r="V1400" s="566"/>
      <c r="W1400" s="566"/>
      <c r="X1400" s="566"/>
      <c r="Y1400" s="566"/>
      <c r="Z1400" s="566"/>
      <c r="AA1400" s="566"/>
      <c r="AB1400" s="566"/>
      <c r="AC1400" s="566"/>
      <c r="AD1400" s="566"/>
    </row>
    <row r="1401" spans="18:30" x14ac:dyDescent="0.25">
      <c r="R1401" s="566"/>
      <c r="S1401" s="566"/>
      <c r="T1401" s="566"/>
      <c r="U1401" s="566"/>
      <c r="V1401" s="566"/>
      <c r="W1401" s="566"/>
      <c r="X1401" s="566"/>
      <c r="Y1401" s="566"/>
      <c r="Z1401" s="566"/>
      <c r="AA1401" s="566"/>
      <c r="AB1401" s="566"/>
      <c r="AC1401" s="566"/>
      <c r="AD1401" s="566"/>
    </row>
    <row r="1402" spans="18:30" x14ac:dyDescent="0.25">
      <c r="R1402" s="566"/>
      <c r="S1402" s="566"/>
      <c r="T1402" s="566"/>
      <c r="U1402" s="566"/>
      <c r="V1402" s="566"/>
      <c r="W1402" s="566"/>
      <c r="X1402" s="566"/>
      <c r="Y1402" s="566"/>
      <c r="Z1402" s="566"/>
      <c r="AA1402" s="566"/>
      <c r="AB1402" s="566"/>
      <c r="AC1402" s="566"/>
      <c r="AD1402" s="566"/>
    </row>
    <row r="1403" spans="18:30" x14ac:dyDescent="0.25">
      <c r="R1403" s="566"/>
      <c r="S1403" s="566"/>
      <c r="T1403" s="566"/>
      <c r="U1403" s="566"/>
      <c r="V1403" s="566"/>
      <c r="W1403" s="566"/>
      <c r="X1403" s="566"/>
      <c r="Y1403" s="566"/>
      <c r="Z1403" s="566"/>
      <c r="AA1403" s="566"/>
      <c r="AB1403" s="566"/>
      <c r="AC1403" s="566"/>
      <c r="AD1403" s="566"/>
    </row>
    <row r="1404" spans="18:30" x14ac:dyDescent="0.25">
      <c r="R1404" s="566"/>
      <c r="S1404" s="566"/>
      <c r="T1404" s="566"/>
      <c r="U1404" s="566"/>
      <c r="V1404" s="566"/>
      <c r="W1404" s="566"/>
      <c r="X1404" s="566"/>
      <c r="Y1404" s="566"/>
      <c r="Z1404" s="566"/>
      <c r="AA1404" s="566"/>
      <c r="AB1404" s="566"/>
      <c r="AC1404" s="566"/>
      <c r="AD1404" s="566"/>
    </row>
    <row r="1405" spans="18:30" x14ac:dyDescent="0.25">
      <c r="R1405" s="566"/>
      <c r="S1405" s="566"/>
      <c r="T1405" s="566"/>
      <c r="U1405" s="566"/>
      <c r="V1405" s="566"/>
      <c r="W1405" s="566"/>
      <c r="X1405" s="566"/>
      <c r="Y1405" s="566"/>
      <c r="Z1405" s="566"/>
      <c r="AA1405" s="566"/>
      <c r="AB1405" s="566"/>
      <c r="AC1405" s="566"/>
      <c r="AD1405" s="566"/>
    </row>
    <row r="1406" spans="18:30" x14ac:dyDescent="0.25">
      <c r="R1406" s="566"/>
      <c r="S1406" s="566"/>
      <c r="T1406" s="566"/>
      <c r="U1406" s="566"/>
      <c r="V1406" s="566"/>
      <c r="W1406" s="566"/>
      <c r="X1406" s="566"/>
      <c r="Y1406" s="566"/>
      <c r="Z1406" s="566"/>
      <c r="AA1406" s="566"/>
      <c r="AB1406" s="566"/>
      <c r="AC1406" s="566"/>
      <c r="AD1406" s="566"/>
    </row>
    <row r="1407" spans="18:30" x14ac:dyDescent="0.25">
      <c r="R1407" s="566"/>
      <c r="S1407" s="566"/>
      <c r="T1407" s="566"/>
      <c r="U1407" s="566"/>
      <c r="V1407" s="566"/>
      <c r="W1407" s="566"/>
      <c r="X1407" s="566"/>
      <c r="Y1407" s="566"/>
      <c r="Z1407" s="566"/>
      <c r="AA1407" s="566"/>
      <c r="AB1407" s="566"/>
      <c r="AC1407" s="566"/>
      <c r="AD1407" s="566"/>
    </row>
    <row r="1408" spans="18:30" x14ac:dyDescent="0.25">
      <c r="R1408" s="566"/>
      <c r="S1408" s="566"/>
      <c r="T1408" s="566"/>
      <c r="U1408" s="566"/>
      <c r="V1408" s="566"/>
      <c r="W1408" s="566"/>
      <c r="X1408" s="566"/>
      <c r="Y1408" s="566"/>
      <c r="Z1408" s="566"/>
      <c r="AA1408" s="566"/>
      <c r="AB1408" s="566"/>
      <c r="AC1408" s="566"/>
      <c r="AD1408" s="566"/>
    </row>
    <row r="1409" spans="18:30" x14ac:dyDescent="0.25">
      <c r="R1409" s="566"/>
      <c r="S1409" s="566"/>
      <c r="T1409" s="566"/>
      <c r="U1409" s="566"/>
      <c r="V1409" s="566"/>
      <c r="W1409" s="566"/>
      <c r="X1409" s="566"/>
      <c r="Y1409" s="566"/>
      <c r="Z1409" s="566"/>
      <c r="AA1409" s="566"/>
      <c r="AB1409" s="566"/>
      <c r="AC1409" s="566"/>
      <c r="AD1409" s="566"/>
    </row>
    <row r="1410" spans="18:30" x14ac:dyDescent="0.25">
      <c r="R1410" s="566"/>
      <c r="S1410" s="566"/>
      <c r="T1410" s="566"/>
      <c r="U1410" s="566"/>
      <c r="V1410" s="566"/>
      <c r="W1410" s="566"/>
      <c r="X1410" s="566"/>
      <c r="Y1410" s="566"/>
      <c r="Z1410" s="566"/>
      <c r="AA1410" s="566"/>
      <c r="AB1410" s="566"/>
      <c r="AC1410" s="566"/>
      <c r="AD1410" s="566"/>
    </row>
    <row r="1411" spans="18:30" x14ac:dyDescent="0.25">
      <c r="R1411" s="566"/>
      <c r="S1411" s="566"/>
      <c r="T1411" s="566"/>
      <c r="U1411" s="566"/>
      <c r="V1411" s="566"/>
      <c r="W1411" s="566"/>
      <c r="X1411" s="566"/>
      <c r="Y1411" s="566"/>
      <c r="Z1411" s="566"/>
      <c r="AA1411" s="566"/>
      <c r="AB1411" s="566"/>
      <c r="AC1411" s="566"/>
      <c r="AD1411" s="566"/>
    </row>
    <row r="1412" spans="18:30" x14ac:dyDescent="0.25">
      <c r="R1412" s="566"/>
      <c r="S1412" s="566"/>
      <c r="T1412" s="566"/>
      <c r="U1412" s="566"/>
      <c r="V1412" s="566"/>
      <c r="W1412" s="566"/>
      <c r="X1412" s="566"/>
      <c r="Y1412" s="566"/>
      <c r="Z1412" s="566"/>
      <c r="AA1412" s="566"/>
      <c r="AB1412" s="566"/>
      <c r="AC1412" s="566"/>
      <c r="AD1412" s="566"/>
    </row>
    <row r="1413" spans="18:30" x14ac:dyDescent="0.25">
      <c r="R1413" s="566"/>
      <c r="S1413" s="566"/>
      <c r="T1413" s="566"/>
      <c r="U1413" s="566"/>
      <c r="V1413" s="566"/>
      <c r="W1413" s="566"/>
      <c r="X1413" s="566"/>
      <c r="Y1413" s="566"/>
      <c r="Z1413" s="566"/>
      <c r="AA1413" s="566"/>
      <c r="AB1413" s="566"/>
      <c r="AC1413" s="566"/>
      <c r="AD1413" s="566"/>
    </row>
    <row r="1414" spans="18:30" x14ac:dyDescent="0.25">
      <c r="R1414" s="566"/>
      <c r="S1414" s="566"/>
      <c r="T1414" s="566"/>
      <c r="U1414" s="566"/>
      <c r="V1414" s="566"/>
      <c r="W1414" s="566"/>
      <c r="X1414" s="566"/>
      <c r="Y1414" s="566"/>
      <c r="Z1414" s="566"/>
      <c r="AA1414" s="566"/>
      <c r="AB1414" s="566"/>
      <c r="AC1414" s="566"/>
      <c r="AD1414" s="566"/>
    </row>
    <row r="1415" spans="18:30" x14ac:dyDescent="0.25">
      <c r="R1415" s="566"/>
      <c r="S1415" s="566"/>
      <c r="T1415" s="566"/>
      <c r="U1415" s="566"/>
      <c r="V1415" s="566"/>
      <c r="W1415" s="566"/>
      <c r="X1415" s="566"/>
      <c r="Y1415" s="566"/>
      <c r="Z1415" s="566"/>
      <c r="AA1415" s="566"/>
      <c r="AB1415" s="566"/>
      <c r="AC1415" s="566"/>
      <c r="AD1415" s="566"/>
    </row>
    <row r="1416" spans="18:30" x14ac:dyDescent="0.25">
      <c r="R1416" s="566"/>
      <c r="S1416" s="566"/>
      <c r="T1416" s="566"/>
      <c r="U1416" s="566"/>
      <c r="V1416" s="566"/>
      <c r="W1416" s="566"/>
      <c r="X1416" s="566"/>
      <c r="Y1416" s="566"/>
      <c r="Z1416" s="566"/>
      <c r="AA1416" s="566"/>
      <c r="AB1416" s="566"/>
      <c r="AC1416" s="566"/>
      <c r="AD1416" s="566"/>
    </row>
    <row r="1417" spans="18:30" x14ac:dyDescent="0.25">
      <c r="R1417" s="566"/>
      <c r="S1417" s="566"/>
      <c r="T1417" s="566"/>
      <c r="U1417" s="566"/>
      <c r="V1417" s="566"/>
      <c r="W1417" s="566"/>
      <c r="X1417" s="566"/>
      <c r="Y1417" s="566"/>
      <c r="Z1417" s="566"/>
      <c r="AA1417" s="566"/>
      <c r="AB1417" s="566"/>
      <c r="AC1417" s="566"/>
      <c r="AD1417" s="566"/>
    </row>
    <row r="1418" spans="18:30" x14ac:dyDescent="0.25">
      <c r="R1418" s="566"/>
      <c r="S1418" s="566"/>
      <c r="T1418" s="566"/>
      <c r="U1418" s="566"/>
      <c r="V1418" s="566"/>
      <c r="W1418" s="566"/>
      <c r="X1418" s="566"/>
      <c r="Y1418" s="566"/>
      <c r="Z1418" s="566"/>
      <c r="AA1418" s="566"/>
      <c r="AB1418" s="566"/>
      <c r="AC1418" s="566"/>
      <c r="AD1418" s="566"/>
    </row>
    <row r="1419" spans="18:30" x14ac:dyDescent="0.25">
      <c r="R1419" s="566"/>
      <c r="S1419" s="566"/>
      <c r="T1419" s="566"/>
      <c r="U1419" s="566"/>
      <c r="V1419" s="566"/>
      <c r="W1419" s="566"/>
      <c r="X1419" s="566"/>
      <c r="Y1419" s="566"/>
      <c r="Z1419" s="566"/>
      <c r="AA1419" s="566"/>
      <c r="AB1419" s="566"/>
      <c r="AC1419" s="566"/>
      <c r="AD1419" s="566"/>
    </row>
    <row r="1420" spans="18:30" x14ac:dyDescent="0.25">
      <c r="R1420" s="566"/>
      <c r="S1420" s="566"/>
      <c r="T1420" s="566"/>
      <c r="U1420" s="566"/>
      <c r="V1420" s="566"/>
      <c r="W1420" s="566"/>
      <c r="X1420" s="566"/>
      <c r="Y1420" s="566"/>
      <c r="Z1420" s="566"/>
      <c r="AA1420" s="566"/>
      <c r="AB1420" s="566"/>
      <c r="AC1420" s="566"/>
      <c r="AD1420" s="566"/>
    </row>
    <row r="1421" spans="18:30" x14ac:dyDescent="0.25">
      <c r="R1421" s="566"/>
      <c r="S1421" s="566"/>
      <c r="T1421" s="566"/>
      <c r="U1421" s="566"/>
      <c r="V1421" s="566"/>
      <c r="W1421" s="566"/>
      <c r="X1421" s="566"/>
      <c r="Y1421" s="566"/>
      <c r="Z1421" s="566"/>
      <c r="AA1421" s="566"/>
      <c r="AB1421" s="566"/>
      <c r="AC1421" s="566"/>
      <c r="AD1421" s="566"/>
    </row>
    <row r="1422" spans="18:30" x14ac:dyDescent="0.25">
      <c r="R1422" s="566"/>
      <c r="S1422" s="566"/>
      <c r="T1422" s="566"/>
      <c r="U1422" s="566"/>
      <c r="V1422" s="566"/>
      <c r="W1422" s="566"/>
      <c r="X1422" s="566"/>
      <c r="Y1422" s="566"/>
      <c r="Z1422" s="566"/>
      <c r="AA1422" s="566"/>
      <c r="AB1422" s="566"/>
      <c r="AC1422" s="566"/>
      <c r="AD1422" s="566"/>
    </row>
    <row r="1423" spans="18:30" x14ac:dyDescent="0.25">
      <c r="R1423" s="566"/>
      <c r="S1423" s="566"/>
      <c r="T1423" s="566"/>
      <c r="U1423" s="566"/>
      <c r="V1423" s="566"/>
      <c r="W1423" s="566"/>
      <c r="X1423" s="566"/>
      <c r="Y1423" s="566"/>
      <c r="Z1423" s="566"/>
      <c r="AA1423" s="566"/>
      <c r="AB1423" s="566"/>
      <c r="AC1423" s="566"/>
      <c r="AD1423" s="566"/>
    </row>
    <row r="1424" spans="18:30" x14ac:dyDescent="0.25">
      <c r="R1424" s="566"/>
      <c r="S1424" s="566"/>
      <c r="T1424" s="566"/>
      <c r="U1424" s="566"/>
      <c r="V1424" s="566"/>
      <c r="W1424" s="566"/>
      <c r="X1424" s="566"/>
      <c r="Y1424" s="566"/>
      <c r="Z1424" s="566"/>
      <c r="AA1424" s="566"/>
      <c r="AB1424" s="566"/>
      <c r="AC1424" s="566"/>
      <c r="AD1424" s="566"/>
    </row>
    <row r="1425" spans="18:30" x14ac:dyDescent="0.25">
      <c r="R1425" s="566"/>
      <c r="S1425" s="566"/>
      <c r="T1425" s="566"/>
      <c r="U1425" s="566"/>
      <c r="V1425" s="566"/>
      <c r="W1425" s="566"/>
      <c r="X1425" s="566"/>
      <c r="Y1425" s="566"/>
      <c r="Z1425" s="566"/>
      <c r="AA1425" s="566"/>
      <c r="AB1425" s="566"/>
      <c r="AC1425" s="566"/>
      <c r="AD1425" s="566"/>
    </row>
    <row r="1426" spans="18:30" x14ac:dyDescent="0.25">
      <c r="R1426" s="566"/>
      <c r="S1426" s="566"/>
      <c r="T1426" s="566"/>
      <c r="U1426" s="566"/>
      <c r="V1426" s="566"/>
      <c r="W1426" s="566"/>
      <c r="X1426" s="566"/>
      <c r="Y1426" s="566"/>
      <c r="Z1426" s="566"/>
      <c r="AA1426" s="566"/>
      <c r="AB1426" s="566"/>
      <c r="AC1426" s="566"/>
      <c r="AD1426" s="566"/>
    </row>
    <row r="1427" spans="18:30" x14ac:dyDescent="0.25">
      <c r="R1427" s="566"/>
      <c r="S1427" s="566"/>
      <c r="T1427" s="566"/>
      <c r="U1427" s="566"/>
      <c r="V1427" s="566"/>
      <c r="W1427" s="566"/>
      <c r="X1427" s="566"/>
      <c r="Y1427" s="566"/>
      <c r="Z1427" s="566"/>
      <c r="AA1427" s="566"/>
      <c r="AB1427" s="566"/>
      <c r="AC1427" s="566"/>
      <c r="AD1427" s="566"/>
    </row>
    <row r="1428" spans="18:30" x14ac:dyDescent="0.25">
      <c r="R1428" s="566"/>
      <c r="S1428" s="566"/>
      <c r="T1428" s="566"/>
      <c r="U1428" s="566"/>
      <c r="V1428" s="566"/>
      <c r="W1428" s="566"/>
      <c r="X1428" s="566"/>
      <c r="Y1428" s="566"/>
      <c r="Z1428" s="566"/>
      <c r="AA1428" s="566"/>
      <c r="AB1428" s="566"/>
      <c r="AC1428" s="566"/>
      <c r="AD1428" s="566"/>
    </row>
    <row r="1429" spans="18:30" x14ac:dyDescent="0.25">
      <c r="R1429" s="566"/>
      <c r="S1429" s="566"/>
      <c r="T1429" s="566"/>
      <c r="U1429" s="566"/>
      <c r="V1429" s="566"/>
      <c r="W1429" s="566"/>
      <c r="X1429" s="566"/>
      <c r="Y1429" s="566"/>
      <c r="Z1429" s="566"/>
      <c r="AA1429" s="566"/>
      <c r="AB1429" s="566"/>
      <c r="AC1429" s="566"/>
      <c r="AD1429" s="566"/>
    </row>
    <row r="1430" spans="18:30" x14ac:dyDescent="0.25">
      <c r="R1430" s="566"/>
      <c r="S1430" s="566"/>
      <c r="T1430" s="566"/>
      <c r="U1430" s="566"/>
      <c r="V1430" s="566"/>
      <c r="W1430" s="566"/>
      <c r="X1430" s="566"/>
      <c r="Y1430" s="566"/>
      <c r="Z1430" s="566"/>
      <c r="AA1430" s="566"/>
      <c r="AB1430" s="566"/>
      <c r="AC1430" s="566"/>
      <c r="AD1430" s="566"/>
    </row>
    <row r="1431" spans="18:30" x14ac:dyDescent="0.25">
      <c r="R1431" s="566"/>
      <c r="S1431" s="566"/>
      <c r="T1431" s="566"/>
      <c r="U1431" s="566"/>
      <c r="V1431" s="566"/>
      <c r="W1431" s="566"/>
      <c r="X1431" s="566"/>
      <c r="Y1431" s="566"/>
      <c r="Z1431" s="566"/>
      <c r="AA1431" s="566"/>
      <c r="AB1431" s="566"/>
      <c r="AC1431" s="566"/>
      <c r="AD1431" s="566"/>
    </row>
    <row r="1432" spans="18:30" x14ac:dyDescent="0.25">
      <c r="R1432" s="566"/>
      <c r="S1432" s="566"/>
      <c r="T1432" s="566"/>
      <c r="U1432" s="566"/>
      <c r="V1432" s="566"/>
      <c r="W1432" s="566"/>
      <c r="X1432" s="566"/>
      <c r="Y1432" s="566"/>
      <c r="Z1432" s="566"/>
      <c r="AA1432" s="566"/>
      <c r="AB1432" s="566"/>
      <c r="AC1432" s="566"/>
      <c r="AD1432" s="566"/>
    </row>
    <row r="1433" spans="18:30" x14ac:dyDescent="0.25">
      <c r="R1433" s="566"/>
      <c r="S1433" s="566"/>
      <c r="T1433" s="566"/>
      <c r="U1433" s="566"/>
      <c r="V1433" s="566"/>
      <c r="W1433" s="566"/>
      <c r="X1433" s="566"/>
      <c r="Y1433" s="566"/>
      <c r="Z1433" s="566"/>
      <c r="AA1433" s="566"/>
      <c r="AB1433" s="566"/>
      <c r="AC1433" s="566"/>
      <c r="AD1433" s="566"/>
    </row>
    <row r="1434" spans="18:30" x14ac:dyDescent="0.25">
      <c r="R1434" s="566"/>
      <c r="S1434" s="566"/>
      <c r="T1434" s="566"/>
      <c r="U1434" s="566"/>
      <c r="V1434" s="566"/>
      <c r="W1434" s="566"/>
      <c r="X1434" s="566"/>
      <c r="Y1434" s="566"/>
      <c r="Z1434" s="566"/>
      <c r="AA1434" s="566"/>
      <c r="AB1434" s="566"/>
      <c r="AC1434" s="566"/>
      <c r="AD1434" s="566"/>
    </row>
    <row r="1435" spans="18:30" x14ac:dyDescent="0.25">
      <c r="R1435" s="566"/>
      <c r="S1435" s="566"/>
      <c r="T1435" s="566"/>
      <c r="U1435" s="566"/>
      <c r="V1435" s="566"/>
      <c r="W1435" s="566"/>
      <c r="X1435" s="566"/>
      <c r="Y1435" s="566"/>
      <c r="Z1435" s="566"/>
      <c r="AA1435" s="566"/>
      <c r="AB1435" s="566"/>
      <c r="AC1435" s="566"/>
      <c r="AD1435" s="566"/>
    </row>
    <row r="1436" spans="18:30" x14ac:dyDescent="0.25">
      <c r="R1436" s="566"/>
      <c r="S1436" s="566"/>
      <c r="T1436" s="566"/>
      <c r="U1436" s="566"/>
      <c r="V1436" s="566"/>
      <c r="W1436" s="566"/>
      <c r="X1436" s="566"/>
      <c r="Y1436" s="566"/>
      <c r="Z1436" s="566"/>
      <c r="AA1436" s="566"/>
      <c r="AB1436" s="566"/>
      <c r="AC1436" s="566"/>
      <c r="AD1436" s="566"/>
    </row>
    <row r="1437" spans="18:30" x14ac:dyDescent="0.25">
      <c r="R1437" s="566"/>
      <c r="S1437" s="566"/>
      <c r="T1437" s="566"/>
      <c r="U1437" s="566"/>
      <c r="V1437" s="566"/>
      <c r="W1437" s="566"/>
      <c r="X1437" s="566"/>
      <c r="Y1437" s="566"/>
      <c r="Z1437" s="566"/>
      <c r="AA1437" s="566"/>
      <c r="AB1437" s="566"/>
      <c r="AC1437" s="566"/>
      <c r="AD1437" s="566"/>
    </row>
    <row r="1438" spans="18:30" x14ac:dyDescent="0.25">
      <c r="R1438" s="566"/>
      <c r="S1438" s="566"/>
      <c r="T1438" s="566"/>
      <c r="U1438" s="566"/>
      <c r="V1438" s="566"/>
      <c r="W1438" s="566"/>
      <c r="X1438" s="566"/>
      <c r="Y1438" s="566"/>
      <c r="Z1438" s="566"/>
      <c r="AA1438" s="566"/>
      <c r="AB1438" s="566"/>
      <c r="AC1438" s="566"/>
      <c r="AD1438" s="566"/>
    </row>
    <row r="1439" spans="18:30" x14ac:dyDescent="0.25">
      <c r="R1439" s="566"/>
      <c r="S1439" s="566"/>
      <c r="T1439" s="566"/>
      <c r="U1439" s="566"/>
      <c r="V1439" s="566"/>
      <c r="W1439" s="566"/>
      <c r="X1439" s="566"/>
      <c r="Y1439" s="566"/>
      <c r="Z1439" s="566"/>
      <c r="AA1439" s="566"/>
      <c r="AB1439" s="566"/>
      <c r="AC1439" s="566"/>
      <c r="AD1439" s="566"/>
    </row>
    <row r="1440" spans="18:30" x14ac:dyDescent="0.25">
      <c r="R1440" s="566"/>
      <c r="S1440" s="566"/>
      <c r="T1440" s="566"/>
      <c r="U1440" s="566"/>
      <c r="V1440" s="566"/>
      <c r="W1440" s="566"/>
      <c r="X1440" s="566"/>
      <c r="Y1440" s="566"/>
      <c r="Z1440" s="566"/>
      <c r="AA1440" s="566"/>
      <c r="AB1440" s="566"/>
      <c r="AC1440" s="566"/>
      <c r="AD1440" s="566"/>
    </row>
    <row r="1441" spans="18:30" x14ac:dyDescent="0.25">
      <c r="R1441" s="566"/>
      <c r="S1441" s="566"/>
      <c r="T1441" s="566"/>
      <c r="U1441" s="566"/>
      <c r="V1441" s="566"/>
      <c r="W1441" s="566"/>
      <c r="X1441" s="566"/>
      <c r="Y1441" s="566"/>
      <c r="Z1441" s="566"/>
      <c r="AA1441" s="566"/>
      <c r="AB1441" s="566"/>
      <c r="AC1441" s="566"/>
      <c r="AD1441" s="566"/>
    </row>
    <row r="1442" spans="18:30" x14ac:dyDescent="0.25">
      <c r="R1442" s="566"/>
      <c r="S1442" s="566"/>
      <c r="T1442" s="566"/>
      <c r="U1442" s="566"/>
      <c r="V1442" s="566"/>
      <c r="W1442" s="566"/>
      <c r="X1442" s="566"/>
      <c r="Y1442" s="566"/>
      <c r="Z1442" s="566"/>
      <c r="AA1442" s="566"/>
      <c r="AB1442" s="566"/>
      <c r="AC1442" s="566"/>
      <c r="AD1442" s="566"/>
    </row>
    <row r="1443" spans="18:30" x14ac:dyDescent="0.25">
      <c r="R1443" s="566"/>
      <c r="S1443" s="566"/>
      <c r="T1443" s="566"/>
      <c r="U1443" s="566"/>
      <c r="V1443" s="566"/>
      <c r="W1443" s="566"/>
      <c r="X1443" s="566"/>
      <c r="Y1443" s="566"/>
      <c r="Z1443" s="566"/>
      <c r="AA1443" s="566"/>
      <c r="AB1443" s="566"/>
      <c r="AC1443" s="566"/>
      <c r="AD1443" s="566"/>
    </row>
    <row r="1444" spans="18:30" x14ac:dyDescent="0.25">
      <c r="R1444" s="566"/>
      <c r="S1444" s="566"/>
      <c r="T1444" s="566"/>
      <c r="U1444" s="566"/>
      <c r="V1444" s="566"/>
      <c r="W1444" s="566"/>
      <c r="X1444" s="566"/>
      <c r="Y1444" s="566"/>
      <c r="Z1444" s="566"/>
      <c r="AA1444" s="566"/>
      <c r="AB1444" s="566"/>
      <c r="AC1444" s="566"/>
      <c r="AD1444" s="566"/>
    </row>
    <row r="1445" spans="18:30" x14ac:dyDescent="0.25">
      <c r="R1445" s="566"/>
      <c r="S1445" s="566"/>
      <c r="T1445" s="566"/>
      <c r="U1445" s="566"/>
      <c r="V1445" s="566"/>
      <c r="W1445" s="566"/>
      <c r="X1445" s="566"/>
      <c r="Y1445" s="566"/>
      <c r="Z1445" s="566"/>
      <c r="AA1445" s="566"/>
      <c r="AB1445" s="566"/>
      <c r="AC1445" s="566"/>
      <c r="AD1445" s="566"/>
    </row>
    <row r="1446" spans="18:30" x14ac:dyDescent="0.25">
      <c r="R1446" s="566"/>
      <c r="S1446" s="566"/>
      <c r="T1446" s="566"/>
      <c r="U1446" s="566"/>
      <c r="V1446" s="566"/>
      <c r="W1446" s="566"/>
      <c r="X1446" s="566"/>
      <c r="Y1446" s="566"/>
      <c r="Z1446" s="566"/>
      <c r="AA1446" s="566"/>
      <c r="AB1446" s="566"/>
      <c r="AC1446" s="566"/>
      <c r="AD1446" s="566"/>
    </row>
    <row r="1447" spans="18:30" x14ac:dyDescent="0.25">
      <c r="R1447" s="566"/>
      <c r="S1447" s="566"/>
      <c r="T1447" s="566"/>
      <c r="U1447" s="566"/>
      <c r="V1447" s="566"/>
      <c r="W1447" s="566"/>
      <c r="X1447" s="566"/>
      <c r="Y1447" s="566"/>
      <c r="Z1447" s="566"/>
      <c r="AA1447" s="566"/>
      <c r="AB1447" s="566"/>
      <c r="AC1447" s="566"/>
      <c r="AD1447" s="566"/>
    </row>
    <row r="1448" spans="18:30" x14ac:dyDescent="0.25">
      <c r="R1448" s="566"/>
      <c r="S1448" s="566"/>
      <c r="T1448" s="566"/>
      <c r="U1448" s="566"/>
      <c r="V1448" s="566"/>
      <c r="W1448" s="566"/>
      <c r="X1448" s="566"/>
      <c r="Y1448" s="566"/>
      <c r="Z1448" s="566"/>
      <c r="AA1448" s="566"/>
      <c r="AB1448" s="566"/>
      <c r="AC1448" s="566"/>
      <c r="AD1448" s="566"/>
    </row>
    <row r="1449" spans="18:30" x14ac:dyDescent="0.25">
      <c r="R1449" s="566"/>
      <c r="S1449" s="566"/>
      <c r="T1449" s="566"/>
      <c r="U1449" s="566"/>
      <c r="V1449" s="566"/>
      <c r="W1449" s="566"/>
      <c r="X1449" s="566"/>
      <c r="Y1449" s="566"/>
      <c r="Z1449" s="566"/>
      <c r="AA1449" s="566"/>
      <c r="AB1449" s="566"/>
      <c r="AC1449" s="566"/>
      <c r="AD1449" s="566"/>
    </row>
    <row r="1450" spans="18:30" x14ac:dyDescent="0.25">
      <c r="R1450" s="566"/>
      <c r="S1450" s="566"/>
      <c r="T1450" s="566"/>
      <c r="U1450" s="566"/>
      <c r="V1450" s="566"/>
      <c r="W1450" s="566"/>
      <c r="X1450" s="566"/>
      <c r="Y1450" s="566"/>
      <c r="Z1450" s="566"/>
      <c r="AA1450" s="566"/>
      <c r="AB1450" s="566"/>
      <c r="AC1450" s="566"/>
      <c r="AD1450" s="566"/>
    </row>
    <row r="1451" spans="18:30" x14ac:dyDescent="0.25">
      <c r="R1451" s="566"/>
      <c r="S1451" s="566"/>
      <c r="T1451" s="566"/>
      <c r="U1451" s="566"/>
      <c r="V1451" s="566"/>
      <c r="W1451" s="566"/>
      <c r="X1451" s="566"/>
      <c r="Y1451" s="566"/>
      <c r="Z1451" s="566"/>
      <c r="AA1451" s="566"/>
      <c r="AB1451" s="566"/>
      <c r="AC1451" s="566"/>
      <c r="AD1451" s="566"/>
    </row>
    <row r="1452" spans="18:30" x14ac:dyDescent="0.25">
      <c r="R1452" s="566"/>
      <c r="S1452" s="566"/>
      <c r="T1452" s="566"/>
      <c r="U1452" s="566"/>
      <c r="V1452" s="566"/>
      <c r="W1452" s="566"/>
      <c r="X1452" s="566"/>
      <c r="Y1452" s="566"/>
      <c r="Z1452" s="566"/>
      <c r="AA1452" s="566"/>
      <c r="AB1452" s="566"/>
      <c r="AC1452" s="566"/>
      <c r="AD1452" s="566"/>
    </row>
    <row r="1453" spans="18:30" x14ac:dyDescent="0.25">
      <c r="R1453" s="566"/>
      <c r="S1453" s="566"/>
      <c r="T1453" s="566"/>
      <c r="U1453" s="566"/>
      <c r="V1453" s="566"/>
      <c r="W1453" s="566"/>
      <c r="X1453" s="566"/>
      <c r="Y1453" s="566"/>
      <c r="Z1453" s="566"/>
      <c r="AA1453" s="566"/>
      <c r="AB1453" s="566"/>
      <c r="AC1453" s="566"/>
      <c r="AD1453" s="566"/>
    </row>
    <row r="1454" spans="18:30" x14ac:dyDescent="0.25">
      <c r="R1454" s="566"/>
      <c r="S1454" s="566"/>
      <c r="T1454" s="566"/>
      <c r="U1454" s="566"/>
      <c r="V1454" s="566"/>
      <c r="W1454" s="566"/>
      <c r="X1454" s="566"/>
      <c r="Y1454" s="566"/>
      <c r="Z1454" s="566"/>
      <c r="AA1454" s="566"/>
      <c r="AB1454" s="566"/>
      <c r="AC1454" s="566"/>
      <c r="AD1454" s="566"/>
    </row>
    <row r="1455" spans="18:30" x14ac:dyDescent="0.25">
      <c r="R1455" s="566"/>
      <c r="S1455" s="566"/>
      <c r="T1455" s="566"/>
      <c r="U1455" s="566"/>
      <c r="V1455" s="566"/>
      <c r="W1455" s="566"/>
      <c r="X1455" s="566"/>
      <c r="Y1455" s="566"/>
      <c r="Z1455" s="566"/>
      <c r="AA1455" s="566"/>
      <c r="AB1455" s="566"/>
      <c r="AC1455" s="566"/>
      <c r="AD1455" s="566"/>
    </row>
    <row r="1456" spans="18:30" x14ac:dyDescent="0.25">
      <c r="R1456" s="566"/>
      <c r="S1456" s="566"/>
      <c r="T1456" s="566"/>
      <c r="U1456" s="566"/>
      <c r="V1456" s="566"/>
      <c r="W1456" s="566"/>
      <c r="X1456" s="566"/>
      <c r="Y1456" s="566"/>
      <c r="Z1456" s="566"/>
      <c r="AA1456" s="566"/>
      <c r="AB1456" s="566"/>
      <c r="AC1456" s="566"/>
      <c r="AD1456" s="566"/>
    </row>
    <row r="1457" spans="18:30" x14ac:dyDescent="0.25">
      <c r="R1457" s="566"/>
      <c r="S1457" s="566"/>
      <c r="T1457" s="566"/>
      <c r="U1457" s="566"/>
      <c r="V1457" s="566"/>
      <c r="W1457" s="566"/>
      <c r="X1457" s="566"/>
      <c r="Y1457" s="566"/>
      <c r="Z1457" s="566"/>
      <c r="AA1457" s="566"/>
      <c r="AB1457" s="566"/>
      <c r="AC1457" s="566"/>
      <c r="AD1457" s="566"/>
    </row>
    <row r="1458" spans="18:30" x14ac:dyDescent="0.25">
      <c r="R1458" s="566"/>
      <c r="S1458" s="566"/>
      <c r="T1458" s="566"/>
      <c r="U1458" s="566"/>
      <c r="V1458" s="566"/>
      <c r="W1458" s="566"/>
      <c r="X1458" s="566"/>
      <c r="Y1458" s="566"/>
      <c r="Z1458" s="566"/>
      <c r="AA1458" s="566"/>
      <c r="AB1458" s="566"/>
      <c r="AC1458" s="566"/>
      <c r="AD1458" s="566"/>
    </row>
    <row r="1459" spans="18:30" x14ac:dyDescent="0.25">
      <c r="R1459" s="566"/>
      <c r="S1459" s="566"/>
      <c r="T1459" s="566"/>
      <c r="U1459" s="566"/>
      <c r="V1459" s="566"/>
      <c r="W1459" s="566"/>
      <c r="X1459" s="566"/>
      <c r="Y1459" s="566"/>
      <c r="Z1459" s="566"/>
      <c r="AA1459" s="566"/>
      <c r="AB1459" s="566"/>
      <c r="AC1459" s="566"/>
      <c r="AD1459" s="566"/>
    </row>
    <row r="1460" spans="18:30" x14ac:dyDescent="0.25">
      <c r="R1460" s="566"/>
      <c r="S1460" s="566"/>
      <c r="T1460" s="566"/>
      <c r="U1460" s="566"/>
      <c r="V1460" s="566"/>
      <c r="W1460" s="566"/>
      <c r="X1460" s="566"/>
      <c r="Y1460" s="566"/>
      <c r="Z1460" s="566"/>
      <c r="AA1460" s="566"/>
      <c r="AB1460" s="566"/>
      <c r="AC1460" s="566"/>
      <c r="AD1460" s="566"/>
    </row>
    <row r="1461" spans="18:30" x14ac:dyDescent="0.25">
      <c r="R1461" s="566"/>
      <c r="S1461" s="566"/>
      <c r="T1461" s="566"/>
      <c r="U1461" s="566"/>
      <c r="V1461" s="566"/>
      <c r="W1461" s="566"/>
      <c r="X1461" s="566"/>
      <c r="Z1461" s="566"/>
      <c r="AA1461" s="566"/>
      <c r="AB1461" s="566"/>
      <c r="AC1461" s="566"/>
      <c r="AD1461" s="566"/>
    </row>
    <row r="1462" spans="18:30" x14ac:dyDescent="0.25">
      <c r="R1462" s="566"/>
      <c r="S1462" s="566"/>
      <c r="T1462" s="566"/>
      <c r="U1462" s="566"/>
      <c r="V1462" s="566"/>
      <c r="W1462" s="566"/>
      <c r="X1462" s="566"/>
      <c r="Z1462" s="566"/>
      <c r="AA1462" s="566"/>
      <c r="AB1462" s="566"/>
      <c r="AC1462" s="566"/>
      <c r="AD1462" s="566"/>
    </row>
    <row r="1463" spans="18:30" x14ac:dyDescent="0.25">
      <c r="R1463" s="566"/>
      <c r="S1463" s="566"/>
      <c r="T1463" s="566"/>
      <c r="Z1463" s="566"/>
      <c r="AA1463" s="566"/>
    </row>
    <row r="1464" spans="18:30" x14ac:dyDescent="0.25">
      <c r="R1464" s="566"/>
      <c r="S1464" s="566"/>
      <c r="T1464" s="566"/>
      <c r="AA1464" s="566"/>
    </row>
  </sheetData>
  <sheetProtection formatCells="0" formatColumns="0" formatRows="0" insertHyperlinks="0" sort="0" autoFilter="0" pivotTables="0"/>
  <mergeCells count="486">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35"/>
    <mergeCell ref="B10:B135"/>
    <mergeCell ref="C10:C15"/>
    <mergeCell ref="AF10:AF15"/>
    <mergeCell ref="AG10:AG15"/>
    <mergeCell ref="AH10:AH15"/>
    <mergeCell ref="AI10:AI15"/>
    <mergeCell ref="AJ10:AJ15"/>
    <mergeCell ref="AW10:AW15"/>
    <mergeCell ref="AX10:AX15"/>
    <mergeCell ref="C16:C21"/>
    <mergeCell ref="AF16:AF21"/>
    <mergeCell ref="AG16:AG21"/>
    <mergeCell ref="AH16:AH21"/>
    <mergeCell ref="AI16:AI21"/>
    <mergeCell ref="AJ16:AJ21"/>
    <mergeCell ref="AK16:AK21"/>
    <mergeCell ref="AL16:AL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S16:AS21"/>
    <mergeCell ref="AT16:AT21"/>
    <mergeCell ref="AU16:AU21"/>
    <mergeCell ref="AV16:AV21"/>
    <mergeCell ref="AW16:AW21"/>
    <mergeCell ref="AX16:AX21"/>
    <mergeCell ref="AM16:AM21"/>
    <mergeCell ref="AN16:AN21"/>
    <mergeCell ref="AO16:AO21"/>
    <mergeCell ref="AP16:AP21"/>
    <mergeCell ref="AQ16:AQ21"/>
    <mergeCell ref="AR16:AR21"/>
    <mergeCell ref="C28:C33"/>
    <mergeCell ref="AF28:AF33"/>
    <mergeCell ref="AG28:AG33"/>
    <mergeCell ref="AH28:AH33"/>
    <mergeCell ref="AI28:AI33"/>
    <mergeCell ref="AJ28:AJ33"/>
    <mergeCell ref="AK28:AK33"/>
    <mergeCell ref="AL28:AL33"/>
    <mergeCell ref="AQ22:AQ27"/>
    <mergeCell ref="AK22:AK27"/>
    <mergeCell ref="AL22:AL27"/>
    <mergeCell ref="AM22:AM27"/>
    <mergeCell ref="AN22:AN27"/>
    <mergeCell ref="AO22:AO27"/>
    <mergeCell ref="AP22:AP27"/>
    <mergeCell ref="C22:C27"/>
    <mergeCell ref="AF22:AF27"/>
    <mergeCell ref="AG22:AG27"/>
    <mergeCell ref="AH22:AH27"/>
    <mergeCell ref="AI22:AI27"/>
    <mergeCell ref="AJ22:AJ27"/>
    <mergeCell ref="AX28:AX33"/>
    <mergeCell ref="AM28:AM33"/>
    <mergeCell ref="AN28:AN33"/>
    <mergeCell ref="AO28:AO33"/>
    <mergeCell ref="AP28:AP33"/>
    <mergeCell ref="AQ28:AQ33"/>
    <mergeCell ref="AR28:AR33"/>
    <mergeCell ref="AW22:AW27"/>
    <mergeCell ref="AX22:AX27"/>
    <mergeCell ref="AR22:AR27"/>
    <mergeCell ref="AS22:AS27"/>
    <mergeCell ref="AT22:AT27"/>
    <mergeCell ref="AU22:AU27"/>
    <mergeCell ref="AV22:AV27"/>
    <mergeCell ref="AG34:AG39"/>
    <mergeCell ref="AH34:AH39"/>
    <mergeCell ref="AI34:AI39"/>
    <mergeCell ref="AJ34:AJ39"/>
    <mergeCell ref="AS28:AS33"/>
    <mergeCell ref="AT28:AT33"/>
    <mergeCell ref="AU28:AU33"/>
    <mergeCell ref="AV28:AV33"/>
    <mergeCell ref="AW28:AW33"/>
    <mergeCell ref="AW34:AW39"/>
    <mergeCell ref="AX34:AX39"/>
    <mergeCell ref="C40:C45"/>
    <mergeCell ref="AF40:AF45"/>
    <mergeCell ref="AG40:AG45"/>
    <mergeCell ref="AH40:AH45"/>
    <mergeCell ref="AI40:AI45"/>
    <mergeCell ref="AJ40:AJ45"/>
    <mergeCell ref="AK40:AK45"/>
    <mergeCell ref="AL40:AL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S40:AS45"/>
    <mergeCell ref="AT40:AT45"/>
    <mergeCell ref="AU40:AU45"/>
    <mergeCell ref="AV40:AV45"/>
    <mergeCell ref="AW40:AW45"/>
    <mergeCell ref="AX40:AX45"/>
    <mergeCell ref="AM40:AM45"/>
    <mergeCell ref="AN40:AN45"/>
    <mergeCell ref="AO40:AO45"/>
    <mergeCell ref="AP40:AP45"/>
    <mergeCell ref="AQ40:AQ45"/>
    <mergeCell ref="AR40:AR45"/>
    <mergeCell ref="C52:C57"/>
    <mergeCell ref="AF52:AF57"/>
    <mergeCell ref="AG52:AG57"/>
    <mergeCell ref="AH52:AH57"/>
    <mergeCell ref="AI52:AI57"/>
    <mergeCell ref="AJ52:AJ57"/>
    <mergeCell ref="AK52:AK57"/>
    <mergeCell ref="AL52:AL57"/>
    <mergeCell ref="AQ46:AQ51"/>
    <mergeCell ref="AK46:AK51"/>
    <mergeCell ref="AL46:AL51"/>
    <mergeCell ref="AM46:AM51"/>
    <mergeCell ref="AN46:AN51"/>
    <mergeCell ref="AO46:AO51"/>
    <mergeCell ref="AP46:AP51"/>
    <mergeCell ref="C46:C51"/>
    <mergeCell ref="AF46:AF51"/>
    <mergeCell ref="AG46:AG51"/>
    <mergeCell ref="AH46:AH51"/>
    <mergeCell ref="AI46:AI51"/>
    <mergeCell ref="AJ46:AJ51"/>
    <mergeCell ref="AX52:AX57"/>
    <mergeCell ref="AM52:AM57"/>
    <mergeCell ref="AN52:AN57"/>
    <mergeCell ref="AO52:AO57"/>
    <mergeCell ref="AP52:AP57"/>
    <mergeCell ref="AQ52:AQ57"/>
    <mergeCell ref="AR52:AR57"/>
    <mergeCell ref="AW46:AW51"/>
    <mergeCell ref="AX46:AX51"/>
    <mergeCell ref="AR46:AR51"/>
    <mergeCell ref="AS46:AS51"/>
    <mergeCell ref="AT46:AT51"/>
    <mergeCell ref="AU46:AU51"/>
    <mergeCell ref="AV46:AV51"/>
    <mergeCell ref="AG58:AG63"/>
    <mergeCell ref="AH58:AH63"/>
    <mergeCell ref="AI58:AI63"/>
    <mergeCell ref="AJ58:AJ63"/>
    <mergeCell ref="AS52:AS57"/>
    <mergeCell ref="AT52:AT57"/>
    <mergeCell ref="AU52:AU57"/>
    <mergeCell ref="AV52:AV57"/>
    <mergeCell ref="AW52:AW57"/>
    <mergeCell ref="AW58:AW63"/>
    <mergeCell ref="AX58:AX63"/>
    <mergeCell ref="C64:C69"/>
    <mergeCell ref="AF64:AF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S64:AS69"/>
    <mergeCell ref="AT64:AT69"/>
    <mergeCell ref="AU64:AU69"/>
    <mergeCell ref="AV64:AV69"/>
    <mergeCell ref="AW64:AW69"/>
    <mergeCell ref="AX64:AX69"/>
    <mergeCell ref="AM64:AM69"/>
    <mergeCell ref="AN64:AN69"/>
    <mergeCell ref="AO64:AO69"/>
    <mergeCell ref="AP64:AP69"/>
    <mergeCell ref="AQ64:AQ69"/>
    <mergeCell ref="AR64:AR69"/>
    <mergeCell ref="C76:C81"/>
    <mergeCell ref="AF76:AF81"/>
    <mergeCell ref="AG76:AG81"/>
    <mergeCell ref="AH76:AH81"/>
    <mergeCell ref="AI76:AI81"/>
    <mergeCell ref="AJ76:AJ81"/>
    <mergeCell ref="AK76:AK81"/>
    <mergeCell ref="AL76:AL81"/>
    <mergeCell ref="AQ70:AQ75"/>
    <mergeCell ref="AK70:AK75"/>
    <mergeCell ref="AL70:AL75"/>
    <mergeCell ref="AM70:AM75"/>
    <mergeCell ref="AN70:AN75"/>
    <mergeCell ref="AO70:AO75"/>
    <mergeCell ref="AP70:AP75"/>
    <mergeCell ref="C70:C75"/>
    <mergeCell ref="AF70:AF75"/>
    <mergeCell ref="AG70:AG75"/>
    <mergeCell ref="AH70:AH75"/>
    <mergeCell ref="AI70:AI75"/>
    <mergeCell ref="AJ70:AJ75"/>
    <mergeCell ref="AX76:AX81"/>
    <mergeCell ref="AM76:AM81"/>
    <mergeCell ref="AN76:AN81"/>
    <mergeCell ref="AO76:AO81"/>
    <mergeCell ref="AP76:AP81"/>
    <mergeCell ref="AQ76:AQ81"/>
    <mergeCell ref="AR76:AR81"/>
    <mergeCell ref="AW70:AW75"/>
    <mergeCell ref="AX70:AX75"/>
    <mergeCell ref="AR70:AR75"/>
    <mergeCell ref="AS70:AS75"/>
    <mergeCell ref="AT70:AT75"/>
    <mergeCell ref="AU70:AU75"/>
    <mergeCell ref="AV70:AV75"/>
    <mergeCell ref="AG82:AG87"/>
    <mergeCell ref="AH82:AH87"/>
    <mergeCell ref="AI82:AI87"/>
    <mergeCell ref="AJ82:AJ87"/>
    <mergeCell ref="AS76:AS81"/>
    <mergeCell ref="AT76:AT81"/>
    <mergeCell ref="AU76:AU81"/>
    <mergeCell ref="AV76:AV81"/>
    <mergeCell ref="AW76:AW81"/>
    <mergeCell ref="AW82:AW87"/>
    <mergeCell ref="AX82:AX87"/>
    <mergeCell ref="C88:C93"/>
    <mergeCell ref="AF88:AF93"/>
    <mergeCell ref="AG88:AG93"/>
    <mergeCell ref="AH88:AH93"/>
    <mergeCell ref="AI88:AI93"/>
    <mergeCell ref="AJ88:AJ93"/>
    <mergeCell ref="AK88:AK93"/>
    <mergeCell ref="AL88:AL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S88:AS93"/>
    <mergeCell ref="AT88:AT93"/>
    <mergeCell ref="AU88:AU93"/>
    <mergeCell ref="AV88:AV93"/>
    <mergeCell ref="AW88:AW93"/>
    <mergeCell ref="AX88:AX93"/>
    <mergeCell ref="AM88:AM93"/>
    <mergeCell ref="AN88:AN93"/>
    <mergeCell ref="AO88:AO93"/>
    <mergeCell ref="AP88:AP93"/>
    <mergeCell ref="AQ88:AQ93"/>
    <mergeCell ref="AR88:AR93"/>
    <mergeCell ref="C100:C105"/>
    <mergeCell ref="AF100:AF105"/>
    <mergeCell ref="AG100:AG105"/>
    <mergeCell ref="AH100:AH105"/>
    <mergeCell ref="AI100:AI105"/>
    <mergeCell ref="AJ100:AJ105"/>
    <mergeCell ref="AK100:AK105"/>
    <mergeCell ref="AL100:AL105"/>
    <mergeCell ref="AQ94:AQ99"/>
    <mergeCell ref="AK94:AK99"/>
    <mergeCell ref="AL94:AL99"/>
    <mergeCell ref="AM94:AM99"/>
    <mergeCell ref="AN94:AN99"/>
    <mergeCell ref="AO94:AO99"/>
    <mergeCell ref="AP94:AP99"/>
    <mergeCell ref="C94:C99"/>
    <mergeCell ref="AF94:AF99"/>
    <mergeCell ref="AG94:AG99"/>
    <mergeCell ref="AH94:AH99"/>
    <mergeCell ref="AI94:AI99"/>
    <mergeCell ref="AJ94:AJ99"/>
    <mergeCell ref="AX100:AX105"/>
    <mergeCell ref="AM100:AM105"/>
    <mergeCell ref="AN100:AN105"/>
    <mergeCell ref="AO100:AO105"/>
    <mergeCell ref="AP100:AP105"/>
    <mergeCell ref="AQ100:AQ105"/>
    <mergeCell ref="AR100:AR105"/>
    <mergeCell ref="AW94:AW99"/>
    <mergeCell ref="AX94:AX99"/>
    <mergeCell ref="AR94:AR99"/>
    <mergeCell ref="AS94:AS99"/>
    <mergeCell ref="AT94:AT99"/>
    <mergeCell ref="AU94:AU99"/>
    <mergeCell ref="AV94:AV99"/>
    <mergeCell ref="AG106:AG111"/>
    <mergeCell ref="AH106:AH111"/>
    <mergeCell ref="AI106:AI111"/>
    <mergeCell ref="AJ106:AJ111"/>
    <mergeCell ref="AS100:AS105"/>
    <mergeCell ref="AT100:AT105"/>
    <mergeCell ref="AU100:AU105"/>
    <mergeCell ref="AV100:AV105"/>
    <mergeCell ref="AW100:AW105"/>
    <mergeCell ref="AW106:AW111"/>
    <mergeCell ref="AX106:AX111"/>
    <mergeCell ref="C112:C117"/>
    <mergeCell ref="AF112:AF117"/>
    <mergeCell ref="AG112:AG117"/>
    <mergeCell ref="AH112:AH117"/>
    <mergeCell ref="AI112:AI117"/>
    <mergeCell ref="AJ112:AJ117"/>
    <mergeCell ref="AK112:AK117"/>
    <mergeCell ref="AL112:AL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S112:AS117"/>
    <mergeCell ref="AT112:AT117"/>
    <mergeCell ref="AU112:AU117"/>
    <mergeCell ref="AV112:AV117"/>
    <mergeCell ref="AW112:AW117"/>
    <mergeCell ref="AX112:AX117"/>
    <mergeCell ref="AM112:AM117"/>
    <mergeCell ref="AN112:AN117"/>
    <mergeCell ref="AO112:AO117"/>
    <mergeCell ref="AP112:AP117"/>
    <mergeCell ref="AQ112:AQ117"/>
    <mergeCell ref="AR112:AR117"/>
    <mergeCell ref="C124:C129"/>
    <mergeCell ref="AF124:AF129"/>
    <mergeCell ref="AG124:AG129"/>
    <mergeCell ref="AH124:AH129"/>
    <mergeCell ref="AI124:AI129"/>
    <mergeCell ref="AJ124:AJ129"/>
    <mergeCell ref="AK124:AK129"/>
    <mergeCell ref="AL124:AL129"/>
    <mergeCell ref="AQ118:AQ123"/>
    <mergeCell ref="AK118:AK123"/>
    <mergeCell ref="AL118:AL123"/>
    <mergeCell ref="AM118:AM123"/>
    <mergeCell ref="AN118:AN123"/>
    <mergeCell ref="AO118:AO123"/>
    <mergeCell ref="AP118:AP123"/>
    <mergeCell ref="C118:C123"/>
    <mergeCell ref="AF118:AF123"/>
    <mergeCell ref="AG118:AG123"/>
    <mergeCell ref="AH118:AH123"/>
    <mergeCell ref="AI118:AI123"/>
    <mergeCell ref="AJ118:AJ123"/>
    <mergeCell ref="AX124:AX129"/>
    <mergeCell ref="AM124:AM129"/>
    <mergeCell ref="AN124:AN129"/>
    <mergeCell ref="AO124:AO129"/>
    <mergeCell ref="AP124:AP129"/>
    <mergeCell ref="AQ124:AQ129"/>
    <mergeCell ref="AR124:AR129"/>
    <mergeCell ref="AW118:AW123"/>
    <mergeCell ref="AX118:AX123"/>
    <mergeCell ref="AR118:AR123"/>
    <mergeCell ref="AS118:AS123"/>
    <mergeCell ref="AT118:AT123"/>
    <mergeCell ref="AU118:AU123"/>
    <mergeCell ref="AV118:AV123"/>
    <mergeCell ref="AG130:AG135"/>
    <mergeCell ref="AH130:AH135"/>
    <mergeCell ref="AI130:AI135"/>
    <mergeCell ref="AJ130:AJ135"/>
    <mergeCell ref="AS124:AS129"/>
    <mergeCell ref="AT124:AT129"/>
    <mergeCell ref="AU124:AU129"/>
    <mergeCell ref="AV124:AV129"/>
    <mergeCell ref="AW124:AW129"/>
    <mergeCell ref="AW130:AW135"/>
    <mergeCell ref="AX130:AX135"/>
    <mergeCell ref="A136:A141"/>
    <mergeCell ref="B136:B141"/>
    <mergeCell ref="C136:C141"/>
    <mergeCell ref="AF136:AF141"/>
    <mergeCell ref="AG136:AG141"/>
    <mergeCell ref="AH136:AH141"/>
    <mergeCell ref="AI136:AI141"/>
    <mergeCell ref="AJ136:AJ141"/>
    <mergeCell ref="AQ130:AQ135"/>
    <mergeCell ref="AR130:AR135"/>
    <mergeCell ref="AS130:AS135"/>
    <mergeCell ref="AT130:AT135"/>
    <mergeCell ref="AU130:AU135"/>
    <mergeCell ref="AV130:AV135"/>
    <mergeCell ref="AK130:AK135"/>
    <mergeCell ref="AL130:AL135"/>
    <mergeCell ref="AM130:AM135"/>
    <mergeCell ref="AN130:AN135"/>
    <mergeCell ref="AO130:AO135"/>
    <mergeCell ref="AP130:AP135"/>
    <mergeCell ref="C130:C135"/>
    <mergeCell ref="AF130:AF135"/>
    <mergeCell ref="AW136:AW141"/>
    <mergeCell ref="AX136:AX141"/>
    <mergeCell ref="A142:A147"/>
    <mergeCell ref="B142:B147"/>
    <mergeCell ref="C142:C147"/>
    <mergeCell ref="AF142:AF147"/>
    <mergeCell ref="AG142:AG147"/>
    <mergeCell ref="AH142:AH147"/>
    <mergeCell ref="AI142:AI147"/>
    <mergeCell ref="AJ142:AJ147"/>
    <mergeCell ref="AQ136:AQ141"/>
    <mergeCell ref="AR136:AR141"/>
    <mergeCell ref="AS136:AS141"/>
    <mergeCell ref="AT136:AT141"/>
    <mergeCell ref="AU136:AU141"/>
    <mergeCell ref="AV136:AV141"/>
    <mergeCell ref="AK136:AK141"/>
    <mergeCell ref="AL136:AL141"/>
    <mergeCell ref="AM136:AM141"/>
    <mergeCell ref="AN136:AN141"/>
    <mergeCell ref="AO136:AO141"/>
    <mergeCell ref="AP136:AP141"/>
    <mergeCell ref="AW142:AW147"/>
    <mergeCell ref="AX142:AX147"/>
    <mergeCell ref="A148:C150"/>
    <mergeCell ref="AQ142:AQ147"/>
    <mergeCell ref="AR142:AR147"/>
    <mergeCell ref="AS142:AS147"/>
    <mergeCell ref="AT142:AT147"/>
    <mergeCell ref="AU142:AU147"/>
    <mergeCell ref="AV142:AV147"/>
    <mergeCell ref="AK142:AK147"/>
    <mergeCell ref="AL142:AL147"/>
    <mergeCell ref="AM142:AM147"/>
    <mergeCell ref="AN142:AN147"/>
    <mergeCell ref="AO142:AO147"/>
    <mergeCell ref="AP142:AP14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24"/>
  <sheetViews>
    <sheetView zoomScale="53" zoomScaleNormal="53" zoomScalePageLayoutView="75" workbookViewId="0">
      <selection activeCell="G17" sqref="G17"/>
    </sheetView>
  </sheetViews>
  <sheetFormatPr baseColWidth="10" defaultRowHeight="15" x14ac:dyDescent="0.25"/>
  <cols>
    <col min="1" max="1" width="16.42578125" customWidth="1"/>
    <col min="2" max="2" width="58.42578125" bestFit="1" customWidth="1"/>
    <col min="3" max="3" width="25.140625" customWidth="1"/>
    <col min="4" max="4" width="43.7109375" bestFit="1" customWidth="1"/>
    <col min="5" max="5" width="24.7109375" customWidth="1"/>
    <col min="6" max="6" width="29.7109375" customWidth="1"/>
    <col min="7" max="7" width="66.28515625" customWidth="1"/>
    <col min="8" max="8" width="49.140625" style="311" customWidth="1"/>
    <col min="9" max="9" width="18.42578125" customWidth="1"/>
    <col min="10" max="10" width="20.140625" customWidth="1"/>
    <col min="12" max="12" width="14.42578125" customWidth="1"/>
    <col min="13" max="13" width="16.42578125" customWidth="1"/>
    <col min="14" max="14" width="92" customWidth="1"/>
  </cols>
  <sheetData>
    <row r="1" spans="1:14" ht="29.25" customHeight="1" x14ac:dyDescent="0.25">
      <c r="A1" s="777"/>
      <c r="B1" s="880"/>
      <c r="C1" s="1008" t="s">
        <v>39</v>
      </c>
      <c r="D1" s="1009"/>
      <c r="E1" s="1009"/>
      <c r="F1" s="1009"/>
      <c r="G1" s="1009"/>
      <c r="H1" s="1009"/>
      <c r="I1" s="1009"/>
      <c r="J1" s="1009"/>
      <c r="K1" s="1009"/>
      <c r="L1" s="1009"/>
      <c r="M1" s="1009"/>
      <c r="N1" s="1010"/>
    </row>
    <row r="2" spans="1:14" ht="33.75" customHeight="1" thickBot="1" x14ac:dyDescent="0.3">
      <c r="A2" s="779"/>
      <c r="B2" s="881"/>
      <c r="C2" s="1011" t="s">
        <v>123</v>
      </c>
      <c r="D2" s="1012"/>
      <c r="E2" s="1012"/>
      <c r="F2" s="1012"/>
      <c r="G2" s="1012"/>
      <c r="H2" s="1013"/>
      <c r="I2" s="1013"/>
      <c r="J2" s="1013"/>
      <c r="K2" s="1013"/>
      <c r="L2" s="1013"/>
      <c r="M2" s="1013"/>
      <c r="N2" s="1014"/>
    </row>
    <row r="3" spans="1:14" ht="27" thickBot="1" x14ac:dyDescent="0.45">
      <c r="A3" s="882"/>
      <c r="B3" s="884"/>
      <c r="C3" s="1015" t="s">
        <v>40</v>
      </c>
      <c r="D3" s="1016"/>
      <c r="E3" s="1016"/>
      <c r="F3" s="1016"/>
      <c r="G3" s="1016"/>
      <c r="H3" s="1017" t="s">
        <v>363</v>
      </c>
      <c r="I3" s="1018"/>
      <c r="J3" s="1018"/>
      <c r="K3" s="1018"/>
      <c r="L3" s="1018"/>
      <c r="M3" s="1018"/>
      <c r="N3" s="1019"/>
    </row>
    <row r="4" spans="1:14" ht="26.25" customHeight="1" thickBot="1" x14ac:dyDescent="0.4">
      <c r="A4" s="1020" t="s">
        <v>0</v>
      </c>
      <c r="B4" s="1021"/>
      <c r="C4" s="1022" t="s">
        <v>369</v>
      </c>
      <c r="D4" s="1022"/>
      <c r="E4" s="1022"/>
      <c r="F4" s="1022"/>
      <c r="G4" s="1022"/>
      <c r="H4" s="1022"/>
      <c r="I4" s="1022"/>
      <c r="J4" s="1022"/>
      <c r="K4" s="1022"/>
      <c r="L4" s="1022"/>
      <c r="M4" s="1022"/>
      <c r="N4" s="1023"/>
    </row>
    <row r="5" spans="1:14" ht="29.25" customHeight="1" thickBot="1" x14ac:dyDescent="0.4">
      <c r="A5" s="1030" t="s">
        <v>2</v>
      </c>
      <c r="B5" s="1031"/>
      <c r="C5" s="1032" t="s">
        <v>370</v>
      </c>
      <c r="D5" s="1032"/>
      <c r="E5" s="1032"/>
      <c r="F5" s="1032"/>
      <c r="G5" s="1032"/>
      <c r="H5" s="1032"/>
      <c r="I5" s="1032"/>
      <c r="J5" s="1032"/>
      <c r="K5" s="1032"/>
      <c r="L5" s="1032"/>
      <c r="M5" s="1032"/>
      <c r="N5" s="1033"/>
    </row>
    <row r="6" spans="1:14" ht="29.25" customHeight="1" thickBot="1" x14ac:dyDescent="0.4">
      <c r="A6" s="388"/>
      <c r="B6" s="388"/>
      <c r="C6" s="389"/>
      <c r="D6" s="389"/>
      <c r="E6" s="389"/>
      <c r="F6" s="389"/>
      <c r="G6" s="389"/>
      <c r="H6" s="389"/>
      <c r="I6" s="389"/>
      <c r="J6" s="389"/>
      <c r="K6" s="389"/>
      <c r="L6" s="389"/>
      <c r="M6" s="389"/>
      <c r="N6" s="389"/>
    </row>
    <row r="7" spans="1:14" ht="28.5" customHeight="1" x14ac:dyDescent="0.25">
      <c r="A7" s="1024" t="s">
        <v>124</v>
      </c>
      <c r="B7" s="1025"/>
      <c r="C7" s="1025"/>
      <c r="D7" s="1025"/>
      <c r="E7" s="1025"/>
      <c r="F7" s="1025"/>
      <c r="G7" s="1025"/>
      <c r="H7" s="1026"/>
    </row>
    <row r="8" spans="1:14" ht="33.75" customHeight="1" x14ac:dyDescent="0.25">
      <c r="A8" s="32" t="s">
        <v>50</v>
      </c>
      <c r="B8" s="33" t="s">
        <v>125</v>
      </c>
      <c r="C8" s="33" t="s">
        <v>126</v>
      </c>
      <c r="D8" s="33" t="s">
        <v>127</v>
      </c>
      <c r="E8" s="33" t="s">
        <v>128</v>
      </c>
      <c r="F8" s="33" t="s">
        <v>589</v>
      </c>
      <c r="G8" s="33" t="s">
        <v>130</v>
      </c>
      <c r="H8" s="472" t="s">
        <v>131</v>
      </c>
    </row>
    <row r="9" spans="1:14" ht="33.75" customHeight="1" x14ac:dyDescent="0.25">
      <c r="A9" s="390" t="s">
        <v>132</v>
      </c>
      <c r="B9" s="279" t="s">
        <v>396</v>
      </c>
      <c r="C9" s="391">
        <v>0</v>
      </c>
      <c r="D9" s="392">
        <v>3100351062</v>
      </c>
      <c r="E9" s="393">
        <v>61765000</v>
      </c>
      <c r="F9" s="393">
        <v>0</v>
      </c>
      <c r="G9" s="394">
        <v>0</v>
      </c>
      <c r="H9" s="395">
        <f t="shared" ref="H9:H14" si="0">+G9/E9</f>
        <v>0</v>
      </c>
    </row>
    <row r="10" spans="1:14" ht="33.75" customHeight="1" x14ac:dyDescent="0.25">
      <c r="A10" s="390" t="s">
        <v>133</v>
      </c>
      <c r="B10" s="279" t="s">
        <v>396</v>
      </c>
      <c r="C10" s="391">
        <v>0</v>
      </c>
      <c r="D10" s="392">
        <v>3100351062</v>
      </c>
      <c r="E10" s="393">
        <v>1834168000</v>
      </c>
      <c r="F10" s="393">
        <v>0</v>
      </c>
      <c r="G10" s="394">
        <v>0</v>
      </c>
      <c r="H10" s="395">
        <f t="shared" si="0"/>
        <v>0</v>
      </c>
    </row>
    <row r="11" spans="1:14" ht="33.75" customHeight="1" x14ac:dyDescent="0.25">
      <c r="A11" s="390" t="s">
        <v>134</v>
      </c>
      <c r="B11" s="279" t="s">
        <v>396</v>
      </c>
      <c r="C11" s="391">
        <v>0</v>
      </c>
      <c r="D11" s="392">
        <v>3100351062</v>
      </c>
      <c r="E11" s="393">
        <v>2020192000</v>
      </c>
      <c r="F11" s="393">
        <v>146090669</v>
      </c>
      <c r="G11" s="394">
        <v>146090669</v>
      </c>
      <c r="H11" s="395">
        <f t="shared" si="0"/>
        <v>7.2315239838589604E-2</v>
      </c>
    </row>
    <row r="12" spans="1:14" ht="33.75" customHeight="1" x14ac:dyDescent="0.25">
      <c r="A12" s="390" t="s">
        <v>135</v>
      </c>
      <c r="B12" s="279" t="s">
        <v>396</v>
      </c>
      <c r="C12" s="391">
        <v>0</v>
      </c>
      <c r="D12" s="392">
        <v>3100351062</v>
      </c>
      <c r="E12" s="393">
        <v>2020192000</v>
      </c>
      <c r="F12" s="393">
        <v>374406735</v>
      </c>
      <c r="G12" s="394">
        <v>374406735</v>
      </c>
      <c r="H12" s="395">
        <f t="shared" si="0"/>
        <v>0.18533225307297524</v>
      </c>
    </row>
    <row r="13" spans="1:14" ht="33.75" customHeight="1" x14ac:dyDescent="0.25">
      <c r="A13" s="390" t="s">
        <v>136</v>
      </c>
      <c r="B13" s="279" t="s">
        <v>396</v>
      </c>
      <c r="C13" s="391">
        <v>0</v>
      </c>
      <c r="D13" s="392">
        <v>3100351062</v>
      </c>
      <c r="E13" s="393">
        <v>2035679245</v>
      </c>
      <c r="F13" s="393">
        <v>512674881</v>
      </c>
      <c r="G13" s="394">
        <v>512674881</v>
      </c>
      <c r="H13" s="395">
        <f t="shared" si="0"/>
        <v>0.25184462741820607</v>
      </c>
    </row>
    <row r="14" spans="1:14" ht="33.75" customHeight="1" x14ac:dyDescent="0.25">
      <c r="A14" s="390" t="s">
        <v>137</v>
      </c>
      <c r="B14" s="279" t="s">
        <v>396</v>
      </c>
      <c r="C14" s="391">
        <v>0</v>
      </c>
      <c r="D14" s="392">
        <v>3100351062</v>
      </c>
      <c r="E14" s="393">
        <v>3057415113</v>
      </c>
      <c r="F14" s="393">
        <v>789012578</v>
      </c>
      <c r="G14" s="394">
        <v>789012578</v>
      </c>
      <c r="H14" s="395">
        <f t="shared" si="0"/>
        <v>0.25806524427944111</v>
      </c>
    </row>
    <row r="15" spans="1:14" s="2" customFormat="1" ht="33.75" customHeight="1" thickBot="1" x14ac:dyDescent="0.3">
      <c r="A15" s="396"/>
      <c r="B15" s="397"/>
      <c r="C15" s="397"/>
      <c r="D15" s="397"/>
      <c r="E15" s="397"/>
      <c r="F15" s="397"/>
      <c r="G15" s="397"/>
      <c r="H15" s="398"/>
    </row>
    <row r="16" spans="1:14" ht="28.5" customHeight="1" x14ac:dyDescent="0.25">
      <c r="A16" s="1024" t="s">
        <v>138</v>
      </c>
      <c r="B16" s="1025"/>
      <c r="C16" s="1025"/>
      <c r="D16" s="1025"/>
      <c r="E16" s="1025"/>
      <c r="F16" s="1025"/>
      <c r="G16" s="1025"/>
      <c r="H16" s="1026"/>
    </row>
    <row r="17" spans="1:10" ht="33.75" customHeight="1" x14ac:dyDescent="0.25">
      <c r="A17" s="32" t="s">
        <v>50</v>
      </c>
      <c r="B17" s="33" t="s">
        <v>125</v>
      </c>
      <c r="C17" s="33" t="s">
        <v>126</v>
      </c>
      <c r="D17" s="33" t="s">
        <v>127</v>
      </c>
      <c r="E17" s="33" t="s">
        <v>128</v>
      </c>
      <c r="F17" s="33" t="s">
        <v>129</v>
      </c>
      <c r="G17" s="33" t="s">
        <v>130</v>
      </c>
      <c r="H17" s="472" t="s">
        <v>131</v>
      </c>
    </row>
    <row r="18" spans="1:10" ht="37.5" customHeight="1" x14ac:dyDescent="0.25">
      <c r="A18" s="399" t="s">
        <v>139</v>
      </c>
      <c r="B18" s="400" t="s">
        <v>396</v>
      </c>
      <c r="C18" s="401">
        <v>0</v>
      </c>
      <c r="D18" s="392">
        <v>4266643000</v>
      </c>
      <c r="E18" s="392">
        <v>0</v>
      </c>
      <c r="F18" s="392">
        <v>0</v>
      </c>
      <c r="G18" s="402">
        <v>0</v>
      </c>
      <c r="H18" s="403" t="e">
        <f>G18/E18</f>
        <v>#DIV/0!</v>
      </c>
    </row>
    <row r="19" spans="1:10" ht="37.5" customHeight="1" x14ac:dyDescent="0.25">
      <c r="A19" s="399" t="s">
        <v>140</v>
      </c>
      <c r="B19" s="400" t="s">
        <v>396</v>
      </c>
      <c r="C19" s="401">
        <v>0</v>
      </c>
      <c r="D19" s="392">
        <v>4266643000</v>
      </c>
      <c r="E19" s="392">
        <v>1251929000</v>
      </c>
      <c r="F19" s="404">
        <v>0</v>
      </c>
      <c r="G19" s="402">
        <v>0</v>
      </c>
      <c r="H19" s="405">
        <f t="shared" ref="H19:H29" si="1">G19/E19</f>
        <v>0</v>
      </c>
    </row>
    <row r="20" spans="1:10" ht="37.5" customHeight="1" x14ac:dyDescent="0.25">
      <c r="A20" s="399" t="s">
        <v>141</v>
      </c>
      <c r="B20" s="400" t="s">
        <v>396</v>
      </c>
      <c r="C20" s="401">
        <v>0</v>
      </c>
      <c r="D20" s="392">
        <v>4266643000</v>
      </c>
      <c r="E20" s="392">
        <v>3700506000</v>
      </c>
      <c r="F20" s="404">
        <v>10577600</v>
      </c>
      <c r="G20" s="402">
        <v>10577600</v>
      </c>
      <c r="H20" s="406">
        <f t="shared" si="1"/>
        <v>2.8584199025754858E-3</v>
      </c>
    </row>
    <row r="21" spans="1:10" ht="37.5" customHeight="1" x14ac:dyDescent="0.25">
      <c r="A21" s="399" t="s">
        <v>142</v>
      </c>
      <c r="B21" s="400" t="s">
        <v>396</v>
      </c>
      <c r="C21" s="401">
        <v>0</v>
      </c>
      <c r="D21" s="392">
        <v>4266643000</v>
      </c>
      <c r="E21" s="392">
        <v>3979541000</v>
      </c>
      <c r="F21" s="404">
        <f>251041734+F20</f>
        <v>261619334</v>
      </c>
      <c r="G21" s="402">
        <v>261619334</v>
      </c>
      <c r="H21" s="406">
        <f t="shared" si="1"/>
        <v>6.5741082702753917E-2</v>
      </c>
    </row>
    <row r="22" spans="1:10" ht="37.5" customHeight="1" x14ac:dyDescent="0.25">
      <c r="A22" s="399" t="s">
        <v>143</v>
      </c>
      <c r="B22" s="400" t="s">
        <v>396</v>
      </c>
      <c r="C22" s="401">
        <v>0</v>
      </c>
      <c r="D22" s="392">
        <v>4266643000</v>
      </c>
      <c r="E22" s="392">
        <v>3986585550</v>
      </c>
      <c r="F22" s="404">
        <f>401653301+F21</f>
        <v>663272635</v>
      </c>
      <c r="G22" s="402">
        <v>663272635</v>
      </c>
      <c r="H22" s="406">
        <f t="shared" si="1"/>
        <v>0.16637611978501252</v>
      </c>
    </row>
    <row r="23" spans="1:10" ht="37.5" customHeight="1" x14ac:dyDescent="0.25">
      <c r="A23" s="399" t="s">
        <v>144</v>
      </c>
      <c r="B23" s="400" t="s">
        <v>396</v>
      </c>
      <c r="C23" s="401">
        <v>0</v>
      </c>
      <c r="D23" s="392">
        <v>4266643000</v>
      </c>
      <c r="E23" s="392">
        <v>4148117730</v>
      </c>
      <c r="F23" s="392">
        <v>1120263342</v>
      </c>
      <c r="G23" s="402">
        <v>1120263342</v>
      </c>
      <c r="H23" s="406">
        <f t="shared" si="1"/>
        <v>0.27006546460772701</v>
      </c>
    </row>
    <row r="24" spans="1:10" ht="37.5" customHeight="1" x14ac:dyDescent="0.25">
      <c r="A24" s="399" t="s">
        <v>132</v>
      </c>
      <c r="B24" s="400" t="s">
        <v>396</v>
      </c>
      <c r="C24" s="401">
        <v>0</v>
      </c>
      <c r="D24" s="392">
        <v>4266643000</v>
      </c>
      <c r="E24" s="392">
        <v>4148117730</v>
      </c>
      <c r="F24" s="392">
        <v>1577666376</v>
      </c>
      <c r="G24" s="402">
        <v>1577666376</v>
      </c>
      <c r="H24" s="406">
        <f t="shared" si="1"/>
        <v>0.38033307603350014</v>
      </c>
      <c r="J24" s="116"/>
    </row>
    <row r="25" spans="1:10" ht="35.25" customHeight="1" x14ac:dyDescent="0.25">
      <c r="A25" s="399" t="s">
        <v>133</v>
      </c>
      <c r="B25" s="400" t="s">
        <v>396</v>
      </c>
      <c r="C25" s="401">
        <v>0</v>
      </c>
      <c r="D25" s="392">
        <v>4266643000</v>
      </c>
      <c r="E25" s="392">
        <v>4159921730</v>
      </c>
      <c r="F25" s="392">
        <v>2053853234</v>
      </c>
      <c r="G25" s="402">
        <v>2053853234</v>
      </c>
      <c r="H25" s="406">
        <f t="shared" si="1"/>
        <v>0.49372400908129588</v>
      </c>
    </row>
    <row r="26" spans="1:10" ht="35.25" customHeight="1" x14ac:dyDescent="0.25">
      <c r="A26" s="399" t="s">
        <v>134</v>
      </c>
      <c r="B26" s="400" t="s">
        <v>396</v>
      </c>
      <c r="C26" s="401">
        <v>0</v>
      </c>
      <c r="D26" s="392">
        <v>4407842000</v>
      </c>
      <c r="E26" s="392">
        <v>4218857730</v>
      </c>
      <c r="F26" s="392">
        <v>2525867453</v>
      </c>
      <c r="G26" s="402">
        <v>2525867453</v>
      </c>
      <c r="H26" s="406">
        <f t="shared" si="1"/>
        <v>0.59870884837825522</v>
      </c>
    </row>
    <row r="27" spans="1:10" ht="35.25" customHeight="1" x14ac:dyDescent="0.25">
      <c r="A27" s="399" t="s">
        <v>135</v>
      </c>
      <c r="B27" s="400" t="s">
        <v>396</v>
      </c>
      <c r="C27" s="401">
        <v>0</v>
      </c>
      <c r="D27" s="392">
        <v>4407842000</v>
      </c>
      <c r="E27" s="392">
        <v>4243054397</v>
      </c>
      <c r="F27" s="392">
        <v>2977467896</v>
      </c>
      <c r="G27" s="402">
        <v>2977467896</v>
      </c>
      <c r="H27" s="407">
        <f t="shared" si="1"/>
        <v>0.7017274862432078</v>
      </c>
    </row>
    <row r="28" spans="1:10" ht="35.25" customHeight="1" x14ac:dyDescent="0.25">
      <c r="A28" s="399" t="s">
        <v>136</v>
      </c>
      <c r="B28" s="400" t="s">
        <v>396</v>
      </c>
      <c r="C28" s="401">
        <v>0</v>
      </c>
      <c r="D28" s="392">
        <v>4407842000</v>
      </c>
      <c r="E28" s="392">
        <v>4339559831</v>
      </c>
      <c r="F28" s="392">
        <v>3438656672</v>
      </c>
      <c r="G28" s="402">
        <v>3438656672</v>
      </c>
      <c r="H28" s="407">
        <f t="shared" si="1"/>
        <v>0.79239757162366453</v>
      </c>
    </row>
    <row r="29" spans="1:10" ht="35.25" customHeight="1" thickBot="1" x14ac:dyDescent="0.3">
      <c r="A29" s="408" t="s">
        <v>137</v>
      </c>
      <c r="B29" s="400" t="s">
        <v>396</v>
      </c>
      <c r="C29" s="401">
        <v>0</v>
      </c>
      <c r="D29" s="392">
        <v>4407842000</v>
      </c>
      <c r="E29" s="392">
        <v>4403552197</v>
      </c>
      <c r="F29" s="392">
        <v>4002566590</v>
      </c>
      <c r="G29" s="402">
        <v>4002566590</v>
      </c>
      <c r="H29" s="407">
        <f t="shared" si="1"/>
        <v>0.90894042149127274</v>
      </c>
      <c r="J29" s="116"/>
    </row>
    <row r="30" spans="1:10" ht="16.5" customHeight="1" x14ac:dyDescent="0.25"/>
    <row r="31" spans="1:10" ht="16.5" customHeight="1" thickBot="1" x14ac:dyDescent="0.3"/>
    <row r="32" spans="1:10" ht="24.75" customHeight="1" x14ac:dyDescent="0.25">
      <c r="A32" s="1024" t="s">
        <v>145</v>
      </c>
      <c r="B32" s="1025"/>
      <c r="C32" s="1025"/>
      <c r="D32" s="1025"/>
      <c r="E32" s="1025"/>
      <c r="F32" s="1025"/>
      <c r="G32" s="1025"/>
      <c r="H32" s="1026"/>
    </row>
    <row r="33" spans="1:8" ht="25.5" customHeight="1" x14ac:dyDescent="0.25">
      <c r="A33" s="32" t="s">
        <v>62</v>
      </c>
      <c r="B33" s="33" t="s">
        <v>125</v>
      </c>
      <c r="C33" s="33" t="s">
        <v>126</v>
      </c>
      <c r="D33" s="33" t="s">
        <v>127</v>
      </c>
      <c r="E33" s="33" t="s">
        <v>128</v>
      </c>
      <c r="F33" s="33" t="s">
        <v>129</v>
      </c>
      <c r="G33" s="33" t="s">
        <v>130</v>
      </c>
      <c r="H33" s="472" t="s">
        <v>131</v>
      </c>
    </row>
    <row r="34" spans="1:8" s="3" customFormat="1" ht="58.5" customHeight="1" x14ac:dyDescent="0.25">
      <c r="A34" s="409" t="s">
        <v>139</v>
      </c>
      <c r="B34" s="279" t="s">
        <v>396</v>
      </c>
      <c r="C34" s="410">
        <v>0</v>
      </c>
      <c r="D34" s="411">
        <v>6598755000</v>
      </c>
      <c r="E34" s="411">
        <v>6256327000</v>
      </c>
      <c r="F34" s="412">
        <v>0</v>
      </c>
      <c r="G34" s="413">
        <v>0</v>
      </c>
      <c r="H34" s="414">
        <f t="shared" ref="H34:H45" si="2">G34/E34</f>
        <v>0</v>
      </c>
    </row>
    <row r="35" spans="1:8" s="3" customFormat="1" ht="58.5" customHeight="1" x14ac:dyDescent="0.25">
      <c r="A35" s="409" t="s">
        <v>140</v>
      </c>
      <c r="B35" s="279" t="s">
        <v>396</v>
      </c>
      <c r="C35" s="410">
        <v>0</v>
      </c>
      <c r="D35" s="411">
        <v>6598755000</v>
      </c>
      <c r="E35" s="411">
        <v>6307107000</v>
      </c>
      <c r="F35" s="411">
        <v>53322901</v>
      </c>
      <c r="G35" s="413">
        <v>53322901</v>
      </c>
      <c r="H35" s="414">
        <f t="shared" si="2"/>
        <v>8.4544151542061997E-3</v>
      </c>
    </row>
    <row r="36" spans="1:8" s="3" customFormat="1" ht="58.5" customHeight="1" x14ac:dyDescent="0.25">
      <c r="A36" s="409" t="s">
        <v>141</v>
      </c>
      <c r="B36" s="279" t="s">
        <v>396</v>
      </c>
      <c r="C36" s="410">
        <v>0</v>
      </c>
      <c r="D36" s="411">
        <v>6598755000</v>
      </c>
      <c r="E36" s="411">
        <v>6325816000</v>
      </c>
      <c r="F36" s="411">
        <v>571470735</v>
      </c>
      <c r="G36" s="413">
        <v>571470735</v>
      </c>
      <c r="H36" s="414">
        <f t="shared" si="2"/>
        <v>9.0339449487623416E-2</v>
      </c>
    </row>
    <row r="37" spans="1:8" ht="58.5" customHeight="1" x14ac:dyDescent="0.25">
      <c r="A37" s="409" t="s">
        <v>142</v>
      </c>
      <c r="B37" s="279" t="s">
        <v>396</v>
      </c>
      <c r="C37" s="410">
        <v>0</v>
      </c>
      <c r="D37" s="411">
        <v>6598755000</v>
      </c>
      <c r="E37" s="411">
        <v>6325816000</v>
      </c>
      <c r="F37" s="411">
        <v>1167198001</v>
      </c>
      <c r="G37" s="413">
        <v>1167198001</v>
      </c>
      <c r="H37" s="414">
        <f t="shared" si="2"/>
        <v>0.18451342893944433</v>
      </c>
    </row>
    <row r="38" spans="1:8" ht="58.5" customHeight="1" x14ac:dyDescent="0.25">
      <c r="A38" s="409" t="s">
        <v>143</v>
      </c>
      <c r="B38" s="279" t="s">
        <v>396</v>
      </c>
      <c r="C38" s="410">
        <v>0</v>
      </c>
      <c r="D38" s="411">
        <v>6598755000</v>
      </c>
      <c r="E38" s="411">
        <v>6325816000</v>
      </c>
      <c r="F38" s="411">
        <v>1826029883</v>
      </c>
      <c r="G38" s="413">
        <v>1826029883</v>
      </c>
      <c r="H38" s="414">
        <f t="shared" si="2"/>
        <v>0.28866313579149316</v>
      </c>
    </row>
    <row r="39" spans="1:8" ht="58.5" customHeight="1" x14ac:dyDescent="0.25">
      <c r="A39" s="409" t="s">
        <v>144</v>
      </c>
      <c r="B39" s="279" t="s">
        <v>396</v>
      </c>
      <c r="C39" s="410">
        <v>0</v>
      </c>
      <c r="D39" s="411">
        <v>6598755000</v>
      </c>
      <c r="E39" s="411">
        <v>6363465000</v>
      </c>
      <c r="F39" s="411">
        <v>2433526383</v>
      </c>
      <c r="G39" s="413">
        <v>2433526383</v>
      </c>
      <c r="H39" s="414">
        <f>G39/E39</f>
        <v>0.3824215868241595</v>
      </c>
    </row>
    <row r="40" spans="1:8" ht="58.5" customHeight="1" x14ac:dyDescent="0.25">
      <c r="A40" s="409" t="s">
        <v>132</v>
      </c>
      <c r="B40" s="279" t="s">
        <v>396</v>
      </c>
      <c r="C40" s="410">
        <v>0</v>
      </c>
      <c r="D40" s="411">
        <v>6598755000</v>
      </c>
      <c r="E40" s="411">
        <v>6366374400</v>
      </c>
      <c r="F40" s="411">
        <v>3121528783</v>
      </c>
      <c r="G40" s="413">
        <v>3121528783</v>
      </c>
      <c r="H40" s="414">
        <f t="shared" si="2"/>
        <v>0.49031498728695566</v>
      </c>
    </row>
    <row r="41" spans="1:8" ht="58.5" customHeight="1" x14ac:dyDescent="0.25">
      <c r="A41" s="409" t="s">
        <v>133</v>
      </c>
      <c r="B41" s="279" t="s">
        <v>396</v>
      </c>
      <c r="C41" s="410">
        <v>0</v>
      </c>
      <c r="D41" s="411">
        <v>6598755000</v>
      </c>
      <c r="E41" s="411">
        <v>6420098700</v>
      </c>
      <c r="F41" s="411">
        <v>3726734152</v>
      </c>
      <c r="G41" s="413">
        <v>3726734152</v>
      </c>
      <c r="H41" s="414">
        <f t="shared" si="2"/>
        <v>0.58047926147926665</v>
      </c>
    </row>
    <row r="42" spans="1:8" ht="58.5" customHeight="1" x14ac:dyDescent="0.25">
      <c r="A42" s="409" t="s">
        <v>134</v>
      </c>
      <c r="B42" s="279" t="s">
        <v>396</v>
      </c>
      <c r="C42" s="410">
        <v>0</v>
      </c>
      <c r="D42" s="411">
        <v>6598755000</v>
      </c>
      <c r="E42" s="411">
        <v>6430026900</v>
      </c>
      <c r="F42" s="411">
        <v>4389079208</v>
      </c>
      <c r="G42" s="413">
        <v>4389079208</v>
      </c>
      <c r="H42" s="414">
        <f t="shared" si="2"/>
        <v>0.68259111139954953</v>
      </c>
    </row>
    <row r="43" spans="1:8" s="71" customFormat="1" ht="58.5" customHeight="1" x14ac:dyDescent="0.25">
      <c r="A43" s="415" t="s">
        <v>135</v>
      </c>
      <c r="B43" s="416" t="s">
        <v>396</v>
      </c>
      <c r="C43" s="410">
        <v>0</v>
      </c>
      <c r="D43" s="411">
        <v>7133755000</v>
      </c>
      <c r="E43" s="411">
        <v>6462669167</v>
      </c>
      <c r="F43" s="411">
        <v>5088334390</v>
      </c>
      <c r="G43" s="413">
        <v>5088334390</v>
      </c>
      <c r="H43" s="414">
        <f t="shared" si="2"/>
        <v>0.78734254508683565</v>
      </c>
    </row>
    <row r="44" spans="1:8" ht="58.5" customHeight="1" x14ac:dyDescent="0.25">
      <c r="A44" s="415" t="s">
        <v>136</v>
      </c>
      <c r="B44" s="416" t="s">
        <v>396</v>
      </c>
      <c r="C44" s="410">
        <v>0</v>
      </c>
      <c r="D44" s="411">
        <v>7133755000</v>
      </c>
      <c r="E44" s="411">
        <v>6980842629</v>
      </c>
      <c r="F44" s="411">
        <v>5723835820</v>
      </c>
      <c r="G44" s="413">
        <v>5723835820</v>
      </c>
      <c r="H44" s="414">
        <f t="shared" si="2"/>
        <v>0.81993480217157322</v>
      </c>
    </row>
    <row r="45" spans="1:8" ht="58.5" customHeight="1" thickBot="1" x14ac:dyDescent="0.3">
      <c r="A45" s="417" t="s">
        <v>137</v>
      </c>
      <c r="B45" s="418" t="s">
        <v>396</v>
      </c>
      <c r="C45" s="410">
        <v>0</v>
      </c>
      <c r="D45" s="411">
        <v>7133755000</v>
      </c>
      <c r="E45" s="411">
        <v>7117262095</v>
      </c>
      <c r="F45" s="411">
        <v>6604929755</v>
      </c>
      <c r="G45" s="413">
        <v>6604929755</v>
      </c>
      <c r="H45" s="414">
        <f t="shared" si="2"/>
        <v>0.92801552996623204</v>
      </c>
    </row>
    <row r="46" spans="1:8" ht="16.5" customHeight="1" thickBot="1" x14ac:dyDescent="0.3"/>
    <row r="47" spans="1:8" ht="27.75" customHeight="1" x14ac:dyDescent="0.25">
      <c r="A47" s="1024" t="s">
        <v>146</v>
      </c>
      <c r="B47" s="1025"/>
      <c r="C47" s="1025"/>
      <c r="D47" s="1025"/>
      <c r="E47" s="1025"/>
      <c r="F47" s="1025"/>
      <c r="G47" s="1025"/>
      <c r="H47" s="1026"/>
    </row>
    <row r="48" spans="1:8" ht="25.5" customHeight="1" x14ac:dyDescent="0.25">
      <c r="A48" s="32" t="s">
        <v>63</v>
      </c>
      <c r="B48" s="33" t="s">
        <v>125</v>
      </c>
      <c r="C48" s="33" t="s">
        <v>126</v>
      </c>
      <c r="D48" s="33" t="s">
        <v>127</v>
      </c>
      <c r="E48" s="33" t="s">
        <v>128</v>
      </c>
      <c r="F48" s="33" t="s">
        <v>129</v>
      </c>
      <c r="G48" s="33" t="s">
        <v>130</v>
      </c>
      <c r="H48" s="472" t="s">
        <v>131</v>
      </c>
    </row>
    <row r="49" spans="1:10" ht="35.1" customHeight="1" x14ac:dyDescent="0.25">
      <c r="A49" s="473" t="s">
        <v>139</v>
      </c>
      <c r="B49" s="474" t="s">
        <v>396</v>
      </c>
      <c r="C49" s="474"/>
      <c r="D49" s="475">
        <v>5061662000</v>
      </c>
      <c r="E49" s="475">
        <v>1369056000</v>
      </c>
      <c r="F49" s="474">
        <v>0</v>
      </c>
      <c r="G49" s="476">
        <v>0</v>
      </c>
      <c r="H49" s="477">
        <f t="shared" ref="H49:H60" si="3">G49/E49</f>
        <v>0</v>
      </c>
    </row>
    <row r="50" spans="1:10" ht="45" customHeight="1" x14ac:dyDescent="0.25">
      <c r="A50" s="473" t="s">
        <v>140</v>
      </c>
      <c r="B50" s="474" t="s">
        <v>396</v>
      </c>
      <c r="C50" s="474"/>
      <c r="D50" s="475">
        <v>5061662000</v>
      </c>
      <c r="E50" s="475">
        <v>3776747000</v>
      </c>
      <c r="F50" s="475">
        <v>5613267</v>
      </c>
      <c r="G50" s="478">
        <v>5613267</v>
      </c>
      <c r="H50" s="479">
        <f t="shared" si="3"/>
        <v>1.4862703273478472E-3</v>
      </c>
    </row>
    <row r="51" spans="1:10" ht="45" customHeight="1" x14ac:dyDescent="0.25">
      <c r="A51" s="473" t="s">
        <v>141</v>
      </c>
      <c r="B51" s="474" t="s">
        <v>396</v>
      </c>
      <c r="C51" s="474"/>
      <c r="D51" s="475">
        <v>5061662000</v>
      </c>
      <c r="E51" s="475">
        <v>4775335000</v>
      </c>
      <c r="F51" s="475">
        <v>136694101</v>
      </c>
      <c r="G51" s="478">
        <v>136694101</v>
      </c>
      <c r="H51" s="479">
        <f t="shared" si="3"/>
        <v>2.8625028610558212E-2</v>
      </c>
    </row>
    <row r="52" spans="1:10" ht="47.25" customHeight="1" x14ac:dyDescent="0.25">
      <c r="A52" s="473" t="s">
        <v>142</v>
      </c>
      <c r="B52" s="474" t="s">
        <v>396</v>
      </c>
      <c r="C52" s="474"/>
      <c r="D52" s="475">
        <v>5061662000</v>
      </c>
      <c r="E52" s="475">
        <v>4823925000</v>
      </c>
      <c r="F52" s="475">
        <v>527044334</v>
      </c>
      <c r="G52" s="478">
        <v>527044334</v>
      </c>
      <c r="H52" s="479">
        <f t="shared" si="3"/>
        <v>0.10925632840477412</v>
      </c>
    </row>
    <row r="53" spans="1:10" ht="16.5" customHeight="1" x14ac:dyDescent="0.25">
      <c r="A53" s="39" t="s">
        <v>143</v>
      </c>
      <c r="B53" s="474" t="s">
        <v>396</v>
      </c>
      <c r="C53" s="474"/>
      <c r="D53" s="475">
        <v>5061662000</v>
      </c>
      <c r="E53" s="601">
        <v>4916662000</v>
      </c>
      <c r="F53" s="601">
        <v>993169735</v>
      </c>
      <c r="G53" s="601">
        <v>993169735</v>
      </c>
      <c r="H53" s="479">
        <f t="shared" si="3"/>
        <v>0.20200081579738449</v>
      </c>
    </row>
    <row r="54" spans="1:10" ht="16.5" customHeight="1" x14ac:dyDescent="0.25">
      <c r="A54" s="39" t="s">
        <v>144</v>
      </c>
      <c r="B54" s="36" t="s">
        <v>396</v>
      </c>
      <c r="C54" s="36"/>
      <c r="D54" s="475">
        <v>5061662000</v>
      </c>
      <c r="E54" s="601">
        <v>4938707000</v>
      </c>
      <c r="F54" s="601">
        <v>1481949110</v>
      </c>
      <c r="G54" s="601">
        <v>1481949110</v>
      </c>
      <c r="H54" s="479">
        <f t="shared" si="3"/>
        <v>0.30006823850858128</v>
      </c>
      <c r="J54" s="592"/>
    </row>
    <row r="55" spans="1:10" ht="16.5" customHeight="1" x14ac:dyDescent="0.25">
      <c r="A55" s="629" t="s">
        <v>132</v>
      </c>
      <c r="B55" s="630" t="s">
        <v>396</v>
      </c>
      <c r="C55" s="630"/>
      <c r="D55" s="475">
        <v>5061662000</v>
      </c>
      <c r="E55" s="601">
        <v>4938707000</v>
      </c>
      <c r="F55" s="601">
        <v>2014873911</v>
      </c>
      <c r="G55" s="601">
        <v>2014873911</v>
      </c>
      <c r="H55" s="479">
        <f>G55/E55</f>
        <v>0.40797599675380619</v>
      </c>
    </row>
    <row r="56" spans="1:10" ht="16.5" customHeight="1" x14ac:dyDescent="0.25">
      <c r="A56" s="629" t="s">
        <v>133</v>
      </c>
      <c r="B56" s="630" t="s">
        <v>396</v>
      </c>
      <c r="C56" s="630"/>
      <c r="D56" s="475">
        <v>5061662000</v>
      </c>
      <c r="E56" s="627">
        <v>4943707000</v>
      </c>
      <c r="F56" s="627">
        <v>2525523013</v>
      </c>
      <c r="G56" s="627">
        <v>2525523013</v>
      </c>
      <c r="H56" s="479">
        <f>G56/E56</f>
        <v>0.51085612739589947</v>
      </c>
    </row>
    <row r="57" spans="1:10" ht="16.5" customHeight="1" x14ac:dyDescent="0.25">
      <c r="A57" s="629" t="s">
        <v>134</v>
      </c>
      <c r="B57" s="630" t="s">
        <v>396</v>
      </c>
      <c r="C57" s="630"/>
      <c r="D57" s="475">
        <v>5061662000</v>
      </c>
      <c r="E57" s="631">
        <v>4943707000</v>
      </c>
      <c r="F57" s="631">
        <v>3048368145</v>
      </c>
      <c r="G57" s="631">
        <v>3048368145</v>
      </c>
      <c r="H57" s="479">
        <f>G57/E57</f>
        <v>0.61661586032505566</v>
      </c>
    </row>
    <row r="58" spans="1:10" ht="16.5" customHeight="1" x14ac:dyDescent="0.25">
      <c r="A58" s="39" t="s">
        <v>135</v>
      </c>
      <c r="B58" s="36"/>
      <c r="C58" s="36"/>
      <c r="D58" s="36"/>
      <c r="E58" s="36"/>
      <c r="F58" s="36"/>
      <c r="G58" s="36"/>
      <c r="H58" s="312" t="e">
        <f t="shared" si="3"/>
        <v>#DIV/0!</v>
      </c>
    </row>
    <row r="59" spans="1:10" ht="16.5" customHeight="1" x14ac:dyDescent="0.25">
      <c r="A59" s="419" t="s">
        <v>136</v>
      </c>
      <c r="B59" s="420"/>
      <c r="C59" s="420"/>
      <c r="D59" s="420"/>
      <c r="E59" s="420"/>
      <c r="F59" s="420"/>
      <c r="G59" s="420"/>
      <c r="H59" s="421" t="e">
        <f t="shared" si="3"/>
        <v>#DIV/0!</v>
      </c>
    </row>
    <row r="60" spans="1:10" ht="16.5" customHeight="1" thickBot="1" x14ac:dyDescent="0.3">
      <c r="A60" s="422" t="s">
        <v>137</v>
      </c>
      <c r="B60" s="423"/>
      <c r="C60" s="423"/>
      <c r="D60" s="423"/>
      <c r="E60" s="423"/>
      <c r="F60" s="423"/>
      <c r="G60" s="423"/>
      <c r="H60" s="421" t="e">
        <f t="shared" si="3"/>
        <v>#DIV/0!</v>
      </c>
    </row>
    <row r="61" spans="1:10" ht="16.5" customHeight="1" x14ac:dyDescent="0.25"/>
    <row r="62" spans="1:10" ht="23.25" hidden="1" customHeight="1" x14ac:dyDescent="0.25">
      <c r="A62" s="1024" t="s">
        <v>147</v>
      </c>
      <c r="B62" s="1025"/>
      <c r="C62" s="1025"/>
      <c r="D62" s="1025"/>
      <c r="E62" s="1025"/>
      <c r="F62" s="1025"/>
      <c r="G62" s="1025"/>
      <c r="H62" s="1026"/>
    </row>
    <row r="63" spans="1:10" ht="25.5" hidden="1" customHeight="1" x14ac:dyDescent="0.25">
      <c r="A63" s="32" t="s">
        <v>64</v>
      </c>
      <c r="B63" s="33" t="s">
        <v>125</v>
      </c>
      <c r="C63" s="33" t="s">
        <v>126</v>
      </c>
      <c r="D63" s="33" t="s">
        <v>127</v>
      </c>
      <c r="E63" s="33" t="s">
        <v>128</v>
      </c>
      <c r="F63" s="33" t="s">
        <v>129</v>
      </c>
      <c r="G63" s="33" t="s">
        <v>130</v>
      </c>
      <c r="H63" s="310" t="s">
        <v>131</v>
      </c>
    </row>
    <row r="64" spans="1:10" ht="16.5" hidden="1" customHeight="1" x14ac:dyDescent="0.25">
      <c r="A64" s="39" t="s">
        <v>139</v>
      </c>
      <c r="B64" s="36"/>
      <c r="C64" s="36"/>
      <c r="D64" s="36"/>
      <c r="E64" s="36"/>
      <c r="F64" s="36"/>
      <c r="G64" s="36"/>
      <c r="H64" s="312" t="e">
        <f t="shared" ref="H64:H75" si="4">G64/E64</f>
        <v>#DIV/0!</v>
      </c>
    </row>
    <row r="65" spans="1:14" ht="16.5" hidden="1" customHeight="1" x14ac:dyDescent="0.25">
      <c r="A65" s="39" t="s">
        <v>140</v>
      </c>
      <c r="B65" s="36"/>
      <c r="C65" s="36"/>
      <c r="D65" s="36"/>
      <c r="E65" s="36"/>
      <c r="F65" s="36"/>
      <c r="G65" s="36"/>
      <c r="H65" s="312" t="e">
        <f t="shared" si="4"/>
        <v>#DIV/0!</v>
      </c>
    </row>
    <row r="66" spans="1:14" ht="16.5" hidden="1" customHeight="1" x14ac:dyDescent="0.25">
      <c r="A66" s="39" t="s">
        <v>141</v>
      </c>
      <c r="B66" s="36"/>
      <c r="C66" s="36"/>
      <c r="D66" s="36"/>
      <c r="E66" s="36"/>
      <c r="F66" s="36"/>
      <c r="G66" s="36"/>
      <c r="H66" s="312" t="e">
        <f t="shared" si="4"/>
        <v>#DIV/0!</v>
      </c>
    </row>
    <row r="67" spans="1:14" ht="16.5" hidden="1" customHeight="1" x14ac:dyDescent="0.25">
      <c r="A67" s="39" t="s">
        <v>142</v>
      </c>
      <c r="B67" s="36"/>
      <c r="C67" s="36"/>
      <c r="D67" s="36"/>
      <c r="E67" s="36"/>
      <c r="F67" s="36"/>
      <c r="G67" s="36"/>
      <c r="H67" s="312" t="e">
        <f t="shared" si="4"/>
        <v>#DIV/0!</v>
      </c>
    </row>
    <row r="68" spans="1:14" ht="16.5" hidden="1" customHeight="1" x14ac:dyDescent="0.25">
      <c r="A68" s="39" t="s">
        <v>143</v>
      </c>
      <c r="B68" s="36"/>
      <c r="C68" s="36"/>
      <c r="D68" s="36"/>
      <c r="E68" s="36"/>
      <c r="F68" s="36"/>
      <c r="G68" s="36"/>
      <c r="H68" s="312" t="e">
        <f t="shared" si="4"/>
        <v>#DIV/0!</v>
      </c>
    </row>
    <row r="69" spans="1:14" ht="16.5" hidden="1" customHeight="1" x14ac:dyDescent="0.25">
      <c r="A69" s="39" t="s">
        <v>144</v>
      </c>
      <c r="B69" s="36"/>
      <c r="C69" s="36"/>
      <c r="D69" s="36"/>
      <c r="E69" s="36"/>
      <c r="F69" s="36"/>
      <c r="G69" s="36"/>
      <c r="H69" s="312" t="e">
        <f t="shared" si="4"/>
        <v>#DIV/0!</v>
      </c>
    </row>
    <row r="70" spans="1:14" ht="16.5" hidden="1" customHeight="1" x14ac:dyDescent="0.25">
      <c r="A70" s="39" t="s">
        <v>132</v>
      </c>
      <c r="B70" s="36"/>
      <c r="C70" s="36"/>
      <c r="D70" s="36"/>
      <c r="E70" s="36"/>
      <c r="F70" s="36"/>
      <c r="G70" s="36"/>
      <c r="H70" s="312" t="e">
        <f t="shared" si="4"/>
        <v>#DIV/0!</v>
      </c>
    </row>
    <row r="71" spans="1:14" ht="16.5" hidden="1" customHeight="1" x14ac:dyDescent="0.25">
      <c r="A71" s="39" t="s">
        <v>133</v>
      </c>
      <c r="B71" s="36"/>
      <c r="C71" s="36"/>
      <c r="D71" s="36"/>
      <c r="E71" s="36"/>
      <c r="F71" s="36"/>
      <c r="G71" s="36"/>
      <c r="H71" s="312" t="e">
        <f t="shared" si="4"/>
        <v>#DIV/0!</v>
      </c>
    </row>
    <row r="72" spans="1:14" ht="16.5" hidden="1" customHeight="1" x14ac:dyDescent="0.25">
      <c r="A72" s="39" t="s">
        <v>134</v>
      </c>
      <c r="B72" s="36"/>
      <c r="C72" s="36"/>
      <c r="D72" s="36"/>
      <c r="E72" s="36"/>
      <c r="F72" s="36"/>
      <c r="G72" s="36"/>
      <c r="H72" s="312" t="e">
        <f t="shared" si="4"/>
        <v>#DIV/0!</v>
      </c>
    </row>
    <row r="73" spans="1:14" ht="16.5" hidden="1" customHeight="1" x14ac:dyDescent="0.25">
      <c r="A73" s="39" t="s">
        <v>135</v>
      </c>
      <c r="B73" s="36"/>
      <c r="C73" s="36"/>
      <c r="D73" s="36"/>
      <c r="E73" s="36"/>
      <c r="F73" s="36"/>
      <c r="G73" s="36"/>
      <c r="H73" s="312" t="e">
        <f t="shared" si="4"/>
        <v>#DIV/0!</v>
      </c>
    </row>
    <row r="74" spans="1:14" ht="16.5" hidden="1" customHeight="1" x14ac:dyDescent="0.25">
      <c r="A74" s="39" t="s">
        <v>136</v>
      </c>
      <c r="B74" s="36"/>
      <c r="C74" s="36"/>
      <c r="D74" s="36"/>
      <c r="E74" s="36"/>
      <c r="F74" s="36"/>
      <c r="G74" s="36"/>
      <c r="H74" s="312" t="e">
        <f t="shared" si="4"/>
        <v>#DIV/0!</v>
      </c>
    </row>
    <row r="75" spans="1:14" ht="16.5" hidden="1" customHeight="1" thickBot="1" x14ac:dyDescent="0.3">
      <c r="A75" s="40" t="s">
        <v>137</v>
      </c>
      <c r="B75" s="38"/>
      <c r="C75" s="38"/>
      <c r="D75" s="38"/>
      <c r="E75" s="38"/>
      <c r="F75" s="38"/>
      <c r="G75" s="38"/>
      <c r="H75" s="312" t="e">
        <f t="shared" si="4"/>
        <v>#DIV/0!</v>
      </c>
    </row>
    <row r="76" spans="1:14" ht="16.5" customHeight="1" thickBot="1" x14ac:dyDescent="0.3"/>
    <row r="77" spans="1:14" ht="23.25" customHeight="1" x14ac:dyDescent="0.25">
      <c r="A77" s="1027" t="s">
        <v>269</v>
      </c>
      <c r="B77" s="1028"/>
      <c r="C77" s="1028"/>
      <c r="D77" s="1028"/>
      <c r="E77" s="1028"/>
      <c r="F77" s="1028"/>
      <c r="G77" s="1028"/>
      <c r="H77" s="1028"/>
      <c r="I77" s="1028"/>
      <c r="J77" s="1028"/>
      <c r="K77" s="1028"/>
      <c r="L77" s="1028"/>
      <c r="M77" s="1028"/>
      <c r="N77" s="1029"/>
    </row>
    <row r="78" spans="1:14" ht="44.25" customHeight="1" x14ac:dyDescent="0.25">
      <c r="A78" s="32" t="s">
        <v>50</v>
      </c>
      <c r="B78" s="33" t="s">
        <v>149</v>
      </c>
      <c r="C78" s="33" t="s">
        <v>150</v>
      </c>
      <c r="D78" s="33" t="s">
        <v>151</v>
      </c>
      <c r="E78" s="33" t="s">
        <v>152</v>
      </c>
      <c r="F78" s="33" t="s">
        <v>153</v>
      </c>
      <c r="G78" s="33" t="s">
        <v>154</v>
      </c>
      <c r="H78" s="480" t="s">
        <v>163</v>
      </c>
      <c r="I78" s="33" t="s">
        <v>164</v>
      </c>
      <c r="J78" s="41" t="s">
        <v>165</v>
      </c>
      <c r="K78" s="33" t="s">
        <v>158</v>
      </c>
      <c r="L78" s="33" t="s">
        <v>159</v>
      </c>
      <c r="M78" s="33" t="s">
        <v>160</v>
      </c>
      <c r="N78" s="34" t="s">
        <v>161</v>
      </c>
    </row>
    <row r="79" spans="1:14" ht="45" x14ac:dyDescent="0.25">
      <c r="A79" s="72" t="s">
        <v>139</v>
      </c>
      <c r="B79" s="261" t="s">
        <v>397</v>
      </c>
      <c r="C79" s="261" t="s">
        <v>398</v>
      </c>
      <c r="D79" s="386" t="s">
        <v>399</v>
      </c>
      <c r="E79" s="20" t="s">
        <v>400</v>
      </c>
      <c r="F79" s="20">
        <v>100</v>
      </c>
      <c r="G79" s="20">
        <v>10</v>
      </c>
      <c r="H79" s="313">
        <v>2</v>
      </c>
      <c r="I79" s="20">
        <v>0</v>
      </c>
      <c r="J79" s="424">
        <f>I79/H79</f>
        <v>0</v>
      </c>
      <c r="K79" s="94"/>
      <c r="L79" s="94"/>
      <c r="M79" s="94"/>
      <c r="N79" s="262" t="s">
        <v>590</v>
      </c>
    </row>
    <row r="80" spans="1:14" ht="45" x14ac:dyDescent="0.25">
      <c r="A80" s="72" t="s">
        <v>140</v>
      </c>
      <c r="B80" s="261" t="s">
        <v>397</v>
      </c>
      <c r="C80" s="261" t="s">
        <v>398</v>
      </c>
      <c r="D80" s="386" t="s">
        <v>399</v>
      </c>
      <c r="E80" s="20" t="s">
        <v>400</v>
      </c>
      <c r="F80" s="20">
        <v>100</v>
      </c>
      <c r="G80" s="20">
        <v>10</v>
      </c>
      <c r="H80" s="313">
        <v>2</v>
      </c>
      <c r="I80" s="20">
        <v>1</v>
      </c>
      <c r="J80" s="424">
        <f>I80/H80</f>
        <v>0.5</v>
      </c>
      <c r="K80" s="94"/>
      <c r="L80" s="94"/>
      <c r="M80" s="94"/>
      <c r="N80" s="262" t="s">
        <v>411</v>
      </c>
    </row>
    <row r="81" spans="1:14" ht="45" x14ac:dyDescent="0.25">
      <c r="A81" s="72" t="s">
        <v>141</v>
      </c>
      <c r="B81" s="261" t="s">
        <v>397</v>
      </c>
      <c r="C81" s="261" t="s">
        <v>398</v>
      </c>
      <c r="D81" s="386" t="s">
        <v>399</v>
      </c>
      <c r="E81" s="20" t="s">
        <v>400</v>
      </c>
      <c r="F81" s="20">
        <v>100</v>
      </c>
      <c r="G81" s="20">
        <v>10</v>
      </c>
      <c r="H81" s="313">
        <v>2</v>
      </c>
      <c r="I81" s="20">
        <v>1</v>
      </c>
      <c r="J81" s="424">
        <f>I81/H81</f>
        <v>0.5</v>
      </c>
      <c r="K81" s="94"/>
      <c r="L81" s="94"/>
      <c r="M81" s="94"/>
      <c r="N81" s="262" t="s">
        <v>591</v>
      </c>
    </row>
    <row r="82" spans="1:14" ht="45" x14ac:dyDescent="0.25">
      <c r="A82" s="72" t="s">
        <v>142</v>
      </c>
      <c r="B82" s="261" t="s">
        <v>397</v>
      </c>
      <c r="C82" s="261" t="s">
        <v>398</v>
      </c>
      <c r="D82" s="386" t="s">
        <v>399</v>
      </c>
      <c r="E82" s="20" t="s">
        <v>400</v>
      </c>
      <c r="F82" s="20">
        <v>100</v>
      </c>
      <c r="G82" s="20">
        <v>10</v>
      </c>
      <c r="H82" s="313">
        <v>2</v>
      </c>
      <c r="I82" s="20">
        <v>1</v>
      </c>
      <c r="J82" s="424">
        <f>I82/H82</f>
        <v>0.5</v>
      </c>
      <c r="K82" s="94"/>
      <c r="L82" s="94"/>
      <c r="M82" s="94"/>
      <c r="N82" s="262" t="s">
        <v>591</v>
      </c>
    </row>
    <row r="83" spans="1:14" ht="45" x14ac:dyDescent="0.25">
      <c r="A83" s="72" t="s">
        <v>143</v>
      </c>
      <c r="B83" s="261" t="s">
        <v>397</v>
      </c>
      <c r="C83" s="261" t="s">
        <v>398</v>
      </c>
      <c r="D83" s="386" t="s">
        <v>399</v>
      </c>
      <c r="E83" s="20" t="s">
        <v>400</v>
      </c>
      <c r="F83" s="20">
        <v>100</v>
      </c>
      <c r="G83" s="20">
        <v>10</v>
      </c>
      <c r="H83" s="313">
        <v>2</v>
      </c>
      <c r="I83" s="20">
        <v>1</v>
      </c>
      <c r="J83" s="424">
        <f>I83/H83</f>
        <v>0.5</v>
      </c>
      <c r="K83" s="94"/>
      <c r="L83" s="94"/>
      <c r="M83" s="94"/>
      <c r="N83" s="262" t="s">
        <v>591</v>
      </c>
    </row>
    <row r="84" spans="1:14" ht="45" x14ac:dyDescent="0.25">
      <c r="A84" s="72" t="s">
        <v>144</v>
      </c>
      <c r="B84" s="261" t="s">
        <v>397</v>
      </c>
      <c r="C84" s="261" t="s">
        <v>398</v>
      </c>
      <c r="D84" s="386" t="s">
        <v>399</v>
      </c>
      <c r="E84" s="20" t="s">
        <v>400</v>
      </c>
      <c r="F84" s="20">
        <v>100</v>
      </c>
      <c r="G84" s="20">
        <v>10</v>
      </c>
      <c r="H84" s="313">
        <v>2</v>
      </c>
      <c r="I84" s="20">
        <v>1</v>
      </c>
      <c r="J84" s="424">
        <f t="shared" ref="J84:J90" si="5">I84/H84</f>
        <v>0.5</v>
      </c>
      <c r="K84" s="94"/>
      <c r="L84" s="94"/>
      <c r="M84" s="94"/>
      <c r="N84" s="262" t="s">
        <v>591</v>
      </c>
    </row>
    <row r="85" spans="1:14" s="2" customFormat="1" ht="45" x14ac:dyDescent="0.25">
      <c r="A85" s="307" t="s">
        <v>132</v>
      </c>
      <c r="B85" s="425" t="s">
        <v>397</v>
      </c>
      <c r="C85" s="425" t="s">
        <v>398</v>
      </c>
      <c r="D85" s="279" t="s">
        <v>399</v>
      </c>
      <c r="E85" s="426" t="s">
        <v>400</v>
      </c>
      <c r="F85" s="426">
        <v>100</v>
      </c>
      <c r="G85" s="20">
        <v>10</v>
      </c>
      <c r="H85" s="427">
        <v>2</v>
      </c>
      <c r="I85" s="20">
        <v>1</v>
      </c>
      <c r="J85" s="424">
        <f t="shared" si="5"/>
        <v>0.5</v>
      </c>
      <c r="K85" s="416"/>
      <c r="L85" s="416"/>
      <c r="M85" s="416"/>
      <c r="N85" s="428" t="s">
        <v>591</v>
      </c>
    </row>
    <row r="86" spans="1:14" ht="45" x14ac:dyDescent="0.25">
      <c r="A86" s="72" t="s">
        <v>133</v>
      </c>
      <c r="B86" s="261" t="s">
        <v>397</v>
      </c>
      <c r="C86" s="261" t="s">
        <v>398</v>
      </c>
      <c r="D86" s="386" t="s">
        <v>399</v>
      </c>
      <c r="E86" s="386" t="s">
        <v>400</v>
      </c>
      <c r="F86" s="386">
        <v>100</v>
      </c>
      <c r="G86" s="20">
        <v>10</v>
      </c>
      <c r="H86" s="314">
        <v>2</v>
      </c>
      <c r="I86" s="20">
        <v>1</v>
      </c>
      <c r="J86" s="424">
        <f t="shared" si="5"/>
        <v>0.5</v>
      </c>
      <c r="K86" s="36"/>
      <c r="L86" s="36"/>
      <c r="M86" s="94"/>
      <c r="N86" s="263" t="s">
        <v>591</v>
      </c>
    </row>
    <row r="87" spans="1:14" s="2" customFormat="1" ht="75" x14ac:dyDescent="0.25">
      <c r="A87" s="307" t="s">
        <v>134</v>
      </c>
      <c r="B87" s="425" t="s">
        <v>397</v>
      </c>
      <c r="C87" s="425" t="s">
        <v>398</v>
      </c>
      <c r="D87" s="279" t="s">
        <v>399</v>
      </c>
      <c r="E87" s="279" t="s">
        <v>400</v>
      </c>
      <c r="F87" s="279">
        <v>100</v>
      </c>
      <c r="G87" s="20">
        <v>10</v>
      </c>
      <c r="H87" s="429">
        <v>2</v>
      </c>
      <c r="I87" s="20">
        <v>1</v>
      </c>
      <c r="J87" s="424">
        <f t="shared" si="5"/>
        <v>0.5</v>
      </c>
      <c r="K87" s="420"/>
      <c r="L87" s="420"/>
      <c r="M87" s="416"/>
      <c r="N87" s="430" t="s">
        <v>422</v>
      </c>
    </row>
    <row r="88" spans="1:14" ht="45" x14ac:dyDescent="0.25">
      <c r="A88" s="72" t="s">
        <v>135</v>
      </c>
      <c r="B88" s="261" t="s">
        <v>397</v>
      </c>
      <c r="C88" s="261" t="s">
        <v>398</v>
      </c>
      <c r="D88" s="386" t="s">
        <v>399</v>
      </c>
      <c r="E88" s="386" t="s">
        <v>400</v>
      </c>
      <c r="F88" s="386">
        <v>100</v>
      </c>
      <c r="G88" s="20">
        <v>10</v>
      </c>
      <c r="H88" s="314">
        <v>2</v>
      </c>
      <c r="I88" s="20">
        <v>1</v>
      </c>
      <c r="J88" s="424">
        <f t="shared" si="5"/>
        <v>0.5</v>
      </c>
      <c r="K88" s="36"/>
      <c r="L88" s="36"/>
      <c r="M88" s="94"/>
      <c r="N88" s="263" t="s">
        <v>591</v>
      </c>
    </row>
    <row r="89" spans="1:14" s="2" customFormat="1" ht="75" x14ac:dyDescent="0.25">
      <c r="A89" s="307" t="s">
        <v>136</v>
      </c>
      <c r="B89" s="425" t="s">
        <v>397</v>
      </c>
      <c r="C89" s="425" t="s">
        <v>398</v>
      </c>
      <c r="D89" s="279" t="s">
        <v>399</v>
      </c>
      <c r="E89" s="279" t="s">
        <v>400</v>
      </c>
      <c r="F89" s="279">
        <v>100</v>
      </c>
      <c r="G89" s="20">
        <v>10</v>
      </c>
      <c r="H89" s="429">
        <v>2</v>
      </c>
      <c r="I89" s="20">
        <v>1</v>
      </c>
      <c r="J89" s="424">
        <f t="shared" si="5"/>
        <v>0.5</v>
      </c>
      <c r="K89" s="420"/>
      <c r="L89" s="420"/>
      <c r="M89" s="416"/>
      <c r="N89" s="430" t="s">
        <v>426</v>
      </c>
    </row>
    <row r="90" spans="1:14" ht="45.75" thickBot="1" x14ac:dyDescent="0.3">
      <c r="A90" s="264" t="s">
        <v>137</v>
      </c>
      <c r="B90" s="265" t="s">
        <v>397</v>
      </c>
      <c r="C90" s="265" t="s">
        <v>398</v>
      </c>
      <c r="D90" s="387" t="s">
        <v>399</v>
      </c>
      <c r="E90" s="387" t="s">
        <v>400</v>
      </c>
      <c r="F90" s="387">
        <v>100</v>
      </c>
      <c r="G90" s="20">
        <v>10</v>
      </c>
      <c r="H90" s="315">
        <v>2</v>
      </c>
      <c r="I90" s="152">
        <v>2</v>
      </c>
      <c r="J90" s="424">
        <f t="shared" si="5"/>
        <v>1</v>
      </c>
      <c r="K90" s="38"/>
      <c r="L90" s="38"/>
      <c r="M90" s="266"/>
      <c r="N90" s="267" t="s">
        <v>592</v>
      </c>
    </row>
    <row r="92" spans="1:14" ht="15.75" thickBot="1" x14ac:dyDescent="0.3"/>
    <row r="93" spans="1:14" ht="20.25" x14ac:dyDescent="0.25">
      <c r="A93" s="1027" t="s">
        <v>166</v>
      </c>
      <c r="B93" s="1028"/>
      <c r="C93" s="1028"/>
      <c r="D93" s="1028"/>
      <c r="E93" s="1028"/>
      <c r="F93" s="1028"/>
      <c r="G93" s="1028"/>
      <c r="H93" s="1028"/>
      <c r="I93" s="1028"/>
      <c r="J93" s="1028"/>
      <c r="K93" s="1028"/>
      <c r="L93" s="1028"/>
      <c r="M93" s="1028"/>
      <c r="N93" s="1029"/>
    </row>
    <row r="94" spans="1:14" ht="44.25" customHeight="1" x14ac:dyDescent="0.25">
      <c r="A94" s="32" t="s">
        <v>62</v>
      </c>
      <c r="B94" s="33" t="s">
        <v>149</v>
      </c>
      <c r="C94" s="33" t="s">
        <v>150</v>
      </c>
      <c r="D94" s="33" t="s">
        <v>151</v>
      </c>
      <c r="E94" s="33" t="s">
        <v>152</v>
      </c>
      <c r="F94" s="33" t="s">
        <v>167</v>
      </c>
      <c r="G94" s="33" t="s">
        <v>154</v>
      </c>
      <c r="H94" s="480" t="s">
        <v>168</v>
      </c>
      <c r="I94" s="33" t="s">
        <v>169</v>
      </c>
      <c r="J94" s="41" t="s">
        <v>170</v>
      </c>
      <c r="K94" s="33" t="s">
        <v>158</v>
      </c>
      <c r="L94" s="33" t="s">
        <v>159</v>
      </c>
      <c r="M94" s="33" t="s">
        <v>160</v>
      </c>
      <c r="N94" s="34" t="s">
        <v>161</v>
      </c>
    </row>
    <row r="95" spans="1:14" ht="143.25" customHeight="1" x14ac:dyDescent="0.25">
      <c r="A95" s="409" t="s">
        <v>139</v>
      </c>
      <c r="B95" s="400" t="s">
        <v>397</v>
      </c>
      <c r="C95" s="400" t="s">
        <v>398</v>
      </c>
      <c r="D95" s="400" t="s">
        <v>399</v>
      </c>
      <c r="E95" s="431" t="s">
        <v>400</v>
      </c>
      <c r="F95" s="431">
        <v>100</v>
      </c>
      <c r="G95" s="426">
        <v>10</v>
      </c>
      <c r="H95" s="431">
        <v>2</v>
      </c>
      <c r="I95" s="431">
        <v>0</v>
      </c>
      <c r="J95" s="432">
        <f t="shared" ref="J95:J106" si="6">I95/H95</f>
        <v>0</v>
      </c>
      <c r="K95" s="431"/>
      <c r="L95" s="431"/>
      <c r="M95" s="431"/>
      <c r="N95" s="433" t="s">
        <v>459</v>
      </c>
    </row>
    <row r="96" spans="1:14" ht="155.25" customHeight="1" x14ac:dyDescent="0.25">
      <c r="A96" s="409" t="s">
        <v>140</v>
      </c>
      <c r="B96" s="400" t="s">
        <v>397</v>
      </c>
      <c r="C96" s="400" t="s">
        <v>398</v>
      </c>
      <c r="D96" s="400" t="s">
        <v>399</v>
      </c>
      <c r="E96" s="431" t="s">
        <v>400</v>
      </c>
      <c r="F96" s="431">
        <v>100</v>
      </c>
      <c r="G96" s="426">
        <v>10</v>
      </c>
      <c r="H96" s="431">
        <v>2</v>
      </c>
      <c r="I96" s="431">
        <v>1</v>
      </c>
      <c r="J96" s="432">
        <f t="shared" si="6"/>
        <v>0.5</v>
      </c>
      <c r="K96" s="431"/>
      <c r="L96" s="431"/>
      <c r="M96" s="431"/>
      <c r="N96" s="433" t="s">
        <v>459</v>
      </c>
    </row>
    <row r="97" spans="1:14" ht="143.25" customHeight="1" x14ac:dyDescent="0.25">
      <c r="A97" s="409" t="s">
        <v>141</v>
      </c>
      <c r="B97" s="400" t="s">
        <v>397</v>
      </c>
      <c r="C97" s="400" t="s">
        <v>398</v>
      </c>
      <c r="D97" s="400" t="s">
        <v>399</v>
      </c>
      <c r="E97" s="431" t="s">
        <v>400</v>
      </c>
      <c r="F97" s="431">
        <v>100</v>
      </c>
      <c r="G97" s="426">
        <v>10</v>
      </c>
      <c r="H97" s="431">
        <v>2</v>
      </c>
      <c r="I97" s="431">
        <v>1</v>
      </c>
      <c r="J97" s="432">
        <f t="shared" si="6"/>
        <v>0.5</v>
      </c>
      <c r="K97" s="431"/>
      <c r="L97" s="431"/>
      <c r="M97" s="431"/>
      <c r="N97" s="434" t="s">
        <v>591</v>
      </c>
    </row>
    <row r="98" spans="1:14" ht="143.25" customHeight="1" x14ac:dyDescent="0.25">
      <c r="A98" s="409" t="s">
        <v>142</v>
      </c>
      <c r="B98" s="400" t="s">
        <v>397</v>
      </c>
      <c r="C98" s="400" t="s">
        <v>398</v>
      </c>
      <c r="D98" s="400" t="s">
        <v>399</v>
      </c>
      <c r="E98" s="400" t="s">
        <v>400</v>
      </c>
      <c r="F98" s="400">
        <v>100</v>
      </c>
      <c r="G98" s="426">
        <v>10</v>
      </c>
      <c r="H98" s="400">
        <v>2</v>
      </c>
      <c r="I98" s="400">
        <v>1</v>
      </c>
      <c r="J98" s="435">
        <f t="shared" si="6"/>
        <v>0.5</v>
      </c>
      <c r="K98" s="400"/>
      <c r="L98" s="400"/>
      <c r="M98" s="400" t="e">
        <v>#DIV/0!</v>
      </c>
      <c r="N98" s="434" t="s">
        <v>591</v>
      </c>
    </row>
    <row r="99" spans="1:14" ht="143.25" customHeight="1" x14ac:dyDescent="0.25">
      <c r="A99" s="409" t="s">
        <v>143</v>
      </c>
      <c r="B99" s="400" t="s">
        <v>397</v>
      </c>
      <c r="C99" s="400" t="s">
        <v>398</v>
      </c>
      <c r="D99" s="400" t="s">
        <v>399</v>
      </c>
      <c r="E99" s="400" t="s">
        <v>400</v>
      </c>
      <c r="F99" s="400">
        <v>100</v>
      </c>
      <c r="G99" s="426">
        <v>10</v>
      </c>
      <c r="H99" s="400">
        <v>2</v>
      </c>
      <c r="I99" s="400">
        <v>1</v>
      </c>
      <c r="J99" s="435">
        <f t="shared" si="6"/>
        <v>0.5</v>
      </c>
      <c r="K99" s="400"/>
      <c r="L99" s="400"/>
      <c r="M99" s="400" t="e">
        <v>#DIV/0!</v>
      </c>
      <c r="N99" s="434" t="s">
        <v>591</v>
      </c>
    </row>
    <row r="100" spans="1:14" ht="143.25" customHeight="1" x14ac:dyDescent="0.25">
      <c r="A100" s="409" t="s">
        <v>144</v>
      </c>
      <c r="B100" s="436" t="s">
        <v>397</v>
      </c>
      <c r="C100" s="436" t="s">
        <v>398</v>
      </c>
      <c r="D100" s="436" t="s">
        <v>399</v>
      </c>
      <c r="E100" s="436" t="s">
        <v>400</v>
      </c>
      <c r="F100" s="400">
        <v>100</v>
      </c>
      <c r="G100" s="426">
        <v>10</v>
      </c>
      <c r="H100" s="400">
        <v>2</v>
      </c>
      <c r="I100" s="400">
        <v>1</v>
      </c>
      <c r="J100" s="435">
        <f t="shared" si="6"/>
        <v>0.5</v>
      </c>
      <c r="K100" s="400"/>
      <c r="L100" s="400"/>
      <c r="M100" s="437" t="e">
        <f>L100/K100</f>
        <v>#DIV/0!</v>
      </c>
      <c r="N100" s="434" t="s">
        <v>591</v>
      </c>
    </row>
    <row r="101" spans="1:14" s="309" customFormat="1" ht="143.25" customHeight="1" x14ac:dyDescent="0.25">
      <c r="A101" s="438" t="s">
        <v>132</v>
      </c>
      <c r="B101" s="436" t="s">
        <v>397</v>
      </c>
      <c r="C101" s="436" t="s">
        <v>398</v>
      </c>
      <c r="D101" s="436" t="s">
        <v>399</v>
      </c>
      <c r="E101" s="436" t="s">
        <v>400</v>
      </c>
      <c r="F101" s="400">
        <v>100</v>
      </c>
      <c r="G101" s="426">
        <v>10</v>
      </c>
      <c r="H101" s="400">
        <v>2</v>
      </c>
      <c r="I101" s="400">
        <v>1</v>
      </c>
      <c r="J101" s="435">
        <f t="shared" si="6"/>
        <v>0.5</v>
      </c>
      <c r="K101" s="400"/>
      <c r="L101" s="400"/>
      <c r="M101" s="437" t="e">
        <f>L101/K101</f>
        <v>#DIV/0!</v>
      </c>
      <c r="N101" s="434" t="s">
        <v>591</v>
      </c>
    </row>
    <row r="102" spans="1:14" s="100" customFormat="1" ht="143.25" customHeight="1" x14ac:dyDescent="0.25">
      <c r="A102" s="438" t="s">
        <v>133</v>
      </c>
      <c r="B102" s="279" t="s">
        <v>397</v>
      </c>
      <c r="C102" s="279" t="s">
        <v>398</v>
      </c>
      <c r="D102" s="279" t="s">
        <v>399</v>
      </c>
      <c r="E102" s="279" t="s">
        <v>400</v>
      </c>
      <c r="F102" s="279">
        <v>100</v>
      </c>
      <c r="G102" s="426">
        <v>10</v>
      </c>
      <c r="H102" s="400">
        <v>2</v>
      </c>
      <c r="I102" s="279">
        <v>1</v>
      </c>
      <c r="J102" s="439">
        <f t="shared" si="6"/>
        <v>0.5</v>
      </c>
      <c r="K102" s="279"/>
      <c r="L102" s="279"/>
      <c r="M102" s="279" t="e">
        <v>#DIV/0!</v>
      </c>
      <c r="N102" s="434" t="s">
        <v>591</v>
      </c>
    </row>
    <row r="103" spans="1:14" ht="143.25" customHeight="1" x14ac:dyDescent="0.25">
      <c r="A103" s="409" t="s">
        <v>134</v>
      </c>
      <c r="B103" s="279" t="s">
        <v>397</v>
      </c>
      <c r="C103" s="279" t="s">
        <v>398</v>
      </c>
      <c r="D103" s="279" t="s">
        <v>399</v>
      </c>
      <c r="E103" s="279" t="s">
        <v>400</v>
      </c>
      <c r="F103" s="279">
        <v>100</v>
      </c>
      <c r="G103" s="426">
        <v>10</v>
      </c>
      <c r="H103" s="400">
        <v>2</v>
      </c>
      <c r="I103" s="279">
        <v>1</v>
      </c>
      <c r="J103" s="439">
        <f t="shared" si="6"/>
        <v>0.5</v>
      </c>
      <c r="K103" s="279"/>
      <c r="L103" s="279"/>
      <c r="M103" s="279" t="e">
        <v>#DIV/0!</v>
      </c>
      <c r="N103" s="434" t="s">
        <v>591</v>
      </c>
    </row>
    <row r="104" spans="1:14" ht="143.25" customHeight="1" x14ac:dyDescent="0.25">
      <c r="A104" s="409" t="s">
        <v>135</v>
      </c>
      <c r="B104" s="279" t="s">
        <v>397</v>
      </c>
      <c r="C104" s="279" t="s">
        <v>398</v>
      </c>
      <c r="D104" s="279" t="s">
        <v>399</v>
      </c>
      <c r="E104" s="279" t="s">
        <v>400</v>
      </c>
      <c r="F104" s="279">
        <v>100</v>
      </c>
      <c r="G104" s="426">
        <v>10</v>
      </c>
      <c r="H104" s="400">
        <v>2</v>
      </c>
      <c r="I104" s="279">
        <v>1</v>
      </c>
      <c r="J104" s="439">
        <f t="shared" si="6"/>
        <v>0.5</v>
      </c>
      <c r="K104" s="279"/>
      <c r="L104" s="279"/>
      <c r="M104" s="279" t="e">
        <v>#DIV/0!</v>
      </c>
      <c r="N104" s="434" t="s">
        <v>591</v>
      </c>
    </row>
    <row r="105" spans="1:14" ht="143.25" customHeight="1" x14ac:dyDescent="0.25">
      <c r="A105" s="409" t="s">
        <v>136</v>
      </c>
      <c r="B105" s="279" t="s">
        <v>397</v>
      </c>
      <c r="C105" s="279" t="s">
        <v>398</v>
      </c>
      <c r="D105" s="279" t="s">
        <v>399</v>
      </c>
      <c r="E105" s="279" t="s">
        <v>400</v>
      </c>
      <c r="F105" s="279">
        <v>100</v>
      </c>
      <c r="G105" s="426">
        <v>10</v>
      </c>
      <c r="H105" s="400">
        <v>2</v>
      </c>
      <c r="I105" s="279">
        <v>1</v>
      </c>
      <c r="J105" s="439">
        <f t="shared" si="6"/>
        <v>0.5</v>
      </c>
      <c r="K105" s="279"/>
      <c r="L105" s="279"/>
      <c r="M105" s="279" t="e">
        <v>#DIV/0!</v>
      </c>
      <c r="N105" s="434" t="s">
        <v>591</v>
      </c>
    </row>
    <row r="106" spans="1:14" ht="143.25" customHeight="1" thickBot="1" x14ac:dyDescent="0.3">
      <c r="A106" s="440" t="s">
        <v>137</v>
      </c>
      <c r="B106" s="279" t="s">
        <v>397</v>
      </c>
      <c r="C106" s="279" t="s">
        <v>398</v>
      </c>
      <c r="D106" s="279" t="s">
        <v>399</v>
      </c>
      <c r="E106" s="279" t="s">
        <v>400</v>
      </c>
      <c r="F106" s="279">
        <v>100</v>
      </c>
      <c r="G106" s="426">
        <v>10</v>
      </c>
      <c r="H106" s="400">
        <v>2</v>
      </c>
      <c r="I106" s="279">
        <v>2</v>
      </c>
      <c r="J106" s="439">
        <f t="shared" si="6"/>
        <v>1</v>
      </c>
      <c r="K106" s="279"/>
      <c r="L106" s="279"/>
      <c r="M106" s="279" t="e">
        <v>#DIV/0!</v>
      </c>
      <c r="N106" s="434" t="s">
        <v>592</v>
      </c>
    </row>
    <row r="108" spans="1:14" ht="15.75" thickBot="1" x14ac:dyDescent="0.3"/>
    <row r="109" spans="1:14" ht="20.25" x14ac:dyDescent="0.25">
      <c r="A109" s="1027" t="s">
        <v>171</v>
      </c>
      <c r="B109" s="1028"/>
      <c r="C109" s="1028"/>
      <c r="D109" s="1028"/>
      <c r="E109" s="1028"/>
      <c r="F109" s="1028"/>
      <c r="G109" s="1028"/>
      <c r="H109" s="1028"/>
      <c r="I109" s="1028"/>
      <c r="J109" s="1028"/>
      <c r="K109" s="1028"/>
      <c r="L109" s="1028"/>
      <c r="M109" s="1028"/>
      <c r="N109" s="1029"/>
    </row>
    <row r="110" spans="1:14" ht="44.25" customHeight="1" x14ac:dyDescent="0.25">
      <c r="A110" s="32" t="s">
        <v>50</v>
      </c>
      <c r="B110" s="33" t="s">
        <v>149</v>
      </c>
      <c r="C110" s="33" t="s">
        <v>150</v>
      </c>
      <c r="D110" s="33" t="s">
        <v>151</v>
      </c>
      <c r="E110" s="33" t="s">
        <v>152</v>
      </c>
      <c r="F110" s="33" t="s">
        <v>172</v>
      </c>
      <c r="G110" s="33" t="s">
        <v>154</v>
      </c>
      <c r="H110" s="33" t="s">
        <v>173</v>
      </c>
      <c r="I110" s="33" t="s">
        <v>174</v>
      </c>
      <c r="J110" s="41" t="s">
        <v>175</v>
      </c>
      <c r="K110" s="33" t="s">
        <v>158</v>
      </c>
      <c r="L110" s="33" t="s">
        <v>159</v>
      </c>
      <c r="M110" s="33" t="s">
        <v>160</v>
      </c>
      <c r="N110" s="34" t="s">
        <v>161</v>
      </c>
    </row>
    <row r="111" spans="1:14" s="3" customFormat="1" ht="135" customHeight="1" x14ac:dyDescent="0.25">
      <c r="A111" s="481" t="s">
        <v>139</v>
      </c>
      <c r="B111" s="482" t="s">
        <v>397</v>
      </c>
      <c r="C111" s="482" t="s">
        <v>398</v>
      </c>
      <c r="D111" s="482" t="s">
        <v>399</v>
      </c>
      <c r="E111" s="474" t="s">
        <v>400</v>
      </c>
      <c r="F111" s="474">
        <v>100</v>
      </c>
      <c r="G111" s="474">
        <v>2</v>
      </c>
      <c r="H111" s="474">
        <v>2</v>
      </c>
      <c r="I111" s="474">
        <v>1</v>
      </c>
      <c r="J111" s="474">
        <f t="shared" ref="J111:J122" si="7">I111/H111</f>
        <v>0.5</v>
      </c>
      <c r="K111" s="474"/>
      <c r="L111" s="20"/>
      <c r="M111" s="20" t="e">
        <f t="shared" ref="M111:M122" si="8">L111/K111</f>
        <v>#DIV/0!</v>
      </c>
      <c r="N111" s="483" t="s">
        <v>588</v>
      </c>
    </row>
    <row r="112" spans="1:14" s="3" customFormat="1" ht="135" customHeight="1" x14ac:dyDescent="0.25">
      <c r="A112" s="481" t="s">
        <v>140</v>
      </c>
      <c r="B112" s="482" t="s">
        <v>397</v>
      </c>
      <c r="C112" s="482" t="s">
        <v>398</v>
      </c>
      <c r="D112" s="482" t="s">
        <v>399</v>
      </c>
      <c r="E112" s="474" t="s">
        <v>400</v>
      </c>
      <c r="F112" s="474">
        <v>100</v>
      </c>
      <c r="G112" s="474">
        <v>2</v>
      </c>
      <c r="H112" s="474">
        <v>2</v>
      </c>
      <c r="I112" s="474">
        <v>1</v>
      </c>
      <c r="J112" s="474">
        <f t="shared" si="7"/>
        <v>0.5</v>
      </c>
      <c r="K112" s="474"/>
      <c r="L112" s="20"/>
      <c r="M112" s="20" t="e">
        <f t="shared" si="8"/>
        <v>#DIV/0!</v>
      </c>
      <c r="N112" s="483" t="s">
        <v>587</v>
      </c>
    </row>
    <row r="113" spans="1:14" s="3" customFormat="1" ht="295.5" customHeight="1" x14ac:dyDescent="0.25">
      <c r="A113" s="481" t="s">
        <v>141</v>
      </c>
      <c r="B113" s="482" t="s">
        <v>397</v>
      </c>
      <c r="C113" s="482" t="s">
        <v>398</v>
      </c>
      <c r="D113" s="482" t="s">
        <v>399</v>
      </c>
      <c r="E113" s="474" t="s">
        <v>400</v>
      </c>
      <c r="F113" s="474">
        <v>100</v>
      </c>
      <c r="G113" s="474">
        <v>2</v>
      </c>
      <c r="H113" s="474">
        <v>2</v>
      </c>
      <c r="I113" s="474">
        <v>1</v>
      </c>
      <c r="J113" s="474">
        <f t="shared" si="7"/>
        <v>0.5</v>
      </c>
      <c r="K113" s="474"/>
      <c r="L113" s="20"/>
      <c r="M113" s="20" t="e">
        <f t="shared" si="8"/>
        <v>#DIV/0!</v>
      </c>
      <c r="N113" s="483" t="s">
        <v>593</v>
      </c>
    </row>
    <row r="114" spans="1:14" ht="156.75" customHeight="1" x14ac:dyDescent="0.25">
      <c r="A114" s="481" t="s">
        <v>142</v>
      </c>
      <c r="B114" s="482" t="s">
        <v>397</v>
      </c>
      <c r="C114" s="482" t="s">
        <v>398</v>
      </c>
      <c r="D114" s="482" t="s">
        <v>399</v>
      </c>
      <c r="E114" s="474" t="s">
        <v>400</v>
      </c>
      <c r="F114" s="474">
        <v>100</v>
      </c>
      <c r="G114" s="474">
        <v>2</v>
      </c>
      <c r="H114" s="474">
        <v>2</v>
      </c>
      <c r="I114" s="474">
        <v>1</v>
      </c>
      <c r="J114" s="474">
        <v>0.5</v>
      </c>
      <c r="K114" s="474"/>
      <c r="L114" s="20"/>
      <c r="M114" s="20" t="e">
        <v>#DIV/0!</v>
      </c>
      <c r="N114" s="483" t="s">
        <v>594</v>
      </c>
    </row>
    <row r="115" spans="1:14" ht="141" customHeight="1" x14ac:dyDescent="0.25">
      <c r="A115" s="481" t="s">
        <v>143</v>
      </c>
      <c r="B115" s="482" t="s">
        <v>397</v>
      </c>
      <c r="C115" s="482" t="s">
        <v>398</v>
      </c>
      <c r="D115" s="482" t="s">
        <v>399</v>
      </c>
      <c r="E115" s="474" t="s">
        <v>400</v>
      </c>
      <c r="F115" s="474">
        <v>100</v>
      </c>
      <c r="G115" s="474">
        <v>2</v>
      </c>
      <c r="H115" s="474">
        <v>2</v>
      </c>
      <c r="I115" s="474">
        <v>1</v>
      </c>
      <c r="J115" s="474">
        <v>0.5</v>
      </c>
      <c r="K115" s="602"/>
      <c r="L115" s="602"/>
      <c r="M115" s="602" t="e">
        <f t="shared" si="8"/>
        <v>#DIV/0!</v>
      </c>
      <c r="N115" s="483" t="s">
        <v>626</v>
      </c>
    </row>
    <row r="116" spans="1:14" ht="124.35" customHeight="1" x14ac:dyDescent="0.25">
      <c r="A116" s="481" t="s">
        <v>144</v>
      </c>
      <c r="B116" s="482" t="s">
        <v>397</v>
      </c>
      <c r="C116" s="482" t="s">
        <v>398</v>
      </c>
      <c r="D116" s="482" t="s">
        <v>399</v>
      </c>
      <c r="E116" s="474" t="s">
        <v>400</v>
      </c>
      <c r="F116" s="474">
        <v>100</v>
      </c>
      <c r="G116" s="474">
        <v>2</v>
      </c>
      <c r="H116" s="474">
        <v>2</v>
      </c>
      <c r="I116" s="474">
        <v>1</v>
      </c>
      <c r="J116" s="474">
        <v>0.5</v>
      </c>
      <c r="K116" s="602"/>
      <c r="L116" s="602"/>
      <c r="M116" s="602" t="e">
        <f>L116/K116</f>
        <v>#DIV/0!</v>
      </c>
      <c r="N116" s="483" t="s">
        <v>638</v>
      </c>
    </row>
    <row r="117" spans="1:14" ht="145.5" customHeight="1" x14ac:dyDescent="0.25">
      <c r="A117" s="481" t="s">
        <v>132</v>
      </c>
      <c r="B117" s="386" t="s">
        <v>397</v>
      </c>
      <c r="C117" s="386" t="s">
        <v>398</v>
      </c>
      <c r="D117" s="386" t="s">
        <v>399</v>
      </c>
      <c r="E117" s="386" t="s">
        <v>400</v>
      </c>
      <c r="F117" s="386">
        <v>100</v>
      </c>
      <c r="G117" s="386">
        <v>2</v>
      </c>
      <c r="H117" s="314">
        <v>2</v>
      </c>
      <c r="I117" s="386">
        <v>1</v>
      </c>
      <c r="J117" s="386">
        <v>0.5</v>
      </c>
      <c r="K117" s="386"/>
      <c r="L117" s="386"/>
      <c r="M117" s="386" t="e">
        <v>#DIV/0!</v>
      </c>
      <c r="N117" s="603" t="s">
        <v>650</v>
      </c>
    </row>
    <row r="118" spans="1:14" ht="135" x14ac:dyDescent="0.25">
      <c r="A118" s="481" t="s">
        <v>133</v>
      </c>
      <c r="B118" s="386" t="s">
        <v>397</v>
      </c>
      <c r="C118" s="386" t="s">
        <v>398</v>
      </c>
      <c r="D118" s="386" t="s">
        <v>399</v>
      </c>
      <c r="E118" s="386" t="s">
        <v>400</v>
      </c>
      <c r="F118" s="386">
        <v>100</v>
      </c>
      <c r="G118" s="386">
        <v>2</v>
      </c>
      <c r="H118" s="314">
        <v>2</v>
      </c>
      <c r="I118" s="386">
        <v>1</v>
      </c>
      <c r="J118" s="386">
        <v>0.5</v>
      </c>
      <c r="K118" s="386"/>
      <c r="L118" s="386"/>
      <c r="M118" s="386" t="e">
        <v>#DIV/0!</v>
      </c>
      <c r="N118" s="603" t="s">
        <v>675</v>
      </c>
    </row>
    <row r="119" spans="1:14" ht="135" x14ac:dyDescent="0.25">
      <c r="A119" s="632" t="s">
        <v>134</v>
      </c>
      <c r="B119" s="633" t="s">
        <v>397</v>
      </c>
      <c r="C119" s="633" t="s">
        <v>398</v>
      </c>
      <c r="D119" s="633" t="s">
        <v>399</v>
      </c>
      <c r="E119" s="633" t="s">
        <v>400</v>
      </c>
      <c r="F119" s="633">
        <v>100</v>
      </c>
      <c r="G119" s="633">
        <v>2</v>
      </c>
      <c r="H119" s="634">
        <v>2</v>
      </c>
      <c r="I119" s="633">
        <v>1</v>
      </c>
      <c r="J119" s="633">
        <v>0.5</v>
      </c>
      <c r="K119" s="630"/>
      <c r="L119" s="630"/>
      <c r="M119" s="630" t="e">
        <f t="shared" si="8"/>
        <v>#DIV/0!</v>
      </c>
      <c r="N119" s="635" t="s">
        <v>709</v>
      </c>
    </row>
    <row r="120" spans="1:14" x14ac:dyDescent="0.25">
      <c r="A120" s="481" t="s">
        <v>135</v>
      </c>
      <c r="B120" s="36"/>
      <c r="C120" s="36"/>
      <c r="D120" s="36"/>
      <c r="E120" s="36"/>
      <c r="F120" s="36"/>
      <c r="G120" s="36"/>
      <c r="H120" s="316"/>
      <c r="I120" s="36"/>
      <c r="J120" s="36" t="e">
        <f t="shared" si="7"/>
        <v>#DIV/0!</v>
      </c>
      <c r="K120" s="36"/>
      <c r="L120" s="36"/>
      <c r="M120" s="36" t="e">
        <f t="shared" si="8"/>
        <v>#DIV/0!</v>
      </c>
      <c r="N120" s="37"/>
    </row>
    <row r="121" spans="1:14" x14ac:dyDescent="0.25">
      <c r="A121" s="481" t="s">
        <v>136</v>
      </c>
      <c r="B121" s="36"/>
      <c r="C121" s="36"/>
      <c r="D121" s="36"/>
      <c r="E121" s="36"/>
      <c r="F121" s="36"/>
      <c r="G121" s="36"/>
      <c r="H121" s="316"/>
      <c r="I121" s="36"/>
      <c r="J121" s="36" t="e">
        <f t="shared" si="7"/>
        <v>#DIV/0!</v>
      </c>
      <c r="K121" s="36"/>
      <c r="L121" s="36"/>
      <c r="M121" s="36" t="e">
        <f t="shared" si="8"/>
        <v>#DIV/0!</v>
      </c>
      <c r="N121" s="37"/>
    </row>
    <row r="122" spans="1:14" ht="15.75" thickBot="1" x14ac:dyDescent="0.3">
      <c r="A122" s="593" t="s">
        <v>137</v>
      </c>
      <c r="B122" s="38"/>
      <c r="C122" s="38"/>
      <c r="D122" s="38"/>
      <c r="E122" s="38"/>
      <c r="F122" s="38"/>
      <c r="G122" s="38"/>
      <c r="H122" s="317"/>
      <c r="I122" s="38"/>
      <c r="J122" s="38" t="e">
        <f t="shared" si="7"/>
        <v>#DIV/0!</v>
      </c>
      <c r="K122" s="38"/>
      <c r="L122" s="38"/>
      <c r="M122" s="38" t="e">
        <f t="shared" si="8"/>
        <v>#DIV/0!</v>
      </c>
      <c r="N122" s="42"/>
    </row>
    <row r="124" spans="1:14" ht="20.25" hidden="1" x14ac:dyDescent="0.25">
      <c r="A124" s="1027" t="s">
        <v>176</v>
      </c>
      <c r="B124" s="1028"/>
      <c r="C124" s="1028"/>
      <c r="D124" s="1028"/>
      <c r="E124" s="1028"/>
      <c r="F124" s="1028"/>
      <c r="G124" s="1028"/>
      <c r="H124" s="1028"/>
      <c r="I124" s="1028"/>
      <c r="J124" s="1028"/>
      <c r="K124" s="1028"/>
      <c r="L124" s="1028"/>
      <c r="M124" s="1028"/>
      <c r="N124" s="1029"/>
    </row>
    <row r="125" spans="1:14" ht="44.25" hidden="1" customHeight="1" x14ac:dyDescent="0.25">
      <c r="A125" s="32" t="s">
        <v>64</v>
      </c>
      <c r="B125" s="33" t="s">
        <v>149</v>
      </c>
      <c r="C125" s="33" t="s">
        <v>150</v>
      </c>
      <c r="D125" s="33" t="s">
        <v>151</v>
      </c>
      <c r="E125" s="33" t="s">
        <v>152</v>
      </c>
      <c r="F125" s="33" t="s">
        <v>177</v>
      </c>
      <c r="G125" s="33" t="s">
        <v>154</v>
      </c>
      <c r="H125" s="480" t="s">
        <v>178</v>
      </c>
      <c r="I125" s="33" t="s">
        <v>179</v>
      </c>
      <c r="J125" s="41" t="s">
        <v>180</v>
      </c>
      <c r="K125" s="33" t="s">
        <v>158</v>
      </c>
      <c r="L125" s="33" t="s">
        <v>159</v>
      </c>
      <c r="M125" s="33" t="s">
        <v>160</v>
      </c>
      <c r="N125" s="34" t="s">
        <v>161</v>
      </c>
    </row>
    <row r="126" spans="1:14" ht="16.5" hidden="1" customHeight="1" x14ac:dyDescent="0.25">
      <c r="A126" s="39" t="s">
        <v>139</v>
      </c>
      <c r="B126" s="36"/>
      <c r="C126" s="36"/>
      <c r="D126" s="36"/>
      <c r="E126" s="36"/>
      <c r="F126" s="36"/>
      <c r="G126" s="36"/>
      <c r="H126" s="316"/>
      <c r="I126" s="36"/>
      <c r="J126" s="36" t="e">
        <f t="shared" ref="J126:J137" si="9">I126/H126</f>
        <v>#DIV/0!</v>
      </c>
      <c r="K126" s="36"/>
      <c r="L126" s="36"/>
      <c r="M126" s="36" t="e">
        <f t="shared" ref="M126:M137" si="10">L126/K126</f>
        <v>#DIV/0!</v>
      </c>
      <c r="N126" s="37"/>
    </row>
    <row r="127" spans="1:14" ht="16.5" hidden="1" customHeight="1" x14ac:dyDescent="0.25">
      <c r="A127" s="39" t="s">
        <v>140</v>
      </c>
      <c r="B127" s="36"/>
      <c r="C127" s="36"/>
      <c r="D127" s="36"/>
      <c r="E127" s="36"/>
      <c r="F127" s="36"/>
      <c r="G127" s="36"/>
      <c r="H127" s="316"/>
      <c r="I127" s="36"/>
      <c r="J127" s="36" t="e">
        <f t="shared" si="9"/>
        <v>#DIV/0!</v>
      </c>
      <c r="K127" s="36"/>
      <c r="L127" s="36"/>
      <c r="M127" s="36" t="e">
        <f t="shared" si="10"/>
        <v>#DIV/0!</v>
      </c>
      <c r="N127" s="37"/>
    </row>
    <row r="128" spans="1:14" ht="16.5" hidden="1" customHeight="1" x14ac:dyDescent="0.25">
      <c r="A128" s="39" t="s">
        <v>141</v>
      </c>
      <c r="B128" s="36"/>
      <c r="C128" s="36"/>
      <c r="D128" s="36"/>
      <c r="E128" s="36"/>
      <c r="F128" s="36"/>
      <c r="G128" s="36"/>
      <c r="H128" s="316"/>
      <c r="I128" s="36"/>
      <c r="J128" s="36" t="e">
        <f t="shared" si="9"/>
        <v>#DIV/0!</v>
      </c>
      <c r="K128" s="36"/>
      <c r="L128" s="36"/>
      <c r="M128" s="36" t="e">
        <f t="shared" si="10"/>
        <v>#DIV/0!</v>
      </c>
      <c r="N128" s="37"/>
    </row>
    <row r="129" spans="1:14" ht="16.5" hidden="1" customHeight="1" x14ac:dyDescent="0.25">
      <c r="A129" s="39" t="s">
        <v>142</v>
      </c>
      <c r="B129" s="36"/>
      <c r="C129" s="36"/>
      <c r="D129" s="36"/>
      <c r="E129" s="36"/>
      <c r="F129" s="36"/>
      <c r="G129" s="36"/>
      <c r="H129" s="316"/>
      <c r="I129" s="36"/>
      <c r="J129" s="36" t="e">
        <f t="shared" si="9"/>
        <v>#DIV/0!</v>
      </c>
      <c r="K129" s="36"/>
      <c r="L129" s="36"/>
      <c r="M129" s="36" t="e">
        <f t="shared" si="10"/>
        <v>#DIV/0!</v>
      </c>
      <c r="N129" s="37"/>
    </row>
    <row r="130" spans="1:14" ht="16.5" hidden="1" customHeight="1" x14ac:dyDescent="0.25">
      <c r="A130" s="39" t="s">
        <v>143</v>
      </c>
      <c r="B130" s="36"/>
      <c r="C130" s="36"/>
      <c r="D130" s="36"/>
      <c r="E130" s="36"/>
      <c r="F130" s="36"/>
      <c r="G130" s="36"/>
      <c r="H130" s="316"/>
      <c r="I130" s="36"/>
      <c r="J130" s="36" t="e">
        <f t="shared" si="9"/>
        <v>#DIV/0!</v>
      </c>
      <c r="K130" s="36"/>
      <c r="L130" s="36"/>
      <c r="M130" s="36" t="e">
        <f t="shared" si="10"/>
        <v>#DIV/0!</v>
      </c>
      <c r="N130" s="37"/>
    </row>
    <row r="131" spans="1:14" ht="16.5" hidden="1" customHeight="1" x14ac:dyDescent="0.25">
      <c r="A131" s="39" t="s">
        <v>144</v>
      </c>
      <c r="B131" s="36"/>
      <c r="C131" s="36"/>
      <c r="D131" s="36"/>
      <c r="E131" s="36"/>
      <c r="F131" s="36"/>
      <c r="G131" s="36"/>
      <c r="H131" s="316"/>
      <c r="I131" s="36"/>
      <c r="J131" s="36" t="e">
        <f t="shared" si="9"/>
        <v>#DIV/0!</v>
      </c>
      <c r="K131" s="36"/>
      <c r="L131" s="36"/>
      <c r="M131" s="36" t="e">
        <f t="shared" si="10"/>
        <v>#DIV/0!</v>
      </c>
      <c r="N131" s="37"/>
    </row>
    <row r="132" spans="1:14" hidden="1" x14ac:dyDescent="0.25">
      <c r="A132" s="39" t="s">
        <v>132</v>
      </c>
      <c r="B132" s="36"/>
      <c r="C132" s="36"/>
      <c r="D132" s="36"/>
      <c r="E132" s="36"/>
      <c r="F132" s="36"/>
      <c r="G132" s="36"/>
      <c r="H132" s="316"/>
      <c r="I132" s="36"/>
      <c r="J132" s="36" t="e">
        <f t="shared" si="9"/>
        <v>#DIV/0!</v>
      </c>
      <c r="K132" s="36"/>
      <c r="L132" s="36"/>
      <c r="M132" s="36" t="e">
        <f t="shared" si="10"/>
        <v>#DIV/0!</v>
      </c>
      <c r="N132" s="37"/>
    </row>
    <row r="133" spans="1:14" hidden="1" x14ac:dyDescent="0.25">
      <c r="A133" s="39" t="s">
        <v>133</v>
      </c>
      <c r="B133" s="36"/>
      <c r="C133" s="36"/>
      <c r="D133" s="36"/>
      <c r="E133" s="36"/>
      <c r="F133" s="36"/>
      <c r="G133" s="36"/>
      <c r="H133" s="316"/>
      <c r="I133" s="36"/>
      <c r="J133" s="36" t="e">
        <f t="shared" si="9"/>
        <v>#DIV/0!</v>
      </c>
      <c r="K133" s="36"/>
      <c r="L133" s="36"/>
      <c r="M133" s="36" t="e">
        <f t="shared" si="10"/>
        <v>#DIV/0!</v>
      </c>
      <c r="N133" s="37"/>
    </row>
    <row r="134" spans="1:14" hidden="1" x14ac:dyDescent="0.25">
      <c r="A134" s="39" t="s">
        <v>134</v>
      </c>
      <c r="B134" s="36"/>
      <c r="C134" s="36"/>
      <c r="D134" s="36"/>
      <c r="E134" s="36"/>
      <c r="F134" s="36"/>
      <c r="G134" s="36"/>
      <c r="H134" s="316"/>
      <c r="I134" s="36"/>
      <c r="J134" s="36" t="e">
        <f t="shared" si="9"/>
        <v>#DIV/0!</v>
      </c>
      <c r="K134" s="36"/>
      <c r="L134" s="36"/>
      <c r="M134" s="36" t="e">
        <f t="shared" si="10"/>
        <v>#DIV/0!</v>
      </c>
      <c r="N134" s="37"/>
    </row>
    <row r="135" spans="1:14" hidden="1" x14ac:dyDescent="0.25">
      <c r="A135" s="39" t="s">
        <v>135</v>
      </c>
      <c r="B135" s="36"/>
      <c r="C135" s="36"/>
      <c r="D135" s="36"/>
      <c r="E135" s="36"/>
      <c r="F135" s="36"/>
      <c r="G135" s="36"/>
      <c r="H135" s="316"/>
      <c r="I135" s="36"/>
      <c r="J135" s="36" t="e">
        <f t="shared" si="9"/>
        <v>#DIV/0!</v>
      </c>
      <c r="K135" s="36"/>
      <c r="L135" s="36"/>
      <c r="M135" s="36" t="e">
        <f t="shared" si="10"/>
        <v>#DIV/0!</v>
      </c>
      <c r="N135" s="37"/>
    </row>
    <row r="136" spans="1:14" hidden="1" x14ac:dyDescent="0.25">
      <c r="A136" s="39" t="s">
        <v>136</v>
      </c>
      <c r="B136" s="36"/>
      <c r="C136" s="36"/>
      <c r="D136" s="36"/>
      <c r="E136" s="36"/>
      <c r="F136" s="36"/>
      <c r="G136" s="36"/>
      <c r="H136" s="316"/>
      <c r="I136" s="36"/>
      <c r="J136" s="36" t="e">
        <f t="shared" si="9"/>
        <v>#DIV/0!</v>
      </c>
      <c r="K136" s="36"/>
      <c r="L136" s="36"/>
      <c r="M136" s="36" t="e">
        <f t="shared" si="10"/>
        <v>#DIV/0!</v>
      </c>
      <c r="N136" s="37"/>
    </row>
    <row r="137" spans="1:14" ht="15.75" hidden="1" thickBot="1" x14ac:dyDescent="0.3">
      <c r="A137" s="40" t="s">
        <v>137</v>
      </c>
      <c r="B137" s="38"/>
      <c r="C137" s="38"/>
      <c r="D137" s="38"/>
      <c r="E137" s="38"/>
      <c r="F137" s="38"/>
      <c r="G137" s="38"/>
      <c r="H137" s="317"/>
      <c r="I137" s="38"/>
      <c r="J137" s="38" t="e">
        <f t="shared" si="9"/>
        <v>#DIV/0!</v>
      </c>
      <c r="K137" s="38"/>
      <c r="L137" s="38"/>
      <c r="M137" s="38" t="e">
        <f t="shared" si="10"/>
        <v>#DIV/0!</v>
      </c>
      <c r="N137" s="42"/>
    </row>
    <row r="138" spans="1:14" ht="15.75" thickBot="1" x14ac:dyDescent="0.3"/>
    <row r="139" spans="1:14" ht="50.25" customHeight="1" x14ac:dyDescent="0.25">
      <c r="A139" s="1027" t="s">
        <v>186</v>
      </c>
      <c r="B139" s="1028"/>
      <c r="C139" s="1028"/>
      <c r="D139" s="1028"/>
      <c r="E139" s="1028"/>
      <c r="F139" s="1028"/>
      <c r="G139" s="1029"/>
    </row>
    <row r="140" spans="1:14" ht="50.25" customHeight="1" thickBot="1" x14ac:dyDescent="0.3">
      <c r="A140" s="32" t="s">
        <v>50</v>
      </c>
      <c r="B140" s="43" t="s">
        <v>149</v>
      </c>
      <c r="C140" s="43" t="s">
        <v>150</v>
      </c>
      <c r="D140" s="43" t="s">
        <v>182</v>
      </c>
      <c r="E140" s="43" t="s">
        <v>187</v>
      </c>
      <c r="F140" s="43" t="s">
        <v>188</v>
      </c>
      <c r="G140" s="44" t="s">
        <v>185</v>
      </c>
    </row>
    <row r="141" spans="1:14" ht="86.25" x14ac:dyDescent="0.25">
      <c r="A141" s="1034" t="s">
        <v>139</v>
      </c>
      <c r="B141" s="1037" t="s">
        <v>397</v>
      </c>
      <c r="C141" s="1037" t="s">
        <v>398</v>
      </c>
      <c r="D141" s="305" t="s">
        <v>401</v>
      </c>
      <c r="E141" s="306">
        <v>3647631000</v>
      </c>
      <c r="F141" s="306">
        <v>0</v>
      </c>
      <c r="G141" s="271" t="s">
        <v>402</v>
      </c>
    </row>
    <row r="142" spans="1:14" ht="86.25" x14ac:dyDescent="0.25">
      <c r="A142" s="1035"/>
      <c r="B142" s="1038"/>
      <c r="C142" s="1038"/>
      <c r="D142" s="305" t="s">
        <v>403</v>
      </c>
      <c r="E142" s="306">
        <v>254951000</v>
      </c>
      <c r="F142" s="306">
        <v>0</v>
      </c>
      <c r="G142" s="271" t="s">
        <v>402</v>
      </c>
    </row>
    <row r="143" spans="1:14" ht="58.5" thickBot="1" x14ac:dyDescent="0.3">
      <c r="A143" s="1036"/>
      <c r="B143" s="1039"/>
      <c r="C143" s="1039"/>
      <c r="D143" s="305" t="s">
        <v>404</v>
      </c>
      <c r="E143" s="306">
        <v>364061000</v>
      </c>
      <c r="F143" s="306">
        <v>0</v>
      </c>
      <c r="G143" s="271" t="s">
        <v>402</v>
      </c>
    </row>
    <row r="144" spans="1:14" ht="409.5" x14ac:dyDescent="0.25">
      <c r="A144" s="1034" t="s">
        <v>140</v>
      </c>
      <c r="B144" s="1037" t="s">
        <v>397</v>
      </c>
      <c r="C144" s="1037" t="s">
        <v>398</v>
      </c>
      <c r="D144" s="305" t="s">
        <v>401</v>
      </c>
      <c r="E144" s="306">
        <v>3647631000</v>
      </c>
      <c r="F144" s="306">
        <v>0</v>
      </c>
      <c r="G144" s="271" t="s">
        <v>595</v>
      </c>
      <c r="H144" s="318"/>
    </row>
    <row r="145" spans="1:53" ht="86.25" customHeight="1" x14ac:dyDescent="0.25">
      <c r="A145" s="1035"/>
      <c r="B145" s="1038"/>
      <c r="C145" s="1038"/>
      <c r="D145" s="305" t="s">
        <v>403</v>
      </c>
      <c r="E145" s="306">
        <v>254951000</v>
      </c>
      <c r="F145" s="306">
        <v>0</v>
      </c>
      <c r="G145" s="271" t="s">
        <v>596</v>
      </c>
    </row>
    <row r="146" spans="1:53" ht="409.6" thickBot="1" x14ac:dyDescent="0.3">
      <c r="A146" s="1036"/>
      <c r="B146" s="1039"/>
      <c r="C146" s="1039"/>
      <c r="D146" s="305" t="s">
        <v>404</v>
      </c>
      <c r="E146" s="306">
        <v>364061000</v>
      </c>
      <c r="F146" s="306">
        <v>0</v>
      </c>
      <c r="G146" s="271" t="s">
        <v>597</v>
      </c>
    </row>
    <row r="147" spans="1:53" ht="409.5" x14ac:dyDescent="0.25">
      <c r="A147" s="1034" t="s">
        <v>141</v>
      </c>
      <c r="B147" s="1037" t="s">
        <v>397</v>
      </c>
      <c r="C147" s="1037" t="s">
        <v>398</v>
      </c>
      <c r="D147" s="305" t="s">
        <v>401</v>
      </c>
      <c r="E147" s="306">
        <v>3647631000</v>
      </c>
      <c r="F147" s="306">
        <v>8038933</v>
      </c>
      <c r="G147" s="271" t="s">
        <v>598</v>
      </c>
    </row>
    <row r="148" spans="1:53" ht="370.5" x14ac:dyDescent="0.25">
      <c r="A148" s="1035"/>
      <c r="B148" s="1038"/>
      <c r="C148" s="1038"/>
      <c r="D148" s="305" t="s">
        <v>403</v>
      </c>
      <c r="E148" s="306">
        <v>254951000</v>
      </c>
      <c r="F148" s="306">
        <v>2538667</v>
      </c>
      <c r="G148" s="271" t="s">
        <v>599</v>
      </c>
    </row>
    <row r="149" spans="1:53" s="311" customFormat="1" ht="409.6" thickBot="1" x14ac:dyDescent="0.3">
      <c r="A149" s="1036"/>
      <c r="B149" s="1039"/>
      <c r="C149" s="1039"/>
      <c r="D149" s="305" t="s">
        <v>404</v>
      </c>
      <c r="E149" s="306">
        <v>364061000</v>
      </c>
      <c r="F149" s="306">
        <v>0</v>
      </c>
      <c r="G149" s="271" t="s">
        <v>600</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row>
    <row r="150" spans="1:53" s="311" customFormat="1" ht="409.5" x14ac:dyDescent="0.25">
      <c r="A150" s="1034" t="s">
        <v>142</v>
      </c>
      <c r="B150" s="1037" t="s">
        <v>397</v>
      </c>
      <c r="C150" s="1037" t="s">
        <v>398</v>
      </c>
      <c r="D150" s="305" t="s">
        <v>401</v>
      </c>
      <c r="E150" s="306">
        <v>3647631000</v>
      </c>
      <c r="F150" s="306">
        <v>212974000</v>
      </c>
      <c r="G150" s="271" t="s">
        <v>601</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row>
    <row r="151" spans="1:53" s="311" customFormat="1" ht="86.25" customHeight="1" x14ac:dyDescent="0.25">
      <c r="A151" s="1035"/>
      <c r="B151" s="1038"/>
      <c r="C151" s="1038"/>
      <c r="D151" s="305" t="s">
        <v>403</v>
      </c>
      <c r="E151" s="306">
        <v>254951000</v>
      </c>
      <c r="F151" s="306">
        <v>27400334</v>
      </c>
      <c r="G151" s="271" t="s">
        <v>602</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row>
    <row r="152" spans="1:53" s="311" customFormat="1" ht="409.6" thickBot="1" x14ac:dyDescent="0.3">
      <c r="A152" s="1036"/>
      <c r="B152" s="1039"/>
      <c r="C152" s="1039"/>
      <c r="D152" s="305" t="s">
        <v>404</v>
      </c>
      <c r="E152" s="306">
        <v>364061000</v>
      </c>
      <c r="F152" s="306">
        <v>21245000</v>
      </c>
      <c r="G152" s="271" t="s">
        <v>603</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row>
    <row r="153" spans="1:53" s="311" customFormat="1" ht="128.25" x14ac:dyDescent="0.25">
      <c r="A153" s="1034" t="s">
        <v>143</v>
      </c>
      <c r="B153" s="1037" t="s">
        <v>397</v>
      </c>
      <c r="C153" s="1037" t="s">
        <v>398</v>
      </c>
      <c r="D153" s="305" t="s">
        <v>401</v>
      </c>
      <c r="E153" s="306">
        <v>3647631000</v>
      </c>
      <c r="F153" s="306">
        <v>559910434</v>
      </c>
      <c r="G153" s="271" t="s">
        <v>408</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row>
    <row r="154" spans="1:53" s="311" customFormat="1" ht="86.25" x14ac:dyDescent="0.25">
      <c r="A154" s="1035"/>
      <c r="B154" s="1038"/>
      <c r="C154" s="1038"/>
      <c r="D154" s="305" t="s">
        <v>403</v>
      </c>
      <c r="E154" s="306">
        <v>254951000</v>
      </c>
      <c r="F154" s="306">
        <v>48053334</v>
      </c>
      <c r="G154" s="271" t="s">
        <v>409</v>
      </c>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row>
    <row r="155" spans="1:53" s="311" customFormat="1" ht="58.5" thickBot="1" x14ac:dyDescent="0.3">
      <c r="A155" s="1036"/>
      <c r="B155" s="1039"/>
      <c r="C155" s="1039"/>
      <c r="D155" s="305" t="s">
        <v>404</v>
      </c>
      <c r="E155" s="306">
        <v>364061000</v>
      </c>
      <c r="F155" s="306">
        <v>55308867</v>
      </c>
      <c r="G155" s="271" t="s">
        <v>410</v>
      </c>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row>
    <row r="156" spans="1:53" s="311" customFormat="1" ht="128.25" x14ac:dyDescent="0.25">
      <c r="A156" s="1034" t="s">
        <v>144</v>
      </c>
      <c r="B156" s="1037" t="s">
        <v>397</v>
      </c>
      <c r="C156" s="1037" t="s">
        <v>398</v>
      </c>
      <c r="D156" s="305" t="s">
        <v>401</v>
      </c>
      <c r="E156" s="306">
        <v>3647631000</v>
      </c>
      <c r="F156" s="306">
        <v>953087141</v>
      </c>
      <c r="G156" s="271" t="s">
        <v>413</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row>
    <row r="157" spans="1:53" s="311" customFormat="1" ht="86.25" x14ac:dyDescent="0.25">
      <c r="A157" s="1035"/>
      <c r="B157" s="1038"/>
      <c r="C157" s="1038"/>
      <c r="D157" s="305" t="s">
        <v>403</v>
      </c>
      <c r="E157" s="306">
        <v>254951000</v>
      </c>
      <c r="F157" s="306">
        <v>68706334</v>
      </c>
      <c r="G157" s="271" t="s">
        <v>414</v>
      </c>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row>
    <row r="158" spans="1:53" s="311" customFormat="1" ht="58.5" thickBot="1" x14ac:dyDescent="0.3">
      <c r="A158" s="1036"/>
      <c r="B158" s="1039"/>
      <c r="C158" s="1039"/>
      <c r="D158" s="305" t="s">
        <v>404</v>
      </c>
      <c r="E158" s="306">
        <v>364061000</v>
      </c>
      <c r="F158" s="306">
        <v>98469867</v>
      </c>
      <c r="G158" s="271" t="s">
        <v>415</v>
      </c>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row>
    <row r="159" spans="1:53" s="311" customFormat="1" ht="409.5" x14ac:dyDescent="0.25">
      <c r="A159" s="1034" t="s">
        <v>132</v>
      </c>
      <c r="B159" s="1037" t="s">
        <v>397</v>
      </c>
      <c r="C159" s="1037" t="s">
        <v>398</v>
      </c>
      <c r="D159" s="305" t="s">
        <v>401</v>
      </c>
      <c r="E159" s="306">
        <v>3647631000</v>
      </c>
      <c r="F159" s="306">
        <v>1335877375</v>
      </c>
      <c r="G159" s="271" t="s">
        <v>416</v>
      </c>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row>
    <row r="160" spans="1:53" s="311" customFormat="1" ht="186" customHeight="1" x14ac:dyDescent="0.25">
      <c r="A160" s="1035"/>
      <c r="B160" s="1038"/>
      <c r="C160" s="1038"/>
      <c r="D160" s="305" t="s">
        <v>403</v>
      </c>
      <c r="E160" s="306">
        <v>254951000</v>
      </c>
      <c r="F160" s="306">
        <v>107098134</v>
      </c>
      <c r="G160" s="271" t="s">
        <v>417</v>
      </c>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row>
    <row r="161" spans="1:53" s="311" customFormat="1" ht="409.5" x14ac:dyDescent="0.25">
      <c r="A161" s="1036"/>
      <c r="B161" s="1039"/>
      <c r="C161" s="1039"/>
      <c r="D161" s="305" t="s">
        <v>404</v>
      </c>
      <c r="E161" s="306">
        <v>364061000</v>
      </c>
      <c r="F161" s="306">
        <v>134690867</v>
      </c>
      <c r="G161" s="271" t="s">
        <v>418</v>
      </c>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row>
    <row r="162" spans="1:53" s="311" customFormat="1" ht="409.5" x14ac:dyDescent="0.25">
      <c r="A162" s="1034" t="s">
        <v>133</v>
      </c>
      <c r="B162" s="1040" t="s">
        <v>397</v>
      </c>
      <c r="C162" s="1040" t="s">
        <v>398</v>
      </c>
      <c r="D162" s="376" t="s">
        <v>401</v>
      </c>
      <c r="E162" s="306">
        <v>3647631000</v>
      </c>
      <c r="F162" s="306">
        <v>0</v>
      </c>
      <c r="G162" s="271" t="s">
        <v>604</v>
      </c>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row>
    <row r="163" spans="1:53" s="311" customFormat="1" ht="409.5" x14ac:dyDescent="0.25">
      <c r="A163" s="1035"/>
      <c r="B163" s="1038"/>
      <c r="C163" s="1038"/>
      <c r="D163" s="305" t="s">
        <v>403</v>
      </c>
      <c r="E163" s="306">
        <v>254951000</v>
      </c>
      <c r="F163" s="306">
        <v>0</v>
      </c>
      <c r="G163" s="271" t="s">
        <v>605</v>
      </c>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row>
    <row r="164" spans="1:53" s="311" customFormat="1" ht="409.5" x14ac:dyDescent="0.25">
      <c r="A164" s="1036"/>
      <c r="B164" s="1039"/>
      <c r="C164" s="1039"/>
      <c r="D164" s="305" t="s">
        <v>404</v>
      </c>
      <c r="E164" s="306">
        <v>364061000</v>
      </c>
      <c r="F164" s="306">
        <v>0</v>
      </c>
      <c r="G164" s="271" t="s">
        <v>606</v>
      </c>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row>
    <row r="165" spans="1:53" ht="409.5" x14ac:dyDescent="0.25">
      <c r="A165" s="1034" t="s">
        <v>134</v>
      </c>
      <c r="B165" s="1040" t="s">
        <v>397</v>
      </c>
      <c r="C165" s="1040" t="s">
        <v>398</v>
      </c>
      <c r="D165" s="305" t="s">
        <v>401</v>
      </c>
      <c r="E165" s="306">
        <v>3782244731</v>
      </c>
      <c r="F165" s="306">
        <v>2144158452</v>
      </c>
      <c r="G165" s="271" t="s">
        <v>420</v>
      </c>
    </row>
    <row r="166" spans="1:53" ht="242.25" x14ac:dyDescent="0.25">
      <c r="A166" s="1035"/>
      <c r="B166" s="1038"/>
      <c r="C166" s="1038"/>
      <c r="D166" s="305" t="s">
        <v>403</v>
      </c>
      <c r="E166" s="306">
        <v>285882269</v>
      </c>
      <c r="F166" s="306">
        <v>174576134</v>
      </c>
      <c r="G166" s="271" t="s">
        <v>421</v>
      </c>
    </row>
    <row r="167" spans="1:53" ht="100.5" customHeight="1" x14ac:dyDescent="0.25">
      <c r="A167" s="1036"/>
      <c r="B167" s="1039"/>
      <c r="C167" s="1039"/>
      <c r="D167" s="305" t="s">
        <v>404</v>
      </c>
      <c r="E167" s="306">
        <v>339715000</v>
      </c>
      <c r="F167" s="306">
        <v>207132867</v>
      </c>
      <c r="G167" s="271" t="s">
        <v>419</v>
      </c>
    </row>
    <row r="168" spans="1:53" ht="409.5" x14ac:dyDescent="0.25">
      <c r="A168" s="1034" t="s">
        <v>135</v>
      </c>
      <c r="B168" s="1040" t="s">
        <v>397</v>
      </c>
      <c r="C168" s="1040" t="s">
        <v>398</v>
      </c>
      <c r="D168" s="305" t="s">
        <v>401</v>
      </c>
      <c r="E168" s="306">
        <v>3647631000</v>
      </c>
      <c r="F168" s="306"/>
      <c r="G168" s="271" t="s">
        <v>607</v>
      </c>
    </row>
    <row r="169" spans="1:53" ht="327.75" x14ac:dyDescent="0.25">
      <c r="A169" s="1035"/>
      <c r="B169" s="1038"/>
      <c r="C169" s="1038"/>
      <c r="D169" s="305" t="s">
        <v>403</v>
      </c>
      <c r="E169" s="306">
        <v>254951000</v>
      </c>
      <c r="F169" s="306"/>
      <c r="G169" s="271" t="s">
        <v>608</v>
      </c>
    </row>
    <row r="170" spans="1:53" ht="409.5" x14ac:dyDescent="0.25">
      <c r="A170" s="1036"/>
      <c r="B170" s="1039"/>
      <c r="C170" s="1039"/>
      <c r="D170" s="305" t="s">
        <v>404</v>
      </c>
      <c r="E170" s="306">
        <v>364061000</v>
      </c>
      <c r="F170" s="306"/>
      <c r="G170" s="271" t="s">
        <v>609</v>
      </c>
    </row>
    <row r="171" spans="1:53" ht="93.75" customHeight="1" x14ac:dyDescent="0.25">
      <c r="A171" s="1034" t="s">
        <v>136</v>
      </c>
      <c r="B171" s="1040" t="s">
        <v>397</v>
      </c>
      <c r="C171" s="1040" t="s">
        <v>398</v>
      </c>
      <c r="D171" s="376" t="s">
        <v>401</v>
      </c>
      <c r="E171" s="306">
        <v>3782244731</v>
      </c>
      <c r="F171" s="306">
        <v>3716403098</v>
      </c>
      <c r="G171" s="271" t="s">
        <v>425</v>
      </c>
    </row>
    <row r="172" spans="1:53" ht="256.5" x14ac:dyDescent="0.25">
      <c r="A172" s="1035"/>
      <c r="B172" s="1038"/>
      <c r="C172" s="1038"/>
      <c r="D172" s="305" t="s">
        <v>403</v>
      </c>
      <c r="E172" s="306">
        <v>285882269</v>
      </c>
      <c r="F172" s="306">
        <v>283441733</v>
      </c>
      <c r="G172" s="271" t="s">
        <v>424</v>
      </c>
    </row>
    <row r="173" spans="1:53" ht="409.5" x14ac:dyDescent="0.25">
      <c r="A173" s="1036"/>
      <c r="B173" s="1039"/>
      <c r="C173" s="1039"/>
      <c r="D173" s="305" t="s">
        <v>404</v>
      </c>
      <c r="E173" s="306">
        <v>339715000</v>
      </c>
      <c r="F173" s="306">
        <v>339715000</v>
      </c>
      <c r="G173" s="271" t="s">
        <v>423</v>
      </c>
    </row>
    <row r="174" spans="1:53" ht="409.5" x14ac:dyDescent="0.25">
      <c r="A174" s="1034" t="s">
        <v>137</v>
      </c>
      <c r="B174" s="1040" t="s">
        <v>397</v>
      </c>
      <c r="C174" s="1046" t="s">
        <v>398</v>
      </c>
      <c r="D174" s="305" t="s">
        <v>401</v>
      </c>
      <c r="E174" s="306">
        <v>3647631000</v>
      </c>
      <c r="F174" s="306"/>
      <c r="G174" s="271" t="s">
        <v>610</v>
      </c>
      <c r="H174" s="318"/>
    </row>
    <row r="175" spans="1:53" ht="256.5" x14ac:dyDescent="0.25">
      <c r="A175" s="1035"/>
      <c r="B175" s="1038"/>
      <c r="C175" s="1047"/>
      <c r="D175" s="305" t="s">
        <v>403</v>
      </c>
      <c r="E175" s="306">
        <v>254951000</v>
      </c>
      <c r="F175" s="306"/>
      <c r="G175" s="271" t="s">
        <v>611</v>
      </c>
      <c r="H175" s="318"/>
    </row>
    <row r="176" spans="1:53" ht="272.25" customHeight="1" thickBot="1" x14ac:dyDescent="0.3">
      <c r="A176" s="1044"/>
      <c r="B176" s="1045"/>
      <c r="C176" s="1048"/>
      <c r="D176" s="305" t="s">
        <v>404</v>
      </c>
      <c r="E176" s="306">
        <v>364061000</v>
      </c>
      <c r="F176" s="306"/>
      <c r="G176" s="271" t="s">
        <v>612</v>
      </c>
      <c r="H176" s="318"/>
    </row>
    <row r="178" spans="1:8" ht="15.75" thickBot="1" x14ac:dyDescent="0.3">
      <c r="A178" s="51"/>
      <c r="G178" s="52"/>
    </row>
    <row r="179" spans="1:8" ht="26.25" customHeight="1" x14ac:dyDescent="0.3">
      <c r="A179" s="1041" t="s">
        <v>405</v>
      </c>
      <c r="B179" s="1042"/>
      <c r="C179" s="1042"/>
      <c r="D179" s="1042"/>
      <c r="E179" s="1042"/>
      <c r="F179" s="1042"/>
      <c r="G179" s="1043"/>
    </row>
    <row r="180" spans="1:8" ht="57.75" customHeight="1" thickBot="1" x14ac:dyDescent="0.3">
      <c r="A180" s="32" t="s">
        <v>62</v>
      </c>
      <c r="B180" s="43" t="s">
        <v>149</v>
      </c>
      <c r="C180" s="43" t="s">
        <v>150</v>
      </c>
      <c r="D180" s="43" t="s">
        <v>182</v>
      </c>
      <c r="E180" s="43" t="s">
        <v>406</v>
      </c>
      <c r="F180" s="43" t="s">
        <v>407</v>
      </c>
      <c r="G180" s="44" t="s">
        <v>185</v>
      </c>
    </row>
    <row r="181" spans="1:8" ht="99.75" x14ac:dyDescent="0.25">
      <c r="A181" s="1034" t="s">
        <v>139</v>
      </c>
      <c r="B181" s="1037" t="s">
        <v>397</v>
      </c>
      <c r="C181" s="1037" t="s">
        <v>398</v>
      </c>
      <c r="D181" s="305" t="s">
        <v>401</v>
      </c>
      <c r="E181" s="306">
        <v>5896434000</v>
      </c>
      <c r="F181" s="306">
        <v>0</v>
      </c>
      <c r="G181" s="271" t="s">
        <v>460</v>
      </c>
    </row>
    <row r="182" spans="1:8" ht="86.25" x14ac:dyDescent="0.25">
      <c r="A182" s="1035"/>
      <c r="B182" s="1038"/>
      <c r="C182" s="1038"/>
      <c r="D182" s="305" t="s">
        <v>403</v>
      </c>
      <c r="E182" s="306">
        <v>414984000</v>
      </c>
      <c r="F182" s="306">
        <v>0</v>
      </c>
      <c r="G182" s="271" t="s">
        <v>461</v>
      </c>
    </row>
    <row r="183" spans="1:8" ht="58.5" thickBot="1" x14ac:dyDescent="0.3">
      <c r="A183" s="1036"/>
      <c r="B183" s="1039"/>
      <c r="C183" s="1039"/>
      <c r="D183" s="305" t="s">
        <v>404</v>
      </c>
      <c r="E183" s="306">
        <v>287337000</v>
      </c>
      <c r="F183" s="306">
        <v>0</v>
      </c>
      <c r="G183" s="271" t="s">
        <v>462</v>
      </c>
    </row>
    <row r="184" spans="1:8" ht="409.5" x14ac:dyDescent="0.25">
      <c r="A184" s="1034" t="s">
        <v>140</v>
      </c>
      <c r="B184" s="1037" t="s">
        <v>397</v>
      </c>
      <c r="C184" s="1037" t="s">
        <v>398</v>
      </c>
      <c r="D184" s="305" t="s">
        <v>401</v>
      </c>
      <c r="E184" s="306">
        <v>5896434000</v>
      </c>
      <c r="F184" s="306">
        <v>48250334</v>
      </c>
      <c r="G184" s="271" t="s">
        <v>463</v>
      </c>
      <c r="H184" s="318"/>
    </row>
    <row r="185" spans="1:8" ht="142.5" x14ac:dyDescent="0.25">
      <c r="A185" s="1035"/>
      <c r="B185" s="1038"/>
      <c r="C185" s="1038"/>
      <c r="D185" s="305" t="s">
        <v>403</v>
      </c>
      <c r="E185" s="306">
        <v>414984000</v>
      </c>
      <c r="F185" s="306">
        <v>1895300</v>
      </c>
      <c r="G185" s="271" t="s">
        <v>464</v>
      </c>
    </row>
    <row r="186" spans="1:8" ht="58.5" thickBot="1" x14ac:dyDescent="0.3">
      <c r="A186" s="1036"/>
      <c r="B186" s="1039"/>
      <c r="C186" s="1039"/>
      <c r="D186" s="305" t="s">
        <v>404</v>
      </c>
      <c r="E186" s="306">
        <v>287337000</v>
      </c>
      <c r="F186" s="306">
        <v>3177267</v>
      </c>
      <c r="G186" s="271" t="s">
        <v>467</v>
      </c>
    </row>
    <row r="187" spans="1:8" ht="409.5" x14ac:dyDescent="0.25">
      <c r="A187" s="1034" t="s">
        <v>141</v>
      </c>
      <c r="B187" s="1037" t="s">
        <v>397</v>
      </c>
      <c r="C187" s="1037" t="s">
        <v>398</v>
      </c>
      <c r="D187" s="305" t="s">
        <v>401</v>
      </c>
      <c r="E187" s="306">
        <v>5896434000</v>
      </c>
      <c r="F187" s="306">
        <v>506733768</v>
      </c>
      <c r="G187" s="271" t="s">
        <v>465</v>
      </c>
    </row>
    <row r="188" spans="1:8" ht="86.25" x14ac:dyDescent="0.25">
      <c r="A188" s="1035"/>
      <c r="B188" s="1038"/>
      <c r="C188" s="1038"/>
      <c r="D188" s="305" t="s">
        <v>403</v>
      </c>
      <c r="E188" s="306">
        <v>414984000</v>
      </c>
      <c r="F188" s="306">
        <v>38916700</v>
      </c>
      <c r="G188" s="271" t="s">
        <v>466</v>
      </c>
    </row>
    <row r="189" spans="1:8" ht="409.6" thickBot="1" x14ac:dyDescent="0.3">
      <c r="A189" s="1036"/>
      <c r="B189" s="1039"/>
      <c r="C189" s="1039"/>
      <c r="D189" s="305" t="s">
        <v>404</v>
      </c>
      <c r="E189" s="306">
        <v>287337000</v>
      </c>
      <c r="F189" s="306">
        <v>25820267</v>
      </c>
      <c r="G189" s="271" t="s">
        <v>455</v>
      </c>
    </row>
    <row r="190" spans="1:8" s="2" customFormat="1" ht="235.5" customHeight="1" x14ac:dyDescent="0.25">
      <c r="A190" s="1034" t="s">
        <v>142</v>
      </c>
      <c r="B190" s="1037" t="s">
        <v>397</v>
      </c>
      <c r="C190" s="1037" t="s">
        <v>398</v>
      </c>
      <c r="D190" s="305" t="s">
        <v>401</v>
      </c>
      <c r="E190" s="306">
        <v>5896434000</v>
      </c>
      <c r="F190" s="306">
        <v>1036702034</v>
      </c>
      <c r="G190" s="271" t="s">
        <v>475</v>
      </c>
      <c r="H190" s="319"/>
    </row>
    <row r="191" spans="1:8" s="2" customFormat="1" ht="129" customHeight="1" x14ac:dyDescent="0.25">
      <c r="A191" s="1035"/>
      <c r="B191" s="1038"/>
      <c r="C191" s="1038"/>
      <c r="D191" s="305" t="s">
        <v>403</v>
      </c>
      <c r="E191" s="306">
        <v>414984000</v>
      </c>
      <c r="F191" s="306">
        <v>71787700</v>
      </c>
      <c r="G191" s="271" t="s">
        <v>479</v>
      </c>
      <c r="H191" s="319"/>
    </row>
    <row r="192" spans="1:8" s="2" customFormat="1" ht="129" customHeight="1" thickBot="1" x14ac:dyDescent="0.3">
      <c r="A192" s="1036"/>
      <c r="B192" s="1039"/>
      <c r="C192" s="1039"/>
      <c r="D192" s="305" t="s">
        <v>404</v>
      </c>
      <c r="E192" s="306">
        <v>287337000</v>
      </c>
      <c r="F192" s="306">
        <v>58708267</v>
      </c>
      <c r="G192" s="271" t="s">
        <v>478</v>
      </c>
      <c r="H192" s="319"/>
    </row>
    <row r="193" spans="1:8" s="2" customFormat="1" ht="156.75" x14ac:dyDescent="0.25">
      <c r="A193" s="1034" t="s">
        <v>143</v>
      </c>
      <c r="B193" s="1037" t="s">
        <v>397</v>
      </c>
      <c r="C193" s="1037" t="s">
        <v>398</v>
      </c>
      <c r="D193" s="305" t="s">
        <v>401</v>
      </c>
      <c r="E193" s="306">
        <v>5896434000</v>
      </c>
      <c r="F193" s="306">
        <v>1614869916</v>
      </c>
      <c r="G193" s="271" t="s">
        <v>474</v>
      </c>
      <c r="H193" s="319"/>
    </row>
    <row r="194" spans="1:8" s="2" customFormat="1" ht="86.25" x14ac:dyDescent="0.25">
      <c r="A194" s="1035"/>
      <c r="B194" s="1038"/>
      <c r="C194" s="1038"/>
      <c r="D194" s="305" t="s">
        <v>403</v>
      </c>
      <c r="E194" s="306">
        <v>414984000</v>
      </c>
      <c r="F194" s="306">
        <v>118816700</v>
      </c>
      <c r="G194" s="271" t="s">
        <v>476</v>
      </c>
      <c r="H194" s="319"/>
    </row>
    <row r="195" spans="1:8" s="2" customFormat="1" ht="58.5" thickBot="1" x14ac:dyDescent="0.3">
      <c r="A195" s="1036"/>
      <c r="B195" s="1039"/>
      <c r="C195" s="1039"/>
      <c r="D195" s="305" t="s">
        <v>404</v>
      </c>
      <c r="E195" s="306">
        <v>287337000</v>
      </c>
      <c r="F195" s="306">
        <v>92343267</v>
      </c>
      <c r="G195" s="271" t="s">
        <v>477</v>
      </c>
      <c r="H195" s="319"/>
    </row>
    <row r="196" spans="1:8" s="2" customFormat="1" ht="186" customHeight="1" x14ac:dyDescent="0.25">
      <c r="A196" s="1034" t="s">
        <v>144</v>
      </c>
      <c r="B196" s="1037" t="s">
        <v>397</v>
      </c>
      <c r="C196" s="1037" t="s">
        <v>398</v>
      </c>
      <c r="D196" s="305" t="s">
        <v>401</v>
      </c>
      <c r="E196" s="306">
        <v>5896434000</v>
      </c>
      <c r="F196" s="306">
        <v>1614869916</v>
      </c>
      <c r="G196" s="271" t="s">
        <v>471</v>
      </c>
      <c r="H196" s="319">
        <f t="shared" ref="H196:H207" si="11">LEN(G196)</f>
        <v>586</v>
      </c>
    </row>
    <row r="197" spans="1:8" s="2" customFormat="1" ht="86.25" x14ac:dyDescent="0.25">
      <c r="A197" s="1035"/>
      <c r="B197" s="1038"/>
      <c r="C197" s="1038"/>
      <c r="D197" s="305" t="s">
        <v>403</v>
      </c>
      <c r="E197" s="306">
        <v>414984000</v>
      </c>
      <c r="F197" s="306">
        <v>158766700</v>
      </c>
      <c r="G197" s="271" t="s">
        <v>472</v>
      </c>
      <c r="H197" s="319">
        <f t="shared" si="11"/>
        <v>274</v>
      </c>
    </row>
    <row r="198" spans="1:8" s="2" customFormat="1" ht="58.5" thickBot="1" x14ac:dyDescent="0.3">
      <c r="A198" s="1036"/>
      <c r="B198" s="1039"/>
      <c r="C198" s="1039"/>
      <c r="D198" s="305" t="s">
        <v>404</v>
      </c>
      <c r="E198" s="306">
        <v>287337000</v>
      </c>
      <c r="F198" s="306">
        <v>92343267</v>
      </c>
      <c r="G198" s="271" t="s">
        <v>473</v>
      </c>
      <c r="H198" s="319">
        <f t="shared" si="11"/>
        <v>225</v>
      </c>
    </row>
    <row r="199" spans="1:8" s="2" customFormat="1" ht="166.5" customHeight="1" x14ac:dyDescent="0.25">
      <c r="A199" s="1034" t="s">
        <v>132</v>
      </c>
      <c r="B199" s="1037" t="s">
        <v>397</v>
      </c>
      <c r="C199" s="1037" t="s">
        <v>398</v>
      </c>
      <c r="D199" s="305" t="s">
        <v>401</v>
      </c>
      <c r="E199" s="306">
        <v>5896434000</v>
      </c>
      <c r="F199" s="306">
        <v>2771024816</v>
      </c>
      <c r="G199" s="271" t="s">
        <v>468</v>
      </c>
      <c r="H199" s="320">
        <f t="shared" si="11"/>
        <v>490</v>
      </c>
    </row>
    <row r="200" spans="1:8" s="2" customFormat="1" ht="186" customHeight="1" x14ac:dyDescent="0.25">
      <c r="A200" s="1035"/>
      <c r="B200" s="1038"/>
      <c r="C200" s="1038"/>
      <c r="D200" s="305" t="s">
        <v>403</v>
      </c>
      <c r="E200" s="306">
        <v>414984000</v>
      </c>
      <c r="F200" s="306">
        <v>198716700</v>
      </c>
      <c r="G200" s="271" t="s">
        <v>469</v>
      </c>
      <c r="H200" s="320">
        <f t="shared" si="11"/>
        <v>345</v>
      </c>
    </row>
    <row r="201" spans="1:8" s="2" customFormat="1" ht="97.5" customHeight="1" x14ac:dyDescent="0.25">
      <c r="A201" s="1036"/>
      <c r="B201" s="1039"/>
      <c r="C201" s="1039"/>
      <c r="D201" s="305" t="s">
        <v>404</v>
      </c>
      <c r="E201" s="306">
        <v>287337000</v>
      </c>
      <c r="F201" s="306">
        <v>151787267</v>
      </c>
      <c r="G201" s="271" t="s">
        <v>470</v>
      </c>
      <c r="H201" s="320">
        <f t="shared" si="11"/>
        <v>225</v>
      </c>
    </row>
    <row r="202" spans="1:8" s="2" customFormat="1" ht="147.75" customHeight="1" x14ac:dyDescent="0.25">
      <c r="A202" s="1034" t="s">
        <v>133</v>
      </c>
      <c r="B202" s="1040" t="s">
        <v>397</v>
      </c>
      <c r="C202" s="1040" t="s">
        <v>398</v>
      </c>
      <c r="D202" s="376" t="s">
        <v>401</v>
      </c>
      <c r="E202" s="306">
        <v>5896434000</v>
      </c>
      <c r="F202" s="306">
        <v>3311790185</v>
      </c>
      <c r="G202" s="271" t="s">
        <v>480</v>
      </c>
      <c r="H202" s="319">
        <f t="shared" si="11"/>
        <v>934</v>
      </c>
    </row>
    <row r="203" spans="1:8" s="2" customFormat="1" ht="123.75" customHeight="1" x14ac:dyDescent="0.25">
      <c r="A203" s="1035"/>
      <c r="B203" s="1038"/>
      <c r="C203" s="1038"/>
      <c r="D203" s="305" t="s">
        <v>403</v>
      </c>
      <c r="E203" s="306">
        <v>414984000</v>
      </c>
      <c r="F203" s="306">
        <v>228356700</v>
      </c>
      <c r="G203" s="271" t="s">
        <v>481</v>
      </c>
      <c r="H203" s="319">
        <f t="shared" si="11"/>
        <v>360</v>
      </c>
    </row>
    <row r="204" spans="1:8" s="2" customFormat="1" ht="409.5" x14ac:dyDescent="0.25">
      <c r="A204" s="1036"/>
      <c r="B204" s="1039"/>
      <c r="C204" s="1039"/>
      <c r="D204" s="305" t="s">
        <v>404</v>
      </c>
      <c r="E204" s="306">
        <v>287337000</v>
      </c>
      <c r="F204" s="306">
        <v>181509267</v>
      </c>
      <c r="G204" s="271" t="s">
        <v>482</v>
      </c>
      <c r="H204" s="319">
        <f t="shared" si="11"/>
        <v>1684</v>
      </c>
    </row>
    <row r="205" spans="1:8" s="2" customFormat="1" ht="409.5" x14ac:dyDescent="0.25">
      <c r="A205" s="1034" t="s">
        <v>134</v>
      </c>
      <c r="B205" s="1040" t="s">
        <v>397</v>
      </c>
      <c r="C205" s="1040" t="s">
        <v>398</v>
      </c>
      <c r="D205" s="305" t="s">
        <v>401</v>
      </c>
      <c r="E205" s="306">
        <v>5896434000</v>
      </c>
      <c r="F205" s="306">
        <v>3908608241</v>
      </c>
      <c r="G205" s="271" t="s">
        <v>488</v>
      </c>
      <c r="H205" s="319">
        <f t="shared" si="11"/>
        <v>1481</v>
      </c>
    </row>
    <row r="206" spans="1:8" s="2" customFormat="1" ht="128.25" x14ac:dyDescent="0.25">
      <c r="A206" s="1035"/>
      <c r="B206" s="1038"/>
      <c r="C206" s="1038"/>
      <c r="D206" s="305" t="s">
        <v>403</v>
      </c>
      <c r="E206" s="306">
        <v>414984000</v>
      </c>
      <c r="F206" s="306">
        <v>269239700</v>
      </c>
      <c r="G206" s="271" t="s">
        <v>489</v>
      </c>
      <c r="H206" s="319">
        <f t="shared" si="11"/>
        <v>550</v>
      </c>
    </row>
    <row r="207" spans="1:8" s="2" customFormat="1" ht="100.5" customHeight="1" x14ac:dyDescent="0.25">
      <c r="A207" s="1036"/>
      <c r="B207" s="1039"/>
      <c r="C207" s="1039"/>
      <c r="D207" s="305" t="s">
        <v>404</v>
      </c>
      <c r="E207" s="306">
        <v>287337000</v>
      </c>
      <c r="F207" s="306">
        <v>211231267</v>
      </c>
      <c r="G207" s="271" t="s">
        <v>490</v>
      </c>
      <c r="H207" s="319">
        <f t="shared" si="11"/>
        <v>1864</v>
      </c>
    </row>
    <row r="208" spans="1:8" s="2" customFormat="1" ht="409.5" x14ac:dyDescent="0.25">
      <c r="A208" s="1034" t="s">
        <v>135</v>
      </c>
      <c r="B208" s="1040" t="s">
        <v>397</v>
      </c>
      <c r="C208" s="1040" t="s">
        <v>398</v>
      </c>
      <c r="D208" s="377" t="s">
        <v>401</v>
      </c>
      <c r="E208" s="306">
        <v>6391008066</v>
      </c>
      <c r="F208" s="306">
        <v>4563448723</v>
      </c>
      <c r="G208" s="271" t="s">
        <v>494</v>
      </c>
      <c r="H208" s="319"/>
    </row>
    <row r="209" spans="1:8" s="2" customFormat="1" ht="142.5" x14ac:dyDescent="0.25">
      <c r="A209" s="1035"/>
      <c r="B209" s="1038"/>
      <c r="C209" s="1038"/>
      <c r="D209" s="377" t="s">
        <v>403</v>
      </c>
      <c r="E209" s="306">
        <v>420430000</v>
      </c>
      <c r="F209" s="306">
        <v>287820700</v>
      </c>
      <c r="G209" s="271" t="s">
        <v>492</v>
      </c>
      <c r="H209" s="319"/>
    </row>
    <row r="210" spans="1:8" s="2" customFormat="1" ht="409.5" x14ac:dyDescent="0.25">
      <c r="A210" s="1036"/>
      <c r="B210" s="1039"/>
      <c r="C210" s="1039"/>
      <c r="D210" s="377" t="s">
        <v>404</v>
      </c>
      <c r="E210" s="306">
        <v>322316934</v>
      </c>
      <c r="F210" s="306">
        <v>237064967</v>
      </c>
      <c r="G210" s="271" t="s">
        <v>493</v>
      </c>
      <c r="H210" s="319"/>
    </row>
    <row r="211" spans="1:8" s="2" customFormat="1" ht="93.75" customHeight="1" x14ac:dyDescent="0.25">
      <c r="A211" s="1034" t="s">
        <v>136</v>
      </c>
      <c r="B211" s="1040" t="s">
        <v>397</v>
      </c>
      <c r="C211" s="1040" t="s">
        <v>398</v>
      </c>
      <c r="D211" s="376" t="s">
        <v>401</v>
      </c>
      <c r="E211" s="306">
        <v>6391008066</v>
      </c>
      <c r="F211" s="306">
        <v>5118584720</v>
      </c>
      <c r="G211" s="271" t="s">
        <v>520</v>
      </c>
      <c r="H211" s="319"/>
    </row>
    <row r="212" spans="1:8" s="2" customFormat="1" ht="142.5" x14ac:dyDescent="0.25">
      <c r="A212" s="1035"/>
      <c r="B212" s="1038"/>
      <c r="C212" s="1038"/>
      <c r="D212" s="305" t="s">
        <v>403</v>
      </c>
      <c r="E212" s="306">
        <v>420430000</v>
      </c>
      <c r="F212" s="306">
        <v>335149000</v>
      </c>
      <c r="G212" s="271" t="s">
        <v>519</v>
      </c>
      <c r="H212" s="319"/>
    </row>
    <row r="213" spans="1:8" s="2" customFormat="1" ht="409.5" x14ac:dyDescent="0.25">
      <c r="A213" s="1036"/>
      <c r="B213" s="1039"/>
      <c r="C213" s="1039"/>
      <c r="D213" s="305" t="s">
        <v>404</v>
      </c>
      <c r="E213" s="306">
        <v>322316934</v>
      </c>
      <c r="F213" s="306">
        <v>270102100</v>
      </c>
      <c r="G213" s="271" t="s">
        <v>518</v>
      </c>
      <c r="H213" s="319"/>
    </row>
    <row r="214" spans="1:8" s="2" customFormat="1" ht="399" x14ac:dyDescent="0.25">
      <c r="A214" s="1034" t="s">
        <v>137</v>
      </c>
      <c r="B214" s="1040" t="s">
        <v>397</v>
      </c>
      <c r="C214" s="1046" t="s">
        <v>398</v>
      </c>
      <c r="D214" s="377" t="s">
        <v>401</v>
      </c>
      <c r="E214" s="306">
        <v>6391008066</v>
      </c>
      <c r="F214" s="306">
        <v>5925368922</v>
      </c>
      <c r="G214" s="271" t="s">
        <v>613</v>
      </c>
      <c r="H214" s="321"/>
    </row>
    <row r="215" spans="1:8" s="2" customFormat="1" ht="156.75" x14ac:dyDescent="0.25">
      <c r="A215" s="1035"/>
      <c r="B215" s="1038"/>
      <c r="C215" s="1047"/>
      <c r="D215" s="377" t="s">
        <v>403</v>
      </c>
      <c r="E215" s="306">
        <v>420430000</v>
      </c>
      <c r="F215" s="306">
        <v>377630500</v>
      </c>
      <c r="G215" s="271" t="s">
        <v>614</v>
      </c>
      <c r="H215" s="321"/>
    </row>
    <row r="216" spans="1:8" s="2" customFormat="1" ht="228" customHeight="1" thickBot="1" x14ac:dyDescent="0.3">
      <c r="A216" s="1044"/>
      <c r="B216" s="1045"/>
      <c r="C216" s="1048"/>
      <c r="D216" s="377" t="s">
        <v>404</v>
      </c>
      <c r="E216" s="306">
        <v>322316934</v>
      </c>
      <c r="F216" s="306">
        <v>301930333</v>
      </c>
      <c r="G216" s="271" t="s">
        <v>615</v>
      </c>
      <c r="H216" s="321"/>
    </row>
    <row r="217" spans="1:8" x14ac:dyDescent="0.25">
      <c r="A217" s="2"/>
      <c r="B217" s="2"/>
      <c r="C217" s="2"/>
      <c r="D217" s="2"/>
      <c r="E217" s="2"/>
      <c r="F217" s="2"/>
      <c r="G217" s="2"/>
      <c r="H217" s="319"/>
    </row>
    <row r="218" spans="1:8" ht="15.75" thickBot="1" x14ac:dyDescent="0.3"/>
    <row r="219" spans="1:8" ht="36.75" customHeight="1" x14ac:dyDescent="0.3">
      <c r="A219" s="1041" t="s">
        <v>189</v>
      </c>
      <c r="B219" s="1042"/>
      <c r="C219" s="1042"/>
      <c r="D219" s="1042"/>
      <c r="E219" s="1042"/>
      <c r="F219" s="1042"/>
      <c r="G219" s="1043"/>
    </row>
    <row r="220" spans="1:8" ht="66.75" customHeight="1" thickBot="1" x14ac:dyDescent="0.3">
      <c r="A220" s="32" t="s">
        <v>63</v>
      </c>
      <c r="B220" s="43" t="s">
        <v>149</v>
      </c>
      <c r="C220" s="43" t="s">
        <v>150</v>
      </c>
      <c r="D220" s="43" t="s">
        <v>182</v>
      </c>
      <c r="E220" s="43" t="s">
        <v>406</v>
      </c>
      <c r="F220" s="43" t="s">
        <v>407</v>
      </c>
      <c r="G220" s="44" t="s">
        <v>185</v>
      </c>
    </row>
    <row r="221" spans="1:8" ht="409.5" x14ac:dyDescent="0.25">
      <c r="A221" s="1049" t="s">
        <v>139</v>
      </c>
      <c r="B221" s="1052" t="s">
        <v>397</v>
      </c>
      <c r="C221" s="1052" t="s">
        <v>398</v>
      </c>
      <c r="D221" s="484" t="s">
        <v>401</v>
      </c>
      <c r="E221" s="485">
        <v>4481764000</v>
      </c>
      <c r="F221" s="485">
        <v>0</v>
      </c>
      <c r="G221" s="486" t="s">
        <v>555</v>
      </c>
    </row>
    <row r="222" spans="1:8" ht="171" x14ac:dyDescent="0.25">
      <c r="A222" s="1050"/>
      <c r="B222" s="1053"/>
      <c r="C222" s="1053"/>
      <c r="D222" s="487" t="s">
        <v>403</v>
      </c>
      <c r="E222" s="485">
        <v>335366000</v>
      </c>
      <c r="F222" s="485">
        <v>0</v>
      </c>
      <c r="G222" s="486" t="s">
        <v>550</v>
      </c>
    </row>
    <row r="223" spans="1:8" ht="87.75" customHeight="1" thickBot="1" x14ac:dyDescent="0.3">
      <c r="A223" s="1051"/>
      <c r="B223" s="1054"/>
      <c r="C223" s="1054"/>
      <c r="D223" s="487" t="s">
        <v>404</v>
      </c>
      <c r="E223" s="485">
        <v>244532000</v>
      </c>
      <c r="F223" s="485">
        <v>0</v>
      </c>
      <c r="G223" s="486" t="s">
        <v>552</v>
      </c>
    </row>
    <row r="224" spans="1:8" ht="343.5" customHeight="1" x14ac:dyDescent="0.25">
      <c r="A224" s="1049" t="s">
        <v>140</v>
      </c>
      <c r="B224" s="1052" t="s">
        <v>397</v>
      </c>
      <c r="C224" s="1052" t="s">
        <v>398</v>
      </c>
      <c r="D224" s="487" t="s">
        <v>401</v>
      </c>
      <c r="E224" s="485">
        <v>4481764000</v>
      </c>
      <c r="F224" s="485">
        <v>5613267</v>
      </c>
      <c r="G224" s="486" t="s">
        <v>586</v>
      </c>
      <c r="H224" s="318"/>
    </row>
    <row r="225" spans="1:8" ht="108.75" customHeight="1" x14ac:dyDescent="0.25">
      <c r="A225" s="1050"/>
      <c r="B225" s="1053"/>
      <c r="C225" s="1053"/>
      <c r="D225" s="487" t="s">
        <v>403</v>
      </c>
      <c r="E225" s="485">
        <v>335366000</v>
      </c>
      <c r="F225" s="485">
        <v>0</v>
      </c>
      <c r="G225" s="486" t="s">
        <v>585</v>
      </c>
    </row>
    <row r="226" spans="1:8" ht="85.5" customHeight="1" thickBot="1" x14ac:dyDescent="0.3">
      <c r="A226" s="1051"/>
      <c r="B226" s="1054"/>
      <c r="C226" s="1054"/>
      <c r="D226" s="487" t="s">
        <v>404</v>
      </c>
      <c r="E226" s="485">
        <v>244532000</v>
      </c>
      <c r="F226" s="485">
        <v>0</v>
      </c>
      <c r="G226" s="486" t="s">
        <v>584</v>
      </c>
    </row>
    <row r="227" spans="1:8" ht="409.5" x14ac:dyDescent="0.25">
      <c r="A227" s="1049" t="s">
        <v>141</v>
      </c>
      <c r="B227" s="1052" t="s">
        <v>397</v>
      </c>
      <c r="C227" s="1052" t="s">
        <v>398</v>
      </c>
      <c r="D227" s="488" t="s">
        <v>401</v>
      </c>
      <c r="E227" s="485">
        <v>4481764000</v>
      </c>
      <c r="F227" s="485">
        <v>124833601</v>
      </c>
      <c r="G227" s="486" t="s">
        <v>583</v>
      </c>
      <c r="H227" s="311">
        <v>119220334</v>
      </c>
    </row>
    <row r="228" spans="1:8" ht="156.75" x14ac:dyDescent="0.25">
      <c r="A228" s="1050"/>
      <c r="B228" s="1053"/>
      <c r="C228" s="1053"/>
      <c r="D228" s="488" t="s">
        <v>403</v>
      </c>
      <c r="E228" s="485">
        <v>335366000</v>
      </c>
      <c r="F228" s="485">
        <v>7121633</v>
      </c>
      <c r="G228" s="486" t="s">
        <v>582</v>
      </c>
    </row>
    <row r="229" spans="1:8" ht="409.6" thickBot="1" x14ac:dyDescent="0.3">
      <c r="A229" s="1051"/>
      <c r="B229" s="1054"/>
      <c r="C229" s="1054"/>
      <c r="D229" s="488" t="s">
        <v>404</v>
      </c>
      <c r="E229" s="485">
        <v>244532000</v>
      </c>
      <c r="F229" s="485">
        <v>4738867</v>
      </c>
      <c r="G229" s="486" t="s">
        <v>581</v>
      </c>
    </row>
    <row r="230" spans="1:8" s="2" customFormat="1" ht="296.25" customHeight="1" x14ac:dyDescent="0.25">
      <c r="A230" s="1049" t="s">
        <v>142</v>
      </c>
      <c r="B230" s="1052" t="s">
        <v>397</v>
      </c>
      <c r="C230" s="1052" t="s">
        <v>398</v>
      </c>
      <c r="D230" s="488" t="s">
        <v>401</v>
      </c>
      <c r="E230" s="485">
        <v>4481764000</v>
      </c>
      <c r="F230" s="485">
        <v>464183667</v>
      </c>
      <c r="G230" s="486" t="s">
        <v>580</v>
      </c>
      <c r="H230" s="319"/>
    </row>
    <row r="231" spans="1:8" s="2" customFormat="1" ht="129" customHeight="1" x14ac:dyDescent="0.25">
      <c r="A231" s="1050"/>
      <c r="B231" s="1053"/>
      <c r="C231" s="1053"/>
      <c r="D231" s="488" t="s">
        <v>403</v>
      </c>
      <c r="E231" s="485">
        <v>335366000</v>
      </c>
      <c r="F231" s="485">
        <v>34310700</v>
      </c>
      <c r="G231" s="486" t="s">
        <v>570</v>
      </c>
      <c r="H231" s="319"/>
    </row>
    <row r="232" spans="1:8" s="2" customFormat="1" ht="252" customHeight="1" thickBot="1" x14ac:dyDescent="0.3">
      <c r="A232" s="1051"/>
      <c r="B232" s="1054"/>
      <c r="C232" s="1054"/>
      <c r="D232" s="488" t="s">
        <v>404</v>
      </c>
      <c r="E232" s="485">
        <v>244532000</v>
      </c>
      <c r="F232" s="485">
        <v>28549967</v>
      </c>
      <c r="G232" s="486" t="s">
        <v>569</v>
      </c>
      <c r="H232" s="319"/>
    </row>
    <row r="233" spans="1:8" s="2" customFormat="1" ht="149.25" customHeight="1" x14ac:dyDescent="0.25">
      <c r="A233" s="1049" t="s">
        <v>143</v>
      </c>
      <c r="B233" s="1052" t="s">
        <v>397</v>
      </c>
      <c r="C233" s="1052" t="s">
        <v>398</v>
      </c>
      <c r="D233" s="484" t="s">
        <v>401</v>
      </c>
      <c r="E233" s="604">
        <v>4481764000</v>
      </c>
      <c r="F233" s="604">
        <v>876810068</v>
      </c>
      <c r="G233" s="605" t="s">
        <v>627</v>
      </c>
      <c r="H233" s="319"/>
    </row>
    <row r="234" spans="1:8" s="2" customFormat="1" ht="149.25" customHeight="1" x14ac:dyDescent="0.25">
      <c r="A234" s="1050"/>
      <c r="B234" s="1053"/>
      <c r="C234" s="1053"/>
      <c r="D234" s="484" t="s">
        <v>403</v>
      </c>
      <c r="E234" s="604">
        <v>335366000</v>
      </c>
      <c r="F234" s="604">
        <v>63775700</v>
      </c>
      <c r="G234" s="605" t="s">
        <v>623</v>
      </c>
      <c r="H234" s="319"/>
    </row>
    <row r="235" spans="1:8" s="2" customFormat="1" ht="149.25" customHeight="1" thickBot="1" x14ac:dyDescent="0.3">
      <c r="A235" s="1051"/>
      <c r="B235" s="1054"/>
      <c r="C235" s="1054"/>
      <c r="D235" s="484" t="s">
        <v>404</v>
      </c>
      <c r="E235" s="604">
        <v>244532000</v>
      </c>
      <c r="F235" s="604">
        <v>52583967</v>
      </c>
      <c r="G235" s="605" t="s">
        <v>622</v>
      </c>
      <c r="H235" s="319"/>
    </row>
    <row r="236" spans="1:8" s="2" customFormat="1" ht="186" customHeight="1" x14ac:dyDescent="0.25">
      <c r="A236" s="1049" t="s">
        <v>144</v>
      </c>
      <c r="B236" s="1055" t="s">
        <v>397</v>
      </c>
      <c r="C236" s="1055" t="s">
        <v>398</v>
      </c>
      <c r="D236" s="484" t="s">
        <v>401</v>
      </c>
      <c r="E236" s="485">
        <v>4481764000</v>
      </c>
      <c r="F236" s="485">
        <v>1312090443</v>
      </c>
      <c r="G236" s="486" t="s">
        <v>639</v>
      </c>
      <c r="H236" s="319">
        <f t="shared" ref="H236:H247" si="12">LEN(G236)</f>
        <v>1584</v>
      </c>
    </row>
    <row r="237" spans="1:8" s="2" customFormat="1" ht="199.5" x14ac:dyDescent="0.25">
      <c r="A237" s="1050"/>
      <c r="B237" s="1056"/>
      <c r="C237" s="1056"/>
      <c r="D237" s="484" t="s">
        <v>403</v>
      </c>
      <c r="E237" s="485">
        <v>335366000</v>
      </c>
      <c r="F237" s="485">
        <v>93240700</v>
      </c>
      <c r="G237" s="486" t="s">
        <v>640</v>
      </c>
      <c r="H237" s="319">
        <f t="shared" si="12"/>
        <v>744</v>
      </c>
    </row>
    <row r="238" spans="1:8" s="2" customFormat="1" ht="409.6" thickBot="1" x14ac:dyDescent="0.3">
      <c r="A238" s="1051"/>
      <c r="B238" s="1057"/>
      <c r="C238" s="1057"/>
      <c r="D238" s="484" t="s">
        <v>404</v>
      </c>
      <c r="E238" s="485">
        <v>244532000</v>
      </c>
      <c r="F238" s="485">
        <v>76617967</v>
      </c>
      <c r="G238" s="486" t="s">
        <v>629</v>
      </c>
      <c r="H238" s="319">
        <f t="shared" si="12"/>
        <v>1748</v>
      </c>
    </row>
    <row r="239" spans="1:8" s="2" customFormat="1" ht="166.5" customHeight="1" x14ac:dyDescent="0.25">
      <c r="A239" s="1049" t="s">
        <v>132</v>
      </c>
      <c r="B239" s="1052" t="s">
        <v>397</v>
      </c>
      <c r="C239" s="1052" t="s">
        <v>398</v>
      </c>
      <c r="D239" s="488" t="s">
        <v>401</v>
      </c>
      <c r="E239" s="485">
        <v>4481764000</v>
      </c>
      <c r="F239" s="485">
        <v>1776927877</v>
      </c>
      <c r="G239" s="486" t="s">
        <v>651</v>
      </c>
      <c r="H239" s="320">
        <f t="shared" si="12"/>
        <v>1865</v>
      </c>
    </row>
    <row r="240" spans="1:8" s="2" customFormat="1" ht="186" customHeight="1" x14ac:dyDescent="0.25">
      <c r="A240" s="1050"/>
      <c r="B240" s="1053"/>
      <c r="C240" s="1053"/>
      <c r="D240" s="488" t="s">
        <v>403</v>
      </c>
      <c r="E240" s="485">
        <v>335366000</v>
      </c>
      <c r="F240" s="485">
        <v>137294067</v>
      </c>
      <c r="G240" s="486" t="s">
        <v>643</v>
      </c>
      <c r="H240" s="320"/>
    </row>
    <row r="241" spans="1:10" s="2" customFormat="1" ht="97.5" customHeight="1" x14ac:dyDescent="0.25">
      <c r="A241" s="1051"/>
      <c r="B241" s="1054"/>
      <c r="C241" s="1054"/>
      <c r="D241" s="488" t="s">
        <v>404</v>
      </c>
      <c r="E241" s="485">
        <v>244532000</v>
      </c>
      <c r="F241" s="485">
        <v>100651967</v>
      </c>
      <c r="G241" s="486" t="s">
        <v>644</v>
      </c>
      <c r="H241" s="598"/>
      <c r="I241" s="598"/>
    </row>
    <row r="242" spans="1:10" s="2" customFormat="1" ht="147.75" customHeight="1" x14ac:dyDescent="0.25">
      <c r="A242" s="1049" t="s">
        <v>133</v>
      </c>
      <c r="B242" s="1064" t="s">
        <v>397</v>
      </c>
      <c r="C242" s="1064" t="s">
        <v>398</v>
      </c>
      <c r="D242" s="489" t="s">
        <v>401</v>
      </c>
      <c r="E242" s="485">
        <v>4481764000</v>
      </c>
      <c r="F242" s="485">
        <v>2234812812</v>
      </c>
      <c r="G242" s="486" t="s">
        <v>674</v>
      </c>
      <c r="H242" s="599"/>
      <c r="I242" s="600"/>
      <c r="J242" s="600"/>
    </row>
    <row r="243" spans="1:10" s="2" customFormat="1" ht="123.75" customHeight="1" x14ac:dyDescent="0.25">
      <c r="A243" s="1050"/>
      <c r="B243" s="1053"/>
      <c r="C243" s="1053"/>
      <c r="D243" s="488" t="s">
        <v>403</v>
      </c>
      <c r="E243" s="485">
        <v>335366000</v>
      </c>
      <c r="F243" s="485">
        <v>166024234</v>
      </c>
      <c r="G243" s="486" t="s">
        <v>672</v>
      </c>
      <c r="H243" s="599"/>
    </row>
    <row r="244" spans="1:10" s="2" customFormat="1" ht="409.5" x14ac:dyDescent="0.25">
      <c r="A244" s="1051"/>
      <c r="B244" s="1054"/>
      <c r="C244" s="1054"/>
      <c r="D244" s="488" t="s">
        <v>404</v>
      </c>
      <c r="E244" s="485">
        <v>244532000</v>
      </c>
      <c r="F244" s="485">
        <v>124685967</v>
      </c>
      <c r="G244" s="486" t="s">
        <v>671</v>
      </c>
      <c r="H244" s="319" t="e">
        <f>70+A242</f>
        <v>#VALUE!</v>
      </c>
    </row>
    <row r="245" spans="1:10" s="2" customFormat="1" ht="409.5" x14ac:dyDescent="0.25">
      <c r="A245" s="1058" t="s">
        <v>134</v>
      </c>
      <c r="B245" s="1061" t="s">
        <v>397</v>
      </c>
      <c r="C245" s="1061" t="s">
        <v>398</v>
      </c>
      <c r="D245" s="636" t="s">
        <v>401</v>
      </c>
      <c r="E245" s="485">
        <v>4481764000</v>
      </c>
      <c r="F245" s="485">
        <v>2694002944</v>
      </c>
      <c r="G245" s="486" t="s">
        <v>687</v>
      </c>
      <c r="H245" s="319"/>
    </row>
    <row r="246" spans="1:10" s="2" customFormat="1" ht="199.5" x14ac:dyDescent="0.25">
      <c r="A246" s="1059"/>
      <c r="B246" s="1062"/>
      <c r="C246" s="1062"/>
      <c r="D246" s="636" t="s">
        <v>403</v>
      </c>
      <c r="E246" s="485">
        <v>335366000</v>
      </c>
      <c r="F246" s="485">
        <v>205645234</v>
      </c>
      <c r="G246" s="486" t="s">
        <v>686</v>
      </c>
      <c r="H246" s="319">
        <f t="shared" si="12"/>
        <v>749</v>
      </c>
    </row>
    <row r="247" spans="1:10" s="2" customFormat="1" ht="100.5" customHeight="1" x14ac:dyDescent="0.25">
      <c r="A247" s="1060"/>
      <c r="B247" s="1063"/>
      <c r="C247" s="1063"/>
      <c r="D247" s="636" t="s">
        <v>404</v>
      </c>
      <c r="E247" s="485">
        <v>244532000</v>
      </c>
      <c r="F247" s="485">
        <v>148719967</v>
      </c>
      <c r="G247" s="486" t="s">
        <v>707</v>
      </c>
      <c r="H247" s="319">
        <f t="shared" si="12"/>
        <v>1694</v>
      </c>
    </row>
    <row r="248" spans="1:10" s="2" customFormat="1" ht="85.5" x14ac:dyDescent="0.25">
      <c r="A248" s="1049" t="s">
        <v>135</v>
      </c>
      <c r="B248" s="1064" t="s">
        <v>397</v>
      </c>
      <c r="C248" s="1064" t="s">
        <v>398</v>
      </c>
      <c r="D248" s="484" t="s">
        <v>401</v>
      </c>
      <c r="E248" s="485"/>
      <c r="F248" s="485"/>
      <c r="G248" s="486"/>
      <c r="H248" s="319"/>
    </row>
    <row r="249" spans="1:10" s="2" customFormat="1" ht="85.5" x14ac:dyDescent="0.25">
      <c r="A249" s="1050"/>
      <c r="B249" s="1053"/>
      <c r="C249" s="1053"/>
      <c r="D249" s="484" t="s">
        <v>403</v>
      </c>
      <c r="E249" s="485"/>
      <c r="F249" s="485"/>
      <c r="G249" s="486"/>
      <c r="H249" s="319"/>
    </row>
    <row r="250" spans="1:10" s="2" customFormat="1" ht="57" x14ac:dyDescent="0.25">
      <c r="A250" s="1051"/>
      <c r="B250" s="1054"/>
      <c r="C250" s="1054"/>
      <c r="D250" s="484" t="s">
        <v>404</v>
      </c>
      <c r="E250" s="485"/>
      <c r="F250" s="485"/>
      <c r="G250" s="486"/>
      <c r="H250" s="319"/>
    </row>
    <row r="251" spans="1:10" s="2" customFormat="1" ht="93.75" customHeight="1" x14ac:dyDescent="0.25">
      <c r="A251" s="1049" t="s">
        <v>136</v>
      </c>
      <c r="B251" s="1064" t="s">
        <v>397</v>
      </c>
      <c r="C251" s="1064" t="s">
        <v>398</v>
      </c>
      <c r="D251" s="489" t="s">
        <v>401</v>
      </c>
      <c r="E251" s="485"/>
      <c r="F251" s="485"/>
      <c r="G251" s="486"/>
      <c r="H251" s="319"/>
    </row>
    <row r="252" spans="1:10" s="2" customFormat="1" ht="86.25" x14ac:dyDescent="0.25">
      <c r="A252" s="1050"/>
      <c r="B252" s="1053"/>
      <c r="C252" s="1053"/>
      <c r="D252" s="488" t="s">
        <v>403</v>
      </c>
      <c r="E252" s="485"/>
      <c r="F252" s="485"/>
      <c r="G252" s="486"/>
      <c r="H252" s="319"/>
    </row>
    <row r="253" spans="1:10" s="2" customFormat="1" ht="57.75" x14ac:dyDescent="0.25">
      <c r="A253" s="1051"/>
      <c r="B253" s="1054"/>
      <c r="C253" s="1054"/>
      <c r="D253" s="488" t="s">
        <v>404</v>
      </c>
      <c r="E253" s="485"/>
      <c r="F253" s="485"/>
      <c r="G253" s="486"/>
      <c r="H253" s="319"/>
    </row>
    <row r="254" spans="1:10" s="2" customFormat="1" ht="86.25" x14ac:dyDescent="0.25">
      <c r="A254" s="1049" t="s">
        <v>137</v>
      </c>
      <c r="B254" s="1064" t="s">
        <v>397</v>
      </c>
      <c r="C254" s="1067" t="s">
        <v>398</v>
      </c>
      <c r="D254" s="488" t="s">
        <v>401</v>
      </c>
      <c r="E254" s="485"/>
      <c r="F254" s="485"/>
      <c r="G254" s="486"/>
      <c r="H254" s="321"/>
    </row>
    <row r="255" spans="1:10" s="2" customFormat="1" ht="86.25" x14ac:dyDescent="0.25">
      <c r="A255" s="1050"/>
      <c r="B255" s="1053"/>
      <c r="C255" s="1068"/>
      <c r="D255" s="488" t="s">
        <v>403</v>
      </c>
      <c r="E255" s="485"/>
      <c r="F255" s="485"/>
      <c r="G255" s="486"/>
      <c r="H255" s="321"/>
    </row>
    <row r="256" spans="1:10" s="2" customFormat="1" ht="58.5" thickBot="1" x14ac:dyDescent="0.3">
      <c r="A256" s="1065"/>
      <c r="B256" s="1066"/>
      <c r="C256" s="1069"/>
      <c r="D256" s="488" t="s">
        <v>404</v>
      </c>
      <c r="E256" s="485"/>
      <c r="F256" s="485"/>
      <c r="G256" s="486"/>
      <c r="H256" s="321"/>
    </row>
    <row r="257" spans="1:8" s="2" customFormat="1" x14ac:dyDescent="0.25">
      <c r="A257" s="441"/>
      <c r="B257" s="442"/>
      <c r="C257" s="443"/>
      <c r="D257" s="444"/>
      <c r="E257" s="445"/>
      <c r="F257" s="445"/>
      <c r="G257" s="446"/>
      <c r="H257" s="321"/>
    </row>
    <row r="258" spans="1:8" s="2" customFormat="1" ht="15.75" thickBot="1" x14ac:dyDescent="0.3">
      <c r="A258" s="441"/>
      <c r="B258" s="442"/>
      <c r="C258" s="443"/>
      <c r="D258" s="444"/>
      <c r="E258" s="445"/>
      <c r="F258" s="445"/>
      <c r="G258" s="446"/>
      <c r="H258" s="321"/>
    </row>
    <row r="259" spans="1:8" ht="24.75" customHeight="1" x14ac:dyDescent="0.3">
      <c r="A259" s="1041" t="s">
        <v>268</v>
      </c>
      <c r="B259" s="1042"/>
      <c r="C259" s="1042"/>
      <c r="D259" s="1042"/>
      <c r="E259" s="1042"/>
      <c r="F259" s="1042"/>
      <c r="G259" s="1042"/>
      <c r="H259" s="1043"/>
    </row>
    <row r="260" spans="1:8" ht="54.75" customHeight="1" x14ac:dyDescent="0.25">
      <c r="A260" s="32" t="s">
        <v>50</v>
      </c>
      <c r="B260" s="33" t="s">
        <v>196</v>
      </c>
      <c r="C260" s="53" t="s">
        <v>152</v>
      </c>
      <c r="D260" s="53" t="s">
        <v>153</v>
      </c>
      <c r="E260" s="53" t="s">
        <v>284</v>
      </c>
      <c r="F260" s="53" t="s">
        <v>285</v>
      </c>
      <c r="G260" s="53" t="s">
        <v>286</v>
      </c>
      <c r="H260" s="472" t="s">
        <v>185</v>
      </c>
    </row>
    <row r="261" spans="1:8" ht="75.75" customHeight="1" x14ac:dyDescent="0.25">
      <c r="A261" s="447" t="s">
        <v>139</v>
      </c>
      <c r="B261" s="448" t="s">
        <v>365</v>
      </c>
      <c r="C261" s="426" t="s">
        <v>367</v>
      </c>
      <c r="D261" s="385">
        <v>100</v>
      </c>
      <c r="E261" s="449">
        <v>10500000</v>
      </c>
      <c r="F261" s="449">
        <v>0</v>
      </c>
      <c r="G261" s="450">
        <f t="shared" ref="G261:G272" si="13">F261/E261</f>
        <v>0</v>
      </c>
      <c r="H261" s="451"/>
    </row>
    <row r="262" spans="1:8" ht="54.75" customHeight="1" x14ac:dyDescent="0.25">
      <c r="A262" s="447" t="s">
        <v>140</v>
      </c>
      <c r="B262" s="448" t="s">
        <v>365</v>
      </c>
      <c r="C262" s="426" t="s">
        <v>367</v>
      </c>
      <c r="D262" s="385">
        <v>100</v>
      </c>
      <c r="E262" s="449">
        <v>10500000</v>
      </c>
      <c r="F262" s="449">
        <v>1723674.2</v>
      </c>
      <c r="G262" s="450">
        <f t="shared" si="13"/>
        <v>0.1641594476190476</v>
      </c>
      <c r="H262" s="452"/>
    </row>
    <row r="263" spans="1:8" ht="54.75" customHeight="1" x14ac:dyDescent="0.25">
      <c r="A263" s="447" t="s">
        <v>141</v>
      </c>
      <c r="B263" s="448" t="s">
        <v>365</v>
      </c>
      <c r="C263" s="426" t="s">
        <v>367</v>
      </c>
      <c r="D263" s="385">
        <v>100</v>
      </c>
      <c r="E263" s="449">
        <v>10500000</v>
      </c>
      <c r="F263" s="449">
        <v>2209018.7600000002</v>
      </c>
      <c r="G263" s="450">
        <f t="shared" si="13"/>
        <v>0.21038273904761906</v>
      </c>
      <c r="H263" s="451"/>
    </row>
    <row r="264" spans="1:8" ht="54.75" customHeight="1" x14ac:dyDescent="0.25">
      <c r="A264" s="447" t="s">
        <v>142</v>
      </c>
      <c r="B264" s="448" t="s">
        <v>365</v>
      </c>
      <c r="C264" s="426" t="s">
        <v>367</v>
      </c>
      <c r="D264" s="385">
        <v>100</v>
      </c>
      <c r="E264" s="449">
        <v>10500000</v>
      </c>
      <c r="F264" s="449">
        <v>2991816.0700000003</v>
      </c>
      <c r="G264" s="450">
        <f t="shared" si="13"/>
        <v>0.28493486380952382</v>
      </c>
      <c r="H264" s="451"/>
    </row>
    <row r="265" spans="1:8" ht="54.75" customHeight="1" x14ac:dyDescent="0.25">
      <c r="A265" s="447" t="s">
        <v>143</v>
      </c>
      <c r="B265" s="448" t="s">
        <v>365</v>
      </c>
      <c r="C265" s="426" t="s">
        <v>367</v>
      </c>
      <c r="D265" s="385">
        <v>100</v>
      </c>
      <c r="E265" s="449">
        <v>10500000</v>
      </c>
      <c r="F265" s="449">
        <v>4255298.9497200008</v>
      </c>
      <c r="G265" s="450">
        <f t="shared" si="13"/>
        <v>0.4052665666400001</v>
      </c>
      <c r="H265" s="451"/>
    </row>
    <row r="266" spans="1:8" ht="54.75" customHeight="1" x14ac:dyDescent="0.25">
      <c r="A266" s="447" t="s">
        <v>144</v>
      </c>
      <c r="B266" s="448" t="s">
        <v>365</v>
      </c>
      <c r="C266" s="426" t="s">
        <v>367</v>
      </c>
      <c r="D266" s="385">
        <v>100</v>
      </c>
      <c r="E266" s="449">
        <v>10500000</v>
      </c>
      <c r="F266" s="449">
        <v>5210475.21</v>
      </c>
      <c r="G266" s="450">
        <f t="shared" si="13"/>
        <v>0.49623573428571427</v>
      </c>
      <c r="H266" s="451"/>
    </row>
    <row r="267" spans="1:8" s="2" customFormat="1" ht="54.75" customHeight="1" x14ac:dyDescent="0.25">
      <c r="A267" s="447" t="s">
        <v>132</v>
      </c>
      <c r="B267" s="448" t="s">
        <v>365</v>
      </c>
      <c r="C267" s="426" t="s">
        <v>367</v>
      </c>
      <c r="D267" s="385">
        <v>100</v>
      </c>
      <c r="E267" s="449">
        <v>10500000</v>
      </c>
      <c r="F267" s="449">
        <v>5968884.54</v>
      </c>
      <c r="G267" s="450">
        <f t="shared" si="13"/>
        <v>0.56846519428571429</v>
      </c>
      <c r="H267" s="451"/>
    </row>
    <row r="268" spans="1:8" s="2" customFormat="1" ht="54.75" customHeight="1" x14ac:dyDescent="0.25">
      <c r="A268" s="447" t="s">
        <v>133</v>
      </c>
      <c r="B268" s="448" t="s">
        <v>365</v>
      </c>
      <c r="C268" s="426" t="s">
        <v>367</v>
      </c>
      <c r="D268" s="385">
        <v>100</v>
      </c>
      <c r="E268" s="449">
        <v>10500000</v>
      </c>
      <c r="F268" s="449">
        <v>6825273.4299999997</v>
      </c>
      <c r="G268" s="450">
        <f t="shared" si="13"/>
        <v>0.65002604095238092</v>
      </c>
      <c r="H268" s="451"/>
    </row>
    <row r="269" spans="1:8" s="2" customFormat="1" ht="54.75" customHeight="1" x14ac:dyDescent="0.25">
      <c r="A269" s="447" t="s">
        <v>134</v>
      </c>
      <c r="B269" s="448" t="s">
        <v>365</v>
      </c>
      <c r="C269" s="426" t="s">
        <v>367</v>
      </c>
      <c r="D269" s="385">
        <v>100</v>
      </c>
      <c r="E269" s="449">
        <v>10500000</v>
      </c>
      <c r="F269" s="449">
        <v>8062489.4500000002</v>
      </c>
      <c r="G269" s="450">
        <f t="shared" si="13"/>
        <v>0.76785613809523812</v>
      </c>
      <c r="H269" s="451"/>
    </row>
    <row r="270" spans="1:8" s="2" customFormat="1" ht="54.75" customHeight="1" x14ac:dyDescent="0.25">
      <c r="A270" s="447" t="s">
        <v>135</v>
      </c>
      <c r="B270" s="448" t="s">
        <v>365</v>
      </c>
      <c r="C270" s="426" t="s">
        <v>367</v>
      </c>
      <c r="D270" s="385">
        <v>100</v>
      </c>
      <c r="E270" s="449">
        <v>10500000</v>
      </c>
      <c r="F270" s="449">
        <v>8840589.1099999994</v>
      </c>
      <c r="G270" s="450">
        <f t="shared" si="13"/>
        <v>0.84196086761904754</v>
      </c>
      <c r="H270" s="451"/>
    </row>
    <row r="271" spans="1:8" s="2" customFormat="1" ht="54.75" customHeight="1" x14ac:dyDescent="0.25">
      <c r="A271" s="447" t="s">
        <v>136</v>
      </c>
      <c r="B271" s="448" t="s">
        <v>365</v>
      </c>
      <c r="C271" s="426" t="s">
        <v>367</v>
      </c>
      <c r="D271" s="385">
        <v>100</v>
      </c>
      <c r="E271" s="449">
        <v>10500000</v>
      </c>
      <c r="F271" s="449">
        <v>9914205.6500000004</v>
      </c>
      <c r="G271" s="450">
        <f t="shared" si="13"/>
        <v>0.94421006190476198</v>
      </c>
      <c r="H271" s="451"/>
    </row>
    <row r="272" spans="1:8" ht="54.75" customHeight="1" thickBot="1" x14ac:dyDescent="0.3">
      <c r="A272" s="453" t="s">
        <v>137</v>
      </c>
      <c r="B272" s="454" t="s">
        <v>365</v>
      </c>
      <c r="C272" s="455" t="s">
        <v>367</v>
      </c>
      <c r="D272" s="456">
        <v>100</v>
      </c>
      <c r="E272" s="457">
        <v>10500000</v>
      </c>
      <c r="F272" s="457">
        <v>10602822.16</v>
      </c>
      <c r="G272" s="458">
        <f t="shared" si="13"/>
        <v>1.0097925866666666</v>
      </c>
      <c r="H272" s="459"/>
    </row>
    <row r="274" spans="1:9" ht="39.75" customHeight="1" x14ac:dyDescent="0.25"/>
    <row r="275" spans="1:9" ht="39.75" customHeight="1" thickBot="1" x14ac:dyDescent="0.3"/>
    <row r="276" spans="1:9" ht="20.25" x14ac:dyDescent="0.3">
      <c r="A276" s="1041" t="s">
        <v>200</v>
      </c>
      <c r="B276" s="1042"/>
      <c r="C276" s="1042"/>
      <c r="D276" s="1042"/>
      <c r="E276" s="1042"/>
      <c r="F276" s="1042"/>
      <c r="G276" s="1042"/>
      <c r="H276" s="1043"/>
    </row>
    <row r="277" spans="1:9" ht="54.75" customHeight="1" x14ac:dyDescent="0.25">
      <c r="A277" s="32" t="s">
        <v>62</v>
      </c>
      <c r="B277" s="33" t="s">
        <v>196</v>
      </c>
      <c r="C277" s="53" t="s">
        <v>152</v>
      </c>
      <c r="D277" s="53" t="s">
        <v>167</v>
      </c>
      <c r="E277" s="53" t="s">
        <v>201</v>
      </c>
      <c r="F277" s="53" t="s">
        <v>202</v>
      </c>
      <c r="G277" s="53" t="s">
        <v>203</v>
      </c>
      <c r="H277" s="472" t="s">
        <v>185</v>
      </c>
    </row>
    <row r="278" spans="1:9" ht="145.5" customHeight="1" x14ac:dyDescent="0.25">
      <c r="A278" s="409" t="s">
        <v>139</v>
      </c>
      <c r="B278" s="448" t="s">
        <v>365</v>
      </c>
      <c r="C278" s="426" t="s">
        <v>367</v>
      </c>
      <c r="D278" s="385">
        <v>100</v>
      </c>
      <c r="E278" s="460">
        <v>16364428.039999999</v>
      </c>
      <c r="F278" s="460">
        <v>0</v>
      </c>
      <c r="G278" s="450">
        <f t="shared" ref="G278:G289" si="14">F278/E278</f>
        <v>0</v>
      </c>
      <c r="H278" s="461"/>
    </row>
    <row r="279" spans="1:9" ht="145.5" customHeight="1" x14ac:dyDescent="0.25">
      <c r="A279" s="409" t="s">
        <v>140</v>
      </c>
      <c r="B279" s="448" t="s">
        <v>365</v>
      </c>
      <c r="C279" s="426" t="s">
        <v>367</v>
      </c>
      <c r="D279" s="385">
        <v>100</v>
      </c>
      <c r="E279" s="460">
        <v>16364428.039999999</v>
      </c>
      <c r="F279" s="460">
        <v>721758.44</v>
      </c>
      <c r="G279" s="450">
        <f t="shared" si="14"/>
        <v>4.4105326396729962E-2</v>
      </c>
      <c r="H279" s="462" t="s">
        <v>457</v>
      </c>
    </row>
    <row r="280" spans="1:9" s="3" customFormat="1" ht="145.5" customHeight="1" x14ac:dyDescent="0.25">
      <c r="A280" s="409" t="s">
        <v>141</v>
      </c>
      <c r="B280" s="448" t="s">
        <v>365</v>
      </c>
      <c r="C280" s="426" t="s">
        <v>456</v>
      </c>
      <c r="D280" s="385">
        <v>100</v>
      </c>
      <c r="E280" s="460">
        <v>16364428.039999999</v>
      </c>
      <c r="F280" s="460">
        <v>2524276.92</v>
      </c>
      <c r="G280" s="450">
        <f t="shared" si="14"/>
        <v>0.15425390449515522</v>
      </c>
      <c r="H280" s="462" t="s">
        <v>458</v>
      </c>
      <c r="I280"/>
    </row>
    <row r="281" spans="1:9" ht="145.5" customHeight="1" x14ac:dyDescent="0.25">
      <c r="A281" s="409" t="s">
        <v>142</v>
      </c>
      <c r="B281" s="448" t="s">
        <v>365</v>
      </c>
      <c r="C281" s="426" t="s">
        <v>456</v>
      </c>
      <c r="D281" s="385">
        <v>100</v>
      </c>
      <c r="E281" s="460">
        <v>16364428.039999999</v>
      </c>
      <c r="F281" s="460">
        <f>SUM(F279:F280)</f>
        <v>3246035.36</v>
      </c>
      <c r="G281" s="450">
        <f t="shared" si="14"/>
        <v>0.19835923089188517</v>
      </c>
      <c r="H281" s="461"/>
    </row>
    <row r="282" spans="1:9" ht="145.5" customHeight="1" x14ac:dyDescent="0.25">
      <c r="A282" s="409" t="s">
        <v>143</v>
      </c>
      <c r="B282" s="448" t="s">
        <v>365</v>
      </c>
      <c r="C282" s="426" t="s">
        <v>456</v>
      </c>
      <c r="D282" s="385">
        <v>100</v>
      </c>
      <c r="E282" s="460">
        <v>16364428.039999999</v>
      </c>
      <c r="F282" s="460">
        <v>6000938.2580000004</v>
      </c>
      <c r="G282" s="450">
        <f t="shared" si="14"/>
        <v>0.36670626332504563</v>
      </c>
      <c r="H282" s="461"/>
    </row>
    <row r="283" spans="1:9" ht="145.5" customHeight="1" x14ac:dyDescent="0.25">
      <c r="A283" s="426" t="s">
        <v>144</v>
      </c>
      <c r="B283" s="448" t="s">
        <v>365</v>
      </c>
      <c r="C283" s="426" t="s">
        <v>456</v>
      </c>
      <c r="D283" s="385">
        <v>100</v>
      </c>
      <c r="E283" s="460">
        <v>16364428.039999999</v>
      </c>
      <c r="F283" s="460">
        <v>7681227.2000000002</v>
      </c>
      <c r="G283" s="463">
        <f t="shared" si="14"/>
        <v>0.46938561990828986</v>
      </c>
      <c r="H283" s="433" t="s">
        <v>484</v>
      </c>
    </row>
    <row r="284" spans="1:9" ht="145.5" customHeight="1" x14ac:dyDescent="0.25">
      <c r="A284" s="409" t="s">
        <v>132</v>
      </c>
      <c r="B284" s="448" t="s">
        <v>365</v>
      </c>
      <c r="C284" s="426" t="s">
        <v>456</v>
      </c>
      <c r="D284" s="385">
        <v>100</v>
      </c>
      <c r="E284" s="460">
        <v>16364428.039999999</v>
      </c>
      <c r="F284" s="460">
        <v>9365682.8000000007</v>
      </c>
      <c r="G284" s="463">
        <f t="shared" si="14"/>
        <v>0.57231959327311765</v>
      </c>
      <c r="H284" s="433" t="s">
        <v>483</v>
      </c>
    </row>
    <row r="285" spans="1:9" s="71" customFormat="1" ht="145.5" customHeight="1" x14ac:dyDescent="0.25">
      <c r="A285" s="409" t="s">
        <v>133</v>
      </c>
      <c r="B285" s="448" t="s">
        <v>365</v>
      </c>
      <c r="C285" s="426" t="s">
        <v>456</v>
      </c>
      <c r="D285" s="385">
        <v>100</v>
      </c>
      <c r="E285" s="460">
        <v>16364428.039999999</v>
      </c>
      <c r="F285" s="460">
        <v>10995310.424000001</v>
      </c>
      <c r="G285" s="463">
        <f t="shared" si="14"/>
        <v>0.67190313019947145</v>
      </c>
      <c r="H285" s="433" t="s">
        <v>485</v>
      </c>
    </row>
    <row r="286" spans="1:9" ht="145.5" customHeight="1" x14ac:dyDescent="0.25">
      <c r="A286" s="409" t="s">
        <v>134</v>
      </c>
      <c r="B286" s="448" t="s">
        <v>365</v>
      </c>
      <c r="C286" s="426" t="s">
        <v>456</v>
      </c>
      <c r="D286" s="385">
        <v>100</v>
      </c>
      <c r="E286" s="460">
        <v>16364428.039999999</v>
      </c>
      <c r="F286" s="460">
        <v>12670715.43155</v>
      </c>
      <c r="G286" s="463">
        <f t="shared" si="14"/>
        <v>0.77428403856087358</v>
      </c>
      <c r="H286" s="433" t="s">
        <v>491</v>
      </c>
    </row>
    <row r="287" spans="1:9" ht="145.5" customHeight="1" x14ac:dyDescent="0.25">
      <c r="A287" s="409" t="s">
        <v>135</v>
      </c>
      <c r="B287" s="448" t="s">
        <v>365</v>
      </c>
      <c r="C287" s="426" t="s">
        <v>456</v>
      </c>
      <c r="D287" s="385">
        <v>100</v>
      </c>
      <c r="E287" s="460">
        <v>16364428.039999999</v>
      </c>
      <c r="F287" s="460">
        <v>14491999.902000001</v>
      </c>
      <c r="G287" s="463">
        <f t="shared" si="14"/>
        <v>0.88557937170653489</v>
      </c>
      <c r="H287" s="464" t="s">
        <v>495</v>
      </c>
    </row>
    <row r="288" spans="1:9" ht="145.5" customHeight="1" x14ac:dyDescent="0.25">
      <c r="A288" s="409" t="s">
        <v>136</v>
      </c>
      <c r="B288" s="448" t="s">
        <v>365</v>
      </c>
      <c r="C288" s="426" t="s">
        <v>456</v>
      </c>
      <c r="D288" s="385">
        <v>100</v>
      </c>
      <c r="E288" s="460">
        <v>16364428.039999999</v>
      </c>
      <c r="F288" s="460">
        <v>15825105.0866</v>
      </c>
      <c r="G288" s="463">
        <f t="shared" si="14"/>
        <v>0.96704296953845759</v>
      </c>
      <c r="H288" s="464" t="s">
        <v>521</v>
      </c>
    </row>
    <row r="289" spans="1:8" ht="105" customHeight="1" thickBot="1" x14ac:dyDescent="0.3">
      <c r="A289" s="440" t="s">
        <v>137</v>
      </c>
      <c r="B289" s="448" t="s">
        <v>365</v>
      </c>
      <c r="C289" s="426" t="s">
        <v>456</v>
      </c>
      <c r="D289" s="385">
        <v>100</v>
      </c>
      <c r="E289" s="460">
        <v>16364428.039999999</v>
      </c>
      <c r="F289" s="460">
        <v>16760475.970000001</v>
      </c>
      <c r="G289" s="465">
        <f t="shared" si="14"/>
        <v>1.0242017581691172</v>
      </c>
      <c r="H289" s="464" t="s">
        <v>616</v>
      </c>
    </row>
    <row r="290" spans="1:8" ht="15.75" thickBot="1" x14ac:dyDescent="0.3"/>
    <row r="291" spans="1:8" ht="20.25" x14ac:dyDescent="0.3">
      <c r="A291" s="1041" t="s">
        <v>204</v>
      </c>
      <c r="B291" s="1042"/>
      <c r="C291" s="1042"/>
      <c r="D291" s="1042"/>
      <c r="E291" s="1042"/>
      <c r="F291" s="1042"/>
      <c r="G291" s="1042"/>
      <c r="H291" s="1043"/>
    </row>
    <row r="292" spans="1:8" ht="52.5" customHeight="1" x14ac:dyDescent="0.25">
      <c r="A292" s="32" t="s">
        <v>63</v>
      </c>
      <c r="B292" s="33" t="s">
        <v>196</v>
      </c>
      <c r="C292" s="53" t="s">
        <v>152</v>
      </c>
      <c r="D292" s="53" t="s">
        <v>172</v>
      </c>
      <c r="E292" s="53" t="s">
        <v>205</v>
      </c>
      <c r="F292" s="53" t="s">
        <v>206</v>
      </c>
      <c r="G292" s="53" t="s">
        <v>207</v>
      </c>
      <c r="H292" s="472" t="s">
        <v>185</v>
      </c>
    </row>
    <row r="293" spans="1:8" ht="109.35" customHeight="1" x14ac:dyDescent="0.25">
      <c r="A293" s="481" t="s">
        <v>139</v>
      </c>
      <c r="B293" s="36"/>
      <c r="C293" s="490" t="s">
        <v>456</v>
      </c>
      <c r="D293" s="491"/>
      <c r="E293" s="492">
        <v>15500000</v>
      </c>
      <c r="F293" s="492">
        <v>16410</v>
      </c>
      <c r="G293" s="585">
        <f t="shared" ref="G293:G304" si="15">F293/E293</f>
        <v>1.0587096774193549E-3</v>
      </c>
      <c r="H293" s="493" t="s">
        <v>554</v>
      </c>
    </row>
    <row r="294" spans="1:8" ht="91.5" customHeight="1" x14ac:dyDescent="0.25">
      <c r="A294" s="481" t="s">
        <v>140</v>
      </c>
      <c r="B294" s="36"/>
      <c r="C294" s="490" t="s">
        <v>456</v>
      </c>
      <c r="D294" s="491"/>
      <c r="E294" s="492">
        <v>15500000</v>
      </c>
      <c r="F294" s="492">
        <v>532209.06499999994</v>
      </c>
      <c r="G294" s="585">
        <f t="shared" si="15"/>
        <v>3.4336068709677418E-2</v>
      </c>
      <c r="H294" s="493" t="s">
        <v>579</v>
      </c>
    </row>
    <row r="295" spans="1:8" ht="91.5" customHeight="1" x14ac:dyDescent="0.25">
      <c r="A295" s="481" t="s">
        <v>141</v>
      </c>
      <c r="B295" s="36"/>
      <c r="C295" s="490" t="s">
        <v>456</v>
      </c>
      <c r="D295" s="491"/>
      <c r="E295" s="492">
        <v>15500000</v>
      </c>
      <c r="F295" s="492">
        <v>1998520.13</v>
      </c>
      <c r="G295" s="585">
        <f t="shared" si="15"/>
        <v>0.12893678258064514</v>
      </c>
      <c r="H295" s="493" t="s">
        <v>578</v>
      </c>
    </row>
    <row r="296" spans="1:8" ht="91.5" customHeight="1" x14ac:dyDescent="0.25">
      <c r="A296" s="481" t="s">
        <v>142</v>
      </c>
      <c r="B296" s="36"/>
      <c r="C296" s="490" t="s">
        <v>456</v>
      </c>
      <c r="D296" s="491"/>
      <c r="E296" s="492">
        <v>15500000</v>
      </c>
      <c r="F296" s="492">
        <v>3564735.8930000002</v>
      </c>
      <c r="G296" s="585">
        <f t="shared" si="15"/>
        <v>0.2299829608387097</v>
      </c>
      <c r="H296" s="493" t="s">
        <v>577</v>
      </c>
    </row>
    <row r="297" spans="1:8" ht="107.25" customHeight="1" x14ac:dyDescent="0.25">
      <c r="A297" s="481" t="s">
        <v>143</v>
      </c>
      <c r="B297" s="602"/>
      <c r="C297" s="490" t="s">
        <v>456</v>
      </c>
      <c r="D297" s="491"/>
      <c r="E297" s="492">
        <v>15500000</v>
      </c>
      <c r="F297" s="492">
        <v>5021751</v>
      </c>
      <c r="G297" s="606">
        <f t="shared" si="15"/>
        <v>0.32398393548387094</v>
      </c>
      <c r="H297" s="493" t="s">
        <v>628</v>
      </c>
    </row>
    <row r="298" spans="1:8" ht="124.7" customHeight="1" x14ac:dyDescent="0.25">
      <c r="A298" s="481" t="s">
        <v>144</v>
      </c>
      <c r="B298" s="490"/>
      <c r="C298" s="490" t="s">
        <v>456</v>
      </c>
      <c r="D298" s="490"/>
      <c r="E298" s="492">
        <v>15500000</v>
      </c>
      <c r="F298" s="492">
        <v>6529960.3700000001</v>
      </c>
      <c r="G298" s="607">
        <f>F298/E298</f>
        <v>0.42128776580645161</v>
      </c>
      <c r="H298" s="493" t="s">
        <v>641</v>
      </c>
    </row>
    <row r="299" spans="1:8" ht="89.25" customHeight="1" x14ac:dyDescent="0.25">
      <c r="A299" s="481" t="s">
        <v>132</v>
      </c>
      <c r="B299" s="36"/>
      <c r="C299" s="490" t="s">
        <v>456</v>
      </c>
      <c r="D299" s="36"/>
      <c r="E299" s="492">
        <v>15500000</v>
      </c>
      <c r="F299" s="492">
        <v>8177649.7699999996</v>
      </c>
      <c r="G299" s="607">
        <f t="shared" si="15"/>
        <v>0.52759030774193549</v>
      </c>
      <c r="H299" s="493" t="s">
        <v>642</v>
      </c>
    </row>
    <row r="300" spans="1:8" ht="102" customHeight="1" x14ac:dyDescent="0.25">
      <c r="A300" s="481" t="s">
        <v>133</v>
      </c>
      <c r="B300" s="36"/>
      <c r="C300" s="490" t="s">
        <v>456</v>
      </c>
      <c r="D300" s="36"/>
      <c r="E300" s="492">
        <v>15500000</v>
      </c>
      <c r="F300" s="492">
        <v>9978452.0661999993</v>
      </c>
      <c r="G300" s="607">
        <f t="shared" ref="G300" si="16">F300/E300</f>
        <v>0.64377110104516122</v>
      </c>
      <c r="H300" s="493" t="s">
        <v>673</v>
      </c>
    </row>
    <row r="301" spans="1:8" ht="140.25" customHeight="1" x14ac:dyDescent="0.25">
      <c r="A301" s="632" t="s">
        <v>134</v>
      </c>
      <c r="B301" s="630"/>
      <c r="C301" s="637" t="s">
        <v>456</v>
      </c>
      <c r="D301" s="630"/>
      <c r="E301" s="638">
        <v>15500000</v>
      </c>
      <c r="F301" s="638">
        <v>11591508</v>
      </c>
      <c r="G301" s="607">
        <f t="shared" si="15"/>
        <v>0.74783922580645157</v>
      </c>
      <c r="H301" s="639" t="s">
        <v>710</v>
      </c>
    </row>
    <row r="302" spans="1:8" ht="27" customHeight="1" x14ac:dyDescent="0.25">
      <c r="A302" s="481" t="s">
        <v>135</v>
      </c>
      <c r="B302" s="36"/>
      <c r="C302" s="36"/>
      <c r="D302" s="36"/>
      <c r="E302" s="36"/>
      <c r="F302" s="36"/>
      <c r="G302" s="36" t="e">
        <f t="shared" si="15"/>
        <v>#DIV/0!</v>
      </c>
      <c r="H302" s="312"/>
    </row>
    <row r="303" spans="1:8" ht="27" customHeight="1" x14ac:dyDescent="0.25">
      <c r="A303" s="481" t="s">
        <v>136</v>
      </c>
      <c r="B303" s="36"/>
      <c r="C303" s="36"/>
      <c r="D303" s="36"/>
      <c r="E303" s="36"/>
      <c r="F303" s="36"/>
      <c r="G303" s="36" t="e">
        <f t="shared" si="15"/>
        <v>#DIV/0!</v>
      </c>
      <c r="H303" s="312"/>
    </row>
    <row r="304" spans="1:8" ht="27" customHeight="1" thickBot="1" x14ac:dyDescent="0.3">
      <c r="A304" s="593" t="s">
        <v>137</v>
      </c>
      <c r="B304" s="38"/>
      <c r="C304" s="38"/>
      <c r="D304" s="38"/>
      <c r="E304" s="38"/>
      <c r="F304" s="38"/>
      <c r="G304" s="38" t="e">
        <f t="shared" si="15"/>
        <v>#DIV/0!</v>
      </c>
      <c r="H304" s="322"/>
    </row>
    <row r="306" spans="1:44" ht="20.25" hidden="1" x14ac:dyDescent="0.3">
      <c r="A306" s="1041" t="s">
        <v>208</v>
      </c>
      <c r="B306" s="1042"/>
      <c r="C306" s="1042"/>
      <c r="D306" s="1042"/>
      <c r="E306" s="1042"/>
      <c r="F306" s="1042"/>
      <c r="G306" s="1042"/>
      <c r="H306" s="1043"/>
    </row>
    <row r="307" spans="1:44" ht="63.75" hidden="1" customHeight="1" x14ac:dyDescent="0.25">
      <c r="A307" s="32" t="s">
        <v>64</v>
      </c>
      <c r="B307" s="33" t="s">
        <v>196</v>
      </c>
      <c r="C307" s="53" t="s">
        <v>152</v>
      </c>
      <c r="D307" s="53" t="s">
        <v>177</v>
      </c>
      <c r="E307" s="53" t="s">
        <v>209</v>
      </c>
      <c r="F307" s="53" t="s">
        <v>210</v>
      </c>
      <c r="G307" s="53" t="s">
        <v>211</v>
      </c>
      <c r="H307" s="310" t="s">
        <v>185</v>
      </c>
    </row>
    <row r="308" spans="1:44" hidden="1" x14ac:dyDescent="0.25">
      <c r="A308" s="39" t="s">
        <v>139</v>
      </c>
      <c r="B308" s="36"/>
      <c r="C308" s="36"/>
      <c r="D308" s="36"/>
      <c r="E308" s="36"/>
      <c r="F308" s="36"/>
      <c r="G308" s="36" t="e">
        <f t="shared" ref="G308:G319" si="17">F308/E308</f>
        <v>#DIV/0!</v>
      </c>
      <c r="H308" s="312"/>
    </row>
    <row r="309" spans="1:44" hidden="1" x14ac:dyDescent="0.25">
      <c r="A309" s="39" t="s">
        <v>140</v>
      </c>
      <c r="B309" s="36"/>
      <c r="C309" s="36"/>
      <c r="D309" s="36"/>
      <c r="E309" s="36"/>
      <c r="F309" s="36"/>
      <c r="G309" s="36" t="e">
        <f t="shared" si="17"/>
        <v>#DIV/0!</v>
      </c>
      <c r="H309" s="312"/>
    </row>
    <row r="310" spans="1:44" hidden="1" x14ac:dyDescent="0.25">
      <c r="A310" s="39" t="s">
        <v>141</v>
      </c>
      <c r="B310" s="36"/>
      <c r="C310" s="36"/>
      <c r="D310" s="36"/>
      <c r="E310" s="36"/>
      <c r="F310" s="36"/>
      <c r="G310" s="36" t="e">
        <f t="shared" si="17"/>
        <v>#DIV/0!</v>
      </c>
      <c r="H310" s="312"/>
    </row>
    <row r="311" spans="1:44" hidden="1" x14ac:dyDescent="0.25">
      <c r="A311" s="39" t="s">
        <v>142</v>
      </c>
      <c r="B311" s="36"/>
      <c r="C311" s="36"/>
      <c r="D311" s="36"/>
      <c r="E311" s="36"/>
      <c r="F311" s="36"/>
      <c r="G311" s="36" t="e">
        <f t="shared" si="17"/>
        <v>#DIV/0!</v>
      </c>
      <c r="H311" s="312"/>
    </row>
    <row r="312" spans="1:44" hidden="1" x14ac:dyDescent="0.25">
      <c r="A312" s="39" t="s">
        <v>143</v>
      </c>
      <c r="B312" s="36"/>
      <c r="C312" s="36"/>
      <c r="D312" s="36"/>
      <c r="E312" s="36"/>
      <c r="F312" s="36"/>
      <c r="G312" s="36" t="e">
        <f t="shared" si="17"/>
        <v>#DIV/0!</v>
      </c>
      <c r="H312" s="312"/>
    </row>
    <row r="313" spans="1:44" hidden="1" x14ac:dyDescent="0.25">
      <c r="A313" s="39" t="s">
        <v>144</v>
      </c>
      <c r="B313" s="36"/>
      <c r="C313" s="36"/>
      <c r="D313" s="36"/>
      <c r="E313" s="36"/>
      <c r="F313" s="36"/>
      <c r="G313" s="36" t="e">
        <f t="shared" si="17"/>
        <v>#DIV/0!</v>
      </c>
      <c r="H313" s="312"/>
    </row>
    <row r="314" spans="1:44" hidden="1" x14ac:dyDescent="0.25">
      <c r="A314" s="39" t="s">
        <v>132</v>
      </c>
      <c r="B314" s="36"/>
      <c r="C314" s="36"/>
      <c r="D314" s="36"/>
      <c r="E314" s="36"/>
      <c r="F314" s="36"/>
      <c r="G314" s="36" t="e">
        <f t="shared" si="17"/>
        <v>#DIV/0!</v>
      </c>
      <c r="H314" s="312"/>
    </row>
    <row r="315" spans="1:44" hidden="1" x14ac:dyDescent="0.25">
      <c r="A315" s="39" t="s">
        <v>133</v>
      </c>
      <c r="B315" s="36"/>
      <c r="C315" s="36"/>
      <c r="D315" s="36"/>
      <c r="E315" s="36"/>
      <c r="F315" s="36"/>
      <c r="G315" s="36" t="e">
        <f t="shared" si="17"/>
        <v>#DIV/0!</v>
      </c>
      <c r="H315" s="312"/>
    </row>
    <row r="316" spans="1:44" hidden="1" x14ac:dyDescent="0.25">
      <c r="A316" s="39" t="s">
        <v>134</v>
      </c>
      <c r="B316" s="36"/>
      <c r="C316" s="36"/>
      <c r="D316" s="36"/>
      <c r="E316" s="36"/>
      <c r="F316" s="36"/>
      <c r="G316" s="36" t="e">
        <f t="shared" si="17"/>
        <v>#DIV/0!</v>
      </c>
      <c r="H316" s="312"/>
    </row>
    <row r="317" spans="1:44" hidden="1" x14ac:dyDescent="0.25">
      <c r="A317" s="39" t="s">
        <v>135</v>
      </c>
      <c r="B317" s="36"/>
      <c r="C317" s="36"/>
      <c r="D317" s="36"/>
      <c r="E317" s="36"/>
      <c r="F317" s="36"/>
      <c r="G317" s="36" t="e">
        <f t="shared" si="17"/>
        <v>#DIV/0!</v>
      </c>
      <c r="H317" s="312"/>
    </row>
    <row r="318" spans="1:44" hidden="1" x14ac:dyDescent="0.25">
      <c r="A318" s="39" t="s">
        <v>136</v>
      </c>
      <c r="B318" s="36"/>
      <c r="C318" s="36"/>
      <c r="D318" s="36"/>
      <c r="E318" s="36"/>
      <c r="F318" s="36"/>
      <c r="G318" s="36" t="e">
        <f t="shared" si="17"/>
        <v>#DIV/0!</v>
      </c>
      <c r="H318" s="312"/>
    </row>
    <row r="319" spans="1:44" ht="15.75" hidden="1" thickBot="1" x14ac:dyDescent="0.3">
      <c r="A319" s="40" t="s">
        <v>137</v>
      </c>
      <c r="B319" s="38"/>
      <c r="C319" s="38"/>
      <c r="D319" s="38"/>
      <c r="E319" s="38"/>
      <c r="F319" s="38"/>
      <c r="G319" s="38" t="e">
        <f t="shared" si="17"/>
        <v>#DIV/0!</v>
      </c>
      <c r="H319" s="322"/>
    </row>
    <row r="320" spans="1:44" ht="26.25" customHeight="1" x14ac:dyDescent="0.25">
      <c r="A320" s="26" t="s">
        <v>35</v>
      </c>
      <c r="B320" s="24"/>
      <c r="C320" s="24"/>
      <c r="D320" s="24"/>
      <c r="E320" s="25"/>
      <c r="F320" s="25"/>
      <c r="G320" s="25"/>
      <c r="H320" s="25"/>
      <c r="I320" s="25"/>
      <c r="J320" s="25"/>
      <c r="K320" s="25"/>
      <c r="L320" s="25"/>
      <c r="M320" s="25"/>
      <c r="N320" s="25"/>
      <c r="O320" s="25"/>
      <c r="P320" s="25"/>
      <c r="Q320" s="25"/>
      <c r="R320" s="25"/>
      <c r="S320" s="25"/>
      <c r="T320" s="25"/>
      <c r="U320" s="25"/>
      <c r="V320" s="25"/>
      <c r="W320" s="25"/>
      <c r="X320" s="24"/>
      <c r="Y320" s="24"/>
      <c r="Z320" s="24"/>
      <c r="AA320" s="24"/>
      <c r="AB320" s="24"/>
      <c r="AC320" s="24"/>
      <c r="AD320" s="27"/>
      <c r="AE320" s="27"/>
      <c r="AF320" s="27"/>
      <c r="AG320" s="27"/>
      <c r="AH320" s="27"/>
      <c r="AI320" s="27"/>
      <c r="AJ320" s="31"/>
      <c r="AK320" s="31"/>
      <c r="AL320" s="28"/>
      <c r="AM320" s="28"/>
      <c r="AN320" s="28"/>
      <c r="AO320" s="28"/>
      <c r="AP320" s="28"/>
      <c r="AQ320" s="28"/>
      <c r="AR320" s="28"/>
    </row>
    <row r="321" spans="1:44" ht="26.25" customHeight="1" x14ac:dyDescent="0.25">
      <c r="A321" s="29" t="s">
        <v>36</v>
      </c>
      <c r="B321" s="842" t="s">
        <v>37</v>
      </c>
      <c r="C321" s="843"/>
      <c r="D321" s="844"/>
      <c r="E321" s="845" t="s">
        <v>38</v>
      </c>
      <c r="F321" s="846"/>
      <c r="G321" s="846"/>
      <c r="H321" s="846"/>
      <c r="I321" s="846"/>
      <c r="J321" s="846"/>
      <c r="K321" s="846"/>
      <c r="L321" s="846"/>
      <c r="M321" s="846"/>
      <c r="N321" s="846"/>
      <c r="O321" s="24"/>
      <c r="P321" s="24"/>
      <c r="Q321" s="24"/>
      <c r="R321" s="24"/>
      <c r="S321" s="24"/>
      <c r="T321" s="24"/>
      <c r="U321" s="24"/>
      <c r="V321" s="24"/>
      <c r="W321" s="24"/>
      <c r="X321" s="24"/>
      <c r="Y321" s="24"/>
      <c r="Z321" s="24"/>
      <c r="AA321" s="24"/>
      <c r="AB321" s="24"/>
      <c r="AC321" s="24"/>
      <c r="AD321" s="27"/>
      <c r="AE321" s="27"/>
      <c r="AF321" s="27"/>
      <c r="AG321" s="27"/>
      <c r="AH321" s="27"/>
      <c r="AI321" s="27"/>
      <c r="AJ321" s="31"/>
      <c r="AK321" s="31"/>
      <c r="AL321" s="27"/>
      <c r="AM321" s="27"/>
      <c r="AN321" s="27"/>
      <c r="AO321" s="27"/>
      <c r="AP321" s="27"/>
      <c r="AQ321" s="27"/>
      <c r="AR321" s="31"/>
    </row>
    <row r="322" spans="1:44" ht="43.5" customHeight="1" x14ac:dyDescent="0.25">
      <c r="A322" s="101">
        <v>13</v>
      </c>
      <c r="B322" s="847" t="s">
        <v>95</v>
      </c>
      <c r="C322" s="848"/>
      <c r="D322" s="849"/>
      <c r="E322" s="850" t="s">
        <v>86</v>
      </c>
      <c r="F322" s="851"/>
      <c r="G322" s="851"/>
      <c r="H322" s="851"/>
      <c r="I322" s="851"/>
      <c r="J322" s="851"/>
      <c r="K322" s="851"/>
      <c r="L322" s="851"/>
      <c r="M322" s="851"/>
      <c r="N322" s="851"/>
      <c r="O322" s="24"/>
      <c r="P322" s="24"/>
      <c r="Q322" s="24"/>
      <c r="R322" s="24"/>
      <c r="S322" s="24"/>
      <c r="T322" s="24"/>
      <c r="U322" s="24"/>
      <c r="V322" s="24"/>
      <c r="W322" s="24"/>
      <c r="X322" s="24"/>
      <c r="Y322" s="24"/>
      <c r="Z322" s="24"/>
      <c r="AA322" s="24"/>
      <c r="AB322" s="24"/>
      <c r="AC322" s="24"/>
      <c r="AD322" s="24"/>
      <c r="AE322" s="24"/>
      <c r="AF322" s="24"/>
      <c r="AG322" s="24"/>
      <c r="AH322" s="24"/>
      <c r="AI322" s="24"/>
      <c r="AJ322" s="30"/>
      <c r="AK322" s="30"/>
      <c r="AL322" s="24"/>
      <c r="AM322" s="24"/>
      <c r="AN322" s="24"/>
      <c r="AO322" s="24"/>
      <c r="AP322" s="24"/>
      <c r="AQ322" s="24"/>
      <c r="AR322" s="30"/>
    </row>
    <row r="323" spans="1:44" ht="39.75" customHeight="1" x14ac:dyDescent="0.25">
      <c r="A323" s="101">
        <v>14</v>
      </c>
      <c r="B323" s="847" t="s">
        <v>617</v>
      </c>
      <c r="C323" s="848"/>
      <c r="D323" s="849"/>
      <c r="E323" s="850" t="s">
        <v>618</v>
      </c>
      <c r="F323" s="851"/>
      <c r="G323" s="851"/>
      <c r="H323" s="851"/>
      <c r="I323" s="851"/>
      <c r="J323" s="851"/>
      <c r="K323" s="851"/>
      <c r="L323" s="851"/>
      <c r="M323" s="851"/>
      <c r="N323" s="851"/>
    </row>
    <row r="324" spans="1:44" x14ac:dyDescent="0.25">
      <c r="F324" s="269"/>
    </row>
  </sheetData>
  <sheetProtection formatCells="0" formatColumns="0" formatRows="0" insertHyperlinks="0" sort="0" autoFilter="0" pivotTables="0"/>
  <mergeCells count="139">
    <mergeCell ref="A259:H259"/>
    <mergeCell ref="A276:H276"/>
    <mergeCell ref="A291:H291"/>
    <mergeCell ref="A306:H306"/>
    <mergeCell ref="A251:A253"/>
    <mergeCell ref="B251:B253"/>
    <mergeCell ref="C251:C253"/>
    <mergeCell ref="A254:A256"/>
    <mergeCell ref="B254:B256"/>
    <mergeCell ref="C254:C256"/>
    <mergeCell ref="A245:A247"/>
    <mergeCell ref="B245:B247"/>
    <mergeCell ref="C245:C247"/>
    <mergeCell ref="A248:A250"/>
    <mergeCell ref="B248:B250"/>
    <mergeCell ref="C248:C250"/>
    <mergeCell ref="A239:A241"/>
    <mergeCell ref="B239:B241"/>
    <mergeCell ref="C239:C241"/>
    <mergeCell ref="A242:A244"/>
    <mergeCell ref="B242:B244"/>
    <mergeCell ref="C242:C244"/>
    <mergeCell ref="A233:A235"/>
    <mergeCell ref="B233:B235"/>
    <mergeCell ref="C233:C235"/>
    <mergeCell ref="A236:A238"/>
    <mergeCell ref="B236:B238"/>
    <mergeCell ref="C236:C238"/>
    <mergeCell ref="A227:A229"/>
    <mergeCell ref="B227:B229"/>
    <mergeCell ref="C227:C229"/>
    <mergeCell ref="A230:A232"/>
    <mergeCell ref="B230:B232"/>
    <mergeCell ref="C230:C232"/>
    <mergeCell ref="A219:G219"/>
    <mergeCell ref="A221:A223"/>
    <mergeCell ref="B221:B223"/>
    <mergeCell ref="C221:C223"/>
    <mergeCell ref="A224:A226"/>
    <mergeCell ref="B224:B226"/>
    <mergeCell ref="C224:C226"/>
    <mergeCell ref="A211:A213"/>
    <mergeCell ref="B211:B213"/>
    <mergeCell ref="C211:C213"/>
    <mergeCell ref="A214:A216"/>
    <mergeCell ref="B214:B216"/>
    <mergeCell ref="C214:C216"/>
    <mergeCell ref="A205:A207"/>
    <mergeCell ref="B205:B207"/>
    <mergeCell ref="C205:C207"/>
    <mergeCell ref="A208:A210"/>
    <mergeCell ref="B208:B210"/>
    <mergeCell ref="C208:C210"/>
    <mergeCell ref="A199:A201"/>
    <mergeCell ref="B199:B201"/>
    <mergeCell ref="C199:C201"/>
    <mergeCell ref="A202:A204"/>
    <mergeCell ref="B202:B204"/>
    <mergeCell ref="C202:C204"/>
    <mergeCell ref="A193:A195"/>
    <mergeCell ref="B193:B195"/>
    <mergeCell ref="C193:C195"/>
    <mergeCell ref="A196:A198"/>
    <mergeCell ref="B196:B198"/>
    <mergeCell ref="C196:C198"/>
    <mergeCell ref="A187:A189"/>
    <mergeCell ref="B187:B189"/>
    <mergeCell ref="C187:C189"/>
    <mergeCell ref="A190:A192"/>
    <mergeCell ref="B190:B192"/>
    <mergeCell ref="C190:C192"/>
    <mergeCell ref="A179:G179"/>
    <mergeCell ref="A181:A183"/>
    <mergeCell ref="B181:B183"/>
    <mergeCell ref="C181:C183"/>
    <mergeCell ref="A184:A186"/>
    <mergeCell ref="B184:B186"/>
    <mergeCell ref="C184:C186"/>
    <mergeCell ref="A171:A173"/>
    <mergeCell ref="B171:B173"/>
    <mergeCell ref="C171:C173"/>
    <mergeCell ref="A174:A176"/>
    <mergeCell ref="B174:B176"/>
    <mergeCell ref="C174:C176"/>
    <mergeCell ref="A165:A167"/>
    <mergeCell ref="B165:B167"/>
    <mergeCell ref="C165:C167"/>
    <mergeCell ref="A168:A170"/>
    <mergeCell ref="B168:B170"/>
    <mergeCell ref="C168:C170"/>
    <mergeCell ref="A159:A161"/>
    <mergeCell ref="B159:B161"/>
    <mergeCell ref="C159:C161"/>
    <mergeCell ref="A162:A164"/>
    <mergeCell ref="B162:B164"/>
    <mergeCell ref="C162:C164"/>
    <mergeCell ref="A153:A155"/>
    <mergeCell ref="B153:B155"/>
    <mergeCell ref="C153:C155"/>
    <mergeCell ref="A156:A158"/>
    <mergeCell ref="B156:B158"/>
    <mergeCell ref="C156:C158"/>
    <mergeCell ref="A47:H47"/>
    <mergeCell ref="A147:A149"/>
    <mergeCell ref="B147:B149"/>
    <mergeCell ref="C147:C149"/>
    <mergeCell ref="A150:A152"/>
    <mergeCell ref="B150:B152"/>
    <mergeCell ref="C150:C152"/>
    <mergeCell ref="A141:A143"/>
    <mergeCell ref="B141:B143"/>
    <mergeCell ref="C141:C143"/>
    <mergeCell ref="A144:A146"/>
    <mergeCell ref="B144:B146"/>
    <mergeCell ref="C144:C146"/>
    <mergeCell ref="B321:D321"/>
    <mergeCell ref="E321:N321"/>
    <mergeCell ref="B322:D322"/>
    <mergeCell ref="E322:N322"/>
    <mergeCell ref="B323:D323"/>
    <mergeCell ref="E323:N323"/>
    <mergeCell ref="A1:B3"/>
    <mergeCell ref="C1:N1"/>
    <mergeCell ref="C2:N2"/>
    <mergeCell ref="C3:G3"/>
    <mergeCell ref="H3:N3"/>
    <mergeCell ref="A4:B4"/>
    <mergeCell ref="C4:N4"/>
    <mergeCell ref="A62:H62"/>
    <mergeCell ref="A77:N77"/>
    <mergeCell ref="A93:N93"/>
    <mergeCell ref="A109:N109"/>
    <mergeCell ref="A124:N124"/>
    <mergeCell ref="A139:G139"/>
    <mergeCell ref="A5:B5"/>
    <mergeCell ref="C5:N5"/>
    <mergeCell ref="A7:H7"/>
    <mergeCell ref="A16:H16"/>
    <mergeCell ref="A32:H3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777"/>
      <c r="B1" s="880"/>
      <c r="C1" s="1008" t="s">
        <v>39</v>
      </c>
      <c r="D1" s="1009"/>
      <c r="E1" s="1009"/>
      <c r="F1" s="1009"/>
      <c r="G1" s="1009"/>
      <c r="H1" s="1009"/>
      <c r="I1" s="1009"/>
      <c r="J1" s="1009"/>
      <c r="K1" s="1009"/>
      <c r="L1" s="1009"/>
      <c r="M1" s="1009"/>
      <c r="N1" s="1010"/>
    </row>
    <row r="2" spans="1:14" ht="18.75" thickBot="1" x14ac:dyDescent="0.3">
      <c r="A2" s="779"/>
      <c r="B2" s="881"/>
      <c r="C2" s="1011" t="s">
        <v>123</v>
      </c>
      <c r="D2" s="1012"/>
      <c r="E2" s="1012"/>
      <c r="F2" s="1012"/>
      <c r="G2" s="1012"/>
      <c r="H2" s="1013"/>
      <c r="I2" s="1013"/>
      <c r="J2" s="1013"/>
      <c r="K2" s="1013"/>
      <c r="L2" s="1013"/>
      <c r="M2" s="1013"/>
      <c r="N2" s="1014"/>
    </row>
    <row r="3" spans="1:14" ht="27" thickBot="1" x14ac:dyDescent="0.45">
      <c r="A3" s="882"/>
      <c r="B3" s="884"/>
      <c r="C3" s="1015" t="s">
        <v>40</v>
      </c>
      <c r="D3" s="1016"/>
      <c r="E3" s="1016"/>
      <c r="F3" s="1016"/>
      <c r="G3" s="1016"/>
      <c r="H3" s="1144" t="s">
        <v>72</v>
      </c>
      <c r="I3" s="1145"/>
      <c r="J3" s="1145"/>
      <c r="K3" s="1145"/>
      <c r="L3" s="1145"/>
      <c r="M3" s="1145"/>
      <c r="N3" s="1146"/>
    </row>
    <row r="4" spans="1:14" ht="15.75" thickBot="1" x14ac:dyDescent="0.3">
      <c r="A4" s="1020" t="s">
        <v>0</v>
      </c>
      <c r="B4" s="1021"/>
      <c r="C4" s="1147" t="s">
        <v>69</v>
      </c>
      <c r="D4" s="1147"/>
      <c r="E4" s="1147"/>
      <c r="F4" s="1147"/>
      <c r="G4" s="1147"/>
      <c r="H4" s="1147"/>
      <c r="I4" s="1147"/>
      <c r="J4" s="1147"/>
      <c r="K4" s="1147"/>
      <c r="L4" s="1147"/>
      <c r="M4" s="1147"/>
      <c r="N4" s="1148"/>
    </row>
    <row r="5" spans="1:14" ht="15.75" thickBot="1" x14ac:dyDescent="0.3">
      <c r="A5" s="1030" t="s">
        <v>2</v>
      </c>
      <c r="B5" s="1031"/>
      <c r="C5" s="1136" t="s">
        <v>70</v>
      </c>
      <c r="D5" s="1136"/>
      <c r="E5" s="1136"/>
      <c r="F5" s="1136"/>
      <c r="G5" s="1136"/>
      <c r="H5" s="1136"/>
      <c r="I5" s="1136"/>
      <c r="J5" s="1136"/>
      <c r="K5" s="1136"/>
      <c r="L5" s="1136"/>
      <c r="M5" s="1136"/>
      <c r="N5" s="1137"/>
    </row>
    <row r="6" spans="1:14" ht="15.75" thickBot="1" x14ac:dyDescent="0.3"/>
    <row r="7" spans="1:14" ht="20.25" x14ac:dyDescent="0.25">
      <c r="A7" s="1024" t="s">
        <v>124</v>
      </c>
      <c r="B7" s="1025"/>
      <c r="C7" s="1025"/>
      <c r="D7" s="1025"/>
      <c r="E7" s="1025"/>
      <c r="F7" s="1025"/>
      <c r="G7" s="1025"/>
      <c r="H7" s="1026"/>
    </row>
    <row r="8" spans="1:14" ht="26.25" thickBot="1" x14ac:dyDescent="0.3">
      <c r="A8" s="62" t="s">
        <v>49</v>
      </c>
      <c r="B8" s="63" t="s">
        <v>125</v>
      </c>
      <c r="C8" s="63" t="s">
        <v>126</v>
      </c>
      <c r="D8" s="63" t="s">
        <v>127</v>
      </c>
      <c r="E8" s="63" t="s">
        <v>128</v>
      </c>
      <c r="F8" s="63" t="s">
        <v>129</v>
      </c>
      <c r="G8" s="63" t="s">
        <v>130</v>
      </c>
      <c r="H8" s="64" t="s">
        <v>131</v>
      </c>
    </row>
    <row r="9" spans="1:14" x14ac:dyDescent="0.25">
      <c r="A9" s="1112" t="s">
        <v>132</v>
      </c>
      <c r="B9" s="65" t="s">
        <v>212</v>
      </c>
      <c r="C9" s="66">
        <v>1709485448</v>
      </c>
      <c r="D9" s="66">
        <v>1709485448</v>
      </c>
      <c r="E9" s="1133">
        <f>+[2]INVERSIÓN!J36</f>
        <v>15250000</v>
      </c>
      <c r="F9" s="1138">
        <f>+E9</f>
        <v>15250000</v>
      </c>
      <c r="G9" s="1141"/>
      <c r="H9" s="1141"/>
    </row>
    <row r="10" spans="1:14" x14ac:dyDescent="0.25">
      <c r="A10" s="1050"/>
      <c r="B10" s="55" t="s">
        <v>213</v>
      </c>
      <c r="C10" s="56">
        <v>295362955</v>
      </c>
      <c r="D10" s="56">
        <v>295362955</v>
      </c>
      <c r="E10" s="1134"/>
      <c r="F10" s="1139"/>
      <c r="G10" s="1142"/>
      <c r="H10" s="1142"/>
    </row>
    <row r="11" spans="1:14" x14ac:dyDescent="0.25">
      <c r="A11" s="1050"/>
      <c r="B11" s="55" t="s">
        <v>214</v>
      </c>
      <c r="C11" s="56">
        <v>1241705000</v>
      </c>
      <c r="D11" s="56">
        <v>1241705000</v>
      </c>
      <c r="E11" s="1134"/>
      <c r="F11" s="1139"/>
      <c r="G11" s="1142"/>
      <c r="H11" s="1142"/>
    </row>
    <row r="12" spans="1:14" x14ac:dyDescent="0.25">
      <c r="A12" s="1050"/>
      <c r="B12" s="55" t="s">
        <v>215</v>
      </c>
      <c r="C12" s="56">
        <v>106931000</v>
      </c>
      <c r="D12" s="56">
        <v>106931000</v>
      </c>
      <c r="E12" s="1134"/>
      <c r="F12" s="1139"/>
      <c r="G12" s="1142"/>
      <c r="H12" s="1142"/>
    </row>
    <row r="13" spans="1:14" ht="15.75" thickBot="1" x14ac:dyDescent="0.3">
      <c r="A13" s="1065"/>
      <c r="B13" s="67" t="s">
        <v>216</v>
      </c>
      <c r="C13" s="68">
        <v>565789625</v>
      </c>
      <c r="D13" s="68">
        <v>565789625</v>
      </c>
      <c r="E13" s="1135"/>
      <c r="F13" s="1140"/>
      <c r="G13" s="1143"/>
      <c r="H13" s="1143"/>
    </row>
    <row r="14" spans="1:14" x14ac:dyDescent="0.25">
      <c r="A14" s="1112" t="s">
        <v>133</v>
      </c>
      <c r="B14" s="65" t="s">
        <v>212</v>
      </c>
      <c r="C14" s="66">
        <v>1709485448</v>
      </c>
      <c r="D14" s="66">
        <v>1709485448</v>
      </c>
      <c r="E14" s="1133">
        <f>+[2]INVERSIÓN!L36</f>
        <v>741070000</v>
      </c>
      <c r="F14" s="1133">
        <f>+E14</f>
        <v>741070000</v>
      </c>
      <c r="G14" s="1127"/>
      <c r="H14" s="1129"/>
    </row>
    <row r="15" spans="1:14" x14ac:dyDescent="0.25">
      <c r="A15" s="1050"/>
      <c r="B15" s="55" t="s">
        <v>213</v>
      </c>
      <c r="C15" s="56">
        <v>295362955</v>
      </c>
      <c r="D15" s="56">
        <v>295362955</v>
      </c>
      <c r="E15" s="1134"/>
      <c r="F15" s="1134"/>
      <c r="G15" s="1128"/>
      <c r="H15" s="1130"/>
    </row>
    <row r="16" spans="1:14" x14ac:dyDescent="0.25">
      <c r="A16" s="1050"/>
      <c r="B16" s="55" t="s">
        <v>214</v>
      </c>
      <c r="C16" s="56">
        <v>1241705000</v>
      </c>
      <c r="D16" s="56">
        <v>1241705000</v>
      </c>
      <c r="E16" s="1134"/>
      <c r="F16" s="1134"/>
      <c r="G16" s="1128"/>
      <c r="H16" s="1130"/>
    </row>
    <row r="17" spans="1:8" x14ac:dyDescent="0.25">
      <c r="A17" s="1050"/>
      <c r="B17" s="55" t="s">
        <v>215</v>
      </c>
      <c r="C17" s="56">
        <v>106931000</v>
      </c>
      <c r="D17" s="56">
        <v>106931000</v>
      </c>
      <c r="E17" s="1134"/>
      <c r="F17" s="1134"/>
      <c r="G17" s="1128"/>
      <c r="H17" s="1130"/>
    </row>
    <row r="18" spans="1:8" ht="15.75" thickBot="1" x14ac:dyDescent="0.3">
      <c r="A18" s="1065"/>
      <c r="B18" s="67" t="s">
        <v>216</v>
      </c>
      <c r="C18" s="68">
        <v>565789625</v>
      </c>
      <c r="D18" s="68">
        <v>565789625</v>
      </c>
      <c r="E18" s="1135"/>
      <c r="F18" s="1135"/>
      <c r="G18" s="1131"/>
      <c r="H18" s="1132"/>
    </row>
    <row r="19" spans="1:8" x14ac:dyDescent="0.25">
      <c r="A19" s="1112" t="s">
        <v>134</v>
      </c>
      <c r="B19" s="65" t="s">
        <v>212</v>
      </c>
      <c r="C19" s="66">
        <v>1709485448</v>
      </c>
      <c r="D19" s="66">
        <v>1709485448</v>
      </c>
      <c r="E19" s="1133">
        <f>+[2]INVERSIÓN!N36</f>
        <v>786690347</v>
      </c>
      <c r="F19" s="1133">
        <f>+E19</f>
        <v>786690347</v>
      </c>
      <c r="G19" s="1127"/>
      <c r="H19" s="1129"/>
    </row>
    <row r="20" spans="1:8" x14ac:dyDescent="0.25">
      <c r="A20" s="1050"/>
      <c r="B20" s="55" t="s">
        <v>213</v>
      </c>
      <c r="C20" s="56">
        <v>295362955</v>
      </c>
      <c r="D20" s="56">
        <v>295362955</v>
      </c>
      <c r="E20" s="1134"/>
      <c r="F20" s="1134"/>
      <c r="G20" s="1128"/>
      <c r="H20" s="1130"/>
    </row>
    <row r="21" spans="1:8" x14ac:dyDescent="0.25">
      <c r="A21" s="1050"/>
      <c r="B21" s="55" t="s">
        <v>214</v>
      </c>
      <c r="C21" s="56">
        <v>1241705000</v>
      </c>
      <c r="D21" s="56">
        <v>1241705000</v>
      </c>
      <c r="E21" s="1134"/>
      <c r="F21" s="1134"/>
      <c r="G21" s="1128"/>
      <c r="H21" s="1130"/>
    </row>
    <row r="22" spans="1:8" x14ac:dyDescent="0.25">
      <c r="A22" s="1050"/>
      <c r="B22" s="55" t="s">
        <v>215</v>
      </c>
      <c r="C22" s="56">
        <v>106931000</v>
      </c>
      <c r="D22" s="56">
        <v>106931000</v>
      </c>
      <c r="E22" s="1134"/>
      <c r="F22" s="1134"/>
      <c r="G22" s="1128"/>
      <c r="H22" s="1130"/>
    </row>
    <row r="23" spans="1:8" ht="15.75" thickBot="1" x14ac:dyDescent="0.3">
      <c r="A23" s="1065"/>
      <c r="B23" s="67" t="s">
        <v>216</v>
      </c>
      <c r="C23" s="68">
        <v>565789625</v>
      </c>
      <c r="D23" s="68">
        <v>565789625</v>
      </c>
      <c r="E23" s="1135"/>
      <c r="F23" s="1135"/>
      <c r="G23" s="1131"/>
      <c r="H23" s="1132"/>
    </row>
    <row r="24" spans="1:8" x14ac:dyDescent="0.25">
      <c r="A24" s="1112" t="s">
        <v>135</v>
      </c>
      <c r="B24" s="65" t="s">
        <v>212</v>
      </c>
      <c r="C24" s="66">
        <v>1709485448</v>
      </c>
      <c r="D24" s="66">
        <v>1709485448</v>
      </c>
      <c r="E24" s="1125">
        <f>+[2]INVERSIÓN!P36</f>
        <v>793469102</v>
      </c>
      <c r="F24" s="1125">
        <f>+[2]INVERSIÓN!P36</f>
        <v>793469102</v>
      </c>
      <c r="G24" s="1127"/>
      <c r="H24" s="1129"/>
    </row>
    <row r="25" spans="1:8" x14ac:dyDescent="0.25">
      <c r="A25" s="1050"/>
      <c r="B25" s="55" t="s">
        <v>213</v>
      </c>
      <c r="C25" s="56">
        <v>295362955</v>
      </c>
      <c r="D25" s="56">
        <v>295362955</v>
      </c>
      <c r="E25" s="1126"/>
      <c r="F25" s="1126"/>
      <c r="G25" s="1128"/>
      <c r="H25" s="1130"/>
    </row>
    <row r="26" spans="1:8" x14ac:dyDescent="0.25">
      <c r="A26" s="1050"/>
      <c r="B26" s="55" t="s">
        <v>214</v>
      </c>
      <c r="C26" s="56">
        <v>1241705000</v>
      </c>
      <c r="D26" s="56">
        <v>1241705000</v>
      </c>
      <c r="E26" s="1126"/>
      <c r="F26" s="1126"/>
      <c r="G26" s="1128"/>
      <c r="H26" s="1130"/>
    </row>
    <row r="27" spans="1:8" x14ac:dyDescent="0.25">
      <c r="A27" s="1050"/>
      <c r="B27" s="55" t="s">
        <v>215</v>
      </c>
      <c r="C27" s="56">
        <v>106931000</v>
      </c>
      <c r="D27" s="56">
        <v>106931000</v>
      </c>
      <c r="E27" s="1126"/>
      <c r="F27" s="1126"/>
      <c r="G27" s="1128"/>
      <c r="H27" s="1130"/>
    </row>
    <row r="28" spans="1:8" ht="15.75" thickBot="1" x14ac:dyDescent="0.3">
      <c r="A28" s="1050"/>
      <c r="B28" s="93" t="s">
        <v>216</v>
      </c>
      <c r="C28" s="92">
        <v>565789625</v>
      </c>
      <c r="D28" s="92">
        <v>565789625</v>
      </c>
      <c r="E28" s="1126"/>
      <c r="F28" s="1126"/>
      <c r="G28" s="1128"/>
      <c r="H28" s="1130"/>
    </row>
    <row r="29" spans="1:8" x14ac:dyDescent="0.25">
      <c r="A29" s="1112" t="s">
        <v>136</v>
      </c>
      <c r="B29" s="102" t="s">
        <v>212</v>
      </c>
      <c r="C29" s="66">
        <v>1709485448</v>
      </c>
      <c r="D29" s="66">
        <v>1709485448</v>
      </c>
      <c r="E29" s="1116">
        <v>874824904</v>
      </c>
      <c r="F29" s="1116">
        <v>874824904</v>
      </c>
      <c r="G29" s="1127"/>
      <c r="H29" s="1129"/>
    </row>
    <row r="30" spans="1:8" x14ac:dyDescent="0.25">
      <c r="A30" s="1050"/>
      <c r="B30" s="36" t="s">
        <v>213</v>
      </c>
      <c r="C30" s="56">
        <v>295362955</v>
      </c>
      <c r="D30" s="56">
        <v>295362955</v>
      </c>
      <c r="E30" s="1117"/>
      <c r="F30" s="1117"/>
      <c r="G30" s="1128"/>
      <c r="H30" s="1130"/>
    </row>
    <row r="31" spans="1:8" x14ac:dyDescent="0.25">
      <c r="A31" s="1050"/>
      <c r="B31" s="36" t="s">
        <v>214</v>
      </c>
      <c r="C31" s="56">
        <v>1241705000</v>
      </c>
      <c r="D31" s="56">
        <v>1241705000</v>
      </c>
      <c r="E31" s="1117"/>
      <c r="F31" s="1117"/>
      <c r="G31" s="1128"/>
      <c r="H31" s="1130"/>
    </row>
    <row r="32" spans="1:8" x14ac:dyDescent="0.25">
      <c r="A32" s="1050"/>
      <c r="B32" s="36" t="s">
        <v>215</v>
      </c>
      <c r="C32" s="56">
        <v>106931000</v>
      </c>
      <c r="D32" s="56">
        <v>106931000</v>
      </c>
      <c r="E32" s="1117"/>
      <c r="F32" s="1117"/>
      <c r="G32" s="1128"/>
      <c r="H32" s="1130"/>
    </row>
    <row r="33" spans="1:8" ht="15.75" thickBot="1" x14ac:dyDescent="0.3">
      <c r="A33" s="1065"/>
      <c r="B33" s="38" t="s">
        <v>216</v>
      </c>
      <c r="C33" s="68">
        <v>565789625</v>
      </c>
      <c r="D33" s="92">
        <v>565789625</v>
      </c>
      <c r="E33" s="1118"/>
      <c r="F33" s="1118"/>
      <c r="G33" s="1131"/>
      <c r="H33" s="1132"/>
    </row>
    <row r="34" spans="1:8" x14ac:dyDescent="0.25">
      <c r="A34" s="1112" t="s">
        <v>137</v>
      </c>
      <c r="B34" s="102" t="s">
        <v>212</v>
      </c>
      <c r="C34" s="140">
        <v>1709485448</v>
      </c>
      <c r="D34" s="141">
        <v>1369505401</v>
      </c>
      <c r="E34" s="1113">
        <f>E276+E285+E294+E303</f>
        <v>3537554981</v>
      </c>
      <c r="F34" s="1116">
        <v>675702343</v>
      </c>
      <c r="G34" s="1119">
        <f>+F34</f>
        <v>675702343</v>
      </c>
      <c r="H34" s="1122"/>
    </row>
    <row r="35" spans="1:8" x14ac:dyDescent="0.25">
      <c r="A35" s="1050"/>
      <c r="B35" s="36" t="s">
        <v>213</v>
      </c>
      <c r="C35" s="142">
        <v>295362955</v>
      </c>
      <c r="D35" s="143">
        <v>295362955</v>
      </c>
      <c r="E35" s="1114"/>
      <c r="F35" s="1117"/>
      <c r="G35" s="1120"/>
      <c r="H35" s="1123"/>
    </row>
    <row r="36" spans="1:8" x14ac:dyDescent="0.25">
      <c r="A36" s="1050"/>
      <c r="B36" s="36" t="s">
        <v>214</v>
      </c>
      <c r="C36" s="142">
        <v>1241705000</v>
      </c>
      <c r="D36" s="143">
        <v>1199966000</v>
      </c>
      <c r="E36" s="1114"/>
      <c r="F36" s="1117"/>
      <c r="G36" s="1120"/>
      <c r="H36" s="1123"/>
    </row>
    <row r="37" spans="1:8" x14ac:dyDescent="0.25">
      <c r="A37" s="1050"/>
      <c r="B37" s="36" t="s">
        <v>215</v>
      </c>
      <c r="C37" s="142">
        <v>106931000</v>
      </c>
      <c r="D37" s="143">
        <v>106931000</v>
      </c>
      <c r="E37" s="1114"/>
      <c r="F37" s="1117"/>
      <c r="G37" s="1120"/>
      <c r="H37" s="1123"/>
    </row>
    <row r="38" spans="1:8" ht="15.75" thickBot="1" x14ac:dyDescent="0.3">
      <c r="A38" s="1065"/>
      <c r="B38" s="38" t="s">
        <v>216</v>
      </c>
      <c r="C38" s="144">
        <v>565789625</v>
      </c>
      <c r="D38" s="145">
        <v>565789625</v>
      </c>
      <c r="E38" s="1115"/>
      <c r="F38" s="1118"/>
      <c r="G38" s="1121"/>
      <c r="H38" s="1124"/>
    </row>
    <row r="39" spans="1:8" ht="15.75" thickBot="1" x14ac:dyDescent="0.3"/>
    <row r="40" spans="1:8" ht="20.25" x14ac:dyDescent="0.25">
      <c r="A40" s="1024" t="s">
        <v>138</v>
      </c>
      <c r="B40" s="1025"/>
      <c r="C40" s="1025"/>
      <c r="D40" s="1025"/>
      <c r="E40" s="1025"/>
      <c r="F40" s="1025"/>
      <c r="G40" s="1025"/>
      <c r="H40" s="1026"/>
    </row>
    <row r="41" spans="1:8" ht="26.25" thickBot="1" x14ac:dyDescent="0.3">
      <c r="A41" s="62" t="s">
        <v>50</v>
      </c>
      <c r="B41" s="63" t="s">
        <v>125</v>
      </c>
      <c r="C41" s="63" t="s">
        <v>126</v>
      </c>
      <c r="D41" s="63" t="s">
        <v>127</v>
      </c>
      <c r="E41" s="63" t="s">
        <v>128</v>
      </c>
      <c r="F41" s="63" t="s">
        <v>129</v>
      </c>
      <c r="G41" s="63" t="s">
        <v>130</v>
      </c>
      <c r="H41" s="64" t="s">
        <v>131</v>
      </c>
    </row>
    <row r="42" spans="1:8" x14ac:dyDescent="0.25">
      <c r="A42" s="1073" t="s">
        <v>139</v>
      </c>
      <c r="B42" s="146" t="s">
        <v>270</v>
      </c>
      <c r="C42" s="138">
        <v>2373758000</v>
      </c>
      <c r="D42" s="138">
        <v>2373758000</v>
      </c>
      <c r="E42" s="1070">
        <v>0</v>
      </c>
      <c r="F42" s="1070">
        <v>0</v>
      </c>
      <c r="G42" s="1076"/>
      <c r="H42" s="1079"/>
    </row>
    <row r="43" spans="1:8" x14ac:dyDescent="0.25">
      <c r="A43" s="1074"/>
      <c r="B43" s="147" t="s">
        <v>271</v>
      </c>
      <c r="C43" s="137">
        <v>5500000000</v>
      </c>
      <c r="D43" s="137">
        <v>5500000000</v>
      </c>
      <c r="E43" s="1071"/>
      <c r="F43" s="1071"/>
      <c r="G43" s="1077"/>
      <c r="H43" s="1080"/>
    </row>
    <row r="44" spans="1:8" x14ac:dyDescent="0.25">
      <c r="A44" s="1074"/>
      <c r="B44" s="147" t="s">
        <v>272</v>
      </c>
      <c r="C44" s="137">
        <v>13435346000</v>
      </c>
      <c r="D44" s="137">
        <v>13435346000</v>
      </c>
      <c r="E44" s="1071"/>
      <c r="F44" s="1071"/>
      <c r="G44" s="1077"/>
      <c r="H44" s="1080"/>
    </row>
    <row r="45" spans="1:8" x14ac:dyDescent="0.25">
      <c r="A45" s="1074"/>
      <c r="B45" s="147" t="s">
        <v>273</v>
      </c>
      <c r="C45" s="137">
        <v>3186932000</v>
      </c>
      <c r="D45" s="137">
        <v>3186932000</v>
      </c>
      <c r="E45" s="1071"/>
      <c r="F45" s="1071"/>
      <c r="G45" s="1077"/>
      <c r="H45" s="1080"/>
    </row>
    <row r="46" spans="1:8" x14ac:dyDescent="0.25">
      <c r="A46" s="1074"/>
      <c r="B46" s="147" t="s">
        <v>274</v>
      </c>
      <c r="C46" s="137">
        <v>103930000</v>
      </c>
      <c r="D46" s="137">
        <v>103930000</v>
      </c>
      <c r="E46" s="1071"/>
      <c r="F46" s="1071"/>
      <c r="G46" s="1077"/>
      <c r="H46" s="1080"/>
    </row>
    <row r="47" spans="1:8" x14ac:dyDescent="0.25">
      <c r="A47" s="1074"/>
      <c r="B47" s="147" t="s">
        <v>275</v>
      </c>
      <c r="C47" s="137">
        <f>304104000+35002000</f>
        <v>339106000</v>
      </c>
      <c r="D47" s="137">
        <f>304104000+35002000</f>
        <v>339106000</v>
      </c>
      <c r="E47" s="1071"/>
      <c r="F47" s="1071"/>
      <c r="G47" s="1077"/>
      <c r="H47" s="1080"/>
    </row>
    <row r="48" spans="1:8" x14ac:dyDescent="0.25">
      <c r="A48" s="1074"/>
      <c r="B48" s="147" t="s">
        <v>276</v>
      </c>
      <c r="C48" s="137">
        <v>119254000</v>
      </c>
      <c r="D48" s="137">
        <v>119254000</v>
      </c>
      <c r="E48" s="1071"/>
      <c r="F48" s="1071"/>
      <c r="G48" s="1077"/>
      <c r="H48" s="1080"/>
    </row>
    <row r="49" spans="1:8" ht="15.75" thickBot="1" x14ac:dyDescent="0.3">
      <c r="A49" s="1075"/>
      <c r="B49" s="148" t="s">
        <v>277</v>
      </c>
      <c r="C49" s="139">
        <v>298778000</v>
      </c>
      <c r="D49" s="139">
        <v>298778000</v>
      </c>
      <c r="E49" s="1072"/>
      <c r="F49" s="1072"/>
      <c r="G49" s="1078"/>
      <c r="H49" s="1081"/>
    </row>
    <row r="50" spans="1:8" x14ac:dyDescent="0.25">
      <c r="A50" s="39" t="s">
        <v>140</v>
      </c>
      <c r="B50" s="36"/>
      <c r="C50" s="36"/>
      <c r="D50" s="36"/>
      <c r="E50" s="36"/>
      <c r="F50" s="36"/>
      <c r="G50" s="36"/>
      <c r="H50" s="37" t="e">
        <f t="shared" ref="H50:H60" si="0">G50/E50</f>
        <v>#DIV/0!</v>
      </c>
    </row>
    <row r="51" spans="1:8" x14ac:dyDescent="0.25">
      <c r="A51" s="39" t="s">
        <v>141</v>
      </c>
      <c r="B51" s="36"/>
      <c r="C51" s="36"/>
      <c r="D51" s="36"/>
      <c r="E51" s="36"/>
      <c r="F51" s="36"/>
      <c r="G51" s="36"/>
      <c r="H51" s="37" t="e">
        <f t="shared" si="0"/>
        <v>#DIV/0!</v>
      </c>
    </row>
    <row r="52" spans="1:8" x14ac:dyDescent="0.25">
      <c r="A52" s="39" t="s">
        <v>142</v>
      </c>
      <c r="B52" s="36"/>
      <c r="C52" s="36"/>
      <c r="D52" s="36"/>
      <c r="E52" s="36"/>
      <c r="F52" s="36"/>
      <c r="G52" s="36"/>
      <c r="H52" s="37" t="e">
        <f t="shared" si="0"/>
        <v>#DIV/0!</v>
      </c>
    </row>
    <row r="53" spans="1:8" x14ac:dyDescent="0.25">
      <c r="A53" s="39" t="s">
        <v>143</v>
      </c>
      <c r="B53" s="36"/>
      <c r="C53" s="36"/>
      <c r="D53" s="36"/>
      <c r="E53" s="36"/>
      <c r="F53" s="36"/>
      <c r="G53" s="36"/>
      <c r="H53" s="37" t="e">
        <f t="shared" si="0"/>
        <v>#DIV/0!</v>
      </c>
    </row>
    <row r="54" spans="1:8" x14ac:dyDescent="0.25">
      <c r="A54" s="39" t="s">
        <v>144</v>
      </c>
      <c r="B54" s="36"/>
      <c r="C54" s="36"/>
      <c r="D54" s="36"/>
      <c r="E54" s="36"/>
      <c r="F54" s="36"/>
      <c r="G54" s="36"/>
      <c r="H54" s="37" t="e">
        <f t="shared" si="0"/>
        <v>#DIV/0!</v>
      </c>
    </row>
    <row r="55" spans="1:8" x14ac:dyDescent="0.25">
      <c r="A55" s="39" t="s">
        <v>132</v>
      </c>
      <c r="B55" s="36"/>
      <c r="C55" s="36"/>
      <c r="D55" s="36"/>
      <c r="E55" s="36"/>
      <c r="F55" s="36"/>
      <c r="G55" s="36"/>
      <c r="H55" s="37" t="e">
        <f t="shared" si="0"/>
        <v>#DIV/0!</v>
      </c>
    </row>
    <row r="56" spans="1:8" x14ac:dyDescent="0.25">
      <c r="A56" s="39" t="s">
        <v>133</v>
      </c>
      <c r="B56" s="36"/>
      <c r="C56" s="36"/>
      <c r="D56" s="36"/>
      <c r="E56" s="36"/>
      <c r="F56" s="36"/>
      <c r="G56" s="36"/>
      <c r="H56" s="37" t="e">
        <f t="shared" si="0"/>
        <v>#DIV/0!</v>
      </c>
    </row>
    <row r="57" spans="1:8" x14ac:dyDescent="0.25">
      <c r="A57" s="39" t="s">
        <v>134</v>
      </c>
      <c r="B57" s="36"/>
      <c r="C57" s="36"/>
      <c r="D57" s="36"/>
      <c r="E57" s="36"/>
      <c r="F57" s="36"/>
      <c r="G57" s="36"/>
      <c r="H57" s="37" t="e">
        <f t="shared" si="0"/>
        <v>#DIV/0!</v>
      </c>
    </row>
    <row r="58" spans="1:8" x14ac:dyDescent="0.25">
      <c r="A58" s="39" t="s">
        <v>135</v>
      </c>
      <c r="B58" s="36"/>
      <c r="C58" s="36"/>
      <c r="D58" s="36"/>
      <c r="E58" s="36"/>
      <c r="F58" s="36"/>
      <c r="G58" s="36"/>
      <c r="H58" s="37" t="e">
        <f t="shared" si="0"/>
        <v>#DIV/0!</v>
      </c>
    </row>
    <row r="59" spans="1:8" x14ac:dyDescent="0.25">
      <c r="A59" s="39" t="s">
        <v>136</v>
      </c>
      <c r="B59" s="36"/>
      <c r="C59" s="36"/>
      <c r="D59" s="36"/>
      <c r="E59" s="36"/>
      <c r="F59" s="36"/>
      <c r="G59" s="36"/>
      <c r="H59" s="37" t="e">
        <f t="shared" si="0"/>
        <v>#DIV/0!</v>
      </c>
    </row>
    <row r="60" spans="1:8" ht="15.75" thickBot="1" x14ac:dyDescent="0.3">
      <c r="A60" s="40" t="s">
        <v>137</v>
      </c>
      <c r="B60" s="38"/>
      <c r="C60" s="38"/>
      <c r="D60" s="38"/>
      <c r="E60" s="38"/>
      <c r="F60" s="38"/>
      <c r="G60" s="38"/>
      <c r="H60" s="37" t="e">
        <f t="shared" si="0"/>
        <v>#DIV/0!</v>
      </c>
    </row>
    <row r="62" spans="1:8" ht="20.25" hidden="1" x14ac:dyDescent="0.25">
      <c r="A62" s="1024" t="s">
        <v>145</v>
      </c>
      <c r="B62" s="1025"/>
      <c r="C62" s="1025"/>
      <c r="D62" s="1025"/>
      <c r="E62" s="1025"/>
      <c r="F62" s="1025"/>
      <c r="G62" s="1025"/>
      <c r="H62" s="1026"/>
    </row>
    <row r="63" spans="1:8" ht="25.5" hidden="1" x14ac:dyDescent="0.25">
      <c r="A63" s="32" t="s">
        <v>62</v>
      </c>
      <c r="B63" s="33" t="s">
        <v>125</v>
      </c>
      <c r="C63" s="33" t="s">
        <v>126</v>
      </c>
      <c r="D63" s="33" t="s">
        <v>127</v>
      </c>
      <c r="E63" s="33" t="s">
        <v>128</v>
      </c>
      <c r="F63" s="33" t="s">
        <v>129</v>
      </c>
      <c r="G63" s="33" t="s">
        <v>130</v>
      </c>
      <c r="H63" s="34" t="s">
        <v>131</v>
      </c>
    </row>
    <row r="64" spans="1:8" hidden="1" x14ac:dyDescent="0.25">
      <c r="A64" s="39" t="s">
        <v>139</v>
      </c>
      <c r="B64" s="36"/>
      <c r="C64" s="36"/>
      <c r="D64" s="36"/>
      <c r="E64" s="36"/>
      <c r="F64" s="36"/>
      <c r="G64" s="36"/>
      <c r="H64" s="37" t="e">
        <f>G64/E64</f>
        <v>#DIV/0!</v>
      </c>
    </row>
    <row r="65" spans="1:8" hidden="1" x14ac:dyDescent="0.25">
      <c r="A65" s="39" t="s">
        <v>140</v>
      </c>
      <c r="B65" s="36"/>
      <c r="C65" s="36"/>
      <c r="D65" s="36"/>
      <c r="E65" s="36"/>
      <c r="F65" s="36"/>
      <c r="G65" s="36"/>
      <c r="H65" s="37" t="e">
        <f t="shared" ref="H65:H75" si="1">G65/E65</f>
        <v>#DIV/0!</v>
      </c>
    </row>
    <row r="66" spans="1:8" hidden="1" x14ac:dyDescent="0.25">
      <c r="A66" s="39" t="s">
        <v>141</v>
      </c>
      <c r="B66" s="36"/>
      <c r="C66" s="36"/>
      <c r="D66" s="36"/>
      <c r="E66" s="36"/>
      <c r="F66" s="36"/>
      <c r="G66" s="36"/>
      <c r="H66" s="37" t="e">
        <f t="shared" si="1"/>
        <v>#DIV/0!</v>
      </c>
    </row>
    <row r="67" spans="1:8" hidden="1" x14ac:dyDescent="0.25">
      <c r="A67" s="39" t="s">
        <v>142</v>
      </c>
      <c r="B67" s="36"/>
      <c r="C67" s="36"/>
      <c r="D67" s="36"/>
      <c r="E67" s="36"/>
      <c r="F67" s="36"/>
      <c r="G67" s="36"/>
      <c r="H67" s="37" t="e">
        <f t="shared" si="1"/>
        <v>#DIV/0!</v>
      </c>
    </row>
    <row r="68" spans="1:8" hidden="1" x14ac:dyDescent="0.25">
      <c r="A68" s="39" t="s">
        <v>143</v>
      </c>
      <c r="B68" s="36"/>
      <c r="C68" s="36"/>
      <c r="D68" s="36"/>
      <c r="E68" s="36"/>
      <c r="F68" s="36"/>
      <c r="G68" s="36"/>
      <c r="H68" s="37" t="e">
        <f t="shared" si="1"/>
        <v>#DIV/0!</v>
      </c>
    </row>
    <row r="69" spans="1:8" hidden="1" x14ac:dyDescent="0.25">
      <c r="A69" s="39" t="s">
        <v>144</v>
      </c>
      <c r="B69" s="36"/>
      <c r="C69" s="36"/>
      <c r="D69" s="36"/>
      <c r="E69" s="36"/>
      <c r="F69" s="36"/>
      <c r="G69" s="36"/>
      <c r="H69" s="37" t="e">
        <f t="shared" si="1"/>
        <v>#DIV/0!</v>
      </c>
    </row>
    <row r="70" spans="1:8" hidden="1" x14ac:dyDescent="0.25">
      <c r="A70" s="39" t="s">
        <v>132</v>
      </c>
      <c r="B70" s="36"/>
      <c r="C70" s="36"/>
      <c r="D70" s="36"/>
      <c r="E70" s="36"/>
      <c r="F70" s="36"/>
      <c r="G70" s="36"/>
      <c r="H70" s="37" t="e">
        <f t="shared" si="1"/>
        <v>#DIV/0!</v>
      </c>
    </row>
    <row r="71" spans="1:8" hidden="1" x14ac:dyDescent="0.25">
      <c r="A71" s="39" t="s">
        <v>133</v>
      </c>
      <c r="B71" s="36"/>
      <c r="C71" s="36"/>
      <c r="D71" s="36"/>
      <c r="E71" s="36"/>
      <c r="F71" s="36"/>
      <c r="G71" s="36"/>
      <c r="H71" s="37" t="e">
        <f t="shared" si="1"/>
        <v>#DIV/0!</v>
      </c>
    </row>
    <row r="72" spans="1:8" hidden="1" x14ac:dyDescent="0.25">
      <c r="A72" s="39" t="s">
        <v>134</v>
      </c>
      <c r="B72" s="36"/>
      <c r="C72" s="36"/>
      <c r="D72" s="36"/>
      <c r="E72" s="36"/>
      <c r="F72" s="36"/>
      <c r="G72" s="36"/>
      <c r="H72" s="37" t="e">
        <f t="shared" si="1"/>
        <v>#DIV/0!</v>
      </c>
    </row>
    <row r="73" spans="1:8" hidden="1" x14ac:dyDescent="0.25">
      <c r="A73" s="39" t="s">
        <v>135</v>
      </c>
      <c r="B73" s="36"/>
      <c r="C73" s="36"/>
      <c r="D73" s="36"/>
      <c r="E73" s="36"/>
      <c r="F73" s="36"/>
      <c r="G73" s="36"/>
      <c r="H73" s="37" t="e">
        <f t="shared" si="1"/>
        <v>#DIV/0!</v>
      </c>
    </row>
    <row r="74" spans="1:8" hidden="1" x14ac:dyDescent="0.25">
      <c r="A74" s="39" t="s">
        <v>136</v>
      </c>
      <c r="B74" s="36"/>
      <c r="C74" s="36"/>
      <c r="D74" s="36"/>
      <c r="E74" s="36"/>
      <c r="F74" s="36"/>
      <c r="G74" s="36"/>
      <c r="H74" s="37" t="e">
        <f t="shared" si="1"/>
        <v>#DIV/0!</v>
      </c>
    </row>
    <row r="75" spans="1:8" ht="15.75" hidden="1" thickBot="1" x14ac:dyDescent="0.3">
      <c r="A75" s="40" t="s">
        <v>137</v>
      </c>
      <c r="B75" s="38"/>
      <c r="C75" s="38"/>
      <c r="D75" s="38"/>
      <c r="E75" s="38"/>
      <c r="F75" s="38"/>
      <c r="G75" s="38"/>
      <c r="H75" s="37" t="e">
        <f t="shared" si="1"/>
        <v>#DIV/0!</v>
      </c>
    </row>
    <row r="77" spans="1:8" ht="20.25" hidden="1" x14ac:dyDescent="0.25">
      <c r="A77" s="1024" t="s">
        <v>146</v>
      </c>
      <c r="B77" s="1025"/>
      <c r="C77" s="1025"/>
      <c r="D77" s="1025"/>
      <c r="E77" s="1025"/>
      <c r="F77" s="1025"/>
      <c r="G77" s="1025"/>
      <c r="H77" s="1026"/>
    </row>
    <row r="78" spans="1:8" ht="25.5" hidden="1" x14ac:dyDescent="0.25">
      <c r="A78" s="32" t="s">
        <v>63</v>
      </c>
      <c r="B78" s="33" t="s">
        <v>125</v>
      </c>
      <c r="C78" s="33" t="s">
        <v>126</v>
      </c>
      <c r="D78" s="33" t="s">
        <v>127</v>
      </c>
      <c r="E78" s="33" t="s">
        <v>128</v>
      </c>
      <c r="F78" s="33" t="s">
        <v>129</v>
      </c>
      <c r="G78" s="33" t="s">
        <v>130</v>
      </c>
      <c r="H78" s="34" t="s">
        <v>131</v>
      </c>
    </row>
    <row r="79" spans="1:8" hidden="1" x14ac:dyDescent="0.25">
      <c r="A79" s="39" t="s">
        <v>139</v>
      </c>
      <c r="B79" s="36"/>
      <c r="C79" s="36"/>
      <c r="D79" s="36"/>
      <c r="E79" s="36"/>
      <c r="F79" s="36"/>
      <c r="G79" s="36"/>
      <c r="H79" s="37" t="e">
        <f>G79/E79</f>
        <v>#DIV/0!</v>
      </c>
    </row>
    <row r="80" spans="1:8" hidden="1" x14ac:dyDescent="0.25">
      <c r="A80" s="39" t="s">
        <v>140</v>
      </c>
      <c r="B80" s="36"/>
      <c r="C80" s="36"/>
      <c r="D80" s="36"/>
      <c r="E80" s="36"/>
      <c r="F80" s="36"/>
      <c r="G80" s="36"/>
      <c r="H80" s="37" t="e">
        <f t="shared" ref="H80:H90" si="2">G80/E80</f>
        <v>#DIV/0!</v>
      </c>
    </row>
    <row r="81" spans="1:8" hidden="1" x14ac:dyDescent="0.25">
      <c r="A81" s="39" t="s">
        <v>141</v>
      </c>
      <c r="B81" s="36"/>
      <c r="C81" s="36"/>
      <c r="D81" s="36"/>
      <c r="E81" s="36"/>
      <c r="F81" s="36"/>
      <c r="G81" s="36"/>
      <c r="H81" s="37" t="e">
        <f t="shared" si="2"/>
        <v>#DIV/0!</v>
      </c>
    </row>
    <row r="82" spans="1:8" hidden="1" x14ac:dyDescent="0.25">
      <c r="A82" s="39" t="s">
        <v>142</v>
      </c>
      <c r="B82" s="36"/>
      <c r="C82" s="36"/>
      <c r="D82" s="36"/>
      <c r="E82" s="36"/>
      <c r="F82" s="36"/>
      <c r="G82" s="36"/>
      <c r="H82" s="37" t="e">
        <f t="shared" si="2"/>
        <v>#DIV/0!</v>
      </c>
    </row>
    <row r="83" spans="1:8" hidden="1" x14ac:dyDescent="0.25">
      <c r="A83" s="39" t="s">
        <v>143</v>
      </c>
      <c r="B83" s="36"/>
      <c r="C83" s="36"/>
      <c r="D83" s="36"/>
      <c r="E83" s="36"/>
      <c r="F83" s="36"/>
      <c r="G83" s="36"/>
      <c r="H83" s="37" t="e">
        <f t="shared" si="2"/>
        <v>#DIV/0!</v>
      </c>
    </row>
    <row r="84" spans="1:8" hidden="1" x14ac:dyDescent="0.25">
      <c r="A84" s="39" t="s">
        <v>144</v>
      </c>
      <c r="B84" s="36"/>
      <c r="C84" s="36"/>
      <c r="D84" s="36"/>
      <c r="E84" s="36"/>
      <c r="F84" s="36"/>
      <c r="G84" s="36"/>
      <c r="H84" s="37" t="e">
        <f t="shared" si="2"/>
        <v>#DIV/0!</v>
      </c>
    </row>
    <row r="85" spans="1:8" hidden="1" x14ac:dyDescent="0.25">
      <c r="A85" s="39" t="s">
        <v>132</v>
      </c>
      <c r="B85" s="36"/>
      <c r="C85" s="36"/>
      <c r="D85" s="36"/>
      <c r="E85" s="36"/>
      <c r="F85" s="36"/>
      <c r="G85" s="36"/>
      <c r="H85" s="37" t="e">
        <f t="shared" si="2"/>
        <v>#DIV/0!</v>
      </c>
    </row>
    <row r="86" spans="1:8" hidden="1" x14ac:dyDescent="0.25">
      <c r="A86" s="39" t="s">
        <v>133</v>
      </c>
      <c r="B86" s="36"/>
      <c r="C86" s="36"/>
      <c r="D86" s="36"/>
      <c r="E86" s="36"/>
      <c r="F86" s="36"/>
      <c r="G86" s="36"/>
      <c r="H86" s="37" t="e">
        <f t="shared" si="2"/>
        <v>#DIV/0!</v>
      </c>
    </row>
    <row r="87" spans="1:8" hidden="1" x14ac:dyDescent="0.25">
      <c r="A87" s="39" t="s">
        <v>134</v>
      </c>
      <c r="B87" s="36"/>
      <c r="C87" s="36"/>
      <c r="D87" s="36"/>
      <c r="E87" s="36"/>
      <c r="F87" s="36"/>
      <c r="G87" s="36"/>
      <c r="H87" s="37" t="e">
        <f t="shared" si="2"/>
        <v>#DIV/0!</v>
      </c>
    </row>
    <row r="88" spans="1:8" hidden="1" x14ac:dyDescent="0.25">
      <c r="A88" s="39" t="s">
        <v>135</v>
      </c>
      <c r="B88" s="36"/>
      <c r="C88" s="36"/>
      <c r="D88" s="36"/>
      <c r="E88" s="36"/>
      <c r="F88" s="36"/>
      <c r="G88" s="36"/>
      <c r="H88" s="37" t="e">
        <f t="shared" si="2"/>
        <v>#DIV/0!</v>
      </c>
    </row>
    <row r="89" spans="1:8" hidden="1" x14ac:dyDescent="0.25">
      <c r="A89" s="39" t="s">
        <v>136</v>
      </c>
      <c r="B89" s="36"/>
      <c r="C89" s="36"/>
      <c r="D89" s="36"/>
      <c r="E89" s="36"/>
      <c r="F89" s="36"/>
      <c r="G89" s="36"/>
      <c r="H89" s="37" t="e">
        <f t="shared" si="2"/>
        <v>#DIV/0!</v>
      </c>
    </row>
    <row r="90" spans="1:8" ht="15.75" hidden="1" thickBot="1" x14ac:dyDescent="0.3">
      <c r="A90" s="40" t="s">
        <v>137</v>
      </c>
      <c r="B90" s="38"/>
      <c r="C90" s="38"/>
      <c r="D90" s="38"/>
      <c r="E90" s="38"/>
      <c r="F90" s="38"/>
      <c r="G90" s="38"/>
      <c r="H90" s="37" t="e">
        <f t="shared" si="2"/>
        <v>#DIV/0!</v>
      </c>
    </row>
    <row r="91" spans="1:8" ht="15.75" hidden="1" thickBot="1" x14ac:dyDescent="0.3"/>
    <row r="92" spans="1:8" ht="20.25" hidden="1" x14ac:dyDescent="0.25">
      <c r="A92" s="1024" t="s">
        <v>147</v>
      </c>
      <c r="B92" s="1025"/>
      <c r="C92" s="1025"/>
      <c r="D92" s="1025"/>
      <c r="E92" s="1025"/>
      <c r="F92" s="1025"/>
      <c r="G92" s="1025"/>
      <c r="H92" s="1026"/>
    </row>
    <row r="93" spans="1:8" ht="25.5" hidden="1" x14ac:dyDescent="0.25">
      <c r="A93" s="32" t="s">
        <v>64</v>
      </c>
      <c r="B93" s="33" t="s">
        <v>125</v>
      </c>
      <c r="C93" s="33" t="s">
        <v>126</v>
      </c>
      <c r="D93" s="33" t="s">
        <v>127</v>
      </c>
      <c r="E93" s="33" t="s">
        <v>128</v>
      </c>
      <c r="F93" s="33" t="s">
        <v>129</v>
      </c>
      <c r="G93" s="33" t="s">
        <v>130</v>
      </c>
      <c r="H93" s="34" t="s">
        <v>131</v>
      </c>
    </row>
    <row r="94" spans="1:8" hidden="1" x14ac:dyDescent="0.25">
      <c r="A94" s="39" t="s">
        <v>139</v>
      </c>
      <c r="B94" s="36"/>
      <c r="C94" s="36"/>
      <c r="D94" s="36"/>
      <c r="E94" s="36"/>
      <c r="F94" s="36"/>
      <c r="G94" s="36"/>
      <c r="H94" s="37" t="e">
        <f>G94/E94</f>
        <v>#DIV/0!</v>
      </c>
    </row>
    <row r="95" spans="1:8" hidden="1" x14ac:dyDescent="0.25">
      <c r="A95" s="39" t="s">
        <v>140</v>
      </c>
      <c r="B95" s="36"/>
      <c r="C95" s="36"/>
      <c r="D95" s="36"/>
      <c r="E95" s="36"/>
      <c r="F95" s="36"/>
      <c r="G95" s="36"/>
      <c r="H95" s="37" t="e">
        <f t="shared" ref="H95:H105" si="3">G95/E95</f>
        <v>#DIV/0!</v>
      </c>
    </row>
    <row r="96" spans="1:8" hidden="1" x14ac:dyDescent="0.25">
      <c r="A96" s="39" t="s">
        <v>141</v>
      </c>
      <c r="B96" s="36"/>
      <c r="C96" s="36"/>
      <c r="D96" s="36"/>
      <c r="E96" s="36"/>
      <c r="F96" s="36"/>
      <c r="G96" s="36"/>
      <c r="H96" s="37" t="e">
        <f t="shared" si="3"/>
        <v>#DIV/0!</v>
      </c>
    </row>
    <row r="97" spans="1:17" hidden="1" x14ac:dyDescent="0.25">
      <c r="A97" s="39" t="s">
        <v>142</v>
      </c>
      <c r="B97" s="36"/>
      <c r="C97" s="36"/>
      <c r="D97" s="36"/>
      <c r="E97" s="36"/>
      <c r="F97" s="36"/>
      <c r="G97" s="36"/>
      <c r="H97" s="37" t="e">
        <f t="shared" si="3"/>
        <v>#DIV/0!</v>
      </c>
    </row>
    <row r="98" spans="1:17" hidden="1" x14ac:dyDescent="0.25">
      <c r="A98" s="39" t="s">
        <v>143</v>
      </c>
      <c r="B98" s="36"/>
      <c r="C98" s="36"/>
      <c r="D98" s="36"/>
      <c r="E98" s="36"/>
      <c r="F98" s="36"/>
      <c r="G98" s="36"/>
      <c r="H98" s="37" t="e">
        <f t="shared" si="3"/>
        <v>#DIV/0!</v>
      </c>
    </row>
    <row r="99" spans="1:17" hidden="1" x14ac:dyDescent="0.25">
      <c r="A99" s="39" t="s">
        <v>144</v>
      </c>
      <c r="B99" s="36"/>
      <c r="C99" s="36"/>
      <c r="D99" s="36"/>
      <c r="E99" s="36"/>
      <c r="F99" s="36"/>
      <c r="G99" s="36"/>
      <c r="H99" s="37" t="e">
        <f t="shared" si="3"/>
        <v>#DIV/0!</v>
      </c>
    </row>
    <row r="100" spans="1:17" hidden="1" x14ac:dyDescent="0.25">
      <c r="A100" s="39" t="s">
        <v>132</v>
      </c>
      <c r="B100" s="36"/>
      <c r="C100" s="36"/>
      <c r="D100" s="36"/>
      <c r="E100" s="36"/>
      <c r="F100" s="36"/>
      <c r="G100" s="36"/>
      <c r="H100" s="37" t="e">
        <f t="shared" si="3"/>
        <v>#DIV/0!</v>
      </c>
    </row>
    <row r="101" spans="1:17" hidden="1" x14ac:dyDescent="0.25">
      <c r="A101" s="39" t="s">
        <v>133</v>
      </c>
      <c r="B101" s="36"/>
      <c r="C101" s="36"/>
      <c r="D101" s="36"/>
      <c r="E101" s="36"/>
      <c r="F101" s="36"/>
      <c r="G101" s="36"/>
      <c r="H101" s="37" t="e">
        <f t="shared" si="3"/>
        <v>#DIV/0!</v>
      </c>
    </row>
    <row r="102" spans="1:17" hidden="1" x14ac:dyDescent="0.25">
      <c r="A102" s="39" t="s">
        <v>134</v>
      </c>
      <c r="B102" s="36"/>
      <c r="C102" s="36"/>
      <c r="D102" s="36"/>
      <c r="E102" s="36"/>
      <c r="F102" s="36"/>
      <c r="G102" s="36"/>
      <c r="H102" s="37" t="e">
        <f t="shared" si="3"/>
        <v>#DIV/0!</v>
      </c>
    </row>
    <row r="103" spans="1:17" hidden="1" x14ac:dyDescent="0.25">
      <c r="A103" s="39" t="s">
        <v>135</v>
      </c>
      <c r="B103" s="36"/>
      <c r="C103" s="36"/>
      <c r="D103" s="36"/>
      <c r="E103" s="36"/>
      <c r="F103" s="36"/>
      <c r="G103" s="36"/>
      <c r="H103" s="37" t="e">
        <f t="shared" si="3"/>
        <v>#DIV/0!</v>
      </c>
    </row>
    <row r="104" spans="1:17" hidden="1" x14ac:dyDescent="0.25">
      <c r="A104" s="39" t="s">
        <v>136</v>
      </c>
      <c r="B104" s="36"/>
      <c r="C104" s="36"/>
      <c r="D104" s="36"/>
      <c r="E104" s="36"/>
      <c r="F104" s="36"/>
      <c r="G104" s="36"/>
      <c r="H104" s="37" t="e">
        <f t="shared" si="3"/>
        <v>#DIV/0!</v>
      </c>
    </row>
    <row r="105" spans="1:17" ht="15.75" hidden="1" thickBot="1" x14ac:dyDescent="0.3">
      <c r="A105" s="40" t="s">
        <v>137</v>
      </c>
      <c r="B105" s="38"/>
      <c r="C105" s="38"/>
      <c r="D105" s="38"/>
      <c r="E105" s="38"/>
      <c r="F105" s="38"/>
      <c r="G105" s="38"/>
      <c r="H105" s="37" t="e">
        <f t="shared" si="3"/>
        <v>#DIV/0!</v>
      </c>
    </row>
    <row r="107" spans="1:17" ht="21" hidden="1" thickBot="1" x14ac:dyDescent="0.3">
      <c r="A107" s="1027" t="s">
        <v>148</v>
      </c>
      <c r="B107" s="1028"/>
      <c r="C107" s="1109"/>
      <c r="D107" s="1109"/>
      <c r="E107" s="1109"/>
      <c r="F107" s="1109"/>
      <c r="G107" s="1109"/>
      <c r="H107" s="1109"/>
      <c r="I107" s="1109"/>
      <c r="J107" s="1109"/>
      <c r="K107" s="1109"/>
      <c r="L107" s="1109"/>
      <c r="M107" s="1109"/>
      <c r="N107" s="1110"/>
    </row>
    <row r="108" spans="1:17" ht="38.25" hidden="1" x14ac:dyDescent="0.25">
      <c r="A108" s="32" t="s">
        <v>49</v>
      </c>
      <c r="B108" s="88" t="s">
        <v>149</v>
      </c>
      <c r="C108" s="87" t="s">
        <v>150</v>
      </c>
      <c r="D108" s="59" t="s">
        <v>151</v>
      </c>
      <c r="E108" s="59" t="s">
        <v>152</v>
      </c>
      <c r="F108" s="59" t="s">
        <v>153</v>
      </c>
      <c r="G108" s="59" t="s">
        <v>154</v>
      </c>
      <c r="H108" s="59" t="s">
        <v>155</v>
      </c>
      <c r="I108" s="59" t="s">
        <v>156</v>
      </c>
      <c r="J108" s="60" t="s">
        <v>157</v>
      </c>
      <c r="K108" s="59" t="s">
        <v>158</v>
      </c>
      <c r="L108" s="59" t="s">
        <v>159</v>
      </c>
      <c r="M108" s="59" t="s">
        <v>160</v>
      </c>
      <c r="N108" s="61" t="s">
        <v>161</v>
      </c>
      <c r="Q108" s="103">
        <f>J114-J113</f>
        <v>9.9999999999999978E-2</v>
      </c>
    </row>
    <row r="109" spans="1:17" hidden="1" x14ac:dyDescent="0.25">
      <c r="A109" s="35" t="s">
        <v>132</v>
      </c>
      <c r="B109" s="1103" t="s">
        <v>217</v>
      </c>
      <c r="C109" s="1106" t="s">
        <v>218</v>
      </c>
      <c r="D109" s="1111" t="s">
        <v>223</v>
      </c>
      <c r="E109" s="1097" t="s">
        <v>219</v>
      </c>
      <c r="F109" s="1102">
        <v>100</v>
      </c>
      <c r="G109" s="1102">
        <v>8</v>
      </c>
      <c r="H109" s="20">
        <v>1</v>
      </c>
      <c r="I109" s="36"/>
      <c r="J109" s="36">
        <f>I109/H109</f>
        <v>0</v>
      </c>
      <c r="K109" s="36"/>
      <c r="L109" s="36"/>
      <c r="M109" s="85" t="s">
        <v>71</v>
      </c>
      <c r="N109" s="37"/>
      <c r="O109" s="99">
        <f t="shared" ref="O109:O114" si="4">LEN(N109)</f>
        <v>0</v>
      </c>
    </row>
    <row r="110" spans="1:17" hidden="1" x14ac:dyDescent="0.25">
      <c r="A110" s="35" t="s">
        <v>133</v>
      </c>
      <c r="B110" s="1104"/>
      <c r="C110" s="1107"/>
      <c r="D110" s="1086"/>
      <c r="E110" s="1086"/>
      <c r="F110" s="1077"/>
      <c r="G110" s="1077"/>
      <c r="H110" s="20">
        <v>1</v>
      </c>
      <c r="I110" s="36"/>
      <c r="J110" s="36">
        <f>I110/H110</f>
        <v>0</v>
      </c>
      <c r="K110" s="36"/>
      <c r="L110" s="36"/>
      <c r="M110" s="85" t="s">
        <v>71</v>
      </c>
      <c r="N110" s="37"/>
      <c r="O110" s="99">
        <f t="shared" si="4"/>
        <v>0</v>
      </c>
    </row>
    <row r="111" spans="1:17" hidden="1" x14ac:dyDescent="0.25">
      <c r="A111" s="35" t="s">
        <v>134</v>
      </c>
      <c r="B111" s="1104"/>
      <c r="C111" s="1107"/>
      <c r="D111" s="1086"/>
      <c r="E111" s="1086"/>
      <c r="F111" s="1077"/>
      <c r="G111" s="1077"/>
      <c r="H111" s="20">
        <v>1</v>
      </c>
      <c r="I111" s="36"/>
      <c r="J111" s="36">
        <f>I111/H111</f>
        <v>0</v>
      </c>
      <c r="K111" s="36"/>
      <c r="L111" s="36"/>
      <c r="M111" s="85" t="s">
        <v>71</v>
      </c>
      <c r="N111" s="37"/>
      <c r="O111" s="99">
        <f t="shared" si="4"/>
        <v>0</v>
      </c>
    </row>
    <row r="112" spans="1:17" s="71" customFormat="1" hidden="1" x14ac:dyDescent="0.25">
      <c r="A112" s="72" t="s">
        <v>135</v>
      </c>
      <c r="B112" s="1104"/>
      <c r="C112" s="1107"/>
      <c r="D112" s="1086"/>
      <c r="E112" s="1086"/>
      <c r="F112" s="1077"/>
      <c r="G112" s="1077"/>
      <c r="H112" s="20">
        <v>1</v>
      </c>
      <c r="I112" s="94">
        <v>0.4</v>
      </c>
      <c r="J112" s="104">
        <f>I112/H112</f>
        <v>0.4</v>
      </c>
      <c r="K112" s="94"/>
      <c r="L112" s="94"/>
      <c r="M112" s="20" t="s">
        <v>71</v>
      </c>
      <c r="N112" s="129" t="s">
        <v>249</v>
      </c>
      <c r="O112" s="99">
        <f t="shared" si="4"/>
        <v>190</v>
      </c>
    </row>
    <row r="113" spans="1:15" hidden="1" x14ac:dyDescent="0.25">
      <c r="A113" s="35" t="s">
        <v>136</v>
      </c>
      <c r="B113" s="1104"/>
      <c r="C113" s="1107"/>
      <c r="D113" s="1086"/>
      <c r="E113" s="1086"/>
      <c r="F113" s="1077"/>
      <c r="G113" s="1077"/>
      <c r="H113" s="20">
        <v>1</v>
      </c>
      <c r="I113" s="36">
        <v>0.9</v>
      </c>
      <c r="J113" s="105">
        <f>+I113</f>
        <v>0.9</v>
      </c>
      <c r="K113" s="36"/>
      <c r="L113" s="36"/>
      <c r="M113" s="85" t="s">
        <v>71</v>
      </c>
      <c r="N113" s="37" t="s">
        <v>258</v>
      </c>
      <c r="O113" s="99">
        <f t="shared" si="4"/>
        <v>199</v>
      </c>
    </row>
    <row r="114" spans="1:15" ht="15.75" hidden="1" thickBot="1" x14ac:dyDescent="0.3">
      <c r="A114" s="106" t="s">
        <v>137</v>
      </c>
      <c r="B114" s="1105"/>
      <c r="C114" s="1108"/>
      <c r="D114" s="1087"/>
      <c r="E114" s="1087"/>
      <c r="F114" s="1078"/>
      <c r="G114" s="1078"/>
      <c r="H114" s="107">
        <v>1</v>
      </c>
      <c r="I114" s="108">
        <v>1</v>
      </c>
      <c r="J114" s="109">
        <v>1</v>
      </c>
      <c r="K114" s="108"/>
      <c r="L114" s="108"/>
      <c r="M114" s="110" t="s">
        <v>71</v>
      </c>
      <c r="N114" s="111" t="s">
        <v>259</v>
      </c>
      <c r="O114" s="99">
        <f t="shared" si="4"/>
        <v>193</v>
      </c>
    </row>
    <row r="115" spans="1:15" hidden="1" x14ac:dyDescent="0.25">
      <c r="A115" s="57"/>
      <c r="B115" s="100"/>
      <c r="C115" s="100"/>
      <c r="D115" s="100"/>
      <c r="E115" s="100"/>
      <c r="F115" s="3"/>
      <c r="G115" s="3"/>
      <c r="H115" s="3"/>
      <c r="O115" s="100"/>
    </row>
    <row r="116" spans="1:15" ht="15.75" hidden="1" thickBot="1" x14ac:dyDescent="0.3">
      <c r="A116" s="57"/>
      <c r="B116" s="100"/>
      <c r="C116" s="100"/>
      <c r="D116" s="100"/>
      <c r="E116" s="100"/>
      <c r="F116" s="3"/>
      <c r="G116" s="3"/>
      <c r="H116" s="3"/>
      <c r="O116" s="100"/>
    </row>
    <row r="117" spans="1:15" ht="38.25" hidden="1" x14ac:dyDescent="0.25">
      <c r="A117" s="58" t="s">
        <v>49</v>
      </c>
      <c r="B117" s="86" t="s">
        <v>149</v>
      </c>
      <c r="C117" s="87" t="s">
        <v>150</v>
      </c>
      <c r="D117" s="59" t="s">
        <v>151</v>
      </c>
      <c r="E117" s="59" t="s">
        <v>152</v>
      </c>
      <c r="F117" s="59" t="s">
        <v>153</v>
      </c>
      <c r="G117" s="59" t="s">
        <v>154</v>
      </c>
      <c r="H117" s="59" t="s">
        <v>155</v>
      </c>
      <c r="I117" s="59" t="s">
        <v>156</v>
      </c>
      <c r="J117" s="60" t="s">
        <v>157</v>
      </c>
      <c r="K117" s="59" t="s">
        <v>158</v>
      </c>
      <c r="L117" s="59" t="s">
        <v>159</v>
      </c>
      <c r="M117" s="59" t="s">
        <v>160</v>
      </c>
      <c r="N117" s="61" t="s">
        <v>161</v>
      </c>
      <c r="O117" s="100"/>
    </row>
    <row r="118" spans="1:15" hidden="1" x14ac:dyDescent="0.25">
      <c r="A118" s="35" t="s">
        <v>132</v>
      </c>
      <c r="B118" s="1103" t="s">
        <v>220</v>
      </c>
      <c r="C118" s="1106" t="s">
        <v>221</v>
      </c>
      <c r="D118" s="1097" t="s">
        <v>222</v>
      </c>
      <c r="E118" s="1097" t="s">
        <v>224</v>
      </c>
      <c r="F118" s="1102">
        <v>100</v>
      </c>
      <c r="G118" s="1102">
        <v>370</v>
      </c>
      <c r="H118" s="20">
        <v>5</v>
      </c>
      <c r="I118" s="36"/>
      <c r="J118" s="36">
        <f t="shared" ref="J118:J123" si="5">I118/H118</f>
        <v>0</v>
      </c>
      <c r="K118" s="36"/>
      <c r="L118" s="36"/>
      <c r="M118" s="85" t="s">
        <v>71</v>
      </c>
      <c r="N118" s="37"/>
      <c r="O118" s="99">
        <f t="shared" ref="O118:O123" si="6">LEN(N118)</f>
        <v>0</v>
      </c>
    </row>
    <row r="119" spans="1:15" hidden="1" x14ac:dyDescent="0.25">
      <c r="A119" s="35" t="s">
        <v>133</v>
      </c>
      <c r="B119" s="1104"/>
      <c r="C119" s="1107"/>
      <c r="D119" s="1086"/>
      <c r="E119" s="1086"/>
      <c r="F119" s="1077"/>
      <c r="G119" s="1077"/>
      <c r="H119" s="20">
        <v>5</v>
      </c>
      <c r="I119" s="36"/>
      <c r="J119" s="36">
        <f t="shared" si="5"/>
        <v>0</v>
      </c>
      <c r="K119" s="36"/>
      <c r="L119" s="36"/>
      <c r="M119" s="85" t="s">
        <v>71</v>
      </c>
      <c r="N119" s="37"/>
      <c r="O119" s="99">
        <f t="shared" si="6"/>
        <v>0</v>
      </c>
    </row>
    <row r="120" spans="1:15" hidden="1" x14ac:dyDescent="0.25">
      <c r="A120" s="35" t="s">
        <v>134</v>
      </c>
      <c r="B120" s="1104"/>
      <c r="C120" s="1107"/>
      <c r="D120" s="1086"/>
      <c r="E120" s="1086"/>
      <c r="F120" s="1077"/>
      <c r="G120" s="1077"/>
      <c r="H120" s="20">
        <v>5</v>
      </c>
      <c r="I120" s="36"/>
      <c r="J120" s="36">
        <f t="shared" si="5"/>
        <v>0</v>
      </c>
      <c r="K120" s="36"/>
      <c r="L120" s="36"/>
      <c r="M120" s="85" t="s">
        <v>71</v>
      </c>
      <c r="N120" s="37"/>
      <c r="O120" s="99">
        <f t="shared" si="6"/>
        <v>0</v>
      </c>
    </row>
    <row r="121" spans="1:15" s="71" customFormat="1" hidden="1" x14ac:dyDescent="0.25">
      <c r="A121" s="72" t="s">
        <v>135</v>
      </c>
      <c r="B121" s="1104"/>
      <c r="C121" s="1107"/>
      <c r="D121" s="1086"/>
      <c r="E121" s="1086"/>
      <c r="F121" s="1077"/>
      <c r="G121" s="1077"/>
      <c r="H121" s="20">
        <v>5</v>
      </c>
      <c r="I121" s="94">
        <v>1.54</v>
      </c>
      <c r="J121" s="104">
        <f t="shared" si="5"/>
        <v>0.308</v>
      </c>
      <c r="K121" s="94"/>
      <c r="L121" s="94"/>
      <c r="M121" s="20" t="s">
        <v>71</v>
      </c>
      <c r="N121" s="129" t="s">
        <v>244</v>
      </c>
      <c r="O121" s="130">
        <f t="shared" si="6"/>
        <v>200</v>
      </c>
    </row>
    <row r="122" spans="1:15" hidden="1" x14ac:dyDescent="0.25">
      <c r="A122" s="35" t="s">
        <v>136</v>
      </c>
      <c r="B122" s="1104"/>
      <c r="C122" s="1107"/>
      <c r="D122" s="1086"/>
      <c r="E122" s="1086"/>
      <c r="F122" s="1077"/>
      <c r="G122" s="1077"/>
      <c r="H122" s="20">
        <v>5</v>
      </c>
      <c r="I122" s="36">
        <v>2.54</v>
      </c>
      <c r="J122" s="112">
        <f t="shared" si="5"/>
        <v>0.50800000000000001</v>
      </c>
      <c r="K122" s="36"/>
      <c r="L122" s="36"/>
      <c r="M122" s="85" t="s">
        <v>71</v>
      </c>
      <c r="N122" s="37" t="s">
        <v>251</v>
      </c>
      <c r="O122" s="99">
        <f t="shared" si="6"/>
        <v>121</v>
      </c>
    </row>
    <row r="123" spans="1:15" ht="15.75" hidden="1" thickBot="1" x14ac:dyDescent="0.3">
      <c r="A123" s="106" t="s">
        <v>137</v>
      </c>
      <c r="B123" s="1105"/>
      <c r="C123" s="1108"/>
      <c r="D123" s="1087"/>
      <c r="E123" s="1087"/>
      <c r="F123" s="1078"/>
      <c r="G123" s="1078"/>
      <c r="H123" s="107">
        <v>5</v>
      </c>
      <c r="I123" s="108">
        <v>5.29</v>
      </c>
      <c r="J123" s="113">
        <f t="shared" si="5"/>
        <v>1.0580000000000001</v>
      </c>
      <c r="K123" s="108"/>
      <c r="L123" s="108"/>
      <c r="M123" s="110" t="s">
        <v>71</v>
      </c>
      <c r="N123" s="111" t="s">
        <v>260</v>
      </c>
      <c r="O123" s="99">
        <f t="shared" si="6"/>
        <v>121</v>
      </c>
    </row>
    <row r="124" spans="1:15" hidden="1" x14ac:dyDescent="0.25">
      <c r="A124" s="57"/>
      <c r="B124" s="100"/>
      <c r="C124" s="100"/>
      <c r="D124" s="100"/>
      <c r="E124" s="100"/>
      <c r="F124" s="3"/>
      <c r="G124" s="3"/>
      <c r="H124" s="3"/>
      <c r="O124" s="100"/>
    </row>
    <row r="125" spans="1:15" ht="15.75" hidden="1" thickBot="1" x14ac:dyDescent="0.3">
      <c r="A125" s="57"/>
      <c r="B125" s="100"/>
      <c r="C125" s="100"/>
      <c r="D125" s="100"/>
      <c r="E125" s="100"/>
      <c r="F125" s="3"/>
      <c r="G125" s="3"/>
      <c r="H125" s="3"/>
      <c r="O125" s="100"/>
    </row>
    <row r="126" spans="1:15" ht="38.25" hidden="1" x14ac:dyDescent="0.25">
      <c r="A126" s="58" t="s">
        <v>49</v>
      </c>
      <c r="B126" s="86" t="s">
        <v>149</v>
      </c>
      <c r="C126" s="87" t="s">
        <v>150</v>
      </c>
      <c r="D126" s="59" t="s">
        <v>151</v>
      </c>
      <c r="E126" s="59" t="s">
        <v>152</v>
      </c>
      <c r="F126" s="59" t="s">
        <v>153</v>
      </c>
      <c r="G126" s="59" t="s">
        <v>154</v>
      </c>
      <c r="H126" s="59" t="s">
        <v>155</v>
      </c>
      <c r="I126" s="59" t="s">
        <v>156</v>
      </c>
      <c r="J126" s="60" t="s">
        <v>157</v>
      </c>
      <c r="K126" s="59" t="s">
        <v>158</v>
      </c>
      <c r="L126" s="59" t="s">
        <v>159</v>
      </c>
      <c r="M126" s="59" t="s">
        <v>160</v>
      </c>
      <c r="N126" s="61" t="s">
        <v>161</v>
      </c>
      <c r="O126" s="100"/>
    </row>
    <row r="127" spans="1:15" hidden="1" x14ac:dyDescent="0.25">
      <c r="A127" s="35" t="s">
        <v>132</v>
      </c>
      <c r="B127" s="1103" t="s">
        <v>220</v>
      </c>
      <c r="C127" s="1106" t="s">
        <v>221</v>
      </c>
      <c r="D127" s="1097" t="s">
        <v>225</v>
      </c>
      <c r="E127" s="1097" t="s">
        <v>224</v>
      </c>
      <c r="F127" s="1102">
        <v>100</v>
      </c>
      <c r="G127" s="1102">
        <v>590</v>
      </c>
      <c r="H127" s="20">
        <v>54</v>
      </c>
      <c r="I127" s="36"/>
      <c r="J127" s="36">
        <f t="shared" ref="J127:J132" si="7">I127/H127</f>
        <v>0</v>
      </c>
      <c r="K127" s="36"/>
      <c r="L127" s="36"/>
      <c r="M127" s="85" t="s">
        <v>71</v>
      </c>
      <c r="N127" s="37"/>
      <c r="O127" s="99">
        <f t="shared" ref="O127:O132" si="8">LEN(N127)</f>
        <v>0</v>
      </c>
    </row>
    <row r="128" spans="1:15" hidden="1" x14ac:dyDescent="0.25">
      <c r="A128" s="35" t="s">
        <v>133</v>
      </c>
      <c r="B128" s="1104"/>
      <c r="C128" s="1107"/>
      <c r="D128" s="1086"/>
      <c r="E128" s="1086"/>
      <c r="F128" s="1077"/>
      <c r="G128" s="1077"/>
      <c r="H128" s="20">
        <v>54</v>
      </c>
      <c r="I128" s="36"/>
      <c r="J128" s="36">
        <f t="shared" si="7"/>
        <v>0</v>
      </c>
      <c r="K128" s="36"/>
      <c r="L128" s="36"/>
      <c r="M128" s="85" t="s">
        <v>71</v>
      </c>
      <c r="N128" s="37"/>
      <c r="O128" s="99">
        <f t="shared" si="8"/>
        <v>0</v>
      </c>
    </row>
    <row r="129" spans="1:15" hidden="1" x14ac:dyDescent="0.25">
      <c r="A129" s="35" t="s">
        <v>134</v>
      </c>
      <c r="B129" s="1104"/>
      <c r="C129" s="1107"/>
      <c r="D129" s="1086"/>
      <c r="E129" s="1086"/>
      <c r="F129" s="1077"/>
      <c r="G129" s="1077"/>
      <c r="H129" s="20">
        <v>54</v>
      </c>
      <c r="I129" s="36"/>
      <c r="J129" s="36">
        <f t="shared" si="7"/>
        <v>0</v>
      </c>
      <c r="K129" s="36"/>
      <c r="L129" s="36"/>
      <c r="M129" s="85" t="s">
        <v>71</v>
      </c>
      <c r="N129" s="37"/>
      <c r="O129" s="99">
        <f t="shared" si="8"/>
        <v>0</v>
      </c>
    </row>
    <row r="130" spans="1:15" s="71" customFormat="1" hidden="1" x14ac:dyDescent="0.25">
      <c r="A130" s="72" t="s">
        <v>135</v>
      </c>
      <c r="B130" s="1104"/>
      <c r="C130" s="1107"/>
      <c r="D130" s="1086"/>
      <c r="E130" s="1086"/>
      <c r="F130" s="1077"/>
      <c r="G130" s="1077"/>
      <c r="H130" s="20">
        <v>54</v>
      </c>
      <c r="I130" s="94">
        <v>4.24</v>
      </c>
      <c r="J130" s="104">
        <f t="shared" si="7"/>
        <v>7.8518518518518529E-2</v>
      </c>
      <c r="K130" s="94"/>
      <c r="L130" s="94"/>
      <c r="M130" s="20" t="s">
        <v>71</v>
      </c>
      <c r="N130" s="129" t="s">
        <v>248</v>
      </c>
      <c r="O130" s="130">
        <f t="shared" si="8"/>
        <v>170</v>
      </c>
    </row>
    <row r="131" spans="1:15" hidden="1" x14ac:dyDescent="0.25">
      <c r="A131" s="35" t="s">
        <v>136</v>
      </c>
      <c r="B131" s="1104"/>
      <c r="C131" s="1107"/>
      <c r="D131" s="1086"/>
      <c r="E131" s="1086"/>
      <c r="F131" s="1077"/>
      <c r="G131" s="1077"/>
      <c r="H131" s="20">
        <v>54</v>
      </c>
      <c r="I131" s="36">
        <v>4.8099999999999996</v>
      </c>
      <c r="J131" s="114">
        <f t="shared" si="7"/>
        <v>8.9074074074074069E-2</v>
      </c>
      <c r="K131" s="36"/>
      <c r="L131" s="36"/>
      <c r="M131" s="85" t="s">
        <v>71</v>
      </c>
      <c r="N131" s="37" t="s">
        <v>252</v>
      </c>
      <c r="O131" s="99">
        <f t="shared" si="8"/>
        <v>200</v>
      </c>
    </row>
    <row r="132" spans="1:15" ht="15.75" hidden="1" thickBot="1" x14ac:dyDescent="0.3">
      <c r="A132" s="106" t="s">
        <v>137</v>
      </c>
      <c r="B132" s="1105"/>
      <c r="C132" s="1108"/>
      <c r="D132" s="1087"/>
      <c r="E132" s="1087"/>
      <c r="F132" s="1078"/>
      <c r="G132" s="1078"/>
      <c r="H132" s="107">
        <v>54</v>
      </c>
      <c r="I132" s="108">
        <v>5.24</v>
      </c>
      <c r="J132" s="113">
        <f t="shared" si="7"/>
        <v>9.7037037037037047E-2</v>
      </c>
      <c r="K132" s="108"/>
      <c r="L132" s="108"/>
      <c r="M132" s="110" t="s">
        <v>71</v>
      </c>
      <c r="N132" s="111" t="s">
        <v>261</v>
      </c>
      <c r="O132" s="99">
        <f t="shared" si="8"/>
        <v>198</v>
      </c>
    </row>
    <row r="133" spans="1:15" hidden="1" x14ac:dyDescent="0.25">
      <c r="A133" s="57"/>
      <c r="B133" s="100"/>
      <c r="C133" s="100"/>
      <c r="D133" s="100"/>
      <c r="E133" s="100"/>
      <c r="F133" s="3"/>
      <c r="G133" s="3"/>
      <c r="H133" s="3"/>
      <c r="O133" s="100"/>
    </row>
    <row r="134" spans="1:15" ht="15.75" hidden="1" thickBot="1" x14ac:dyDescent="0.3">
      <c r="A134" s="57"/>
      <c r="B134" s="100"/>
      <c r="C134" s="100"/>
      <c r="D134" s="100"/>
      <c r="E134" s="100"/>
      <c r="F134" s="3"/>
      <c r="G134" s="3"/>
      <c r="H134" s="3"/>
      <c r="O134" s="100"/>
    </row>
    <row r="135" spans="1:15" ht="38.25" hidden="1" x14ac:dyDescent="0.25">
      <c r="A135" s="58" t="s">
        <v>49</v>
      </c>
      <c r="B135" s="59" t="s">
        <v>149</v>
      </c>
      <c r="C135" s="59" t="s">
        <v>150</v>
      </c>
      <c r="D135" s="59" t="s">
        <v>151</v>
      </c>
      <c r="E135" s="59" t="s">
        <v>152</v>
      </c>
      <c r="F135" s="59" t="s">
        <v>153</v>
      </c>
      <c r="G135" s="59" t="s">
        <v>154</v>
      </c>
      <c r="H135" s="59" t="s">
        <v>155</v>
      </c>
      <c r="I135" s="59" t="s">
        <v>156</v>
      </c>
      <c r="J135" s="60" t="s">
        <v>157</v>
      </c>
      <c r="K135" s="59" t="s">
        <v>158</v>
      </c>
      <c r="L135" s="59" t="s">
        <v>159</v>
      </c>
      <c r="M135" s="59" t="s">
        <v>160</v>
      </c>
      <c r="N135" s="61" t="s">
        <v>161</v>
      </c>
      <c r="O135" s="100"/>
    </row>
    <row r="136" spans="1:15" hidden="1" x14ac:dyDescent="0.25">
      <c r="A136" s="35" t="s">
        <v>132</v>
      </c>
      <c r="B136" s="1097" t="s">
        <v>226</v>
      </c>
      <c r="C136" s="1097" t="s">
        <v>227</v>
      </c>
      <c r="D136" s="1097" t="s">
        <v>228</v>
      </c>
      <c r="E136" s="1102" t="s">
        <v>219</v>
      </c>
      <c r="F136" s="1102">
        <v>100</v>
      </c>
      <c r="G136" s="1102">
        <v>4</v>
      </c>
      <c r="H136" s="95">
        <v>0.27</v>
      </c>
      <c r="I136" s="36"/>
      <c r="J136" s="36">
        <f t="shared" ref="J136:J141" si="9">I136/H136</f>
        <v>0</v>
      </c>
      <c r="K136" s="36"/>
      <c r="L136" s="36"/>
      <c r="M136" s="85" t="s">
        <v>71</v>
      </c>
      <c r="N136" s="37"/>
      <c r="O136" s="99">
        <f t="shared" ref="O136:O141" si="10">LEN(N136)</f>
        <v>0</v>
      </c>
    </row>
    <row r="137" spans="1:15" hidden="1" x14ac:dyDescent="0.25">
      <c r="A137" s="35" t="s">
        <v>133</v>
      </c>
      <c r="B137" s="1086"/>
      <c r="C137" s="1086"/>
      <c r="D137" s="1086"/>
      <c r="E137" s="1077"/>
      <c r="F137" s="1077"/>
      <c r="G137" s="1077"/>
      <c r="H137" s="95">
        <v>0.27</v>
      </c>
      <c r="I137" s="36"/>
      <c r="J137" s="36">
        <f t="shared" si="9"/>
        <v>0</v>
      </c>
      <c r="K137" s="36"/>
      <c r="L137" s="36"/>
      <c r="M137" s="85" t="s">
        <v>71</v>
      </c>
      <c r="N137" s="37"/>
      <c r="O137" s="99">
        <f t="shared" si="10"/>
        <v>0</v>
      </c>
    </row>
    <row r="138" spans="1:15" hidden="1" x14ac:dyDescent="0.25">
      <c r="A138" s="35" t="s">
        <v>134</v>
      </c>
      <c r="B138" s="1086"/>
      <c r="C138" s="1086"/>
      <c r="D138" s="1086"/>
      <c r="E138" s="1077"/>
      <c r="F138" s="1077"/>
      <c r="G138" s="1077"/>
      <c r="H138" s="95">
        <v>0.27</v>
      </c>
      <c r="I138" s="36"/>
      <c r="J138" s="36">
        <f t="shared" si="9"/>
        <v>0</v>
      </c>
      <c r="K138" s="36"/>
      <c r="L138" s="36"/>
      <c r="M138" s="85" t="s">
        <v>71</v>
      </c>
      <c r="N138" s="37"/>
      <c r="O138" s="99">
        <f t="shared" si="10"/>
        <v>0</v>
      </c>
    </row>
    <row r="139" spans="1:15" s="71" customFormat="1" hidden="1" x14ac:dyDescent="0.25">
      <c r="A139" s="72" t="s">
        <v>135</v>
      </c>
      <c r="B139" s="1086"/>
      <c r="C139" s="1086"/>
      <c r="D139" s="1086"/>
      <c r="E139" s="1077"/>
      <c r="F139" s="1077"/>
      <c r="G139" s="1077"/>
      <c r="H139" s="95">
        <v>0.27</v>
      </c>
      <c r="I139" s="94">
        <v>0.14000000000000001</v>
      </c>
      <c r="J139" s="104">
        <f t="shared" si="9"/>
        <v>0.51851851851851849</v>
      </c>
      <c r="K139" s="94"/>
      <c r="L139" s="94"/>
      <c r="M139" s="20" t="s">
        <v>71</v>
      </c>
      <c r="N139" s="129" t="s">
        <v>250</v>
      </c>
      <c r="O139" s="130">
        <f t="shared" si="10"/>
        <v>194</v>
      </c>
    </row>
    <row r="140" spans="1:15" hidden="1" x14ac:dyDescent="0.25">
      <c r="A140" s="35" t="s">
        <v>136</v>
      </c>
      <c r="B140" s="1086"/>
      <c r="C140" s="1086"/>
      <c r="D140" s="1086"/>
      <c r="E140" s="1077"/>
      <c r="F140" s="1077"/>
      <c r="G140" s="1077"/>
      <c r="H140" s="95">
        <v>0.27</v>
      </c>
      <c r="I140" s="115">
        <v>0.2</v>
      </c>
      <c r="J140" s="112">
        <f t="shared" si="9"/>
        <v>0.7407407407407407</v>
      </c>
      <c r="K140" s="36"/>
      <c r="L140" s="36"/>
      <c r="M140" s="85" t="s">
        <v>71</v>
      </c>
      <c r="N140" s="37" t="s">
        <v>253</v>
      </c>
      <c r="O140" s="99">
        <f t="shared" si="10"/>
        <v>154</v>
      </c>
    </row>
    <row r="141" spans="1:15" ht="15.75" hidden="1" thickBot="1" x14ac:dyDescent="0.3">
      <c r="A141" s="106" t="s">
        <v>137</v>
      </c>
      <c r="B141" s="1087"/>
      <c r="C141" s="1087"/>
      <c r="D141" s="1087"/>
      <c r="E141" s="1078"/>
      <c r="F141" s="1078"/>
      <c r="G141" s="1078"/>
      <c r="H141" s="107">
        <v>0.27</v>
      </c>
      <c r="I141" s="108">
        <v>0.26</v>
      </c>
      <c r="J141" s="113">
        <f t="shared" si="9"/>
        <v>0.96296296296296291</v>
      </c>
      <c r="K141" s="108"/>
      <c r="L141" s="108"/>
      <c r="M141" s="110" t="s">
        <v>71</v>
      </c>
      <c r="N141" s="111" t="s">
        <v>262</v>
      </c>
      <c r="O141" s="99">
        <f t="shared" si="10"/>
        <v>149</v>
      </c>
    </row>
    <row r="142" spans="1:15" x14ac:dyDescent="0.25">
      <c r="A142" s="57"/>
      <c r="B142" s="100"/>
      <c r="C142" s="100"/>
      <c r="D142" s="100"/>
      <c r="E142" s="3"/>
      <c r="F142" s="3"/>
      <c r="G142" s="3"/>
      <c r="H142" s="3"/>
      <c r="J142" s="131"/>
      <c r="M142" s="15"/>
      <c r="O142" s="100"/>
    </row>
    <row r="143" spans="1:15" ht="15.75" thickBot="1" x14ac:dyDescent="0.3">
      <c r="A143" s="57"/>
      <c r="B143" s="100"/>
      <c r="C143" s="100"/>
      <c r="D143" s="100"/>
      <c r="E143" s="3"/>
      <c r="F143" s="3"/>
      <c r="G143" s="3"/>
      <c r="H143" s="3"/>
      <c r="J143" s="131"/>
      <c r="M143" s="15"/>
      <c r="O143" s="100"/>
    </row>
    <row r="144" spans="1:15" ht="21" thickBot="1" x14ac:dyDescent="0.3">
      <c r="A144" s="1027" t="s">
        <v>269</v>
      </c>
      <c r="B144" s="1028"/>
      <c r="C144" s="1109"/>
      <c r="D144" s="1109"/>
      <c r="E144" s="1109"/>
      <c r="F144" s="1109"/>
      <c r="G144" s="1109"/>
      <c r="H144" s="1109"/>
      <c r="I144" s="1109"/>
      <c r="J144" s="1109"/>
      <c r="K144" s="1109"/>
      <c r="L144" s="1109"/>
      <c r="M144" s="1109"/>
      <c r="N144" s="1110"/>
    </row>
    <row r="145" spans="1:17" ht="38.25" x14ac:dyDescent="0.25">
      <c r="A145" s="32" t="s">
        <v>50</v>
      </c>
      <c r="B145" s="88" t="s">
        <v>149</v>
      </c>
      <c r="C145" s="87" t="s">
        <v>150</v>
      </c>
      <c r="D145" s="59" t="s">
        <v>151</v>
      </c>
      <c r="E145" s="59" t="s">
        <v>152</v>
      </c>
      <c r="F145" s="59" t="s">
        <v>162</v>
      </c>
      <c r="G145" s="59" t="s">
        <v>154</v>
      </c>
      <c r="H145" s="59" t="s">
        <v>163</v>
      </c>
      <c r="I145" s="59" t="s">
        <v>164</v>
      </c>
      <c r="J145" s="60" t="s">
        <v>165</v>
      </c>
      <c r="K145" s="59" t="s">
        <v>158</v>
      </c>
      <c r="L145" s="59" t="s">
        <v>159</v>
      </c>
      <c r="M145" s="59" t="s">
        <v>160</v>
      </c>
      <c r="N145" s="61" t="s">
        <v>161</v>
      </c>
      <c r="Q145" s="103">
        <f>J157-J156</f>
        <v>0</v>
      </c>
    </row>
    <row r="146" spans="1:17" x14ac:dyDescent="0.25">
      <c r="A146" s="155" t="s">
        <v>139</v>
      </c>
      <c r="B146" s="1103" t="s">
        <v>217</v>
      </c>
      <c r="C146" s="1106" t="s">
        <v>218</v>
      </c>
      <c r="D146" s="1111" t="s">
        <v>223</v>
      </c>
      <c r="E146" s="1097" t="s">
        <v>219</v>
      </c>
      <c r="F146" s="1102">
        <v>100</v>
      </c>
      <c r="G146" s="1102">
        <v>8</v>
      </c>
      <c r="H146" s="174">
        <v>2</v>
      </c>
      <c r="I146" s="158">
        <v>0</v>
      </c>
      <c r="J146" s="175">
        <f>I146/H146</f>
        <v>0</v>
      </c>
      <c r="K146" s="158"/>
      <c r="L146" s="158"/>
      <c r="M146" s="176" t="s">
        <v>71</v>
      </c>
      <c r="N146" s="159"/>
      <c r="O146" s="99">
        <f t="shared" ref="O146:O157" si="11">LEN(N146)</f>
        <v>0</v>
      </c>
    </row>
    <row r="147" spans="1:17" x14ac:dyDescent="0.25">
      <c r="A147" s="35" t="s">
        <v>140</v>
      </c>
      <c r="B147" s="1104"/>
      <c r="C147" s="1107"/>
      <c r="D147" s="1149"/>
      <c r="E147" s="1086"/>
      <c r="F147" s="1077"/>
      <c r="G147" s="1077"/>
      <c r="H147" s="20">
        <v>2</v>
      </c>
      <c r="I147" s="36"/>
      <c r="J147" s="153">
        <f t="shared" ref="J147:J157" si="12">I147/H147</f>
        <v>0</v>
      </c>
      <c r="K147" s="36"/>
      <c r="L147" s="36"/>
      <c r="M147" s="85" t="s">
        <v>71</v>
      </c>
      <c r="N147" s="37"/>
      <c r="O147" s="99">
        <f t="shared" si="11"/>
        <v>0</v>
      </c>
    </row>
    <row r="148" spans="1:17" x14ac:dyDescent="0.25">
      <c r="A148" s="35" t="s">
        <v>141</v>
      </c>
      <c r="B148" s="1104"/>
      <c r="C148" s="1107"/>
      <c r="D148" s="1149"/>
      <c r="E148" s="1086"/>
      <c r="F148" s="1077"/>
      <c r="G148" s="1077"/>
      <c r="H148" s="20">
        <v>2</v>
      </c>
      <c r="I148" s="36"/>
      <c r="J148" s="153">
        <f t="shared" si="12"/>
        <v>0</v>
      </c>
      <c r="K148" s="36"/>
      <c r="L148" s="36"/>
      <c r="M148" s="85" t="s">
        <v>71</v>
      </c>
      <c r="N148" s="37"/>
      <c r="O148" s="99">
        <f t="shared" si="11"/>
        <v>0</v>
      </c>
    </row>
    <row r="149" spans="1:17" x14ac:dyDescent="0.25">
      <c r="A149" s="35" t="s">
        <v>142</v>
      </c>
      <c r="B149" s="1104"/>
      <c r="C149" s="1107"/>
      <c r="D149" s="1149"/>
      <c r="E149" s="1086"/>
      <c r="F149" s="1077"/>
      <c r="G149" s="1077"/>
      <c r="H149" s="20">
        <v>2</v>
      </c>
      <c r="I149" s="36"/>
      <c r="J149" s="153">
        <f t="shared" si="12"/>
        <v>0</v>
      </c>
      <c r="K149" s="36"/>
      <c r="L149" s="36"/>
      <c r="M149" s="85" t="s">
        <v>71</v>
      </c>
      <c r="N149" s="37"/>
      <c r="O149" s="99">
        <f t="shared" si="11"/>
        <v>0</v>
      </c>
    </row>
    <row r="150" spans="1:17" x14ac:dyDescent="0.25">
      <c r="A150" s="35" t="s">
        <v>143</v>
      </c>
      <c r="B150" s="1104"/>
      <c r="C150" s="1107"/>
      <c r="D150" s="1149"/>
      <c r="E150" s="1086"/>
      <c r="F150" s="1077"/>
      <c r="G150" s="1077"/>
      <c r="H150" s="20">
        <v>2</v>
      </c>
      <c r="I150" s="36"/>
      <c r="J150" s="153">
        <f t="shared" si="12"/>
        <v>0</v>
      </c>
      <c r="K150" s="36"/>
      <c r="L150" s="36"/>
      <c r="M150" s="85" t="s">
        <v>71</v>
      </c>
      <c r="N150" s="37"/>
      <c r="O150" s="99">
        <f t="shared" si="11"/>
        <v>0</v>
      </c>
    </row>
    <row r="151" spans="1:17" x14ac:dyDescent="0.25">
      <c r="A151" s="35" t="s">
        <v>144</v>
      </c>
      <c r="B151" s="1104"/>
      <c r="C151" s="1107"/>
      <c r="D151" s="1149"/>
      <c r="E151" s="1086"/>
      <c r="F151" s="1077"/>
      <c r="G151" s="1077"/>
      <c r="H151" s="20">
        <v>2</v>
      </c>
      <c r="I151" s="36"/>
      <c r="J151" s="153">
        <f t="shared" si="12"/>
        <v>0</v>
      </c>
      <c r="K151" s="36"/>
      <c r="L151" s="36"/>
      <c r="M151" s="85" t="s">
        <v>71</v>
      </c>
      <c r="N151" s="37"/>
      <c r="O151" s="99">
        <f t="shared" si="11"/>
        <v>0</v>
      </c>
    </row>
    <row r="152" spans="1:17" x14ac:dyDescent="0.25">
      <c r="A152" s="35" t="s">
        <v>132</v>
      </c>
      <c r="B152" s="1104"/>
      <c r="C152" s="1107"/>
      <c r="D152" s="1149"/>
      <c r="E152" s="1086"/>
      <c r="F152" s="1077"/>
      <c r="G152" s="1077"/>
      <c r="H152" s="20">
        <v>2</v>
      </c>
      <c r="I152" s="36"/>
      <c r="J152" s="153">
        <f t="shared" si="12"/>
        <v>0</v>
      </c>
      <c r="K152" s="36"/>
      <c r="L152" s="36"/>
      <c r="M152" s="85" t="s">
        <v>71</v>
      </c>
      <c r="N152" s="37"/>
      <c r="O152" s="99">
        <f t="shared" si="11"/>
        <v>0</v>
      </c>
    </row>
    <row r="153" spans="1:17" x14ac:dyDescent="0.25">
      <c r="A153" s="35" t="s">
        <v>133</v>
      </c>
      <c r="B153" s="1104"/>
      <c r="C153" s="1107"/>
      <c r="D153" s="1086"/>
      <c r="E153" s="1086"/>
      <c r="F153" s="1077"/>
      <c r="G153" s="1077"/>
      <c r="H153" s="20">
        <v>2</v>
      </c>
      <c r="I153" s="36"/>
      <c r="J153" s="153">
        <f t="shared" si="12"/>
        <v>0</v>
      </c>
      <c r="K153" s="36"/>
      <c r="L153" s="36"/>
      <c r="M153" s="85" t="s">
        <v>71</v>
      </c>
      <c r="N153" s="37"/>
      <c r="O153" s="99">
        <f t="shared" si="11"/>
        <v>0</v>
      </c>
    </row>
    <row r="154" spans="1:17" x14ac:dyDescent="0.25">
      <c r="A154" s="35" t="s">
        <v>134</v>
      </c>
      <c r="B154" s="1104"/>
      <c r="C154" s="1107"/>
      <c r="D154" s="1086"/>
      <c r="E154" s="1086"/>
      <c r="F154" s="1077"/>
      <c r="G154" s="1077"/>
      <c r="H154" s="20">
        <v>2</v>
      </c>
      <c r="I154" s="36"/>
      <c r="J154" s="153">
        <f t="shared" si="12"/>
        <v>0</v>
      </c>
      <c r="K154" s="36"/>
      <c r="L154" s="36"/>
      <c r="M154" s="85" t="s">
        <v>71</v>
      </c>
      <c r="N154" s="37"/>
      <c r="O154" s="99">
        <f t="shared" si="11"/>
        <v>0</v>
      </c>
    </row>
    <row r="155" spans="1:17" s="71" customFormat="1" x14ac:dyDescent="0.25">
      <c r="A155" s="72" t="s">
        <v>135</v>
      </c>
      <c r="B155" s="1104"/>
      <c r="C155" s="1107"/>
      <c r="D155" s="1086"/>
      <c r="E155" s="1086"/>
      <c r="F155" s="1077"/>
      <c r="G155" s="1077"/>
      <c r="H155" s="20">
        <v>2</v>
      </c>
      <c r="I155" s="94"/>
      <c r="J155" s="153">
        <f t="shared" si="12"/>
        <v>0</v>
      </c>
      <c r="K155" s="94"/>
      <c r="L155" s="94"/>
      <c r="M155" s="85" t="s">
        <v>71</v>
      </c>
      <c r="N155" s="129"/>
      <c r="O155" s="99">
        <f t="shared" si="11"/>
        <v>0</v>
      </c>
    </row>
    <row r="156" spans="1:17" x14ac:dyDescent="0.25">
      <c r="A156" s="35" t="s">
        <v>136</v>
      </c>
      <c r="B156" s="1104"/>
      <c r="C156" s="1107"/>
      <c r="D156" s="1086"/>
      <c r="E156" s="1086"/>
      <c r="F156" s="1077"/>
      <c r="G156" s="1077"/>
      <c r="H156" s="20">
        <v>2</v>
      </c>
      <c r="I156" s="36"/>
      <c r="J156" s="153">
        <f t="shared" si="12"/>
        <v>0</v>
      </c>
      <c r="K156" s="36"/>
      <c r="L156" s="36"/>
      <c r="M156" s="85" t="s">
        <v>71</v>
      </c>
      <c r="N156" s="37"/>
      <c r="O156" s="99">
        <f t="shared" si="11"/>
        <v>0</v>
      </c>
    </row>
    <row r="157" spans="1:17" ht="15.75" thickBot="1" x14ac:dyDescent="0.3">
      <c r="A157" s="150" t="s">
        <v>137</v>
      </c>
      <c r="B157" s="1105"/>
      <c r="C157" s="1108"/>
      <c r="D157" s="1087"/>
      <c r="E157" s="1087"/>
      <c r="F157" s="1078"/>
      <c r="G157" s="1078"/>
      <c r="H157" s="152">
        <v>2</v>
      </c>
      <c r="I157" s="38"/>
      <c r="J157" s="154">
        <f t="shared" si="12"/>
        <v>0</v>
      </c>
      <c r="K157" s="38"/>
      <c r="L157" s="38"/>
      <c r="M157" s="151" t="s">
        <v>71</v>
      </c>
      <c r="N157" s="42"/>
      <c r="O157" s="99">
        <f t="shared" si="11"/>
        <v>0</v>
      </c>
    </row>
    <row r="158" spans="1:17" x14ac:dyDescent="0.25">
      <c r="A158" s="57"/>
      <c r="B158" s="100"/>
      <c r="C158" s="100"/>
      <c r="D158" s="100"/>
      <c r="E158" s="100"/>
      <c r="F158" s="3"/>
      <c r="G158" s="3"/>
      <c r="H158" s="3"/>
      <c r="O158" s="100"/>
    </row>
    <row r="159" spans="1:17" ht="15.75" thickBot="1" x14ac:dyDescent="0.3">
      <c r="A159" s="57"/>
      <c r="B159" s="100"/>
      <c r="C159" s="100"/>
      <c r="D159" s="100"/>
      <c r="E159" s="100"/>
      <c r="F159" s="3"/>
      <c r="G159" s="3"/>
      <c r="H159" s="3"/>
      <c r="O159" s="100"/>
    </row>
    <row r="160" spans="1:17" ht="38.25" x14ac:dyDescent="0.25">
      <c r="A160" s="58" t="s">
        <v>50</v>
      </c>
      <c r="B160" s="86" t="s">
        <v>149</v>
      </c>
      <c r="C160" s="87" t="s">
        <v>150</v>
      </c>
      <c r="D160" s="59" t="s">
        <v>151</v>
      </c>
      <c r="E160" s="59" t="s">
        <v>152</v>
      </c>
      <c r="F160" s="59" t="s">
        <v>162</v>
      </c>
      <c r="G160" s="59" t="s">
        <v>154</v>
      </c>
      <c r="H160" s="59" t="s">
        <v>163</v>
      </c>
      <c r="I160" s="59" t="s">
        <v>164</v>
      </c>
      <c r="J160" s="60" t="s">
        <v>165</v>
      </c>
      <c r="K160" s="59" t="s">
        <v>158</v>
      </c>
      <c r="L160" s="59" t="s">
        <v>159</v>
      </c>
      <c r="M160" s="59" t="s">
        <v>160</v>
      </c>
      <c r="N160" s="61" t="s">
        <v>161</v>
      </c>
      <c r="O160" s="100"/>
    </row>
    <row r="161" spans="1:15" x14ac:dyDescent="0.25">
      <c r="A161" s="155" t="s">
        <v>139</v>
      </c>
      <c r="B161" s="1103" t="s">
        <v>220</v>
      </c>
      <c r="C161" s="1106" t="s">
        <v>221</v>
      </c>
      <c r="D161" s="1097" t="s">
        <v>222</v>
      </c>
      <c r="E161" s="1097" t="s">
        <v>224</v>
      </c>
      <c r="F161" s="1102">
        <v>100</v>
      </c>
      <c r="G161" s="1102">
        <v>370</v>
      </c>
      <c r="H161" s="174">
        <v>50</v>
      </c>
      <c r="I161" s="158" t="e">
        <f>+#REF!</f>
        <v>#REF!</v>
      </c>
      <c r="J161" s="177" t="e">
        <f>I161/H161</f>
        <v>#REF!</v>
      </c>
      <c r="K161" s="176" t="s">
        <v>71</v>
      </c>
      <c r="L161" s="176" t="s">
        <v>71</v>
      </c>
      <c r="M161" s="176" t="s">
        <v>71</v>
      </c>
      <c r="N161" s="159"/>
      <c r="O161" s="99">
        <f t="shared" ref="O161:O172" si="13">LEN(N161)</f>
        <v>0</v>
      </c>
    </row>
    <row r="162" spans="1:15" x14ac:dyDescent="0.25">
      <c r="A162" s="35" t="s">
        <v>140</v>
      </c>
      <c r="B162" s="1104"/>
      <c r="C162" s="1107"/>
      <c r="D162" s="1086"/>
      <c r="E162" s="1086"/>
      <c r="F162" s="1077"/>
      <c r="G162" s="1077"/>
      <c r="H162" s="20">
        <v>50</v>
      </c>
      <c r="I162" s="36"/>
      <c r="J162" s="153">
        <f t="shared" ref="J162:J172" si="14">I162/H162</f>
        <v>0</v>
      </c>
      <c r="K162" s="36"/>
      <c r="L162" s="36"/>
      <c r="M162" s="85" t="s">
        <v>71</v>
      </c>
      <c r="N162" s="37"/>
      <c r="O162" s="99">
        <f t="shared" si="13"/>
        <v>0</v>
      </c>
    </row>
    <row r="163" spans="1:15" x14ac:dyDescent="0.25">
      <c r="A163" s="35" t="s">
        <v>141</v>
      </c>
      <c r="B163" s="1104"/>
      <c r="C163" s="1107"/>
      <c r="D163" s="1086"/>
      <c r="E163" s="1086"/>
      <c r="F163" s="1077"/>
      <c r="G163" s="1077"/>
      <c r="H163" s="20">
        <v>50</v>
      </c>
      <c r="I163" s="36"/>
      <c r="J163" s="153">
        <f t="shared" si="14"/>
        <v>0</v>
      </c>
      <c r="K163" s="36"/>
      <c r="L163" s="36"/>
      <c r="M163" s="85" t="s">
        <v>71</v>
      </c>
      <c r="N163" s="37"/>
      <c r="O163" s="99">
        <f t="shared" si="13"/>
        <v>0</v>
      </c>
    </row>
    <row r="164" spans="1:15" x14ac:dyDescent="0.25">
      <c r="A164" s="35" t="s">
        <v>142</v>
      </c>
      <c r="B164" s="1104"/>
      <c r="C164" s="1107"/>
      <c r="D164" s="1086"/>
      <c r="E164" s="1086"/>
      <c r="F164" s="1077"/>
      <c r="G164" s="1077"/>
      <c r="H164" s="20">
        <v>50</v>
      </c>
      <c r="I164" s="36"/>
      <c r="J164" s="153">
        <f t="shared" si="14"/>
        <v>0</v>
      </c>
      <c r="K164" s="36"/>
      <c r="L164" s="36"/>
      <c r="M164" s="85" t="s">
        <v>71</v>
      </c>
      <c r="N164" s="37"/>
      <c r="O164" s="99">
        <f t="shared" si="13"/>
        <v>0</v>
      </c>
    </row>
    <row r="165" spans="1:15" x14ac:dyDescent="0.25">
      <c r="A165" s="35" t="s">
        <v>143</v>
      </c>
      <c r="B165" s="1104"/>
      <c r="C165" s="1107"/>
      <c r="D165" s="1086"/>
      <c r="E165" s="1086"/>
      <c r="F165" s="1077"/>
      <c r="G165" s="1077"/>
      <c r="H165" s="20">
        <v>50</v>
      </c>
      <c r="I165" s="36"/>
      <c r="J165" s="153">
        <f t="shared" si="14"/>
        <v>0</v>
      </c>
      <c r="K165" s="36"/>
      <c r="L165" s="36"/>
      <c r="M165" s="85" t="s">
        <v>71</v>
      </c>
      <c r="N165" s="37"/>
      <c r="O165" s="99">
        <f t="shared" si="13"/>
        <v>0</v>
      </c>
    </row>
    <row r="166" spans="1:15" x14ac:dyDescent="0.25">
      <c r="A166" s="35" t="s">
        <v>144</v>
      </c>
      <c r="B166" s="1104"/>
      <c r="C166" s="1107"/>
      <c r="D166" s="1086"/>
      <c r="E166" s="1086"/>
      <c r="F166" s="1077"/>
      <c r="G166" s="1077"/>
      <c r="H166" s="20">
        <v>50</v>
      </c>
      <c r="I166" s="36"/>
      <c r="J166" s="153">
        <f t="shared" si="14"/>
        <v>0</v>
      </c>
      <c r="K166" s="36"/>
      <c r="L166" s="36"/>
      <c r="M166" s="85" t="s">
        <v>71</v>
      </c>
      <c r="N166" s="37"/>
      <c r="O166" s="99">
        <f t="shared" si="13"/>
        <v>0</v>
      </c>
    </row>
    <row r="167" spans="1:15" x14ac:dyDescent="0.25">
      <c r="A167" s="35" t="s">
        <v>132</v>
      </c>
      <c r="B167" s="1104"/>
      <c r="C167" s="1107"/>
      <c r="D167" s="1086"/>
      <c r="E167" s="1086"/>
      <c r="F167" s="1077"/>
      <c r="G167" s="1077"/>
      <c r="H167" s="20">
        <v>50</v>
      </c>
      <c r="I167" s="36"/>
      <c r="J167" s="153">
        <f t="shared" si="14"/>
        <v>0</v>
      </c>
      <c r="K167" s="36"/>
      <c r="L167" s="36"/>
      <c r="M167" s="85" t="s">
        <v>71</v>
      </c>
      <c r="N167" s="37"/>
      <c r="O167" s="99">
        <f t="shared" si="13"/>
        <v>0</v>
      </c>
    </row>
    <row r="168" spans="1:15" x14ac:dyDescent="0.25">
      <c r="A168" s="35" t="s">
        <v>133</v>
      </c>
      <c r="B168" s="1104"/>
      <c r="C168" s="1107"/>
      <c r="D168" s="1086"/>
      <c r="E168" s="1086"/>
      <c r="F168" s="1077"/>
      <c r="G168" s="1077"/>
      <c r="H168" s="20">
        <v>50</v>
      </c>
      <c r="I168" s="36"/>
      <c r="J168" s="153">
        <f t="shared" si="14"/>
        <v>0</v>
      </c>
      <c r="K168" s="36"/>
      <c r="L168" s="36"/>
      <c r="M168" s="85" t="s">
        <v>71</v>
      </c>
      <c r="N168" s="37"/>
      <c r="O168" s="99">
        <f t="shared" si="13"/>
        <v>0</v>
      </c>
    </row>
    <row r="169" spans="1:15" x14ac:dyDescent="0.25">
      <c r="A169" s="35" t="s">
        <v>134</v>
      </c>
      <c r="B169" s="1104"/>
      <c r="C169" s="1107"/>
      <c r="D169" s="1086"/>
      <c r="E169" s="1086"/>
      <c r="F169" s="1077"/>
      <c r="G169" s="1077"/>
      <c r="H169" s="20">
        <v>50</v>
      </c>
      <c r="I169" s="36"/>
      <c r="J169" s="153">
        <f t="shared" si="14"/>
        <v>0</v>
      </c>
      <c r="K169" s="36"/>
      <c r="L169" s="36"/>
      <c r="M169" s="85" t="s">
        <v>71</v>
      </c>
      <c r="N169" s="37"/>
      <c r="O169" s="99">
        <f t="shared" si="13"/>
        <v>0</v>
      </c>
    </row>
    <row r="170" spans="1:15" s="71" customFormat="1" x14ac:dyDescent="0.25">
      <c r="A170" s="72" t="s">
        <v>135</v>
      </c>
      <c r="B170" s="1104"/>
      <c r="C170" s="1107"/>
      <c r="D170" s="1086"/>
      <c r="E170" s="1086"/>
      <c r="F170" s="1077"/>
      <c r="G170" s="1077"/>
      <c r="H170" s="20">
        <v>50</v>
      </c>
      <c r="I170" s="94"/>
      <c r="J170" s="153">
        <f t="shared" si="14"/>
        <v>0</v>
      </c>
      <c r="K170" s="94"/>
      <c r="L170" s="94"/>
      <c r="M170" s="85" t="s">
        <v>71</v>
      </c>
      <c r="N170" s="129"/>
      <c r="O170" s="99">
        <f t="shared" si="13"/>
        <v>0</v>
      </c>
    </row>
    <row r="171" spans="1:15" x14ac:dyDescent="0.25">
      <c r="A171" s="35" t="s">
        <v>136</v>
      </c>
      <c r="B171" s="1104"/>
      <c r="C171" s="1107"/>
      <c r="D171" s="1086"/>
      <c r="E171" s="1086"/>
      <c r="F171" s="1077"/>
      <c r="G171" s="1077"/>
      <c r="H171" s="20">
        <v>50</v>
      </c>
      <c r="I171" s="36"/>
      <c r="J171" s="153">
        <f t="shared" si="14"/>
        <v>0</v>
      </c>
      <c r="K171" s="36"/>
      <c r="L171" s="36"/>
      <c r="M171" s="85" t="s">
        <v>71</v>
      </c>
      <c r="N171" s="37"/>
      <c r="O171" s="99">
        <f t="shared" si="13"/>
        <v>0</v>
      </c>
    </row>
    <row r="172" spans="1:15" ht="15.75" thickBot="1" x14ac:dyDescent="0.3">
      <c r="A172" s="150" t="s">
        <v>137</v>
      </c>
      <c r="B172" s="1105"/>
      <c r="C172" s="1108"/>
      <c r="D172" s="1087"/>
      <c r="E172" s="1087"/>
      <c r="F172" s="1078"/>
      <c r="G172" s="1078"/>
      <c r="H172" s="152">
        <v>50</v>
      </c>
      <c r="I172" s="38"/>
      <c r="J172" s="154">
        <f t="shared" si="14"/>
        <v>0</v>
      </c>
      <c r="K172" s="38"/>
      <c r="L172" s="38"/>
      <c r="M172" s="151" t="s">
        <v>71</v>
      </c>
      <c r="N172" s="42"/>
      <c r="O172" s="99">
        <f t="shared" si="13"/>
        <v>0</v>
      </c>
    </row>
    <row r="173" spans="1:15" x14ac:dyDescent="0.25">
      <c r="A173" s="57"/>
      <c r="B173" s="100"/>
      <c r="C173" s="100"/>
      <c r="D173" s="100"/>
      <c r="E173" s="100"/>
      <c r="F173" s="3"/>
      <c r="G173" s="3"/>
      <c r="H173" s="3"/>
      <c r="O173" s="100"/>
    </row>
    <row r="174" spans="1:15" ht="15.75" thickBot="1" x14ac:dyDescent="0.3">
      <c r="A174" s="57"/>
      <c r="B174" s="100"/>
      <c r="C174" s="100"/>
      <c r="D174" s="100"/>
      <c r="E174" s="100"/>
      <c r="F174" s="3"/>
      <c r="G174" s="3"/>
      <c r="H174" s="3"/>
      <c r="O174" s="100"/>
    </row>
    <row r="175" spans="1:15" ht="38.25" x14ac:dyDescent="0.25">
      <c r="A175" s="58" t="s">
        <v>50</v>
      </c>
      <c r="B175" s="86" t="s">
        <v>149</v>
      </c>
      <c r="C175" s="87" t="s">
        <v>150</v>
      </c>
      <c r="D175" s="59" t="s">
        <v>151</v>
      </c>
      <c r="E175" s="59" t="s">
        <v>152</v>
      </c>
      <c r="F175" s="59" t="s">
        <v>162</v>
      </c>
      <c r="G175" s="59" t="s">
        <v>154</v>
      </c>
      <c r="H175" s="59" t="s">
        <v>163</v>
      </c>
      <c r="I175" s="59" t="s">
        <v>164</v>
      </c>
      <c r="J175" s="60" t="s">
        <v>165</v>
      </c>
      <c r="K175" s="59" t="s">
        <v>158</v>
      </c>
      <c r="L175" s="59" t="s">
        <v>159</v>
      </c>
      <c r="M175" s="59" t="s">
        <v>160</v>
      </c>
      <c r="N175" s="61" t="s">
        <v>161</v>
      </c>
      <c r="O175" s="100"/>
    </row>
    <row r="176" spans="1:15" x14ac:dyDescent="0.25">
      <c r="A176" s="155" t="s">
        <v>139</v>
      </c>
      <c r="B176" s="1103" t="s">
        <v>220</v>
      </c>
      <c r="C176" s="1106" t="s">
        <v>221</v>
      </c>
      <c r="D176" s="1097" t="s">
        <v>225</v>
      </c>
      <c r="E176" s="1097" t="s">
        <v>224</v>
      </c>
      <c r="F176" s="1102">
        <v>100</v>
      </c>
      <c r="G176" s="1102">
        <v>590</v>
      </c>
      <c r="H176" s="174">
        <v>590</v>
      </c>
      <c r="I176" s="158" t="e">
        <f>+#REF!</f>
        <v>#REF!</v>
      </c>
      <c r="J176" s="177" t="e">
        <f>I176/H176</f>
        <v>#REF!</v>
      </c>
      <c r="K176" s="176" t="s">
        <v>71</v>
      </c>
      <c r="L176" s="176" t="s">
        <v>71</v>
      </c>
      <c r="M176" s="176" t="s">
        <v>71</v>
      </c>
      <c r="N176" s="159"/>
      <c r="O176" s="99">
        <f t="shared" ref="O176:O187" si="15">LEN(N176)</f>
        <v>0</v>
      </c>
    </row>
    <row r="177" spans="1:15" x14ac:dyDescent="0.25">
      <c r="A177" s="35" t="s">
        <v>140</v>
      </c>
      <c r="B177" s="1104"/>
      <c r="C177" s="1107"/>
      <c r="D177" s="1086"/>
      <c r="E177" s="1086"/>
      <c r="F177" s="1077"/>
      <c r="G177" s="1077"/>
      <c r="H177" s="20">
        <v>590</v>
      </c>
      <c r="I177" s="36"/>
      <c r="J177" s="153">
        <f t="shared" ref="J177:J187" si="16">I177/H177</f>
        <v>0</v>
      </c>
      <c r="K177" s="36"/>
      <c r="L177" s="36"/>
      <c r="M177" s="85"/>
      <c r="N177" s="37"/>
      <c r="O177" s="99">
        <f t="shared" si="15"/>
        <v>0</v>
      </c>
    </row>
    <row r="178" spans="1:15" x14ac:dyDescent="0.25">
      <c r="A178" s="35" t="s">
        <v>141</v>
      </c>
      <c r="B178" s="1104"/>
      <c r="C178" s="1107"/>
      <c r="D178" s="1086"/>
      <c r="E178" s="1086"/>
      <c r="F178" s="1077"/>
      <c r="G178" s="1077"/>
      <c r="H178" s="20">
        <v>590</v>
      </c>
      <c r="I178" s="36"/>
      <c r="J178" s="153">
        <f t="shared" si="16"/>
        <v>0</v>
      </c>
      <c r="K178" s="36"/>
      <c r="L178" s="36"/>
      <c r="M178" s="85"/>
      <c r="N178" s="37"/>
      <c r="O178" s="99">
        <f t="shared" si="15"/>
        <v>0</v>
      </c>
    </row>
    <row r="179" spans="1:15" x14ac:dyDescent="0.25">
      <c r="A179" s="35" t="s">
        <v>142</v>
      </c>
      <c r="B179" s="1104"/>
      <c r="C179" s="1107"/>
      <c r="D179" s="1086"/>
      <c r="E179" s="1086"/>
      <c r="F179" s="1077"/>
      <c r="G179" s="1077"/>
      <c r="H179" s="20">
        <v>590</v>
      </c>
      <c r="I179" s="36"/>
      <c r="J179" s="153">
        <f t="shared" si="16"/>
        <v>0</v>
      </c>
      <c r="K179" s="36"/>
      <c r="L179" s="36"/>
      <c r="M179" s="85"/>
      <c r="N179" s="37"/>
      <c r="O179" s="99">
        <f t="shared" si="15"/>
        <v>0</v>
      </c>
    </row>
    <row r="180" spans="1:15" x14ac:dyDescent="0.25">
      <c r="A180" s="35" t="s">
        <v>143</v>
      </c>
      <c r="B180" s="1104"/>
      <c r="C180" s="1107"/>
      <c r="D180" s="1086"/>
      <c r="E180" s="1086"/>
      <c r="F180" s="1077"/>
      <c r="G180" s="1077"/>
      <c r="H180" s="20">
        <v>590</v>
      </c>
      <c r="I180" s="36"/>
      <c r="J180" s="153">
        <f t="shared" si="16"/>
        <v>0</v>
      </c>
      <c r="K180" s="36"/>
      <c r="L180" s="36"/>
      <c r="M180" s="85"/>
      <c r="N180" s="37"/>
      <c r="O180" s="99">
        <f t="shared" si="15"/>
        <v>0</v>
      </c>
    </row>
    <row r="181" spans="1:15" x14ac:dyDescent="0.25">
      <c r="A181" s="35" t="s">
        <v>144</v>
      </c>
      <c r="B181" s="1104"/>
      <c r="C181" s="1107"/>
      <c r="D181" s="1086"/>
      <c r="E181" s="1086"/>
      <c r="F181" s="1077"/>
      <c r="G181" s="1077"/>
      <c r="H181" s="20">
        <v>590</v>
      </c>
      <c r="I181" s="36"/>
      <c r="J181" s="153">
        <f t="shared" si="16"/>
        <v>0</v>
      </c>
      <c r="K181" s="36"/>
      <c r="L181" s="36"/>
      <c r="M181" s="85"/>
      <c r="N181" s="37"/>
      <c r="O181" s="99">
        <f t="shared" si="15"/>
        <v>0</v>
      </c>
    </row>
    <row r="182" spans="1:15" x14ac:dyDescent="0.25">
      <c r="A182" s="35" t="s">
        <v>132</v>
      </c>
      <c r="B182" s="1104"/>
      <c r="C182" s="1107"/>
      <c r="D182" s="1086"/>
      <c r="E182" s="1086"/>
      <c r="F182" s="1077"/>
      <c r="G182" s="1077"/>
      <c r="H182" s="20">
        <v>590</v>
      </c>
      <c r="I182" s="36"/>
      <c r="J182" s="153">
        <f t="shared" si="16"/>
        <v>0</v>
      </c>
      <c r="K182" s="36"/>
      <c r="L182" s="36"/>
      <c r="M182" s="85"/>
      <c r="N182" s="37"/>
      <c r="O182" s="99">
        <f t="shared" si="15"/>
        <v>0</v>
      </c>
    </row>
    <row r="183" spans="1:15" x14ac:dyDescent="0.25">
      <c r="A183" s="35" t="s">
        <v>133</v>
      </c>
      <c r="B183" s="1104"/>
      <c r="C183" s="1107"/>
      <c r="D183" s="1086"/>
      <c r="E183" s="1086"/>
      <c r="F183" s="1077"/>
      <c r="G183" s="1077"/>
      <c r="H183" s="20">
        <v>590</v>
      </c>
      <c r="I183" s="36"/>
      <c r="J183" s="153">
        <f t="shared" si="16"/>
        <v>0</v>
      </c>
      <c r="K183" s="36"/>
      <c r="L183" s="36"/>
      <c r="M183" s="85"/>
      <c r="N183" s="37"/>
      <c r="O183" s="99">
        <f t="shared" si="15"/>
        <v>0</v>
      </c>
    </row>
    <row r="184" spans="1:15" x14ac:dyDescent="0.25">
      <c r="A184" s="35" t="s">
        <v>134</v>
      </c>
      <c r="B184" s="1104"/>
      <c r="C184" s="1107"/>
      <c r="D184" s="1086"/>
      <c r="E184" s="1086"/>
      <c r="F184" s="1077"/>
      <c r="G184" s="1077"/>
      <c r="H184" s="20">
        <v>590</v>
      </c>
      <c r="I184" s="36"/>
      <c r="J184" s="153">
        <f t="shared" si="16"/>
        <v>0</v>
      </c>
      <c r="K184" s="36"/>
      <c r="L184" s="36"/>
      <c r="M184" s="85"/>
      <c r="N184" s="37"/>
      <c r="O184" s="99">
        <f t="shared" si="15"/>
        <v>0</v>
      </c>
    </row>
    <row r="185" spans="1:15" s="71" customFormat="1" x14ac:dyDescent="0.25">
      <c r="A185" s="72" t="s">
        <v>135</v>
      </c>
      <c r="B185" s="1104"/>
      <c r="C185" s="1107"/>
      <c r="D185" s="1086"/>
      <c r="E185" s="1086"/>
      <c r="F185" s="1077"/>
      <c r="G185" s="1077"/>
      <c r="H185" s="20">
        <v>590</v>
      </c>
      <c r="I185" s="94"/>
      <c r="J185" s="153">
        <f t="shared" si="16"/>
        <v>0</v>
      </c>
      <c r="K185" s="94"/>
      <c r="L185" s="94"/>
      <c r="M185" s="20"/>
      <c r="N185" s="129"/>
      <c r="O185" s="99">
        <f t="shared" si="15"/>
        <v>0</v>
      </c>
    </row>
    <row r="186" spans="1:15" x14ac:dyDescent="0.25">
      <c r="A186" s="35" t="s">
        <v>136</v>
      </c>
      <c r="B186" s="1104"/>
      <c r="C186" s="1107"/>
      <c r="D186" s="1086"/>
      <c r="E186" s="1086"/>
      <c r="F186" s="1077"/>
      <c r="G186" s="1077"/>
      <c r="H186" s="20">
        <v>590</v>
      </c>
      <c r="I186" s="36"/>
      <c r="J186" s="153">
        <f t="shared" si="16"/>
        <v>0</v>
      </c>
      <c r="K186" s="36"/>
      <c r="L186" s="36"/>
      <c r="M186" s="85"/>
      <c r="N186" s="37"/>
      <c r="O186" s="99">
        <f t="shared" si="15"/>
        <v>0</v>
      </c>
    </row>
    <row r="187" spans="1:15" ht="15.75" thickBot="1" x14ac:dyDescent="0.3">
      <c r="A187" s="150" t="s">
        <v>137</v>
      </c>
      <c r="B187" s="1105"/>
      <c r="C187" s="1108"/>
      <c r="D187" s="1087"/>
      <c r="E187" s="1087"/>
      <c r="F187" s="1078"/>
      <c r="G187" s="1078"/>
      <c r="H187" s="152">
        <v>590</v>
      </c>
      <c r="I187" s="38"/>
      <c r="J187" s="154">
        <f t="shared" si="16"/>
        <v>0</v>
      </c>
      <c r="K187" s="38"/>
      <c r="L187" s="38"/>
      <c r="M187" s="151"/>
      <c r="N187" s="42"/>
      <c r="O187" s="99">
        <f t="shared" si="15"/>
        <v>0</v>
      </c>
    </row>
    <row r="188" spans="1:15" x14ac:dyDescent="0.25">
      <c r="A188" s="57"/>
      <c r="B188" s="100"/>
      <c r="C188" s="100"/>
      <c r="D188" s="100"/>
      <c r="E188" s="100"/>
      <c r="F188" s="3"/>
      <c r="G188" s="3"/>
      <c r="H188" s="3"/>
      <c r="O188" s="100"/>
    </row>
    <row r="189" spans="1:15" ht="15.75" thickBot="1" x14ac:dyDescent="0.3">
      <c r="A189" s="57"/>
      <c r="B189" s="100"/>
      <c r="C189" s="100"/>
      <c r="D189" s="100"/>
      <c r="E189" s="100"/>
      <c r="F189" s="3"/>
      <c r="G189" s="3"/>
      <c r="H189" s="3"/>
      <c r="O189" s="100"/>
    </row>
    <row r="190" spans="1:15" ht="38.25" x14ac:dyDescent="0.25">
      <c r="A190" s="58" t="s">
        <v>50</v>
      </c>
      <c r="B190" s="59" t="s">
        <v>149</v>
      </c>
      <c r="C190" s="59" t="s">
        <v>150</v>
      </c>
      <c r="D190" s="59" t="s">
        <v>151</v>
      </c>
      <c r="E190" s="59" t="s">
        <v>152</v>
      </c>
      <c r="F190" s="59" t="s">
        <v>162</v>
      </c>
      <c r="G190" s="59" t="s">
        <v>154</v>
      </c>
      <c r="H190" s="59" t="s">
        <v>163</v>
      </c>
      <c r="I190" s="59" t="s">
        <v>164</v>
      </c>
      <c r="J190" s="60" t="s">
        <v>165</v>
      </c>
      <c r="K190" s="59" t="s">
        <v>158</v>
      </c>
      <c r="L190" s="59" t="s">
        <v>159</v>
      </c>
      <c r="M190" s="59" t="s">
        <v>160</v>
      </c>
      <c r="N190" s="61" t="s">
        <v>161</v>
      </c>
      <c r="O190" s="100"/>
    </row>
    <row r="191" spans="1:15" x14ac:dyDescent="0.25">
      <c r="A191" s="155" t="s">
        <v>139</v>
      </c>
      <c r="B191" s="1097" t="s">
        <v>226</v>
      </c>
      <c r="C191" s="1097" t="s">
        <v>227</v>
      </c>
      <c r="D191" s="1097" t="s">
        <v>228</v>
      </c>
      <c r="E191" s="1102" t="s">
        <v>219</v>
      </c>
      <c r="F191" s="1102">
        <v>100</v>
      </c>
      <c r="G191" s="1102">
        <v>4</v>
      </c>
      <c r="H191" s="178">
        <v>0.73</v>
      </c>
      <c r="I191" s="158" t="e">
        <f>+#REF!</f>
        <v>#REF!</v>
      </c>
      <c r="J191" s="177" t="e">
        <f t="shared" ref="J191:J202" si="17">I191/H191</f>
        <v>#REF!</v>
      </c>
      <c r="K191" s="179" t="e">
        <f>+INVERSIÓN!#REF!</f>
        <v>#REF!</v>
      </c>
      <c r="L191" s="176">
        <v>0</v>
      </c>
      <c r="M191" s="176" t="e">
        <f>L191/K191</f>
        <v>#REF!</v>
      </c>
      <c r="N191" s="159"/>
      <c r="O191" s="99">
        <f t="shared" ref="O191:O202" si="18">LEN(N191)</f>
        <v>0</v>
      </c>
    </row>
    <row r="192" spans="1:15" x14ac:dyDescent="0.25">
      <c r="A192" s="35" t="s">
        <v>140</v>
      </c>
      <c r="B192" s="1086"/>
      <c r="C192" s="1086"/>
      <c r="D192" s="1086"/>
      <c r="E192" s="1077"/>
      <c r="F192" s="1077"/>
      <c r="G192" s="1077"/>
      <c r="H192" s="95">
        <v>0.73</v>
      </c>
      <c r="I192" s="36"/>
      <c r="J192" s="153">
        <f t="shared" si="17"/>
        <v>0</v>
      </c>
      <c r="K192" s="36"/>
      <c r="L192" s="36"/>
      <c r="M192" s="85"/>
      <c r="N192" s="37"/>
      <c r="O192" s="99"/>
    </row>
    <row r="193" spans="1:15" x14ac:dyDescent="0.25">
      <c r="A193" s="35" t="s">
        <v>141</v>
      </c>
      <c r="B193" s="1086"/>
      <c r="C193" s="1086"/>
      <c r="D193" s="1086"/>
      <c r="E193" s="1077"/>
      <c r="F193" s="1077"/>
      <c r="G193" s="1077"/>
      <c r="H193" s="95">
        <v>0.73</v>
      </c>
      <c r="I193" s="36"/>
      <c r="J193" s="153">
        <f t="shared" si="17"/>
        <v>0</v>
      </c>
      <c r="K193" s="36"/>
      <c r="L193" s="36"/>
      <c r="M193" s="85"/>
      <c r="N193" s="37"/>
      <c r="O193" s="99"/>
    </row>
    <row r="194" spans="1:15" x14ac:dyDescent="0.25">
      <c r="A194" s="35" t="s">
        <v>142</v>
      </c>
      <c r="B194" s="1086"/>
      <c r="C194" s="1086"/>
      <c r="D194" s="1086"/>
      <c r="E194" s="1077"/>
      <c r="F194" s="1077"/>
      <c r="G194" s="1077"/>
      <c r="H194" s="95">
        <v>0.73</v>
      </c>
      <c r="I194" s="36"/>
      <c r="J194" s="153">
        <f t="shared" si="17"/>
        <v>0</v>
      </c>
      <c r="K194" s="36"/>
      <c r="L194" s="36"/>
      <c r="M194" s="85"/>
      <c r="N194" s="37"/>
      <c r="O194" s="99"/>
    </row>
    <row r="195" spans="1:15" x14ac:dyDescent="0.25">
      <c r="A195" s="35" t="s">
        <v>143</v>
      </c>
      <c r="B195" s="1086"/>
      <c r="C195" s="1086"/>
      <c r="D195" s="1086"/>
      <c r="E195" s="1077"/>
      <c r="F195" s="1077"/>
      <c r="G195" s="1077"/>
      <c r="H195" s="95">
        <v>0.73</v>
      </c>
      <c r="I195" s="36"/>
      <c r="J195" s="153">
        <f t="shared" si="17"/>
        <v>0</v>
      </c>
      <c r="K195" s="36"/>
      <c r="L195" s="36"/>
      <c r="M195" s="85"/>
      <c r="N195" s="37"/>
      <c r="O195" s="99"/>
    </row>
    <row r="196" spans="1:15" x14ac:dyDescent="0.25">
      <c r="A196" s="35" t="s">
        <v>144</v>
      </c>
      <c r="B196" s="1086"/>
      <c r="C196" s="1086"/>
      <c r="D196" s="1086"/>
      <c r="E196" s="1077"/>
      <c r="F196" s="1077"/>
      <c r="G196" s="1077"/>
      <c r="H196" s="95">
        <v>0.73</v>
      </c>
      <c r="I196" s="36"/>
      <c r="J196" s="153">
        <f t="shared" si="17"/>
        <v>0</v>
      </c>
      <c r="K196" s="36"/>
      <c r="L196" s="36"/>
      <c r="M196" s="85"/>
      <c r="N196" s="37"/>
      <c r="O196" s="99"/>
    </row>
    <row r="197" spans="1:15" x14ac:dyDescent="0.25">
      <c r="A197" s="35" t="s">
        <v>132</v>
      </c>
      <c r="B197" s="1086"/>
      <c r="C197" s="1086"/>
      <c r="D197" s="1086"/>
      <c r="E197" s="1077"/>
      <c r="F197" s="1077"/>
      <c r="G197" s="1077"/>
      <c r="H197" s="95">
        <v>0.73</v>
      </c>
      <c r="I197" s="36"/>
      <c r="J197" s="153">
        <f t="shared" si="17"/>
        <v>0</v>
      </c>
      <c r="K197" s="36"/>
      <c r="L197" s="36"/>
      <c r="M197" s="85"/>
      <c r="N197" s="37"/>
      <c r="O197" s="99"/>
    </row>
    <row r="198" spans="1:15" x14ac:dyDescent="0.25">
      <c r="A198" s="35" t="s">
        <v>133</v>
      </c>
      <c r="B198" s="1086"/>
      <c r="C198" s="1086"/>
      <c r="D198" s="1086"/>
      <c r="E198" s="1077"/>
      <c r="F198" s="1077"/>
      <c r="G198" s="1077"/>
      <c r="H198" s="95">
        <v>0.73</v>
      </c>
      <c r="I198" s="36"/>
      <c r="J198" s="153">
        <f t="shared" si="17"/>
        <v>0</v>
      </c>
      <c r="K198" s="36"/>
      <c r="L198" s="36"/>
      <c r="M198" s="85" t="s">
        <v>71</v>
      </c>
      <c r="N198" s="37"/>
      <c r="O198" s="99">
        <f t="shared" si="18"/>
        <v>0</v>
      </c>
    </row>
    <row r="199" spans="1:15" x14ac:dyDescent="0.25">
      <c r="A199" s="35" t="s">
        <v>134</v>
      </c>
      <c r="B199" s="1086"/>
      <c r="C199" s="1086"/>
      <c r="D199" s="1086"/>
      <c r="E199" s="1077"/>
      <c r="F199" s="1077"/>
      <c r="G199" s="1077"/>
      <c r="H199" s="95">
        <v>0.73</v>
      </c>
      <c r="I199" s="36"/>
      <c r="J199" s="153">
        <f t="shared" si="17"/>
        <v>0</v>
      </c>
      <c r="K199" s="36"/>
      <c r="L199" s="36"/>
      <c r="M199" s="85" t="s">
        <v>71</v>
      </c>
      <c r="N199" s="37"/>
      <c r="O199" s="99">
        <f t="shared" si="18"/>
        <v>0</v>
      </c>
    </row>
    <row r="200" spans="1:15" s="71" customFormat="1" x14ac:dyDescent="0.25">
      <c r="A200" s="72" t="s">
        <v>135</v>
      </c>
      <c r="B200" s="1086"/>
      <c r="C200" s="1086"/>
      <c r="D200" s="1086"/>
      <c r="E200" s="1077"/>
      <c r="F200" s="1077"/>
      <c r="G200" s="1077"/>
      <c r="H200" s="95">
        <v>0.73</v>
      </c>
      <c r="I200" s="94"/>
      <c r="J200" s="153">
        <f t="shared" si="17"/>
        <v>0</v>
      </c>
      <c r="K200" s="94"/>
      <c r="L200" s="94"/>
      <c r="M200" s="20" t="s">
        <v>71</v>
      </c>
      <c r="N200" s="129"/>
      <c r="O200" s="130">
        <f t="shared" si="18"/>
        <v>0</v>
      </c>
    </row>
    <row r="201" spans="1:15" x14ac:dyDescent="0.25">
      <c r="A201" s="35" t="s">
        <v>136</v>
      </c>
      <c r="B201" s="1086"/>
      <c r="C201" s="1086"/>
      <c r="D201" s="1086"/>
      <c r="E201" s="1077"/>
      <c r="F201" s="1077"/>
      <c r="G201" s="1077"/>
      <c r="H201" s="95">
        <v>0.73</v>
      </c>
      <c r="I201" s="115"/>
      <c r="J201" s="153">
        <f t="shared" si="17"/>
        <v>0</v>
      </c>
      <c r="K201" s="36"/>
      <c r="L201" s="36"/>
      <c r="M201" s="85" t="s">
        <v>71</v>
      </c>
      <c r="N201" s="37"/>
      <c r="O201" s="99">
        <f t="shared" si="18"/>
        <v>0</v>
      </c>
    </row>
    <row r="202" spans="1:15" ht="15.75" thickBot="1" x14ac:dyDescent="0.3">
      <c r="A202" s="150" t="s">
        <v>137</v>
      </c>
      <c r="B202" s="1087"/>
      <c r="C202" s="1087"/>
      <c r="D202" s="1087"/>
      <c r="E202" s="1078"/>
      <c r="F202" s="1078"/>
      <c r="G202" s="1078"/>
      <c r="H202" s="152">
        <v>0.73</v>
      </c>
      <c r="I202" s="38"/>
      <c r="J202" s="154">
        <f t="shared" si="17"/>
        <v>0</v>
      </c>
      <c r="K202" s="38"/>
      <c r="L202" s="38"/>
      <c r="M202" s="151" t="s">
        <v>71</v>
      </c>
      <c r="N202" s="42"/>
      <c r="O202" s="99">
        <f t="shared" si="18"/>
        <v>0</v>
      </c>
    </row>
    <row r="203" spans="1:15" x14ac:dyDescent="0.25">
      <c r="A203" s="57"/>
      <c r="B203" s="100"/>
      <c r="C203" s="100"/>
      <c r="D203" s="100"/>
      <c r="E203" s="3"/>
      <c r="F203" s="3"/>
      <c r="G203" s="3"/>
      <c r="H203" s="3"/>
      <c r="J203" s="131"/>
      <c r="M203" s="15"/>
      <c r="O203" s="100"/>
    </row>
    <row r="204" spans="1:15" x14ac:dyDescent="0.25">
      <c r="A204" s="57"/>
      <c r="B204" s="100"/>
      <c r="C204" s="100"/>
      <c r="D204" s="100"/>
      <c r="E204" s="3"/>
      <c r="F204" s="3"/>
      <c r="G204" s="3"/>
      <c r="H204" s="3"/>
      <c r="J204" s="131"/>
      <c r="M204" s="15"/>
      <c r="O204" s="100"/>
    </row>
    <row r="205" spans="1:15" x14ac:dyDescent="0.25">
      <c r="A205" s="57"/>
      <c r="B205" s="100"/>
      <c r="C205" s="100"/>
      <c r="D205" s="100"/>
      <c r="E205" s="3"/>
      <c r="F205" s="3"/>
      <c r="G205" s="3"/>
      <c r="H205" s="3"/>
      <c r="J205" s="131"/>
      <c r="M205" s="15"/>
      <c r="O205" s="100"/>
    </row>
    <row r="206" spans="1:15" x14ac:dyDescent="0.25">
      <c r="A206" s="57"/>
      <c r="B206" s="100"/>
      <c r="C206" s="100"/>
      <c r="D206" s="100"/>
      <c r="E206" s="3"/>
      <c r="F206" s="3"/>
      <c r="G206" s="3"/>
      <c r="H206" s="3"/>
      <c r="J206" s="131"/>
      <c r="M206" s="15"/>
      <c r="O206" s="100"/>
    </row>
    <row r="207" spans="1:15" x14ac:dyDescent="0.25">
      <c r="A207" s="57"/>
      <c r="B207" s="100"/>
      <c r="C207" s="100"/>
      <c r="D207" s="100"/>
      <c r="E207" s="3"/>
      <c r="F207" s="3"/>
      <c r="G207" s="3"/>
      <c r="H207" s="3"/>
      <c r="J207" s="131"/>
      <c r="M207" s="15"/>
      <c r="O207" s="100"/>
    </row>
    <row r="208" spans="1:15" ht="20.25" hidden="1" x14ac:dyDescent="0.25">
      <c r="A208" s="1027" t="s">
        <v>269</v>
      </c>
      <c r="B208" s="1028"/>
      <c r="C208" s="1028"/>
      <c r="D208" s="1028"/>
      <c r="E208" s="1028"/>
      <c r="F208" s="1028"/>
      <c r="G208" s="1028"/>
      <c r="H208" s="1028"/>
      <c r="I208" s="1028"/>
      <c r="J208" s="1028"/>
      <c r="K208" s="1028"/>
      <c r="L208" s="1028"/>
      <c r="M208" s="1028"/>
      <c r="N208" s="1029"/>
    </row>
    <row r="209" spans="1:15" ht="38.25" hidden="1" x14ac:dyDescent="0.25">
      <c r="A209" s="32" t="s">
        <v>50</v>
      </c>
      <c r="B209" s="33" t="s">
        <v>149</v>
      </c>
      <c r="C209" s="33" t="s">
        <v>150</v>
      </c>
      <c r="D209" s="33" t="s">
        <v>151</v>
      </c>
      <c r="E209" s="33" t="s">
        <v>152</v>
      </c>
      <c r="F209" s="33" t="s">
        <v>162</v>
      </c>
      <c r="G209" s="33" t="s">
        <v>154</v>
      </c>
      <c r="H209" s="33" t="s">
        <v>163</v>
      </c>
      <c r="I209" s="33" t="s">
        <v>164</v>
      </c>
      <c r="J209" s="41" t="s">
        <v>165</v>
      </c>
      <c r="K209" s="33" t="s">
        <v>158</v>
      </c>
      <c r="L209" s="33" t="s">
        <v>159</v>
      </c>
      <c r="M209" s="33" t="s">
        <v>160</v>
      </c>
      <c r="N209" s="34" t="s">
        <v>161</v>
      </c>
    </row>
    <row r="210" spans="1:15" s="161" customFormat="1" hidden="1" x14ac:dyDescent="0.25">
      <c r="A210" s="157" t="s">
        <v>139</v>
      </c>
      <c r="B210" s="158"/>
      <c r="C210" s="158"/>
      <c r="D210" s="158"/>
      <c r="E210" s="158"/>
      <c r="F210" s="158"/>
      <c r="G210" s="158"/>
      <c r="H210" s="158"/>
      <c r="I210" s="158">
        <v>75</v>
      </c>
      <c r="J210" s="158" t="e">
        <f t="shared" ref="J210:J221" si="19">I210/H210</f>
        <v>#DIV/0!</v>
      </c>
      <c r="K210" s="158"/>
      <c r="L210" s="158"/>
      <c r="M210" s="158" t="e">
        <f t="shared" ref="M210:M221" si="20">L210/K210</f>
        <v>#DIV/0!</v>
      </c>
      <c r="N210" s="159" t="s">
        <v>278</v>
      </c>
      <c r="O210" s="160">
        <f t="shared" ref="O210:O220" si="21">LEN(N210)</f>
        <v>253</v>
      </c>
    </row>
    <row r="211" spans="1:15" s="161" customFormat="1" hidden="1" x14ac:dyDescent="0.25">
      <c r="A211" s="157" t="s">
        <v>140</v>
      </c>
      <c r="B211" s="158"/>
      <c r="C211" s="158"/>
      <c r="D211" s="158"/>
      <c r="E211" s="158"/>
      <c r="F211" s="158"/>
      <c r="G211" s="158"/>
      <c r="H211" s="158"/>
      <c r="I211" s="158">
        <v>370</v>
      </c>
      <c r="J211" s="158" t="e">
        <f t="shared" si="19"/>
        <v>#DIV/0!</v>
      </c>
      <c r="K211" s="158"/>
      <c r="L211" s="158"/>
      <c r="M211" s="158" t="e">
        <f t="shared" si="20"/>
        <v>#DIV/0!</v>
      </c>
      <c r="N211" s="161" t="s">
        <v>279</v>
      </c>
      <c r="O211" s="160">
        <f t="shared" si="21"/>
        <v>278</v>
      </c>
    </row>
    <row r="212" spans="1:15" s="161" customFormat="1" hidden="1" x14ac:dyDescent="0.25">
      <c r="A212" s="157" t="s">
        <v>141</v>
      </c>
      <c r="B212" s="158"/>
      <c r="C212" s="158"/>
      <c r="D212" s="158"/>
      <c r="E212" s="158"/>
      <c r="F212" s="158"/>
      <c r="G212" s="158"/>
      <c r="H212" s="158"/>
      <c r="I212" s="158">
        <v>590</v>
      </c>
      <c r="J212" s="158" t="e">
        <f t="shared" si="19"/>
        <v>#DIV/0!</v>
      </c>
      <c r="K212" s="158"/>
      <c r="L212" s="158"/>
      <c r="M212" s="158" t="e">
        <f t="shared" si="20"/>
        <v>#DIV/0!</v>
      </c>
      <c r="N212" s="162" t="s">
        <v>280</v>
      </c>
      <c r="O212" s="160">
        <f t="shared" si="21"/>
        <v>184</v>
      </c>
    </row>
    <row r="213" spans="1:15" s="161" customFormat="1" hidden="1" x14ac:dyDescent="0.25">
      <c r="A213" s="157" t="s">
        <v>142</v>
      </c>
      <c r="B213" s="158"/>
      <c r="C213" s="158"/>
      <c r="D213" s="158"/>
      <c r="E213" s="158"/>
      <c r="F213" s="158"/>
      <c r="G213" s="158"/>
      <c r="H213" s="158"/>
      <c r="I213" s="163" t="s">
        <v>281</v>
      </c>
      <c r="J213" s="158" t="e">
        <f t="shared" si="19"/>
        <v>#VALUE!</v>
      </c>
      <c r="K213" s="158"/>
      <c r="L213" s="158"/>
      <c r="M213" s="158" t="e">
        <f t="shared" si="20"/>
        <v>#DIV/0!</v>
      </c>
      <c r="N213" s="164" t="s">
        <v>282</v>
      </c>
      <c r="O213" s="160">
        <f t="shared" si="21"/>
        <v>149</v>
      </c>
    </row>
    <row r="214" spans="1:15" s="161" customFormat="1" hidden="1" x14ac:dyDescent="0.25">
      <c r="A214" s="157" t="s">
        <v>143</v>
      </c>
      <c r="B214" s="158"/>
      <c r="C214" s="158"/>
      <c r="D214" s="158"/>
      <c r="E214" s="158"/>
      <c r="F214" s="158"/>
      <c r="G214" s="158"/>
      <c r="H214" s="158"/>
      <c r="I214" s="158"/>
      <c r="J214" s="158" t="e">
        <f t="shared" si="19"/>
        <v>#DIV/0!</v>
      </c>
      <c r="K214" s="158"/>
      <c r="L214" s="158"/>
      <c r="M214" s="158" t="e">
        <f t="shared" si="20"/>
        <v>#DIV/0!</v>
      </c>
      <c r="N214" s="159"/>
      <c r="O214" s="160">
        <f t="shared" si="21"/>
        <v>0</v>
      </c>
    </row>
    <row r="215" spans="1:15" s="161" customFormat="1" hidden="1" x14ac:dyDescent="0.25">
      <c r="A215" s="157" t="s">
        <v>144</v>
      </c>
      <c r="B215" s="158"/>
      <c r="C215" s="158"/>
      <c r="D215" s="158"/>
      <c r="E215" s="158"/>
      <c r="F215" s="158"/>
      <c r="G215" s="158"/>
      <c r="H215" s="158"/>
      <c r="I215" s="158"/>
      <c r="J215" s="158" t="e">
        <f t="shared" si="19"/>
        <v>#DIV/0!</v>
      </c>
      <c r="K215" s="158"/>
      <c r="L215" s="158"/>
      <c r="M215" s="158" t="e">
        <f t="shared" si="20"/>
        <v>#DIV/0!</v>
      </c>
      <c r="N215" s="161" t="s">
        <v>283</v>
      </c>
      <c r="O215" s="160">
        <f t="shared" si="21"/>
        <v>250</v>
      </c>
    </row>
    <row r="216" spans="1:15" s="161" customFormat="1" hidden="1" x14ac:dyDescent="0.25">
      <c r="A216" s="157" t="s">
        <v>132</v>
      </c>
      <c r="B216" s="158"/>
      <c r="C216" s="158"/>
      <c r="D216" s="158"/>
      <c r="E216" s="158"/>
      <c r="F216" s="158"/>
      <c r="G216" s="158"/>
      <c r="H216" s="158"/>
      <c r="I216" s="158"/>
      <c r="J216" s="158" t="e">
        <f t="shared" si="19"/>
        <v>#DIV/0!</v>
      </c>
      <c r="K216" s="158"/>
      <c r="L216" s="158"/>
      <c r="M216" s="158" t="e">
        <f t="shared" si="20"/>
        <v>#DIV/0!</v>
      </c>
      <c r="N216" s="159"/>
      <c r="O216" s="160">
        <f t="shared" si="21"/>
        <v>0</v>
      </c>
    </row>
    <row r="217" spans="1:15" s="161" customFormat="1" hidden="1" x14ac:dyDescent="0.25">
      <c r="A217" s="157" t="s">
        <v>133</v>
      </c>
      <c r="B217" s="158"/>
      <c r="C217" s="158"/>
      <c r="D217" s="158"/>
      <c r="E217" s="158"/>
      <c r="F217" s="158"/>
      <c r="G217" s="158"/>
      <c r="H217" s="158"/>
      <c r="I217" s="158"/>
      <c r="J217" s="158" t="e">
        <f t="shared" si="19"/>
        <v>#DIV/0!</v>
      </c>
      <c r="K217" s="158"/>
      <c r="L217" s="158"/>
      <c r="M217" s="158" t="e">
        <f t="shared" si="20"/>
        <v>#DIV/0!</v>
      </c>
      <c r="N217" s="159"/>
      <c r="O217" s="160">
        <f t="shared" si="21"/>
        <v>0</v>
      </c>
    </row>
    <row r="218" spans="1:15" s="161" customFormat="1" hidden="1" x14ac:dyDescent="0.25">
      <c r="A218" s="157" t="s">
        <v>134</v>
      </c>
      <c r="B218" s="158"/>
      <c r="C218" s="158"/>
      <c r="D218" s="158"/>
      <c r="E218" s="158"/>
      <c r="F218" s="158"/>
      <c r="G218" s="158"/>
      <c r="H218" s="158"/>
      <c r="I218" s="158"/>
      <c r="J218" s="158" t="e">
        <f t="shared" si="19"/>
        <v>#DIV/0!</v>
      </c>
      <c r="K218" s="158"/>
      <c r="L218" s="158"/>
      <c r="M218" s="158" t="e">
        <f t="shared" si="20"/>
        <v>#DIV/0!</v>
      </c>
      <c r="N218" s="159"/>
      <c r="O218" s="160">
        <f t="shared" si="21"/>
        <v>0</v>
      </c>
    </row>
    <row r="219" spans="1:15" s="161" customFormat="1" hidden="1" x14ac:dyDescent="0.25">
      <c r="A219" s="157" t="s">
        <v>135</v>
      </c>
      <c r="B219" s="158"/>
      <c r="C219" s="158"/>
      <c r="D219" s="158"/>
      <c r="E219" s="158"/>
      <c r="F219" s="158"/>
      <c r="G219" s="158"/>
      <c r="H219" s="158"/>
      <c r="I219" s="158"/>
      <c r="J219" s="158" t="e">
        <f t="shared" si="19"/>
        <v>#DIV/0!</v>
      </c>
      <c r="K219" s="158"/>
      <c r="L219" s="158"/>
      <c r="M219" s="158" t="e">
        <f t="shared" si="20"/>
        <v>#DIV/0!</v>
      </c>
      <c r="N219" s="159"/>
      <c r="O219" s="160">
        <f t="shared" si="21"/>
        <v>0</v>
      </c>
    </row>
    <row r="220" spans="1:15" s="161" customFormat="1" hidden="1" x14ac:dyDescent="0.25">
      <c r="A220" s="157" t="s">
        <v>136</v>
      </c>
      <c r="B220" s="158"/>
      <c r="C220" s="158"/>
      <c r="D220" s="158"/>
      <c r="E220" s="158"/>
      <c r="F220" s="158"/>
      <c r="G220" s="158"/>
      <c r="H220" s="158"/>
      <c r="I220" s="158"/>
      <c r="J220" s="158" t="e">
        <f t="shared" si="19"/>
        <v>#DIV/0!</v>
      </c>
      <c r="K220" s="158"/>
      <c r="L220" s="158"/>
      <c r="M220" s="158" t="e">
        <f t="shared" si="20"/>
        <v>#DIV/0!</v>
      </c>
      <c r="N220" s="159"/>
      <c r="O220" s="160">
        <f t="shared" si="21"/>
        <v>0</v>
      </c>
    </row>
    <row r="221" spans="1:15" s="161" customFormat="1" ht="15.75" hidden="1" thickBot="1" x14ac:dyDescent="0.3">
      <c r="A221" s="165" t="s">
        <v>137</v>
      </c>
      <c r="B221" s="108"/>
      <c r="C221" s="108"/>
      <c r="D221" s="108"/>
      <c r="E221" s="108"/>
      <c r="F221" s="108"/>
      <c r="G221" s="108"/>
      <c r="H221" s="108"/>
      <c r="I221" s="108"/>
      <c r="J221" s="108" t="e">
        <f t="shared" si="19"/>
        <v>#DIV/0!</v>
      </c>
      <c r="K221" s="108"/>
      <c r="L221" s="108"/>
      <c r="M221" s="108" t="e">
        <f t="shared" si="20"/>
        <v>#DIV/0!</v>
      </c>
      <c r="N221" s="111"/>
      <c r="O221" s="166"/>
    </row>
    <row r="223" spans="1:15" ht="20.25" hidden="1" x14ac:dyDescent="0.25">
      <c r="A223" s="1027" t="s">
        <v>166</v>
      </c>
      <c r="B223" s="1028"/>
      <c r="C223" s="1028"/>
      <c r="D223" s="1028"/>
      <c r="E223" s="1028"/>
      <c r="F223" s="1028"/>
      <c r="G223" s="1028"/>
      <c r="H223" s="1028"/>
      <c r="I223" s="1028"/>
      <c r="J223" s="1028"/>
      <c r="K223" s="1028"/>
      <c r="L223" s="1028"/>
      <c r="M223" s="1028"/>
      <c r="N223" s="1029"/>
    </row>
    <row r="224" spans="1:15" ht="38.25" hidden="1" x14ac:dyDescent="0.25">
      <c r="A224" s="32" t="s">
        <v>62</v>
      </c>
      <c r="B224" s="33" t="s">
        <v>149</v>
      </c>
      <c r="C224" s="33" t="s">
        <v>150</v>
      </c>
      <c r="D224" s="33" t="s">
        <v>151</v>
      </c>
      <c r="E224" s="33" t="s">
        <v>152</v>
      </c>
      <c r="F224" s="33" t="s">
        <v>167</v>
      </c>
      <c r="G224" s="33" t="s">
        <v>154</v>
      </c>
      <c r="H224" s="33" t="s">
        <v>168</v>
      </c>
      <c r="I224" s="33" t="s">
        <v>169</v>
      </c>
      <c r="J224" s="41" t="s">
        <v>170</v>
      </c>
      <c r="K224" s="33" t="s">
        <v>158</v>
      </c>
      <c r="L224" s="33" t="s">
        <v>159</v>
      </c>
      <c r="M224" s="33" t="s">
        <v>160</v>
      </c>
      <c r="N224" s="34" t="s">
        <v>161</v>
      </c>
    </row>
    <row r="225" spans="1:14" hidden="1" x14ac:dyDescent="0.25">
      <c r="A225" s="39" t="s">
        <v>139</v>
      </c>
      <c r="B225" s="36"/>
      <c r="C225" s="36"/>
      <c r="D225" s="36"/>
      <c r="E225" s="36"/>
      <c r="F225" s="36"/>
      <c r="G225" s="36"/>
      <c r="H225" s="36"/>
      <c r="I225" s="36"/>
      <c r="J225" s="36" t="e">
        <f t="shared" ref="J225:J236" si="22">I225/H225</f>
        <v>#DIV/0!</v>
      </c>
      <c r="K225" s="36"/>
      <c r="L225" s="36"/>
      <c r="M225" s="36" t="e">
        <f t="shared" ref="M225:M236" si="23">L225/K225</f>
        <v>#DIV/0!</v>
      </c>
      <c r="N225" s="37"/>
    </row>
    <row r="226" spans="1:14" hidden="1" x14ac:dyDescent="0.25">
      <c r="A226" s="39" t="s">
        <v>140</v>
      </c>
      <c r="B226" s="36"/>
      <c r="C226" s="36"/>
      <c r="D226" s="36"/>
      <c r="E226" s="36"/>
      <c r="F226" s="36"/>
      <c r="G226" s="36"/>
      <c r="H226" s="36"/>
      <c r="I226" s="36"/>
      <c r="J226" s="36" t="e">
        <f t="shared" si="22"/>
        <v>#DIV/0!</v>
      </c>
      <c r="K226" s="36"/>
      <c r="L226" s="36"/>
      <c r="M226" s="36" t="e">
        <f t="shared" si="23"/>
        <v>#DIV/0!</v>
      </c>
      <c r="N226" s="37"/>
    </row>
    <row r="227" spans="1:14" hidden="1" x14ac:dyDescent="0.25">
      <c r="A227" s="39" t="s">
        <v>141</v>
      </c>
      <c r="B227" s="36"/>
      <c r="C227" s="36"/>
      <c r="D227" s="36"/>
      <c r="E227" s="36"/>
      <c r="F227" s="36"/>
      <c r="G227" s="36"/>
      <c r="H227" s="36"/>
      <c r="I227" s="36"/>
      <c r="J227" s="36" t="e">
        <f t="shared" si="22"/>
        <v>#DIV/0!</v>
      </c>
      <c r="K227" s="36"/>
      <c r="L227" s="36"/>
      <c r="M227" s="36" t="e">
        <f t="shared" si="23"/>
        <v>#DIV/0!</v>
      </c>
      <c r="N227" s="37"/>
    </row>
    <row r="228" spans="1:14" hidden="1" x14ac:dyDescent="0.25">
      <c r="A228" s="39" t="s">
        <v>142</v>
      </c>
      <c r="B228" s="36"/>
      <c r="C228" s="36"/>
      <c r="D228" s="36"/>
      <c r="E228" s="36"/>
      <c r="F228" s="36"/>
      <c r="G228" s="36"/>
      <c r="H228" s="36"/>
      <c r="I228" s="36"/>
      <c r="J228" s="36" t="e">
        <f t="shared" si="22"/>
        <v>#DIV/0!</v>
      </c>
      <c r="K228" s="36"/>
      <c r="L228" s="36"/>
      <c r="M228" s="36" t="e">
        <f t="shared" si="23"/>
        <v>#DIV/0!</v>
      </c>
      <c r="N228" s="37"/>
    </row>
    <row r="229" spans="1:14" hidden="1" x14ac:dyDescent="0.25">
      <c r="A229" s="39" t="s">
        <v>143</v>
      </c>
      <c r="B229" s="36"/>
      <c r="C229" s="36"/>
      <c r="D229" s="36"/>
      <c r="E229" s="36"/>
      <c r="F229" s="36"/>
      <c r="G229" s="36"/>
      <c r="H229" s="36"/>
      <c r="I229" s="36"/>
      <c r="J229" s="36" t="e">
        <f t="shared" si="22"/>
        <v>#DIV/0!</v>
      </c>
      <c r="K229" s="36"/>
      <c r="L229" s="36"/>
      <c r="M229" s="36" t="e">
        <f t="shared" si="23"/>
        <v>#DIV/0!</v>
      </c>
      <c r="N229" s="37"/>
    </row>
    <row r="230" spans="1:14" hidden="1" x14ac:dyDescent="0.25">
      <c r="A230" s="39" t="s">
        <v>144</v>
      </c>
      <c r="B230" s="36"/>
      <c r="C230" s="36"/>
      <c r="D230" s="36"/>
      <c r="E230" s="36"/>
      <c r="F230" s="36"/>
      <c r="G230" s="36"/>
      <c r="H230" s="36"/>
      <c r="I230" s="36"/>
      <c r="J230" s="36" t="e">
        <f t="shared" si="22"/>
        <v>#DIV/0!</v>
      </c>
      <c r="K230" s="36"/>
      <c r="L230" s="36"/>
      <c r="M230" s="36" t="e">
        <f t="shared" si="23"/>
        <v>#DIV/0!</v>
      </c>
      <c r="N230" s="37"/>
    </row>
    <row r="231" spans="1:14" hidden="1" x14ac:dyDescent="0.25">
      <c r="A231" s="39" t="s">
        <v>132</v>
      </c>
      <c r="B231" s="36"/>
      <c r="C231" s="36"/>
      <c r="D231" s="36"/>
      <c r="E231" s="36"/>
      <c r="F231" s="36"/>
      <c r="G231" s="36"/>
      <c r="H231" s="36"/>
      <c r="I231" s="36"/>
      <c r="J231" s="36" t="e">
        <f t="shared" si="22"/>
        <v>#DIV/0!</v>
      </c>
      <c r="K231" s="36"/>
      <c r="L231" s="36"/>
      <c r="M231" s="36" t="e">
        <f t="shared" si="23"/>
        <v>#DIV/0!</v>
      </c>
      <c r="N231" s="37"/>
    </row>
    <row r="232" spans="1:14" hidden="1" x14ac:dyDescent="0.25">
      <c r="A232" s="39" t="s">
        <v>133</v>
      </c>
      <c r="B232" s="36"/>
      <c r="C232" s="36"/>
      <c r="D232" s="36"/>
      <c r="E232" s="36"/>
      <c r="F232" s="36"/>
      <c r="G232" s="36"/>
      <c r="H232" s="36"/>
      <c r="I232" s="36"/>
      <c r="J232" s="36" t="e">
        <f t="shared" si="22"/>
        <v>#DIV/0!</v>
      </c>
      <c r="K232" s="36"/>
      <c r="L232" s="36"/>
      <c r="M232" s="36" t="e">
        <f t="shared" si="23"/>
        <v>#DIV/0!</v>
      </c>
      <c r="N232" s="37"/>
    </row>
    <row r="233" spans="1:14" hidden="1" x14ac:dyDescent="0.25">
      <c r="A233" s="39" t="s">
        <v>134</v>
      </c>
      <c r="B233" s="36"/>
      <c r="C233" s="36"/>
      <c r="D233" s="36"/>
      <c r="E233" s="36"/>
      <c r="F233" s="36"/>
      <c r="G233" s="36"/>
      <c r="H233" s="36"/>
      <c r="I233" s="36"/>
      <c r="J233" s="36" t="e">
        <f t="shared" si="22"/>
        <v>#DIV/0!</v>
      </c>
      <c r="K233" s="36"/>
      <c r="L233" s="36"/>
      <c r="M233" s="36" t="e">
        <f t="shared" si="23"/>
        <v>#DIV/0!</v>
      </c>
      <c r="N233" s="37"/>
    </row>
    <row r="234" spans="1:14" hidden="1" x14ac:dyDescent="0.25">
      <c r="A234" s="39" t="s">
        <v>135</v>
      </c>
      <c r="B234" s="36"/>
      <c r="C234" s="36"/>
      <c r="D234" s="36"/>
      <c r="E234" s="36"/>
      <c r="F234" s="36"/>
      <c r="G234" s="36"/>
      <c r="H234" s="36"/>
      <c r="I234" s="36"/>
      <c r="J234" s="36" t="e">
        <f t="shared" si="22"/>
        <v>#DIV/0!</v>
      </c>
      <c r="K234" s="36"/>
      <c r="L234" s="36"/>
      <c r="M234" s="36" t="e">
        <f t="shared" si="23"/>
        <v>#DIV/0!</v>
      </c>
      <c r="N234" s="37"/>
    </row>
    <row r="235" spans="1:14" hidden="1" x14ac:dyDescent="0.25">
      <c r="A235" s="39" t="s">
        <v>136</v>
      </c>
      <c r="B235" s="36"/>
      <c r="C235" s="36"/>
      <c r="D235" s="36"/>
      <c r="E235" s="36"/>
      <c r="F235" s="36"/>
      <c r="G235" s="36"/>
      <c r="H235" s="36"/>
      <c r="I235" s="36"/>
      <c r="J235" s="36" t="e">
        <f t="shared" si="22"/>
        <v>#DIV/0!</v>
      </c>
      <c r="K235" s="36"/>
      <c r="L235" s="36"/>
      <c r="M235" s="36" t="e">
        <f t="shared" si="23"/>
        <v>#DIV/0!</v>
      </c>
      <c r="N235" s="37"/>
    </row>
    <row r="236" spans="1:14" ht="15.75" hidden="1" thickBot="1" x14ac:dyDescent="0.3">
      <c r="A236" s="40" t="s">
        <v>137</v>
      </c>
      <c r="B236" s="38"/>
      <c r="C236" s="38"/>
      <c r="D236" s="38"/>
      <c r="E236" s="38"/>
      <c r="F236" s="38"/>
      <c r="G236" s="38"/>
      <c r="H236" s="38"/>
      <c r="I236" s="38"/>
      <c r="J236" s="38" t="e">
        <f t="shared" si="22"/>
        <v>#DIV/0!</v>
      </c>
      <c r="K236" s="38"/>
      <c r="L236" s="38"/>
      <c r="M236" s="38" t="e">
        <f t="shared" si="23"/>
        <v>#DIV/0!</v>
      </c>
      <c r="N236" s="42"/>
    </row>
    <row r="237" spans="1:14" hidden="1" x14ac:dyDescent="0.25"/>
    <row r="238" spans="1:14" ht="20.25" hidden="1" x14ac:dyDescent="0.25">
      <c r="A238" s="1027" t="s">
        <v>171</v>
      </c>
      <c r="B238" s="1028"/>
      <c r="C238" s="1028"/>
      <c r="D238" s="1028"/>
      <c r="E238" s="1028"/>
      <c r="F238" s="1028"/>
      <c r="G238" s="1028"/>
      <c r="H238" s="1028"/>
      <c r="I238" s="1028"/>
      <c r="J238" s="1028"/>
      <c r="K238" s="1028"/>
      <c r="L238" s="1028"/>
      <c r="M238" s="1028"/>
      <c r="N238" s="1029"/>
    </row>
    <row r="239" spans="1:14" ht="38.25" hidden="1" x14ac:dyDescent="0.25">
      <c r="A239" s="32" t="s">
        <v>63</v>
      </c>
      <c r="B239" s="33" t="s">
        <v>149</v>
      </c>
      <c r="C239" s="33" t="s">
        <v>150</v>
      </c>
      <c r="D239" s="33" t="s">
        <v>151</v>
      </c>
      <c r="E239" s="33" t="s">
        <v>152</v>
      </c>
      <c r="F239" s="33" t="s">
        <v>172</v>
      </c>
      <c r="G239" s="33" t="s">
        <v>154</v>
      </c>
      <c r="H239" s="33" t="s">
        <v>173</v>
      </c>
      <c r="I239" s="33" t="s">
        <v>174</v>
      </c>
      <c r="J239" s="41" t="s">
        <v>175</v>
      </c>
      <c r="K239" s="33" t="s">
        <v>158</v>
      </c>
      <c r="L239" s="33" t="s">
        <v>159</v>
      </c>
      <c r="M239" s="33" t="s">
        <v>160</v>
      </c>
      <c r="N239" s="34" t="s">
        <v>161</v>
      </c>
    </row>
    <row r="240" spans="1:14" hidden="1" x14ac:dyDescent="0.25">
      <c r="A240" s="39" t="s">
        <v>139</v>
      </c>
      <c r="B240" s="36"/>
      <c r="C240" s="36"/>
      <c r="D240" s="36"/>
      <c r="E240" s="36"/>
      <c r="F240" s="36"/>
      <c r="G240" s="36"/>
      <c r="H240" s="36"/>
      <c r="I240" s="36"/>
      <c r="J240" s="36" t="e">
        <f t="shared" ref="J240:J251" si="24">I240/H240</f>
        <v>#DIV/0!</v>
      </c>
      <c r="K240" s="36"/>
      <c r="L240" s="36"/>
      <c r="M240" s="36" t="e">
        <f t="shared" ref="M240:M251" si="25">L240/K240</f>
        <v>#DIV/0!</v>
      </c>
      <c r="N240" s="37"/>
    </row>
    <row r="241" spans="1:14" hidden="1" x14ac:dyDescent="0.25">
      <c r="A241" s="39" t="s">
        <v>140</v>
      </c>
      <c r="B241" s="36"/>
      <c r="C241" s="36"/>
      <c r="D241" s="36"/>
      <c r="E241" s="36"/>
      <c r="F241" s="36"/>
      <c r="G241" s="36"/>
      <c r="H241" s="36"/>
      <c r="I241" s="36"/>
      <c r="J241" s="36" t="e">
        <f t="shared" si="24"/>
        <v>#DIV/0!</v>
      </c>
      <c r="K241" s="36"/>
      <c r="L241" s="36"/>
      <c r="M241" s="36" t="e">
        <f t="shared" si="25"/>
        <v>#DIV/0!</v>
      </c>
      <c r="N241" s="37"/>
    </row>
    <row r="242" spans="1:14" hidden="1" x14ac:dyDescent="0.25">
      <c r="A242" s="39" t="s">
        <v>141</v>
      </c>
      <c r="B242" s="36"/>
      <c r="C242" s="36"/>
      <c r="D242" s="36"/>
      <c r="E242" s="36"/>
      <c r="F242" s="36"/>
      <c r="G242" s="36"/>
      <c r="H242" s="36"/>
      <c r="I242" s="36"/>
      <c r="J242" s="36" t="e">
        <f t="shared" si="24"/>
        <v>#DIV/0!</v>
      </c>
      <c r="K242" s="36"/>
      <c r="L242" s="36"/>
      <c r="M242" s="36" t="e">
        <f t="shared" si="25"/>
        <v>#DIV/0!</v>
      </c>
      <c r="N242" s="37"/>
    </row>
    <row r="243" spans="1:14" hidden="1" x14ac:dyDescent="0.25">
      <c r="A243" s="39" t="s">
        <v>142</v>
      </c>
      <c r="B243" s="36"/>
      <c r="C243" s="36"/>
      <c r="D243" s="36"/>
      <c r="E243" s="36"/>
      <c r="F243" s="36"/>
      <c r="G243" s="36"/>
      <c r="H243" s="36"/>
      <c r="I243" s="36"/>
      <c r="J243" s="36" t="e">
        <f t="shared" si="24"/>
        <v>#DIV/0!</v>
      </c>
      <c r="K243" s="36"/>
      <c r="L243" s="36"/>
      <c r="M243" s="36" t="e">
        <f t="shared" si="25"/>
        <v>#DIV/0!</v>
      </c>
      <c r="N243" s="37"/>
    </row>
    <row r="244" spans="1:14" hidden="1" x14ac:dyDescent="0.25">
      <c r="A244" s="39" t="s">
        <v>143</v>
      </c>
      <c r="B244" s="36"/>
      <c r="C244" s="36"/>
      <c r="D244" s="36"/>
      <c r="E244" s="36"/>
      <c r="F244" s="36"/>
      <c r="G244" s="36"/>
      <c r="H244" s="36"/>
      <c r="I244" s="36"/>
      <c r="J244" s="36" t="e">
        <f t="shared" si="24"/>
        <v>#DIV/0!</v>
      </c>
      <c r="K244" s="36"/>
      <c r="L244" s="36"/>
      <c r="M244" s="36" t="e">
        <f t="shared" si="25"/>
        <v>#DIV/0!</v>
      </c>
      <c r="N244" s="37"/>
    </row>
    <row r="245" spans="1:14" hidden="1" x14ac:dyDescent="0.25">
      <c r="A245" s="39" t="s">
        <v>144</v>
      </c>
      <c r="B245" s="36"/>
      <c r="C245" s="36"/>
      <c r="D245" s="36"/>
      <c r="E245" s="36"/>
      <c r="F245" s="36"/>
      <c r="G245" s="36"/>
      <c r="H245" s="36"/>
      <c r="I245" s="36"/>
      <c r="J245" s="36" t="e">
        <f t="shared" si="24"/>
        <v>#DIV/0!</v>
      </c>
      <c r="K245" s="36"/>
      <c r="L245" s="36"/>
      <c r="M245" s="36" t="e">
        <f t="shared" si="25"/>
        <v>#DIV/0!</v>
      </c>
      <c r="N245" s="37"/>
    </row>
    <row r="246" spans="1:14" hidden="1" x14ac:dyDescent="0.25">
      <c r="A246" s="39" t="s">
        <v>132</v>
      </c>
      <c r="B246" s="36"/>
      <c r="C246" s="36"/>
      <c r="D246" s="36"/>
      <c r="E246" s="36"/>
      <c r="F246" s="36"/>
      <c r="G246" s="36"/>
      <c r="H246" s="36"/>
      <c r="I246" s="36"/>
      <c r="J246" s="36" t="e">
        <f t="shared" si="24"/>
        <v>#DIV/0!</v>
      </c>
      <c r="K246" s="36"/>
      <c r="L246" s="36"/>
      <c r="M246" s="36" t="e">
        <f t="shared" si="25"/>
        <v>#DIV/0!</v>
      </c>
      <c r="N246" s="37"/>
    </row>
    <row r="247" spans="1:14" hidden="1" x14ac:dyDescent="0.25">
      <c r="A247" s="39" t="s">
        <v>133</v>
      </c>
      <c r="B247" s="36"/>
      <c r="C247" s="36"/>
      <c r="D247" s="36"/>
      <c r="E247" s="36"/>
      <c r="F247" s="36"/>
      <c r="G247" s="36"/>
      <c r="H247" s="36"/>
      <c r="I247" s="36"/>
      <c r="J247" s="36" t="e">
        <f t="shared" si="24"/>
        <v>#DIV/0!</v>
      </c>
      <c r="K247" s="36"/>
      <c r="L247" s="36"/>
      <c r="M247" s="36" t="e">
        <f t="shared" si="25"/>
        <v>#DIV/0!</v>
      </c>
      <c r="N247" s="37"/>
    </row>
    <row r="248" spans="1:14" hidden="1" x14ac:dyDescent="0.25">
      <c r="A248" s="39" t="s">
        <v>134</v>
      </c>
      <c r="B248" s="36"/>
      <c r="C248" s="36"/>
      <c r="D248" s="36"/>
      <c r="E248" s="36"/>
      <c r="F248" s="36"/>
      <c r="G248" s="36"/>
      <c r="H248" s="36"/>
      <c r="I248" s="36"/>
      <c r="J248" s="36" t="e">
        <f t="shared" si="24"/>
        <v>#DIV/0!</v>
      </c>
      <c r="K248" s="36"/>
      <c r="L248" s="36"/>
      <c r="M248" s="36" t="e">
        <f t="shared" si="25"/>
        <v>#DIV/0!</v>
      </c>
      <c r="N248" s="37"/>
    </row>
    <row r="249" spans="1:14" hidden="1" x14ac:dyDescent="0.25">
      <c r="A249" s="39" t="s">
        <v>135</v>
      </c>
      <c r="B249" s="36"/>
      <c r="C249" s="36"/>
      <c r="D249" s="36"/>
      <c r="E249" s="36"/>
      <c r="F249" s="36"/>
      <c r="G249" s="36"/>
      <c r="H249" s="36"/>
      <c r="I249" s="36"/>
      <c r="J249" s="36" t="e">
        <f t="shared" si="24"/>
        <v>#DIV/0!</v>
      </c>
      <c r="K249" s="36"/>
      <c r="L249" s="36"/>
      <c r="M249" s="36" t="e">
        <f t="shared" si="25"/>
        <v>#DIV/0!</v>
      </c>
      <c r="N249" s="37"/>
    </row>
    <row r="250" spans="1:14" hidden="1" x14ac:dyDescent="0.25">
      <c r="A250" s="39" t="s">
        <v>136</v>
      </c>
      <c r="B250" s="36"/>
      <c r="C250" s="36"/>
      <c r="D250" s="36"/>
      <c r="E250" s="36"/>
      <c r="F250" s="36"/>
      <c r="G250" s="36"/>
      <c r="H250" s="36"/>
      <c r="I250" s="36"/>
      <c r="J250" s="36" t="e">
        <f t="shared" si="24"/>
        <v>#DIV/0!</v>
      </c>
      <c r="K250" s="36"/>
      <c r="L250" s="36"/>
      <c r="M250" s="36" t="e">
        <f t="shared" si="25"/>
        <v>#DIV/0!</v>
      </c>
      <c r="N250" s="37"/>
    </row>
    <row r="251" spans="1:14" ht="15.75" hidden="1" thickBot="1" x14ac:dyDescent="0.3">
      <c r="A251" s="40" t="s">
        <v>137</v>
      </c>
      <c r="B251" s="38"/>
      <c r="C251" s="38"/>
      <c r="D251" s="38"/>
      <c r="E251" s="38"/>
      <c r="F251" s="38"/>
      <c r="G251" s="38"/>
      <c r="H251" s="38"/>
      <c r="I251" s="38"/>
      <c r="J251" s="38" t="e">
        <f t="shared" si="24"/>
        <v>#DIV/0!</v>
      </c>
      <c r="K251" s="38"/>
      <c r="L251" s="38"/>
      <c r="M251" s="38" t="e">
        <f t="shared" si="25"/>
        <v>#DIV/0!</v>
      </c>
      <c r="N251" s="42"/>
    </row>
    <row r="253" spans="1:14" ht="20.25" hidden="1" x14ac:dyDescent="0.25">
      <c r="A253" s="1027" t="s">
        <v>176</v>
      </c>
      <c r="B253" s="1028"/>
      <c r="C253" s="1028"/>
      <c r="D253" s="1028"/>
      <c r="E253" s="1028"/>
      <c r="F253" s="1028"/>
      <c r="G253" s="1028"/>
      <c r="H253" s="1028"/>
      <c r="I253" s="1028"/>
      <c r="J253" s="1028"/>
      <c r="K253" s="1028"/>
      <c r="L253" s="1028"/>
      <c r="M253" s="1028"/>
      <c r="N253" s="1029"/>
    </row>
    <row r="254" spans="1:14" ht="38.25" hidden="1" x14ac:dyDescent="0.25">
      <c r="A254" s="32" t="s">
        <v>64</v>
      </c>
      <c r="B254" s="33" t="s">
        <v>149</v>
      </c>
      <c r="C254" s="33" t="s">
        <v>150</v>
      </c>
      <c r="D254" s="33" t="s">
        <v>151</v>
      </c>
      <c r="E254" s="33" t="s">
        <v>152</v>
      </c>
      <c r="F254" s="33" t="s">
        <v>177</v>
      </c>
      <c r="G254" s="33" t="s">
        <v>154</v>
      </c>
      <c r="H254" s="33" t="s">
        <v>178</v>
      </c>
      <c r="I254" s="33" t="s">
        <v>179</v>
      </c>
      <c r="J254" s="41" t="s">
        <v>180</v>
      </c>
      <c r="K254" s="33" t="s">
        <v>158</v>
      </c>
      <c r="L254" s="33" t="s">
        <v>159</v>
      </c>
      <c r="M254" s="33" t="s">
        <v>160</v>
      </c>
      <c r="N254" s="34" t="s">
        <v>161</v>
      </c>
    </row>
    <row r="255" spans="1:14" hidden="1" x14ac:dyDescent="0.25">
      <c r="A255" s="39" t="s">
        <v>139</v>
      </c>
      <c r="B255" s="36"/>
      <c r="C255" s="36"/>
      <c r="D255" s="36"/>
      <c r="E255" s="36"/>
      <c r="F255" s="36"/>
      <c r="G255" s="36"/>
      <c r="H255" s="36"/>
      <c r="I255" s="36"/>
      <c r="J255" s="36" t="e">
        <f t="shared" ref="J255:J266" si="26">I255/H255</f>
        <v>#DIV/0!</v>
      </c>
      <c r="K255" s="36"/>
      <c r="L255" s="36"/>
      <c r="M255" s="36" t="e">
        <f t="shared" ref="M255:M266" si="27">L255/K255</f>
        <v>#DIV/0!</v>
      </c>
      <c r="N255" s="37"/>
    </row>
    <row r="256" spans="1:14" hidden="1" x14ac:dyDescent="0.25">
      <c r="A256" s="39" t="s">
        <v>140</v>
      </c>
      <c r="B256" s="36"/>
      <c r="C256" s="36"/>
      <c r="D256" s="36"/>
      <c r="E256" s="36"/>
      <c r="F256" s="36"/>
      <c r="G256" s="36"/>
      <c r="H256" s="36"/>
      <c r="I256" s="36"/>
      <c r="J256" s="36" t="e">
        <f t="shared" si="26"/>
        <v>#DIV/0!</v>
      </c>
      <c r="K256" s="36"/>
      <c r="L256" s="36"/>
      <c r="M256" s="36" t="e">
        <f t="shared" si="27"/>
        <v>#DIV/0!</v>
      </c>
      <c r="N256" s="37"/>
    </row>
    <row r="257" spans="1:14" hidden="1" x14ac:dyDescent="0.25">
      <c r="A257" s="39" t="s">
        <v>141</v>
      </c>
      <c r="B257" s="36"/>
      <c r="C257" s="36"/>
      <c r="D257" s="36"/>
      <c r="E257" s="36"/>
      <c r="F257" s="36"/>
      <c r="G257" s="36"/>
      <c r="H257" s="36"/>
      <c r="I257" s="36"/>
      <c r="J257" s="36" t="e">
        <f t="shared" si="26"/>
        <v>#DIV/0!</v>
      </c>
      <c r="K257" s="36"/>
      <c r="L257" s="36"/>
      <c r="M257" s="36" t="e">
        <f t="shared" si="27"/>
        <v>#DIV/0!</v>
      </c>
      <c r="N257" s="37"/>
    </row>
    <row r="258" spans="1:14" hidden="1" x14ac:dyDescent="0.25">
      <c r="A258" s="39" t="s">
        <v>142</v>
      </c>
      <c r="B258" s="36"/>
      <c r="C258" s="36"/>
      <c r="D258" s="36"/>
      <c r="E258" s="36"/>
      <c r="F258" s="36"/>
      <c r="G258" s="36"/>
      <c r="H258" s="36"/>
      <c r="I258" s="36"/>
      <c r="J258" s="36" t="e">
        <f t="shared" si="26"/>
        <v>#DIV/0!</v>
      </c>
      <c r="K258" s="36"/>
      <c r="L258" s="36"/>
      <c r="M258" s="36" t="e">
        <f t="shared" si="27"/>
        <v>#DIV/0!</v>
      </c>
      <c r="N258" s="37"/>
    </row>
    <row r="259" spans="1:14" hidden="1" x14ac:dyDescent="0.25">
      <c r="A259" s="39" t="s">
        <v>143</v>
      </c>
      <c r="B259" s="36"/>
      <c r="C259" s="36"/>
      <c r="D259" s="36"/>
      <c r="E259" s="36"/>
      <c r="F259" s="36"/>
      <c r="G259" s="36"/>
      <c r="H259" s="36"/>
      <c r="I259" s="36"/>
      <c r="J259" s="36" t="e">
        <f t="shared" si="26"/>
        <v>#DIV/0!</v>
      </c>
      <c r="K259" s="36"/>
      <c r="L259" s="36"/>
      <c r="M259" s="36" t="e">
        <f t="shared" si="27"/>
        <v>#DIV/0!</v>
      </c>
      <c r="N259" s="37"/>
    </row>
    <row r="260" spans="1:14" hidden="1" x14ac:dyDescent="0.25">
      <c r="A260" s="39" t="s">
        <v>144</v>
      </c>
      <c r="B260" s="36"/>
      <c r="C260" s="36"/>
      <c r="D260" s="36"/>
      <c r="E260" s="36"/>
      <c r="F260" s="36"/>
      <c r="G260" s="36"/>
      <c r="H260" s="36"/>
      <c r="I260" s="36"/>
      <c r="J260" s="36" t="e">
        <f t="shared" si="26"/>
        <v>#DIV/0!</v>
      </c>
      <c r="K260" s="36"/>
      <c r="L260" s="36"/>
      <c r="M260" s="36" t="e">
        <f t="shared" si="27"/>
        <v>#DIV/0!</v>
      </c>
      <c r="N260" s="37"/>
    </row>
    <row r="261" spans="1:14" hidden="1" x14ac:dyDescent="0.25">
      <c r="A261" s="39" t="s">
        <v>132</v>
      </c>
      <c r="B261" s="36"/>
      <c r="C261" s="36"/>
      <c r="D261" s="36"/>
      <c r="E261" s="36"/>
      <c r="F261" s="36"/>
      <c r="G261" s="36"/>
      <c r="H261" s="36"/>
      <c r="I261" s="36"/>
      <c r="J261" s="36" t="e">
        <f t="shared" si="26"/>
        <v>#DIV/0!</v>
      </c>
      <c r="K261" s="36"/>
      <c r="L261" s="36"/>
      <c r="M261" s="36" t="e">
        <f t="shared" si="27"/>
        <v>#DIV/0!</v>
      </c>
      <c r="N261" s="37"/>
    </row>
    <row r="262" spans="1:14" hidden="1" x14ac:dyDescent="0.25">
      <c r="A262" s="39" t="s">
        <v>133</v>
      </c>
      <c r="B262" s="36"/>
      <c r="C262" s="36"/>
      <c r="D262" s="36"/>
      <c r="E262" s="36"/>
      <c r="F262" s="36"/>
      <c r="G262" s="36"/>
      <c r="H262" s="36"/>
      <c r="I262" s="36"/>
      <c r="J262" s="36" t="e">
        <f t="shared" si="26"/>
        <v>#DIV/0!</v>
      </c>
      <c r="K262" s="36"/>
      <c r="L262" s="36"/>
      <c r="M262" s="36" t="e">
        <f t="shared" si="27"/>
        <v>#DIV/0!</v>
      </c>
      <c r="N262" s="37"/>
    </row>
    <row r="263" spans="1:14" hidden="1" x14ac:dyDescent="0.25">
      <c r="A263" s="39" t="s">
        <v>134</v>
      </c>
      <c r="B263" s="36"/>
      <c r="C263" s="36"/>
      <c r="D263" s="36"/>
      <c r="E263" s="36"/>
      <c r="F263" s="36"/>
      <c r="G263" s="36"/>
      <c r="H263" s="36"/>
      <c r="I263" s="36"/>
      <c r="J263" s="36" t="e">
        <f t="shared" si="26"/>
        <v>#DIV/0!</v>
      </c>
      <c r="K263" s="36"/>
      <c r="L263" s="36"/>
      <c r="M263" s="36" t="e">
        <f t="shared" si="27"/>
        <v>#DIV/0!</v>
      </c>
      <c r="N263" s="37"/>
    </row>
    <row r="264" spans="1:14" hidden="1" x14ac:dyDescent="0.25">
      <c r="A264" s="39" t="s">
        <v>135</v>
      </c>
      <c r="B264" s="36"/>
      <c r="C264" s="36"/>
      <c r="D264" s="36"/>
      <c r="E264" s="36"/>
      <c r="F264" s="36"/>
      <c r="G264" s="36"/>
      <c r="H264" s="36"/>
      <c r="I264" s="36"/>
      <c r="J264" s="36" t="e">
        <f t="shared" si="26"/>
        <v>#DIV/0!</v>
      </c>
      <c r="K264" s="36"/>
      <c r="L264" s="36"/>
      <c r="M264" s="36" t="e">
        <f t="shared" si="27"/>
        <v>#DIV/0!</v>
      </c>
      <c r="N264" s="37"/>
    </row>
    <row r="265" spans="1:14" hidden="1" x14ac:dyDescent="0.25">
      <c r="A265" s="39" t="s">
        <v>136</v>
      </c>
      <c r="B265" s="36"/>
      <c r="C265" s="36"/>
      <c r="D265" s="36"/>
      <c r="E265" s="36"/>
      <c r="F265" s="36"/>
      <c r="G265" s="36"/>
      <c r="H265" s="36"/>
      <c r="I265" s="36"/>
      <c r="J265" s="36" t="e">
        <f t="shared" si="26"/>
        <v>#DIV/0!</v>
      </c>
      <c r="K265" s="36"/>
      <c r="L265" s="36"/>
      <c r="M265" s="36" t="e">
        <f t="shared" si="27"/>
        <v>#DIV/0!</v>
      </c>
      <c r="N265" s="37"/>
    </row>
    <row r="266" spans="1:14" ht="15.75" hidden="1" thickBot="1" x14ac:dyDescent="0.3">
      <c r="A266" s="40" t="s">
        <v>137</v>
      </c>
      <c r="B266" s="38"/>
      <c r="C266" s="38"/>
      <c r="D266" s="38"/>
      <c r="E266" s="38"/>
      <c r="F266" s="38"/>
      <c r="G266" s="38"/>
      <c r="H266" s="38"/>
      <c r="I266" s="38"/>
      <c r="J266" s="38" t="e">
        <f t="shared" si="26"/>
        <v>#DIV/0!</v>
      </c>
      <c r="K266" s="38"/>
      <c r="L266" s="38"/>
      <c r="M266" s="38" t="e">
        <f t="shared" si="27"/>
        <v>#DIV/0!</v>
      </c>
      <c r="N266" s="42"/>
    </row>
    <row r="269" spans="1:14" ht="20.25" hidden="1" x14ac:dyDescent="0.3">
      <c r="A269" s="1041" t="s">
        <v>181</v>
      </c>
      <c r="B269" s="1042"/>
      <c r="C269" s="1042"/>
      <c r="D269" s="1042"/>
      <c r="E269" s="1042"/>
      <c r="F269" s="1042"/>
      <c r="G269" s="1043"/>
    </row>
    <row r="270" spans="1:14" ht="39" hidden="1" thickBot="1" x14ac:dyDescent="0.3">
      <c r="A270" s="32" t="s">
        <v>49</v>
      </c>
      <c r="B270" s="43" t="s">
        <v>149</v>
      </c>
      <c r="C270" s="43" t="s">
        <v>150</v>
      </c>
      <c r="D270" s="43" t="s">
        <v>182</v>
      </c>
      <c r="E270" s="43" t="s">
        <v>183</v>
      </c>
      <c r="F270" s="43" t="s">
        <v>184</v>
      </c>
      <c r="G270" s="44" t="s">
        <v>185</v>
      </c>
    </row>
    <row r="271" spans="1:14" hidden="1" x14ac:dyDescent="0.25">
      <c r="A271" s="133" t="s">
        <v>132</v>
      </c>
      <c r="B271" s="1097" t="s">
        <v>217</v>
      </c>
      <c r="C271" s="1099" t="s">
        <v>229</v>
      </c>
      <c r="D271" s="1098" t="s">
        <v>230</v>
      </c>
      <c r="E271" s="135">
        <v>2239274028</v>
      </c>
      <c r="F271" s="135">
        <v>15250000</v>
      </c>
      <c r="G271" s="136" t="s">
        <v>238</v>
      </c>
      <c r="H271" s="3">
        <f t="shared" ref="H271:H276" si="28">LEN(G271)</f>
        <v>27</v>
      </c>
      <c r="N271" s="116"/>
    </row>
    <row r="272" spans="1:14" hidden="1" x14ac:dyDescent="0.25">
      <c r="A272" s="35" t="s">
        <v>133</v>
      </c>
      <c r="B272" s="1086"/>
      <c r="C272" s="1100"/>
      <c r="D272" s="1068"/>
      <c r="E272" s="75">
        <v>2239274028</v>
      </c>
      <c r="F272" s="75">
        <v>186734000</v>
      </c>
      <c r="G272" s="76"/>
      <c r="H272" s="3">
        <f t="shared" si="28"/>
        <v>0</v>
      </c>
    </row>
    <row r="273" spans="1:14" hidden="1" x14ac:dyDescent="0.25">
      <c r="A273" s="35" t="s">
        <v>134</v>
      </c>
      <c r="B273" s="1086"/>
      <c r="C273" s="1100"/>
      <c r="D273" s="1068"/>
      <c r="E273" s="75">
        <v>2239274028</v>
      </c>
      <c r="F273" s="75">
        <v>208535000</v>
      </c>
      <c r="G273" s="76"/>
      <c r="H273" s="3">
        <f t="shared" si="28"/>
        <v>0</v>
      </c>
    </row>
    <row r="274" spans="1:14" hidden="1" x14ac:dyDescent="0.25">
      <c r="A274" s="72" t="s">
        <v>135</v>
      </c>
      <c r="B274" s="1086"/>
      <c r="C274" s="1100"/>
      <c r="D274" s="1068"/>
      <c r="E274" s="96">
        <v>2239274028</v>
      </c>
      <c r="F274" s="96">
        <f>+[2]INVERSIÓN!P11</f>
        <v>208535000</v>
      </c>
      <c r="G274" s="132" t="s">
        <v>231</v>
      </c>
      <c r="H274" s="3">
        <f>LEN(G274)</f>
        <v>69</v>
      </c>
    </row>
    <row r="275" spans="1:14" hidden="1" x14ac:dyDescent="0.25">
      <c r="A275" s="117" t="s">
        <v>136</v>
      </c>
      <c r="B275" s="1086"/>
      <c r="C275" s="1100"/>
      <c r="D275" s="1068"/>
      <c r="E275" s="98">
        <f>+[2]INVERSIÓN!H11</f>
        <v>2239274028</v>
      </c>
      <c r="F275" s="98">
        <f>+[2]INVERSIÓN!R11</f>
        <v>261972893</v>
      </c>
      <c r="G275" s="129" t="s">
        <v>254</v>
      </c>
      <c r="H275" s="3">
        <f t="shared" si="28"/>
        <v>107</v>
      </c>
    </row>
    <row r="276" spans="1:14" ht="15.75" hidden="1" thickBot="1" x14ac:dyDescent="0.3">
      <c r="A276" s="106" t="s">
        <v>137</v>
      </c>
      <c r="B276" s="1087"/>
      <c r="C276" s="1101"/>
      <c r="D276" s="1069"/>
      <c r="E276" s="118">
        <f>+[2]INVERSIÓN!S15</f>
        <v>1985716202</v>
      </c>
      <c r="F276" s="118">
        <f>+[2]INVERSIÓN!EB15</f>
        <v>835562923</v>
      </c>
      <c r="G276" s="119" t="s">
        <v>263</v>
      </c>
      <c r="H276" s="3">
        <f t="shared" si="28"/>
        <v>222</v>
      </c>
    </row>
    <row r="277" spans="1:14" hidden="1" x14ac:dyDescent="0.25">
      <c r="A277" s="57"/>
      <c r="B277" s="57"/>
      <c r="C277" s="57"/>
      <c r="D277" s="57"/>
      <c r="E277" s="57"/>
      <c r="F277" s="57"/>
      <c r="G277" s="57"/>
    </row>
    <row r="278" spans="1:14" hidden="1" x14ac:dyDescent="0.25">
      <c r="A278" s="57"/>
      <c r="B278" s="57"/>
      <c r="C278" s="57"/>
      <c r="D278" s="57"/>
      <c r="E278" s="57"/>
      <c r="F278" s="57"/>
      <c r="G278" s="57"/>
    </row>
    <row r="279" spans="1:14" ht="39" hidden="1" thickBot="1" x14ac:dyDescent="0.3">
      <c r="A279" s="32" t="s">
        <v>49</v>
      </c>
      <c r="B279" s="43" t="s">
        <v>149</v>
      </c>
      <c r="C279" s="43" t="s">
        <v>150</v>
      </c>
      <c r="D279" s="43" t="s">
        <v>182</v>
      </c>
      <c r="E279" s="63" t="s">
        <v>183</v>
      </c>
      <c r="F279" s="63" t="s">
        <v>184</v>
      </c>
      <c r="G279" s="64" t="s">
        <v>185</v>
      </c>
    </row>
    <row r="280" spans="1:14" hidden="1" x14ac:dyDescent="0.25">
      <c r="A280" s="133" t="s">
        <v>132</v>
      </c>
      <c r="B280" s="1097" t="s">
        <v>220</v>
      </c>
      <c r="C280" s="1097" t="s">
        <v>221</v>
      </c>
      <c r="D280" s="1088" t="s">
        <v>232</v>
      </c>
      <c r="E280" s="74">
        <v>632180000</v>
      </c>
      <c r="F280" s="134">
        <v>0</v>
      </c>
      <c r="G280" s="36" t="s">
        <v>239</v>
      </c>
      <c r="H280" s="3">
        <f t="shared" ref="H280:H285" si="29">LEN(G280)</f>
        <v>30</v>
      </c>
    </row>
    <row r="281" spans="1:14" hidden="1" x14ac:dyDescent="0.25">
      <c r="A281" s="35" t="s">
        <v>133</v>
      </c>
      <c r="B281" s="1086"/>
      <c r="C281" s="1086"/>
      <c r="D281" s="1089"/>
      <c r="E281" s="74">
        <v>632180000</v>
      </c>
      <c r="F281" s="134">
        <v>183792000</v>
      </c>
      <c r="G281" s="36"/>
      <c r="H281" s="3">
        <f t="shared" si="29"/>
        <v>0</v>
      </c>
    </row>
    <row r="282" spans="1:14" hidden="1" x14ac:dyDescent="0.25">
      <c r="A282" s="35" t="s">
        <v>134</v>
      </c>
      <c r="B282" s="1086"/>
      <c r="C282" s="1086"/>
      <c r="D282" s="1089"/>
      <c r="E282" s="74">
        <v>632180000</v>
      </c>
      <c r="F282" s="134">
        <v>190062000</v>
      </c>
      <c r="G282" s="36"/>
      <c r="H282" s="3">
        <f t="shared" si="29"/>
        <v>0</v>
      </c>
    </row>
    <row r="283" spans="1:14" hidden="1" x14ac:dyDescent="0.25">
      <c r="A283" s="72" t="s">
        <v>135</v>
      </c>
      <c r="B283" s="1086"/>
      <c r="C283" s="1086"/>
      <c r="D283" s="1089"/>
      <c r="E283" s="97">
        <v>632180000</v>
      </c>
      <c r="F283" s="98">
        <f>+[2]INVERSIÓN!DZ17</f>
        <v>190062000</v>
      </c>
      <c r="G283" s="94" t="s">
        <v>233</v>
      </c>
      <c r="H283" s="3">
        <f>LEN(G283)</f>
        <v>48</v>
      </c>
    </row>
    <row r="284" spans="1:14" hidden="1" x14ac:dyDescent="0.25">
      <c r="A284" s="72" t="s">
        <v>136</v>
      </c>
      <c r="B284" s="1086"/>
      <c r="C284" s="1086"/>
      <c r="D284" s="1089"/>
      <c r="E284" s="97">
        <f>+[2]INVERSIÓN!H17</f>
        <v>632180000</v>
      </c>
      <c r="F284" s="98">
        <f>+[2]INVERSIÓN!R17</f>
        <v>208073593</v>
      </c>
      <c r="G284" s="94" t="s">
        <v>255</v>
      </c>
      <c r="H284" s="3">
        <f t="shared" si="29"/>
        <v>87</v>
      </c>
      <c r="N284" s="116"/>
    </row>
    <row r="285" spans="1:14" ht="15.75" hidden="1" thickBot="1" x14ac:dyDescent="0.3">
      <c r="A285" s="106" t="s">
        <v>137</v>
      </c>
      <c r="B285" s="1087"/>
      <c r="C285" s="1087"/>
      <c r="D285" s="1090"/>
      <c r="E285" s="118">
        <f>+[2]INVERSIÓN!S17</f>
        <v>588967593</v>
      </c>
      <c r="F285" s="118">
        <f>+[2]INVERSIÓN!T17</f>
        <v>543446593</v>
      </c>
      <c r="G285" s="120" t="s">
        <v>264</v>
      </c>
      <c r="H285" s="3">
        <f t="shared" si="29"/>
        <v>139</v>
      </c>
      <c r="N285" s="116"/>
    </row>
    <row r="286" spans="1:14" hidden="1" x14ac:dyDescent="0.25">
      <c r="A286" s="57"/>
      <c r="B286" s="57"/>
      <c r="C286" s="57"/>
      <c r="D286" s="57"/>
      <c r="E286" s="57"/>
      <c r="F286" s="57"/>
      <c r="G286" s="57"/>
    </row>
    <row r="287" spans="1:14" hidden="1" x14ac:dyDescent="0.25">
      <c r="A287" s="57"/>
      <c r="B287" s="57"/>
      <c r="C287" s="57"/>
      <c r="D287" s="57"/>
      <c r="E287" s="57"/>
      <c r="F287" s="57"/>
      <c r="G287" s="57"/>
    </row>
    <row r="288" spans="1:14" ht="39" hidden="1" thickBot="1" x14ac:dyDescent="0.3">
      <c r="A288" s="32" t="s">
        <v>49</v>
      </c>
      <c r="B288" s="43" t="s">
        <v>149</v>
      </c>
      <c r="C288" s="43" t="s">
        <v>150</v>
      </c>
      <c r="D288" s="43" t="s">
        <v>182</v>
      </c>
      <c r="E288" s="63" t="s">
        <v>183</v>
      </c>
      <c r="F288" s="63" t="s">
        <v>184</v>
      </c>
      <c r="G288" s="64" t="s">
        <v>185</v>
      </c>
    </row>
    <row r="289" spans="1:8" hidden="1" x14ac:dyDescent="0.25">
      <c r="A289" s="133" t="s">
        <v>132</v>
      </c>
      <c r="B289" s="1097" t="s">
        <v>220</v>
      </c>
      <c r="C289" s="1097" t="s">
        <v>221</v>
      </c>
      <c r="D289" s="1098" t="s">
        <v>234</v>
      </c>
      <c r="E289" s="74">
        <v>846820000</v>
      </c>
      <c r="F289" s="134">
        <v>0</v>
      </c>
      <c r="G289" s="36" t="s">
        <v>239</v>
      </c>
      <c r="H289" s="3">
        <f t="shared" ref="H289:H294" si="30">LEN(G289)</f>
        <v>30</v>
      </c>
    </row>
    <row r="290" spans="1:8" hidden="1" x14ac:dyDescent="0.25">
      <c r="A290" s="35" t="s">
        <v>133</v>
      </c>
      <c r="B290" s="1086"/>
      <c r="C290" s="1086"/>
      <c r="D290" s="1068"/>
      <c r="E290" s="74">
        <v>846820000</v>
      </c>
      <c r="F290" s="73">
        <v>298980000</v>
      </c>
      <c r="G290" s="36"/>
      <c r="H290" s="3">
        <f t="shared" si="30"/>
        <v>0</v>
      </c>
    </row>
    <row r="291" spans="1:8" hidden="1" x14ac:dyDescent="0.25">
      <c r="A291" s="35" t="s">
        <v>134</v>
      </c>
      <c r="B291" s="1086"/>
      <c r="C291" s="1086"/>
      <c r="D291" s="1068"/>
      <c r="E291" s="74">
        <v>846820000</v>
      </c>
      <c r="F291" s="73">
        <v>316529347</v>
      </c>
      <c r="G291" s="36"/>
      <c r="H291" s="3">
        <f t="shared" si="30"/>
        <v>0</v>
      </c>
    </row>
    <row r="292" spans="1:8" hidden="1" x14ac:dyDescent="0.25">
      <c r="A292" s="72" t="s">
        <v>135</v>
      </c>
      <c r="B292" s="1086"/>
      <c r="C292" s="1086"/>
      <c r="D292" s="1068"/>
      <c r="E292" s="97">
        <v>846820000</v>
      </c>
      <c r="F292" s="98">
        <f>+[2]INVERSIÓN!DZ27</f>
        <v>323308102</v>
      </c>
      <c r="G292" s="94" t="s">
        <v>235</v>
      </c>
      <c r="H292" s="3">
        <f>LEN(G292)</f>
        <v>72</v>
      </c>
    </row>
    <row r="293" spans="1:8" hidden="1" x14ac:dyDescent="0.25">
      <c r="A293" s="117" t="s">
        <v>136</v>
      </c>
      <c r="B293" s="1086"/>
      <c r="C293" s="1086"/>
      <c r="D293" s="1068"/>
      <c r="E293" s="97">
        <f>+[2]INVERSIÓN!H23</f>
        <v>846820000</v>
      </c>
      <c r="F293" s="98">
        <f>+[2]INVERSIÓN!R23</f>
        <v>328756825</v>
      </c>
      <c r="G293" s="94" t="s">
        <v>256</v>
      </c>
      <c r="H293" s="3">
        <f t="shared" si="30"/>
        <v>111</v>
      </c>
    </row>
    <row r="294" spans="1:8" ht="15.75" hidden="1" thickBot="1" x14ac:dyDescent="0.3">
      <c r="A294" s="106" t="s">
        <v>137</v>
      </c>
      <c r="B294" s="1087"/>
      <c r="C294" s="1087"/>
      <c r="D294" s="1069"/>
      <c r="E294" s="121">
        <f>+[2]INVERSIÓN!S23</f>
        <v>817958593</v>
      </c>
      <c r="F294" s="121">
        <f>+[2]INVERSIÓN!T23</f>
        <v>755491393</v>
      </c>
      <c r="G294" s="120" t="s">
        <v>265</v>
      </c>
      <c r="H294" s="3">
        <f t="shared" si="30"/>
        <v>223</v>
      </c>
    </row>
    <row r="295" spans="1:8" hidden="1" x14ac:dyDescent="0.25">
      <c r="A295" s="57"/>
      <c r="B295" s="57"/>
      <c r="C295" s="57"/>
      <c r="D295" s="57"/>
      <c r="E295" s="57"/>
      <c r="F295" s="57"/>
      <c r="G295" s="57"/>
    </row>
    <row r="296" spans="1:8" hidden="1" x14ac:dyDescent="0.25">
      <c r="A296" s="57"/>
      <c r="B296" s="57"/>
      <c r="C296" s="57"/>
      <c r="D296" s="57"/>
      <c r="E296" s="57"/>
      <c r="F296" s="57"/>
      <c r="G296" s="57"/>
    </row>
    <row r="297" spans="1:8" ht="39" hidden="1" thickBot="1" x14ac:dyDescent="0.3">
      <c r="A297" s="32" t="s">
        <v>49</v>
      </c>
      <c r="B297" s="43" t="s">
        <v>149</v>
      </c>
      <c r="C297" s="43" t="s">
        <v>150</v>
      </c>
      <c r="D297" s="43" t="s">
        <v>182</v>
      </c>
      <c r="E297" s="63" t="s">
        <v>183</v>
      </c>
      <c r="F297" s="63" t="s">
        <v>184</v>
      </c>
      <c r="G297" s="64" t="s">
        <v>185</v>
      </c>
    </row>
    <row r="298" spans="1:8" hidden="1" x14ac:dyDescent="0.25">
      <c r="A298" s="133" t="s">
        <v>132</v>
      </c>
      <c r="B298" s="1097" t="s">
        <v>226</v>
      </c>
      <c r="C298" s="1097" t="s">
        <v>227</v>
      </c>
      <c r="D298" s="1098" t="s">
        <v>236</v>
      </c>
      <c r="E298" s="74">
        <v>201000000</v>
      </c>
      <c r="F298" s="134">
        <v>0</v>
      </c>
      <c r="G298" s="36" t="s">
        <v>239</v>
      </c>
      <c r="H298" s="3">
        <f t="shared" ref="H298:H303" si="31">LEN(G298)</f>
        <v>30</v>
      </c>
    </row>
    <row r="299" spans="1:8" hidden="1" x14ac:dyDescent="0.25">
      <c r="A299" s="35" t="s">
        <v>133</v>
      </c>
      <c r="B299" s="1086"/>
      <c r="C299" s="1086"/>
      <c r="D299" s="1068"/>
      <c r="E299" s="74">
        <v>201000000</v>
      </c>
      <c r="F299" s="73">
        <v>71564000</v>
      </c>
      <c r="G299" s="36"/>
      <c r="H299" s="3">
        <f t="shared" si="31"/>
        <v>0</v>
      </c>
    </row>
    <row r="300" spans="1:8" hidden="1" x14ac:dyDescent="0.25">
      <c r="A300" s="35" t="s">
        <v>134</v>
      </c>
      <c r="B300" s="1086"/>
      <c r="C300" s="1086"/>
      <c r="D300" s="1068"/>
      <c r="E300" s="74">
        <v>201000000</v>
      </c>
      <c r="F300" s="73">
        <v>71564000</v>
      </c>
      <c r="G300" s="36"/>
      <c r="H300" s="3">
        <f t="shared" si="31"/>
        <v>0</v>
      </c>
    </row>
    <row r="301" spans="1:8" hidden="1" x14ac:dyDescent="0.25">
      <c r="A301" s="72" t="s">
        <v>135</v>
      </c>
      <c r="B301" s="1086"/>
      <c r="C301" s="1086"/>
      <c r="D301" s="1068"/>
      <c r="E301" s="97">
        <v>201000000</v>
      </c>
      <c r="F301" s="98">
        <f>+[2]INVERSIÓN!DZ33</f>
        <v>71564000</v>
      </c>
      <c r="G301" s="94" t="s">
        <v>237</v>
      </c>
      <c r="H301" s="3">
        <f>LEN(G301)</f>
        <v>48</v>
      </c>
    </row>
    <row r="302" spans="1:8" hidden="1" x14ac:dyDescent="0.25">
      <c r="A302" s="72" t="s">
        <v>136</v>
      </c>
      <c r="B302" s="1086"/>
      <c r="C302" s="1086"/>
      <c r="D302" s="1068"/>
      <c r="E302" s="97">
        <f>+[2]INVERSIÓN!H29</f>
        <v>201000000</v>
      </c>
      <c r="F302" s="98">
        <f>+[2]INVERSIÓN!R29</f>
        <v>76021593</v>
      </c>
      <c r="G302" s="94" t="s">
        <v>257</v>
      </c>
      <c r="H302" s="3">
        <f t="shared" si="31"/>
        <v>88</v>
      </c>
    </row>
    <row r="303" spans="1:8" ht="15.75" hidden="1" thickBot="1" x14ac:dyDescent="0.3">
      <c r="A303" s="106" t="s">
        <v>137</v>
      </c>
      <c r="B303" s="1087"/>
      <c r="C303" s="1087"/>
      <c r="D303" s="1069"/>
      <c r="E303" s="118">
        <f>+[2]INVERSIÓN!S29</f>
        <v>144912593</v>
      </c>
      <c r="F303" s="118">
        <f>+[2]INVERSIÓN!T29</f>
        <v>143476093</v>
      </c>
      <c r="G303" s="120" t="s">
        <v>266</v>
      </c>
      <c r="H303" s="3">
        <f t="shared" si="31"/>
        <v>157</v>
      </c>
    </row>
    <row r="304" spans="1:8" x14ac:dyDescent="0.25">
      <c r="A304" s="57"/>
      <c r="B304" s="100"/>
      <c r="C304" s="100"/>
      <c r="D304" s="156"/>
      <c r="E304" s="116"/>
      <c r="F304" s="116"/>
      <c r="G304" s="71"/>
      <c r="H304" s="3"/>
    </row>
    <row r="305" spans="1:14" x14ac:dyDescent="0.25">
      <c r="A305" s="57"/>
      <c r="B305" s="100"/>
      <c r="C305" s="100"/>
      <c r="D305" s="156"/>
      <c r="E305" s="116"/>
      <c r="F305" s="116"/>
      <c r="G305" s="71"/>
      <c r="H305" s="3"/>
    </row>
    <row r="306" spans="1:14" ht="15.75" thickBot="1" x14ac:dyDescent="0.3">
      <c r="A306" s="57"/>
      <c r="B306" s="100"/>
      <c r="C306" s="100"/>
      <c r="D306" s="156"/>
      <c r="E306" s="116"/>
      <c r="F306" s="116"/>
      <c r="G306" s="71"/>
      <c r="H306" s="3"/>
    </row>
    <row r="307" spans="1:14" ht="20.25" x14ac:dyDescent="0.3">
      <c r="A307" s="1041" t="s">
        <v>186</v>
      </c>
      <c r="B307" s="1042"/>
      <c r="C307" s="1042"/>
      <c r="D307" s="1042"/>
      <c r="E307" s="1042"/>
      <c r="F307" s="1042"/>
      <c r="G307" s="1043"/>
    </row>
    <row r="308" spans="1:14" ht="39" thickBot="1" x14ac:dyDescent="0.3">
      <c r="A308" s="32" t="s">
        <v>50</v>
      </c>
      <c r="B308" s="43" t="s">
        <v>149</v>
      </c>
      <c r="C308" s="43" t="s">
        <v>150</v>
      </c>
      <c r="D308" s="43" t="s">
        <v>182</v>
      </c>
      <c r="E308" s="43" t="s">
        <v>187</v>
      </c>
      <c r="F308" s="43" t="s">
        <v>188</v>
      </c>
      <c r="G308" s="44" t="s">
        <v>185</v>
      </c>
    </row>
    <row r="309" spans="1:14" x14ac:dyDescent="0.25">
      <c r="A309" s="180" t="s">
        <v>139</v>
      </c>
      <c r="B309" s="1097" t="s">
        <v>217</v>
      </c>
      <c r="C309" s="1099" t="s">
        <v>229</v>
      </c>
      <c r="D309" s="1098" t="s">
        <v>230</v>
      </c>
      <c r="E309" s="181">
        <f>+INVERSIÓN!V11</f>
        <v>2693651241</v>
      </c>
      <c r="F309" s="181">
        <v>0</v>
      </c>
      <c r="G309" s="182"/>
      <c r="H309" s="3">
        <f t="shared" ref="H309:H320" si="32">LEN(G309)</f>
        <v>0</v>
      </c>
      <c r="N309" s="116"/>
    </row>
    <row r="310" spans="1:14" x14ac:dyDescent="0.25">
      <c r="A310" s="133" t="s">
        <v>140</v>
      </c>
      <c r="B310" s="1086"/>
      <c r="C310" s="1100"/>
      <c r="D310" s="1068"/>
      <c r="E310" s="135"/>
      <c r="F310" s="135"/>
      <c r="G310" s="136"/>
      <c r="H310" s="3">
        <f t="shared" si="32"/>
        <v>0</v>
      </c>
      <c r="N310" s="116"/>
    </row>
    <row r="311" spans="1:14" x14ac:dyDescent="0.25">
      <c r="A311" s="133" t="s">
        <v>141</v>
      </c>
      <c r="B311" s="1086"/>
      <c r="C311" s="1100"/>
      <c r="D311" s="1068"/>
      <c r="E311" s="135"/>
      <c r="F311" s="135"/>
      <c r="G311" s="136"/>
      <c r="H311" s="3">
        <f t="shared" si="32"/>
        <v>0</v>
      </c>
      <c r="N311" s="116"/>
    </row>
    <row r="312" spans="1:14" x14ac:dyDescent="0.25">
      <c r="A312" s="133" t="s">
        <v>142</v>
      </c>
      <c r="B312" s="1086"/>
      <c r="C312" s="1100"/>
      <c r="D312" s="1068"/>
      <c r="E312" s="135"/>
      <c r="F312" s="135"/>
      <c r="G312" s="136"/>
      <c r="H312" s="3">
        <f t="shared" si="32"/>
        <v>0</v>
      </c>
      <c r="N312" s="116"/>
    </row>
    <row r="313" spans="1:14" x14ac:dyDescent="0.25">
      <c r="A313" s="133" t="s">
        <v>143</v>
      </c>
      <c r="B313" s="1086"/>
      <c r="C313" s="1100"/>
      <c r="D313" s="1068"/>
      <c r="E313" s="135"/>
      <c r="F313" s="135"/>
      <c r="G313" s="136"/>
      <c r="H313" s="3">
        <f t="shared" si="32"/>
        <v>0</v>
      </c>
      <c r="N313" s="116"/>
    </row>
    <row r="314" spans="1:14" x14ac:dyDescent="0.25">
      <c r="A314" s="133" t="s">
        <v>144</v>
      </c>
      <c r="B314" s="1086"/>
      <c r="C314" s="1100"/>
      <c r="D314" s="1068"/>
      <c r="E314" s="135"/>
      <c r="F314" s="135"/>
      <c r="G314" s="136"/>
      <c r="H314" s="3">
        <f t="shared" si="32"/>
        <v>0</v>
      </c>
      <c r="N314" s="116"/>
    </row>
    <row r="315" spans="1:14" x14ac:dyDescent="0.25">
      <c r="A315" s="133" t="s">
        <v>132</v>
      </c>
      <c r="B315" s="1086"/>
      <c r="C315" s="1100"/>
      <c r="D315" s="1068"/>
      <c r="E315" s="135"/>
      <c r="F315" s="135"/>
      <c r="G315" s="136"/>
      <c r="H315" s="3">
        <f t="shared" si="32"/>
        <v>0</v>
      </c>
      <c r="N315" s="116"/>
    </row>
    <row r="316" spans="1:14" x14ac:dyDescent="0.25">
      <c r="A316" s="35" t="s">
        <v>133</v>
      </c>
      <c r="B316" s="1086"/>
      <c r="C316" s="1100"/>
      <c r="D316" s="1068"/>
      <c r="E316" s="75"/>
      <c r="F316" s="75"/>
      <c r="G316" s="76"/>
      <c r="H316" s="3">
        <f t="shared" si="32"/>
        <v>0</v>
      </c>
    </row>
    <row r="317" spans="1:14" x14ac:dyDescent="0.25">
      <c r="A317" s="35" t="s">
        <v>134</v>
      </c>
      <c r="B317" s="1086"/>
      <c r="C317" s="1100"/>
      <c r="D317" s="1068"/>
      <c r="E317" s="75"/>
      <c r="F317" s="75"/>
      <c r="G317" s="76"/>
      <c r="H317" s="3">
        <f t="shared" si="32"/>
        <v>0</v>
      </c>
    </row>
    <row r="318" spans="1:14" x14ac:dyDescent="0.25">
      <c r="A318" s="72" t="s">
        <v>135</v>
      </c>
      <c r="B318" s="1086"/>
      <c r="C318" s="1100"/>
      <c r="D318" s="1068"/>
      <c r="E318" s="96"/>
      <c r="F318" s="96"/>
      <c r="G318" s="132"/>
      <c r="H318" s="3">
        <f t="shared" si="32"/>
        <v>0</v>
      </c>
    </row>
    <row r="319" spans="1:14" x14ac:dyDescent="0.25">
      <c r="A319" s="117" t="s">
        <v>136</v>
      </c>
      <c r="B319" s="1086"/>
      <c r="C319" s="1100"/>
      <c r="D319" s="1068"/>
      <c r="E319" s="98"/>
      <c r="F319" s="98"/>
      <c r="G319" s="129"/>
      <c r="H319" s="3">
        <f t="shared" si="32"/>
        <v>0</v>
      </c>
    </row>
    <row r="320" spans="1:14" ht="15.75" thickBot="1" x14ac:dyDescent="0.3">
      <c r="A320" s="150" t="s">
        <v>137</v>
      </c>
      <c r="B320" s="1087"/>
      <c r="C320" s="1101"/>
      <c r="D320" s="1069"/>
      <c r="E320" s="167"/>
      <c r="F320" s="167"/>
      <c r="G320" s="168"/>
      <c r="H320" s="3">
        <f t="shared" si="32"/>
        <v>0</v>
      </c>
    </row>
    <row r="321" spans="1:14" x14ac:dyDescent="0.25">
      <c r="A321" s="57"/>
      <c r="B321" s="57"/>
      <c r="C321" s="57"/>
      <c r="D321" s="57"/>
      <c r="E321" s="57"/>
      <c r="F321" s="57"/>
      <c r="G321" s="57"/>
    </row>
    <row r="322" spans="1:14" ht="15.75" thickBot="1" x14ac:dyDescent="0.3">
      <c r="A322" s="57"/>
      <c r="B322" s="57"/>
      <c r="C322" s="57"/>
      <c r="D322" s="57"/>
      <c r="E322" s="57"/>
      <c r="F322" s="57"/>
      <c r="G322" s="57"/>
    </row>
    <row r="323" spans="1:14" ht="39" thickBot="1" x14ac:dyDescent="0.3">
      <c r="A323" s="32" t="s">
        <v>50</v>
      </c>
      <c r="B323" s="169" t="s">
        <v>149</v>
      </c>
      <c r="C323" s="169" t="s">
        <v>150</v>
      </c>
      <c r="D323" s="169" t="s">
        <v>182</v>
      </c>
      <c r="E323" s="43" t="s">
        <v>187</v>
      </c>
      <c r="F323" s="43" t="s">
        <v>188</v>
      </c>
      <c r="G323" s="170" t="s">
        <v>185</v>
      </c>
    </row>
    <row r="324" spans="1:14" x14ac:dyDescent="0.25">
      <c r="A324" s="180" t="s">
        <v>139</v>
      </c>
      <c r="B324" s="1097" t="s">
        <v>220</v>
      </c>
      <c r="C324" s="1097" t="s">
        <v>221</v>
      </c>
      <c r="D324" s="1098" t="s">
        <v>232</v>
      </c>
      <c r="E324" s="121">
        <f>+INVERSIÓN!V20</f>
        <v>0</v>
      </c>
      <c r="F324" s="183">
        <v>0</v>
      </c>
      <c r="G324" s="159"/>
      <c r="H324" s="3">
        <f t="shared" ref="H324:H335" si="33">LEN(G324)</f>
        <v>0</v>
      </c>
    </row>
    <row r="325" spans="1:14" x14ac:dyDescent="0.25">
      <c r="A325" s="133" t="s">
        <v>140</v>
      </c>
      <c r="B325" s="1086"/>
      <c r="C325" s="1086"/>
      <c r="D325" s="1068"/>
      <c r="E325" s="74"/>
      <c r="F325" s="134"/>
      <c r="G325" s="37"/>
      <c r="H325" s="3">
        <f t="shared" si="33"/>
        <v>0</v>
      </c>
    </row>
    <row r="326" spans="1:14" x14ac:dyDescent="0.25">
      <c r="A326" s="133" t="s">
        <v>141</v>
      </c>
      <c r="B326" s="1086"/>
      <c r="C326" s="1086"/>
      <c r="D326" s="1068"/>
      <c r="E326" s="74"/>
      <c r="F326" s="134"/>
      <c r="G326" s="37"/>
      <c r="H326" s="3">
        <f t="shared" si="33"/>
        <v>0</v>
      </c>
    </row>
    <row r="327" spans="1:14" x14ac:dyDescent="0.25">
      <c r="A327" s="133" t="s">
        <v>142</v>
      </c>
      <c r="B327" s="1086"/>
      <c r="C327" s="1086"/>
      <c r="D327" s="1068"/>
      <c r="E327" s="74"/>
      <c r="F327" s="134"/>
      <c r="G327" s="37"/>
      <c r="H327" s="3">
        <f t="shared" si="33"/>
        <v>0</v>
      </c>
    </row>
    <row r="328" spans="1:14" x14ac:dyDescent="0.25">
      <c r="A328" s="133" t="s">
        <v>143</v>
      </c>
      <c r="B328" s="1086"/>
      <c r="C328" s="1086"/>
      <c r="D328" s="1068"/>
      <c r="E328" s="74"/>
      <c r="F328" s="134"/>
      <c r="G328" s="37"/>
      <c r="H328" s="3">
        <f t="shared" si="33"/>
        <v>0</v>
      </c>
    </row>
    <row r="329" spans="1:14" x14ac:dyDescent="0.25">
      <c r="A329" s="133" t="s">
        <v>144</v>
      </c>
      <c r="B329" s="1086"/>
      <c r="C329" s="1086"/>
      <c r="D329" s="1068"/>
      <c r="E329" s="74"/>
      <c r="F329" s="134"/>
      <c r="G329" s="37"/>
      <c r="H329" s="3">
        <f t="shared" si="33"/>
        <v>0</v>
      </c>
    </row>
    <row r="330" spans="1:14" x14ac:dyDescent="0.25">
      <c r="A330" s="133" t="s">
        <v>132</v>
      </c>
      <c r="B330" s="1086"/>
      <c r="C330" s="1086"/>
      <c r="D330" s="1068"/>
      <c r="E330" s="74"/>
      <c r="F330" s="134"/>
      <c r="G330" s="37"/>
      <c r="H330" s="3">
        <f t="shared" si="33"/>
        <v>0</v>
      </c>
    </row>
    <row r="331" spans="1:14" x14ac:dyDescent="0.25">
      <c r="A331" s="35" t="s">
        <v>133</v>
      </c>
      <c r="B331" s="1086"/>
      <c r="C331" s="1086"/>
      <c r="D331" s="1068"/>
      <c r="E331" s="74"/>
      <c r="F331" s="134"/>
      <c r="G331" s="37"/>
      <c r="H331" s="3">
        <f t="shared" si="33"/>
        <v>0</v>
      </c>
    </row>
    <row r="332" spans="1:14" x14ac:dyDescent="0.25">
      <c r="A332" s="35" t="s">
        <v>134</v>
      </c>
      <c r="B332" s="1086"/>
      <c r="C332" s="1086"/>
      <c r="D332" s="1068"/>
      <c r="E332" s="74"/>
      <c r="F332" s="134"/>
      <c r="G332" s="37"/>
      <c r="H332" s="3">
        <f t="shared" si="33"/>
        <v>0</v>
      </c>
    </row>
    <row r="333" spans="1:14" x14ac:dyDescent="0.25">
      <c r="A333" s="72" t="s">
        <v>135</v>
      </c>
      <c r="B333" s="1086"/>
      <c r="C333" s="1086"/>
      <c r="D333" s="1068"/>
      <c r="E333" s="74"/>
      <c r="F333" s="134"/>
      <c r="G333" s="37"/>
      <c r="H333" s="3">
        <f t="shared" si="33"/>
        <v>0</v>
      </c>
    </row>
    <row r="334" spans="1:14" x14ac:dyDescent="0.25">
      <c r="A334" s="117" t="s">
        <v>136</v>
      </c>
      <c r="B334" s="1086"/>
      <c r="C334" s="1086"/>
      <c r="D334" s="1068"/>
      <c r="E334" s="97"/>
      <c r="F334" s="98"/>
      <c r="G334" s="129"/>
      <c r="H334" s="3">
        <f t="shared" si="33"/>
        <v>0</v>
      </c>
    </row>
    <row r="335" spans="1:14" ht="15.75" thickBot="1" x14ac:dyDescent="0.3">
      <c r="A335" s="150" t="s">
        <v>137</v>
      </c>
      <c r="B335" s="1087"/>
      <c r="C335" s="1087"/>
      <c r="D335" s="1069"/>
      <c r="E335" s="167"/>
      <c r="F335" s="167"/>
      <c r="G335" s="171"/>
      <c r="H335" s="3">
        <f t="shared" si="33"/>
        <v>0</v>
      </c>
      <c r="N335" s="116"/>
    </row>
    <row r="336" spans="1:14" x14ac:dyDescent="0.25">
      <c r="A336" s="57"/>
      <c r="B336" s="57"/>
      <c r="C336" s="57"/>
      <c r="D336" s="57"/>
      <c r="E336" s="57"/>
      <c r="F336" s="57"/>
      <c r="G336" s="57"/>
    </row>
    <row r="337" spans="1:8" ht="15.75" thickBot="1" x14ac:dyDescent="0.3">
      <c r="A337" s="57"/>
      <c r="B337" s="57"/>
      <c r="C337" s="57"/>
      <c r="D337" s="57"/>
      <c r="E337" s="57"/>
      <c r="F337" s="57"/>
      <c r="G337" s="57"/>
    </row>
    <row r="338" spans="1:8" ht="39" thickBot="1" x14ac:dyDescent="0.3">
      <c r="A338" s="32" t="s">
        <v>50</v>
      </c>
      <c r="B338" s="169" t="s">
        <v>149</v>
      </c>
      <c r="C338" s="169" t="s">
        <v>150</v>
      </c>
      <c r="D338" s="169" t="s">
        <v>182</v>
      </c>
      <c r="E338" s="43" t="s">
        <v>187</v>
      </c>
      <c r="F338" s="43" t="s">
        <v>188</v>
      </c>
      <c r="G338" s="170" t="s">
        <v>185</v>
      </c>
    </row>
    <row r="339" spans="1:8" x14ac:dyDescent="0.25">
      <c r="A339" s="180" t="s">
        <v>139</v>
      </c>
      <c r="B339" s="1097" t="s">
        <v>220</v>
      </c>
      <c r="C339" s="1097" t="s">
        <v>221</v>
      </c>
      <c r="D339" s="1098" t="s">
        <v>234</v>
      </c>
      <c r="E339" s="121">
        <f>+INVERSIÓN!U28</f>
        <v>0</v>
      </c>
      <c r="F339" s="183">
        <v>0</v>
      </c>
      <c r="G339" s="159"/>
      <c r="H339" s="3">
        <f t="shared" ref="H339:H350" si="34">LEN(G339)</f>
        <v>0</v>
      </c>
    </row>
    <row r="340" spans="1:8" x14ac:dyDescent="0.25">
      <c r="A340" s="133" t="s">
        <v>140</v>
      </c>
      <c r="B340" s="1086"/>
      <c r="C340" s="1086"/>
      <c r="D340" s="1068"/>
      <c r="E340" s="74"/>
      <c r="F340" s="134"/>
      <c r="G340" s="37"/>
      <c r="H340" s="3">
        <f t="shared" si="34"/>
        <v>0</v>
      </c>
    </row>
    <row r="341" spans="1:8" x14ac:dyDescent="0.25">
      <c r="A341" s="133" t="s">
        <v>141</v>
      </c>
      <c r="B341" s="1086"/>
      <c r="C341" s="1086"/>
      <c r="D341" s="1068"/>
      <c r="E341" s="74"/>
      <c r="F341" s="134"/>
      <c r="G341" s="37"/>
      <c r="H341" s="3">
        <f t="shared" si="34"/>
        <v>0</v>
      </c>
    </row>
    <row r="342" spans="1:8" x14ac:dyDescent="0.25">
      <c r="A342" s="133" t="s">
        <v>142</v>
      </c>
      <c r="B342" s="1086"/>
      <c r="C342" s="1086"/>
      <c r="D342" s="1068"/>
      <c r="E342" s="74"/>
      <c r="F342" s="134"/>
      <c r="G342" s="37"/>
      <c r="H342" s="3">
        <f t="shared" si="34"/>
        <v>0</v>
      </c>
    </row>
    <row r="343" spans="1:8" x14ac:dyDescent="0.25">
      <c r="A343" s="133" t="s">
        <v>143</v>
      </c>
      <c r="B343" s="1086"/>
      <c r="C343" s="1086"/>
      <c r="D343" s="1068"/>
      <c r="E343" s="74"/>
      <c r="F343" s="134"/>
      <c r="G343" s="37"/>
      <c r="H343" s="3">
        <f t="shared" si="34"/>
        <v>0</v>
      </c>
    </row>
    <row r="344" spans="1:8" x14ac:dyDescent="0.25">
      <c r="A344" s="133" t="s">
        <v>144</v>
      </c>
      <c r="B344" s="1086"/>
      <c r="C344" s="1086"/>
      <c r="D344" s="1068"/>
      <c r="E344" s="74"/>
      <c r="F344" s="134"/>
      <c r="G344" s="37"/>
      <c r="H344" s="3">
        <f t="shared" si="34"/>
        <v>0</v>
      </c>
    </row>
    <row r="345" spans="1:8" x14ac:dyDescent="0.25">
      <c r="A345" s="133" t="s">
        <v>132</v>
      </c>
      <c r="B345" s="1086"/>
      <c r="C345" s="1086"/>
      <c r="D345" s="1068"/>
      <c r="E345" s="74"/>
      <c r="F345" s="134"/>
      <c r="G345" s="37"/>
      <c r="H345" s="3">
        <f t="shared" si="34"/>
        <v>0</v>
      </c>
    </row>
    <row r="346" spans="1:8" x14ac:dyDescent="0.25">
      <c r="A346" s="35" t="s">
        <v>133</v>
      </c>
      <c r="B346" s="1086"/>
      <c r="C346" s="1086"/>
      <c r="D346" s="1068"/>
      <c r="E346" s="74"/>
      <c r="F346" s="73"/>
      <c r="G346" s="37"/>
      <c r="H346" s="3">
        <f t="shared" si="34"/>
        <v>0</v>
      </c>
    </row>
    <row r="347" spans="1:8" x14ac:dyDescent="0.25">
      <c r="A347" s="35" t="s">
        <v>134</v>
      </c>
      <c r="B347" s="1086"/>
      <c r="C347" s="1086"/>
      <c r="D347" s="1068"/>
      <c r="E347" s="74"/>
      <c r="F347" s="73"/>
      <c r="G347" s="37"/>
      <c r="H347" s="3">
        <f t="shared" si="34"/>
        <v>0</v>
      </c>
    </row>
    <row r="348" spans="1:8" x14ac:dyDescent="0.25">
      <c r="A348" s="72" t="s">
        <v>135</v>
      </c>
      <c r="B348" s="1086"/>
      <c r="C348" s="1086"/>
      <c r="D348" s="1068"/>
      <c r="E348" s="97"/>
      <c r="F348" s="98"/>
      <c r="G348" s="129"/>
      <c r="H348" s="3">
        <f t="shared" si="34"/>
        <v>0</v>
      </c>
    </row>
    <row r="349" spans="1:8" x14ac:dyDescent="0.25">
      <c r="A349" s="117" t="s">
        <v>136</v>
      </c>
      <c r="B349" s="1086"/>
      <c r="C349" s="1086"/>
      <c r="D349" s="1068"/>
      <c r="E349" s="97"/>
      <c r="F349" s="98"/>
      <c r="G349" s="129"/>
      <c r="H349" s="3">
        <f t="shared" si="34"/>
        <v>0</v>
      </c>
    </row>
    <row r="350" spans="1:8" ht="15.75" thickBot="1" x14ac:dyDescent="0.3">
      <c r="A350" s="150" t="s">
        <v>137</v>
      </c>
      <c r="B350" s="1087"/>
      <c r="C350" s="1087"/>
      <c r="D350" s="1069"/>
      <c r="E350" s="167"/>
      <c r="F350" s="167"/>
      <c r="G350" s="171"/>
      <c r="H350" s="3">
        <f t="shared" si="34"/>
        <v>0</v>
      </c>
    </row>
    <row r="351" spans="1:8" x14ac:dyDescent="0.25">
      <c r="A351" s="57"/>
      <c r="B351" s="57"/>
      <c r="C351" s="57"/>
      <c r="D351" s="57"/>
      <c r="E351" s="57"/>
      <c r="F351" s="57"/>
      <c r="G351" s="57"/>
    </row>
    <row r="352" spans="1:8" ht="15.75" thickBot="1" x14ac:dyDescent="0.3">
      <c r="A352" s="57"/>
      <c r="B352" s="57"/>
      <c r="C352" s="57"/>
      <c r="D352" s="57"/>
      <c r="E352" s="57"/>
      <c r="F352" s="57"/>
      <c r="G352" s="57"/>
    </row>
    <row r="353" spans="1:8" ht="39" thickBot="1" x14ac:dyDescent="0.3">
      <c r="A353" s="32" t="s">
        <v>50</v>
      </c>
      <c r="B353" s="169" t="s">
        <v>149</v>
      </c>
      <c r="C353" s="169" t="s">
        <v>150</v>
      </c>
      <c r="D353" s="169" t="s">
        <v>182</v>
      </c>
      <c r="E353" s="43" t="s">
        <v>187</v>
      </c>
      <c r="F353" s="43" t="s">
        <v>188</v>
      </c>
      <c r="G353" s="170" t="s">
        <v>185</v>
      </c>
    </row>
    <row r="354" spans="1:8" x14ac:dyDescent="0.25">
      <c r="A354" s="180" t="s">
        <v>139</v>
      </c>
      <c r="B354" s="1097" t="s">
        <v>226</v>
      </c>
      <c r="C354" s="1097" t="s">
        <v>227</v>
      </c>
      <c r="D354" s="1098" t="s">
        <v>236</v>
      </c>
      <c r="E354" s="121" t="e">
        <f>+INVERSIÓN!#REF!</f>
        <v>#REF!</v>
      </c>
      <c r="F354" s="183">
        <v>0</v>
      </c>
      <c r="G354" s="159"/>
      <c r="H354" s="3">
        <f t="shared" ref="H354:H365" si="35">LEN(G354)</f>
        <v>0</v>
      </c>
    </row>
    <row r="355" spans="1:8" x14ac:dyDescent="0.25">
      <c r="A355" s="133" t="s">
        <v>140</v>
      </c>
      <c r="B355" s="1086"/>
      <c r="C355" s="1086"/>
      <c r="D355" s="1068"/>
      <c r="E355" s="74"/>
      <c r="F355" s="134"/>
      <c r="G355" s="37"/>
      <c r="H355" s="3">
        <f t="shared" si="35"/>
        <v>0</v>
      </c>
    </row>
    <row r="356" spans="1:8" x14ac:dyDescent="0.25">
      <c r="A356" s="133" t="s">
        <v>141</v>
      </c>
      <c r="B356" s="1086"/>
      <c r="C356" s="1086"/>
      <c r="D356" s="1068"/>
      <c r="E356" s="74"/>
      <c r="F356" s="134"/>
      <c r="G356" s="37"/>
      <c r="H356" s="3">
        <f t="shared" si="35"/>
        <v>0</v>
      </c>
    </row>
    <row r="357" spans="1:8" x14ac:dyDescent="0.25">
      <c r="A357" s="133" t="s">
        <v>142</v>
      </c>
      <c r="B357" s="1086"/>
      <c r="C357" s="1086"/>
      <c r="D357" s="1068"/>
      <c r="E357" s="74"/>
      <c r="F357" s="134"/>
      <c r="G357" s="37"/>
      <c r="H357" s="3">
        <f t="shared" si="35"/>
        <v>0</v>
      </c>
    </row>
    <row r="358" spans="1:8" x14ac:dyDescent="0.25">
      <c r="A358" s="133" t="s">
        <v>143</v>
      </c>
      <c r="B358" s="1086"/>
      <c r="C358" s="1086"/>
      <c r="D358" s="1068"/>
      <c r="E358" s="74"/>
      <c r="F358" s="134"/>
      <c r="G358" s="37"/>
      <c r="H358" s="3">
        <f t="shared" si="35"/>
        <v>0</v>
      </c>
    </row>
    <row r="359" spans="1:8" x14ac:dyDescent="0.25">
      <c r="A359" s="133" t="s">
        <v>144</v>
      </c>
      <c r="B359" s="1086"/>
      <c r="C359" s="1086"/>
      <c r="D359" s="1068"/>
      <c r="E359" s="74"/>
      <c r="F359" s="134"/>
      <c r="G359" s="37"/>
      <c r="H359" s="3">
        <f t="shared" si="35"/>
        <v>0</v>
      </c>
    </row>
    <row r="360" spans="1:8" x14ac:dyDescent="0.25">
      <c r="A360" s="133" t="s">
        <v>132</v>
      </c>
      <c r="B360" s="1086"/>
      <c r="C360" s="1086"/>
      <c r="D360" s="1068"/>
      <c r="E360" s="74"/>
      <c r="F360" s="134"/>
      <c r="G360" s="37"/>
      <c r="H360" s="3">
        <f t="shared" si="35"/>
        <v>0</v>
      </c>
    </row>
    <row r="361" spans="1:8" x14ac:dyDescent="0.25">
      <c r="A361" s="35" t="s">
        <v>133</v>
      </c>
      <c r="B361" s="1086"/>
      <c r="C361" s="1086"/>
      <c r="D361" s="1068"/>
      <c r="E361" s="74"/>
      <c r="F361" s="73"/>
      <c r="G361" s="37"/>
      <c r="H361" s="3">
        <f t="shared" si="35"/>
        <v>0</v>
      </c>
    </row>
    <row r="362" spans="1:8" x14ac:dyDescent="0.25">
      <c r="A362" s="35" t="s">
        <v>134</v>
      </c>
      <c r="B362" s="1086"/>
      <c r="C362" s="1086"/>
      <c r="D362" s="1068"/>
      <c r="E362" s="74"/>
      <c r="F362" s="73"/>
      <c r="G362" s="37"/>
      <c r="H362" s="3">
        <f t="shared" si="35"/>
        <v>0</v>
      </c>
    </row>
    <row r="363" spans="1:8" x14ac:dyDescent="0.25">
      <c r="A363" s="72" t="s">
        <v>135</v>
      </c>
      <c r="B363" s="1086"/>
      <c r="C363" s="1086"/>
      <c r="D363" s="1068"/>
      <c r="E363" s="97"/>
      <c r="F363" s="98"/>
      <c r="G363" s="129"/>
      <c r="H363" s="3">
        <f t="shared" si="35"/>
        <v>0</v>
      </c>
    </row>
    <row r="364" spans="1:8" x14ac:dyDescent="0.25">
      <c r="A364" s="72" t="s">
        <v>136</v>
      </c>
      <c r="B364" s="1086"/>
      <c r="C364" s="1086"/>
      <c r="D364" s="1068"/>
      <c r="E364" s="97"/>
      <c r="F364" s="98"/>
      <c r="G364" s="129"/>
      <c r="H364" s="3">
        <f t="shared" si="35"/>
        <v>0</v>
      </c>
    </row>
    <row r="365" spans="1:8" ht="15.75" thickBot="1" x14ac:dyDescent="0.3">
      <c r="A365" s="150" t="s">
        <v>137</v>
      </c>
      <c r="B365" s="1087"/>
      <c r="C365" s="1087"/>
      <c r="D365" s="1069"/>
      <c r="E365" s="167"/>
      <c r="F365" s="167"/>
      <c r="G365" s="171"/>
      <c r="H365" s="3">
        <f t="shared" si="35"/>
        <v>0</v>
      </c>
    </row>
    <row r="366" spans="1:8" x14ac:dyDescent="0.25">
      <c r="A366" s="57"/>
      <c r="B366" s="100"/>
      <c r="C366" s="100"/>
      <c r="D366" s="156"/>
      <c r="E366" s="116"/>
      <c r="F366" s="116"/>
      <c r="G366" s="71"/>
      <c r="H366" s="3"/>
    </row>
    <row r="367" spans="1:8" x14ac:dyDescent="0.25">
      <c r="A367" s="57"/>
      <c r="B367" s="100"/>
      <c r="C367" s="100"/>
      <c r="D367" s="156"/>
      <c r="E367" s="116"/>
      <c r="F367" s="116"/>
      <c r="G367" s="71"/>
      <c r="H367" s="3"/>
    </row>
    <row r="368" spans="1:8" hidden="1" x14ac:dyDescent="0.25">
      <c r="A368" s="39" t="s">
        <v>143</v>
      </c>
      <c r="B368" s="36"/>
      <c r="C368" s="36"/>
      <c r="D368" s="36"/>
      <c r="E368" s="36"/>
      <c r="F368" s="36"/>
      <c r="G368" s="37"/>
    </row>
    <row r="369" spans="1:7" hidden="1" x14ac:dyDescent="0.25">
      <c r="A369" s="39" t="s">
        <v>144</v>
      </c>
      <c r="B369" s="36"/>
      <c r="C369" s="36"/>
      <c r="D369" s="36"/>
      <c r="E369" s="36"/>
      <c r="F369" s="36"/>
      <c r="G369" s="37"/>
    </row>
    <row r="370" spans="1:7" hidden="1" x14ac:dyDescent="0.25">
      <c r="A370" s="48" t="s">
        <v>132</v>
      </c>
      <c r="B370" s="49"/>
      <c r="C370" s="49"/>
      <c r="D370" s="49"/>
      <c r="E370" s="49"/>
      <c r="F370" s="49"/>
      <c r="G370" s="50"/>
    </row>
    <row r="371" spans="1:7" hidden="1" x14ac:dyDescent="0.25">
      <c r="A371" s="39" t="s">
        <v>133</v>
      </c>
      <c r="B371" s="36"/>
      <c r="C371" s="36"/>
      <c r="D371" s="36"/>
      <c r="E371" s="36"/>
      <c r="F371" s="36"/>
      <c r="G371" s="37"/>
    </row>
    <row r="372" spans="1:7" hidden="1" x14ac:dyDescent="0.25">
      <c r="A372" s="39" t="s">
        <v>134</v>
      </c>
      <c r="B372" s="36"/>
      <c r="C372" s="36"/>
      <c r="D372" s="36"/>
      <c r="E372" s="36"/>
      <c r="F372" s="36"/>
      <c r="G372" s="37"/>
    </row>
    <row r="373" spans="1:7" hidden="1" x14ac:dyDescent="0.25">
      <c r="A373" s="39" t="s">
        <v>135</v>
      </c>
      <c r="B373" s="36"/>
      <c r="C373" s="36"/>
      <c r="D373" s="36"/>
      <c r="E373" s="36"/>
      <c r="F373" s="36"/>
      <c r="G373" s="37"/>
    </row>
    <row r="374" spans="1:7" hidden="1" x14ac:dyDescent="0.25">
      <c r="A374" s="39" t="s">
        <v>136</v>
      </c>
      <c r="B374" s="36"/>
      <c r="C374" s="36"/>
      <c r="D374" s="36"/>
      <c r="E374" s="36"/>
      <c r="F374" s="36"/>
      <c r="G374" s="37"/>
    </row>
    <row r="375" spans="1:7" ht="15.75" hidden="1" thickBot="1" x14ac:dyDescent="0.3">
      <c r="A375" s="40" t="s">
        <v>137</v>
      </c>
      <c r="B375" s="38"/>
      <c r="C375" s="38"/>
      <c r="D375" s="38"/>
      <c r="E375" s="38"/>
      <c r="F375" s="38"/>
      <c r="G375" s="42"/>
    </row>
    <row r="376" spans="1:7" ht="15.75" hidden="1" thickBot="1" x14ac:dyDescent="0.3">
      <c r="A376" s="51"/>
      <c r="G376" s="52"/>
    </row>
    <row r="377" spans="1:7" ht="20.25" hidden="1" x14ac:dyDescent="0.3">
      <c r="A377" s="1041" t="s">
        <v>189</v>
      </c>
      <c r="B377" s="1042"/>
      <c r="C377" s="1042"/>
      <c r="D377" s="1042"/>
      <c r="E377" s="1042"/>
      <c r="F377" s="1042"/>
      <c r="G377" s="1043"/>
    </row>
    <row r="378" spans="1:7" ht="39" hidden="1" thickBot="1" x14ac:dyDescent="0.3">
      <c r="A378" s="32" t="s">
        <v>63</v>
      </c>
      <c r="B378" s="43" t="s">
        <v>149</v>
      </c>
      <c r="C378" s="43" t="s">
        <v>150</v>
      </c>
      <c r="D378" s="43" t="s">
        <v>182</v>
      </c>
      <c r="E378" s="43" t="s">
        <v>190</v>
      </c>
      <c r="F378" s="43" t="s">
        <v>191</v>
      </c>
      <c r="G378" s="44" t="s">
        <v>185</v>
      </c>
    </row>
    <row r="379" spans="1:7" hidden="1" x14ac:dyDescent="0.25">
      <c r="A379" s="39" t="s">
        <v>139</v>
      </c>
      <c r="B379" s="36"/>
      <c r="C379" s="36"/>
      <c r="D379" s="36"/>
      <c r="E379" s="36"/>
      <c r="F379" s="36"/>
      <c r="G379" s="37"/>
    </row>
    <row r="380" spans="1:7" hidden="1" x14ac:dyDescent="0.25">
      <c r="A380" s="39" t="s">
        <v>140</v>
      </c>
      <c r="B380" s="36"/>
      <c r="C380" s="36"/>
      <c r="D380" s="36"/>
      <c r="E380" s="36"/>
      <c r="F380" s="36"/>
      <c r="G380" s="37"/>
    </row>
    <row r="381" spans="1:7" hidden="1" x14ac:dyDescent="0.25">
      <c r="A381" s="39" t="s">
        <v>141</v>
      </c>
      <c r="B381" s="36"/>
      <c r="C381" s="36"/>
      <c r="D381" s="36"/>
      <c r="E381" s="36"/>
      <c r="F381" s="36"/>
      <c r="G381" s="37"/>
    </row>
    <row r="382" spans="1:7" hidden="1" x14ac:dyDescent="0.25">
      <c r="A382" s="39" t="s">
        <v>142</v>
      </c>
      <c r="B382" s="36"/>
      <c r="C382" s="36"/>
      <c r="D382" s="36"/>
      <c r="E382" s="36"/>
      <c r="F382" s="36"/>
      <c r="G382" s="37"/>
    </row>
    <row r="383" spans="1:7" hidden="1" x14ac:dyDescent="0.25">
      <c r="A383" s="39" t="s">
        <v>143</v>
      </c>
      <c r="B383" s="36"/>
      <c r="C383" s="36"/>
      <c r="D383" s="36"/>
      <c r="E383" s="36"/>
      <c r="F383" s="36"/>
      <c r="G383" s="37"/>
    </row>
    <row r="384" spans="1:7" hidden="1" x14ac:dyDescent="0.25">
      <c r="A384" s="39" t="s">
        <v>144</v>
      </c>
      <c r="B384" s="36"/>
      <c r="C384" s="36"/>
      <c r="D384" s="36"/>
      <c r="E384" s="36"/>
      <c r="F384" s="36"/>
      <c r="G384" s="37"/>
    </row>
    <row r="385" spans="1:7" hidden="1" x14ac:dyDescent="0.25">
      <c r="A385" s="48" t="s">
        <v>132</v>
      </c>
      <c r="B385" s="49"/>
      <c r="C385" s="49"/>
      <c r="D385" s="49"/>
      <c r="E385" s="49"/>
      <c r="F385" s="49"/>
      <c r="G385" s="50"/>
    </row>
    <row r="386" spans="1:7" hidden="1" x14ac:dyDescent="0.25">
      <c r="A386" s="39" t="s">
        <v>133</v>
      </c>
      <c r="B386" s="36"/>
      <c r="C386" s="36"/>
      <c r="D386" s="36"/>
      <c r="E386" s="36"/>
      <c r="F386" s="36"/>
      <c r="G386" s="37"/>
    </row>
    <row r="387" spans="1:7" hidden="1" x14ac:dyDescent="0.25">
      <c r="A387" s="39" t="s">
        <v>134</v>
      </c>
      <c r="B387" s="36"/>
      <c r="C387" s="36"/>
      <c r="D387" s="36"/>
      <c r="E387" s="36"/>
      <c r="F387" s="36"/>
      <c r="G387" s="37"/>
    </row>
    <row r="388" spans="1:7" hidden="1" x14ac:dyDescent="0.25">
      <c r="A388" s="39" t="s">
        <v>135</v>
      </c>
      <c r="B388" s="36"/>
      <c r="C388" s="36"/>
      <c r="D388" s="36"/>
      <c r="E388" s="36"/>
      <c r="F388" s="36"/>
      <c r="G388" s="37"/>
    </row>
    <row r="389" spans="1:7" hidden="1" x14ac:dyDescent="0.25">
      <c r="A389" s="39" t="s">
        <v>136</v>
      </c>
      <c r="B389" s="36"/>
      <c r="C389" s="36"/>
      <c r="D389" s="36"/>
      <c r="E389" s="36"/>
      <c r="F389" s="36"/>
      <c r="G389" s="37"/>
    </row>
    <row r="390" spans="1:7" ht="15.75" hidden="1" thickBot="1" x14ac:dyDescent="0.3">
      <c r="A390" s="40" t="s">
        <v>137</v>
      </c>
      <c r="B390" s="38"/>
      <c r="C390" s="38"/>
      <c r="D390" s="38"/>
      <c r="E390" s="38"/>
      <c r="F390" s="38"/>
      <c r="G390" s="42"/>
    </row>
    <row r="391" spans="1:7" ht="15.75" hidden="1" thickBot="1" x14ac:dyDescent="0.3">
      <c r="A391" s="51"/>
      <c r="G391" s="52"/>
    </row>
    <row r="392" spans="1:7" ht="20.25" hidden="1" x14ac:dyDescent="0.3">
      <c r="A392" s="1041" t="s">
        <v>192</v>
      </c>
      <c r="B392" s="1042"/>
      <c r="C392" s="1042"/>
      <c r="D392" s="1042"/>
      <c r="E392" s="1042"/>
      <c r="F392" s="1042"/>
      <c r="G392" s="1043"/>
    </row>
    <row r="393" spans="1:7" ht="39" hidden="1" thickBot="1" x14ac:dyDescent="0.3">
      <c r="A393" s="32" t="s">
        <v>64</v>
      </c>
      <c r="B393" s="43" t="s">
        <v>149</v>
      </c>
      <c r="C393" s="43" t="s">
        <v>150</v>
      </c>
      <c r="D393" s="43" t="s">
        <v>182</v>
      </c>
      <c r="E393" s="43" t="s">
        <v>193</v>
      </c>
      <c r="F393" s="43" t="s">
        <v>194</v>
      </c>
      <c r="G393" s="44" t="s">
        <v>185</v>
      </c>
    </row>
    <row r="394" spans="1:7" hidden="1" x14ac:dyDescent="0.25">
      <c r="A394" s="39" t="s">
        <v>139</v>
      </c>
      <c r="B394" s="36"/>
      <c r="C394" s="36"/>
      <c r="D394" s="36"/>
      <c r="E394" s="36"/>
      <c r="F394" s="36"/>
      <c r="G394" s="37"/>
    </row>
    <row r="395" spans="1:7" hidden="1" x14ac:dyDescent="0.25">
      <c r="A395" s="39" t="s">
        <v>140</v>
      </c>
      <c r="B395" s="36"/>
      <c r="C395" s="36"/>
      <c r="D395" s="36"/>
      <c r="E395" s="36"/>
      <c r="F395" s="36"/>
      <c r="G395" s="37"/>
    </row>
    <row r="396" spans="1:7" hidden="1" x14ac:dyDescent="0.25">
      <c r="A396" s="39" t="s">
        <v>141</v>
      </c>
      <c r="B396" s="36"/>
      <c r="C396" s="36"/>
      <c r="D396" s="36"/>
      <c r="E396" s="36"/>
      <c r="F396" s="36"/>
      <c r="G396" s="37"/>
    </row>
    <row r="397" spans="1:7" hidden="1" x14ac:dyDescent="0.25">
      <c r="A397" s="39" t="s">
        <v>142</v>
      </c>
      <c r="B397" s="36"/>
      <c r="C397" s="36"/>
      <c r="D397" s="36"/>
      <c r="E397" s="36"/>
      <c r="F397" s="36"/>
      <c r="G397" s="37"/>
    </row>
    <row r="398" spans="1:7" hidden="1" x14ac:dyDescent="0.25">
      <c r="A398" s="39" t="s">
        <v>143</v>
      </c>
      <c r="B398" s="36"/>
      <c r="C398" s="36"/>
      <c r="D398" s="36"/>
      <c r="E398" s="36"/>
      <c r="F398" s="36"/>
      <c r="G398" s="37"/>
    </row>
    <row r="399" spans="1:7" hidden="1" x14ac:dyDescent="0.25">
      <c r="A399" s="39" t="s">
        <v>144</v>
      </c>
      <c r="B399" s="36"/>
      <c r="C399" s="36"/>
      <c r="D399" s="36"/>
      <c r="E399" s="36"/>
      <c r="F399" s="36"/>
      <c r="G399" s="37"/>
    </row>
    <row r="400" spans="1:7" hidden="1" x14ac:dyDescent="0.25">
      <c r="A400" s="48" t="s">
        <v>132</v>
      </c>
      <c r="B400" s="49"/>
      <c r="C400" s="49"/>
      <c r="D400" s="49"/>
      <c r="E400" s="49"/>
      <c r="F400" s="49"/>
      <c r="G400" s="50"/>
    </row>
    <row r="401" spans="1:9" hidden="1" x14ac:dyDescent="0.25">
      <c r="A401" s="39" t="s">
        <v>133</v>
      </c>
      <c r="B401" s="36"/>
      <c r="C401" s="36"/>
      <c r="D401" s="36"/>
      <c r="E401" s="36"/>
      <c r="F401" s="36"/>
      <c r="G401" s="37"/>
    </row>
    <row r="402" spans="1:9" hidden="1" x14ac:dyDescent="0.25">
      <c r="A402" s="39" t="s">
        <v>134</v>
      </c>
      <c r="B402" s="36"/>
      <c r="C402" s="36"/>
      <c r="D402" s="36"/>
      <c r="E402" s="36"/>
      <c r="F402" s="36"/>
      <c r="G402" s="37"/>
    </row>
    <row r="403" spans="1:9" hidden="1" x14ac:dyDescent="0.25">
      <c r="A403" s="39" t="s">
        <v>135</v>
      </c>
      <c r="B403" s="36"/>
      <c r="C403" s="36"/>
      <c r="D403" s="36"/>
      <c r="E403" s="36"/>
      <c r="F403" s="36"/>
      <c r="G403" s="37"/>
    </row>
    <row r="404" spans="1:9" hidden="1" x14ac:dyDescent="0.25">
      <c r="A404" s="39" t="s">
        <v>136</v>
      </c>
      <c r="B404" s="36"/>
      <c r="C404" s="36"/>
      <c r="D404" s="36"/>
      <c r="E404" s="36"/>
      <c r="F404" s="36"/>
      <c r="G404" s="37"/>
    </row>
    <row r="405" spans="1:9" ht="15.75" hidden="1" thickBot="1" x14ac:dyDescent="0.3">
      <c r="A405" s="40" t="s">
        <v>137</v>
      </c>
      <c r="B405" s="38"/>
      <c r="C405" s="38"/>
      <c r="D405" s="38"/>
      <c r="E405" s="38"/>
      <c r="F405" s="38"/>
      <c r="G405" s="42"/>
    </row>
    <row r="407" spans="1:9" ht="21" hidden="1" thickBot="1" x14ac:dyDescent="0.35">
      <c r="A407" s="1094" t="s">
        <v>195</v>
      </c>
      <c r="B407" s="1095"/>
      <c r="C407" s="1095"/>
      <c r="D407" s="1095"/>
      <c r="E407" s="1095"/>
      <c r="F407" s="1095"/>
      <c r="G407" s="1095"/>
      <c r="H407" s="1096"/>
    </row>
    <row r="408" spans="1:9" ht="38.25" hidden="1" x14ac:dyDescent="0.25">
      <c r="A408" s="58" t="s">
        <v>49</v>
      </c>
      <c r="B408" s="59" t="s">
        <v>196</v>
      </c>
      <c r="C408" s="79" t="s">
        <v>152</v>
      </c>
      <c r="D408" s="79" t="s">
        <v>153</v>
      </c>
      <c r="E408" s="79" t="s">
        <v>197</v>
      </c>
      <c r="F408" s="79" t="s">
        <v>198</v>
      </c>
      <c r="G408" s="79" t="s">
        <v>199</v>
      </c>
      <c r="H408" s="61" t="s">
        <v>185</v>
      </c>
    </row>
    <row r="409" spans="1:9" hidden="1" x14ac:dyDescent="0.25">
      <c r="A409" s="35" t="s">
        <v>132</v>
      </c>
      <c r="B409" s="1156" t="s">
        <v>240</v>
      </c>
      <c r="C409" s="1097" t="s">
        <v>241</v>
      </c>
      <c r="D409" s="1157">
        <v>33</v>
      </c>
      <c r="E409" s="78">
        <v>46</v>
      </c>
      <c r="F409" s="45"/>
      <c r="G409" s="45">
        <f t="shared" ref="G409:G414" si="36">F409/E409</f>
        <v>0</v>
      </c>
      <c r="H409" s="46"/>
      <c r="I409" s="3">
        <f t="shared" ref="I409:I414" si="37">LEN(H409)</f>
        <v>0</v>
      </c>
    </row>
    <row r="410" spans="1:9" hidden="1" x14ac:dyDescent="0.25">
      <c r="A410" s="35" t="s">
        <v>133</v>
      </c>
      <c r="B410" s="1083"/>
      <c r="C410" s="1086"/>
      <c r="D410" s="1092"/>
      <c r="E410" s="78">
        <v>46</v>
      </c>
      <c r="F410" s="45"/>
      <c r="G410" s="45">
        <f t="shared" si="36"/>
        <v>0</v>
      </c>
      <c r="H410" s="46"/>
      <c r="I410" s="3">
        <f t="shared" si="37"/>
        <v>0</v>
      </c>
    </row>
    <row r="411" spans="1:9" hidden="1" x14ac:dyDescent="0.25">
      <c r="A411" s="35" t="s">
        <v>134</v>
      </c>
      <c r="B411" s="1083"/>
      <c r="C411" s="1086"/>
      <c r="D411" s="1092"/>
      <c r="E411" s="78">
        <v>46</v>
      </c>
      <c r="F411" s="45"/>
      <c r="G411" s="45">
        <f t="shared" si="36"/>
        <v>0</v>
      </c>
      <c r="H411" s="46"/>
      <c r="I411" s="3">
        <f t="shared" si="37"/>
        <v>0</v>
      </c>
    </row>
    <row r="412" spans="1:9" hidden="1" x14ac:dyDescent="0.25">
      <c r="A412" s="35" t="s">
        <v>135</v>
      </c>
      <c r="B412" s="1083"/>
      <c r="C412" s="1086"/>
      <c r="D412" s="1092"/>
      <c r="E412" s="78">
        <v>46</v>
      </c>
      <c r="F412" s="45">
        <v>44.39</v>
      </c>
      <c r="G412" s="122">
        <f t="shared" si="36"/>
        <v>0.96499999999999997</v>
      </c>
      <c r="H412" s="46" t="s">
        <v>249</v>
      </c>
      <c r="I412" s="3">
        <f>LEN(H412)</f>
        <v>190</v>
      </c>
    </row>
    <row r="413" spans="1:9" hidden="1" x14ac:dyDescent="0.25">
      <c r="A413" s="35" t="s">
        <v>136</v>
      </c>
      <c r="B413" s="1083"/>
      <c r="C413" s="1086"/>
      <c r="D413" s="1092"/>
      <c r="E413" s="78">
        <v>46</v>
      </c>
      <c r="F413" s="45">
        <f>+[2]GESTIÓN!U14</f>
        <v>45.54</v>
      </c>
      <c r="G413" s="122">
        <f t="shared" si="36"/>
        <v>0.99</v>
      </c>
      <c r="H413" s="46" t="s">
        <v>258</v>
      </c>
      <c r="I413" s="3">
        <f t="shared" si="37"/>
        <v>199</v>
      </c>
    </row>
    <row r="414" spans="1:9" ht="15.75" hidden="1" thickBot="1" x14ac:dyDescent="0.3">
      <c r="A414" s="106" t="s">
        <v>137</v>
      </c>
      <c r="B414" s="1084"/>
      <c r="C414" s="1087"/>
      <c r="D414" s="1093"/>
      <c r="E414" s="123">
        <v>46</v>
      </c>
      <c r="F414" s="124">
        <v>45.92</v>
      </c>
      <c r="G414" s="125">
        <f t="shared" si="36"/>
        <v>0.99826086956521742</v>
      </c>
      <c r="H414" s="119" t="s">
        <v>259</v>
      </c>
      <c r="I414" s="3">
        <f t="shared" si="37"/>
        <v>193</v>
      </c>
    </row>
    <row r="415" spans="1:9" hidden="1" x14ac:dyDescent="0.25">
      <c r="A415" s="57"/>
      <c r="B415" s="100"/>
      <c r="C415" s="77"/>
      <c r="D415" s="57"/>
      <c r="E415" s="57"/>
      <c r="F415" s="57"/>
      <c r="G415" s="57"/>
      <c r="H415" s="57"/>
    </row>
    <row r="416" spans="1:9" hidden="1" x14ac:dyDescent="0.25">
      <c r="A416" s="57"/>
      <c r="B416" s="57"/>
      <c r="C416" s="57"/>
      <c r="D416" s="57"/>
      <c r="E416" s="57"/>
      <c r="F416" s="57"/>
      <c r="G416" s="57"/>
      <c r="H416" s="57"/>
    </row>
    <row r="417" spans="1:9" ht="39" hidden="1" thickBot="1" x14ac:dyDescent="0.3">
      <c r="A417" s="62" t="s">
        <v>49</v>
      </c>
      <c r="B417" s="63" t="s">
        <v>196</v>
      </c>
      <c r="C417" s="80" t="s">
        <v>152</v>
      </c>
      <c r="D417" s="80" t="s">
        <v>153</v>
      </c>
      <c r="E417" s="80" t="s">
        <v>197</v>
      </c>
      <c r="F417" s="80" t="s">
        <v>198</v>
      </c>
      <c r="G417" s="80" t="s">
        <v>199</v>
      </c>
      <c r="H417" s="64" t="s">
        <v>185</v>
      </c>
    </row>
    <row r="418" spans="1:9" hidden="1" x14ac:dyDescent="0.25">
      <c r="A418" s="81" t="s">
        <v>132</v>
      </c>
      <c r="B418" s="1082" t="s">
        <v>242</v>
      </c>
      <c r="C418" s="1085" t="s">
        <v>243</v>
      </c>
      <c r="D418" s="1157">
        <v>34</v>
      </c>
      <c r="E418" s="83">
        <v>5</v>
      </c>
      <c r="F418" s="82"/>
      <c r="G418" s="82">
        <f t="shared" ref="G418:G423" si="38">F418/E418</f>
        <v>0</v>
      </c>
      <c r="H418" s="84"/>
      <c r="I418" s="3">
        <f t="shared" ref="I418:I423" si="39">LEN(H418)</f>
        <v>0</v>
      </c>
    </row>
    <row r="419" spans="1:9" hidden="1" x14ac:dyDescent="0.25">
      <c r="A419" s="35" t="s">
        <v>133</v>
      </c>
      <c r="B419" s="1083"/>
      <c r="C419" s="1086"/>
      <c r="D419" s="1092"/>
      <c r="E419" s="69">
        <v>5</v>
      </c>
      <c r="F419" s="45"/>
      <c r="G419" s="45">
        <f t="shared" si="38"/>
        <v>0</v>
      </c>
      <c r="H419" s="46"/>
      <c r="I419" s="3">
        <f t="shared" si="39"/>
        <v>0</v>
      </c>
    </row>
    <row r="420" spans="1:9" hidden="1" x14ac:dyDescent="0.25">
      <c r="A420" s="35" t="s">
        <v>134</v>
      </c>
      <c r="B420" s="1083"/>
      <c r="C420" s="1086"/>
      <c r="D420" s="1092"/>
      <c r="E420" s="69">
        <v>5</v>
      </c>
      <c r="F420" s="45"/>
      <c r="G420" s="45">
        <f t="shared" si="38"/>
        <v>0</v>
      </c>
      <c r="H420" s="46"/>
      <c r="I420" s="3">
        <f t="shared" si="39"/>
        <v>0</v>
      </c>
    </row>
    <row r="421" spans="1:9" hidden="1" x14ac:dyDescent="0.25">
      <c r="A421" s="35" t="s">
        <v>135</v>
      </c>
      <c r="B421" s="1083"/>
      <c r="C421" s="1086"/>
      <c r="D421" s="1092"/>
      <c r="E421" s="69">
        <v>5</v>
      </c>
      <c r="F421" s="45">
        <v>1.54</v>
      </c>
      <c r="G421" s="122">
        <f t="shared" si="38"/>
        <v>0.308</v>
      </c>
      <c r="H421" s="46" t="s">
        <v>244</v>
      </c>
      <c r="I421" s="3">
        <f>LEN(H421)</f>
        <v>200</v>
      </c>
    </row>
    <row r="422" spans="1:9" hidden="1" x14ac:dyDescent="0.25">
      <c r="A422" s="35" t="s">
        <v>136</v>
      </c>
      <c r="B422" s="1083"/>
      <c r="C422" s="1086"/>
      <c r="D422" s="1092"/>
      <c r="E422" s="69">
        <v>5</v>
      </c>
      <c r="F422" s="126">
        <f>+[2]GESTIÓN!U15</f>
        <v>2.5379999999999998</v>
      </c>
      <c r="G422" s="122">
        <f t="shared" si="38"/>
        <v>0.50759999999999994</v>
      </c>
      <c r="H422" s="46" t="s">
        <v>251</v>
      </c>
      <c r="I422" s="3">
        <f t="shared" si="39"/>
        <v>121</v>
      </c>
    </row>
    <row r="423" spans="1:9" ht="15.75" hidden="1" thickBot="1" x14ac:dyDescent="0.3">
      <c r="A423" s="106" t="s">
        <v>137</v>
      </c>
      <c r="B423" s="1084"/>
      <c r="C423" s="1087"/>
      <c r="D423" s="1093"/>
      <c r="E423" s="127">
        <v>5</v>
      </c>
      <c r="F423" s="124">
        <v>5.49</v>
      </c>
      <c r="G423" s="125">
        <f t="shared" si="38"/>
        <v>1.0980000000000001</v>
      </c>
      <c r="H423" s="119" t="s">
        <v>260</v>
      </c>
      <c r="I423" s="3">
        <f t="shared" si="39"/>
        <v>121</v>
      </c>
    </row>
    <row r="424" spans="1:9" hidden="1" x14ac:dyDescent="0.25">
      <c r="A424" s="57"/>
      <c r="B424" s="57"/>
      <c r="C424" s="57"/>
      <c r="D424" s="57"/>
      <c r="E424" s="57"/>
      <c r="F424" s="57"/>
      <c r="G424" s="57"/>
      <c r="H424" s="57"/>
    </row>
    <row r="425" spans="1:9" hidden="1" x14ac:dyDescent="0.25">
      <c r="A425" s="57"/>
      <c r="B425" s="57"/>
      <c r="C425" s="57"/>
      <c r="D425" s="57"/>
      <c r="E425" s="57"/>
      <c r="F425" s="57"/>
      <c r="G425" s="57"/>
      <c r="H425" s="57"/>
    </row>
    <row r="426" spans="1:9" ht="39" hidden="1" thickBot="1" x14ac:dyDescent="0.3">
      <c r="A426" s="62" t="s">
        <v>49</v>
      </c>
      <c r="B426" s="63" t="s">
        <v>196</v>
      </c>
      <c r="C426" s="80" t="s">
        <v>152</v>
      </c>
      <c r="D426" s="80" t="s">
        <v>153</v>
      </c>
      <c r="E426" s="80" t="s">
        <v>197</v>
      </c>
      <c r="F426" s="80" t="s">
        <v>198</v>
      </c>
      <c r="G426" s="80" t="s">
        <v>199</v>
      </c>
      <c r="H426" s="64" t="s">
        <v>185</v>
      </c>
    </row>
    <row r="427" spans="1:9" hidden="1" x14ac:dyDescent="0.25">
      <c r="A427" s="81" t="s">
        <v>132</v>
      </c>
      <c r="B427" s="1082"/>
      <c r="C427" s="1085" t="s">
        <v>243</v>
      </c>
      <c r="D427" s="1088"/>
      <c r="E427" s="83">
        <v>54</v>
      </c>
      <c r="F427" s="82"/>
      <c r="G427" s="82">
        <f t="shared" ref="G427:G432" si="40">F427/E427</f>
        <v>0</v>
      </c>
      <c r="H427" s="84"/>
      <c r="I427" s="3">
        <f t="shared" ref="I427:I432" si="41">LEN(H427)</f>
        <v>0</v>
      </c>
    </row>
    <row r="428" spans="1:9" hidden="1" x14ac:dyDescent="0.25">
      <c r="A428" s="35" t="s">
        <v>133</v>
      </c>
      <c r="B428" s="1083"/>
      <c r="C428" s="1086"/>
      <c r="D428" s="1089"/>
      <c r="E428" s="69">
        <v>54</v>
      </c>
      <c r="F428" s="45"/>
      <c r="G428" s="45">
        <f t="shared" si="40"/>
        <v>0</v>
      </c>
      <c r="H428" s="46"/>
      <c r="I428" s="3">
        <f t="shared" si="41"/>
        <v>0</v>
      </c>
    </row>
    <row r="429" spans="1:9" hidden="1" x14ac:dyDescent="0.25">
      <c r="A429" s="35" t="s">
        <v>134</v>
      </c>
      <c r="B429" s="1083"/>
      <c r="C429" s="1086"/>
      <c r="D429" s="1089"/>
      <c r="E429" s="69">
        <v>54</v>
      </c>
      <c r="F429" s="45"/>
      <c r="G429" s="45">
        <f t="shared" si="40"/>
        <v>0</v>
      </c>
      <c r="H429" s="46"/>
      <c r="I429" s="3">
        <f t="shared" si="41"/>
        <v>0</v>
      </c>
    </row>
    <row r="430" spans="1:9" hidden="1" x14ac:dyDescent="0.25">
      <c r="A430" s="35" t="s">
        <v>135</v>
      </c>
      <c r="B430" s="1083"/>
      <c r="C430" s="1086"/>
      <c r="D430" s="1089"/>
      <c r="E430" s="69">
        <v>54</v>
      </c>
      <c r="F430" s="45">
        <v>4.24</v>
      </c>
      <c r="G430" s="122">
        <f t="shared" si="40"/>
        <v>7.8518518518518529E-2</v>
      </c>
      <c r="H430" s="46" t="s">
        <v>248</v>
      </c>
      <c r="I430" s="3">
        <f>LEN(H430)</f>
        <v>170</v>
      </c>
    </row>
    <row r="431" spans="1:9" hidden="1" x14ac:dyDescent="0.25">
      <c r="A431" s="35" t="s">
        <v>136</v>
      </c>
      <c r="B431" s="1083"/>
      <c r="C431" s="1086"/>
      <c r="D431" s="1089"/>
      <c r="E431" s="69">
        <v>54</v>
      </c>
      <c r="F431" s="126">
        <f>+[2]GESTIÓN!U17</f>
        <v>4.8070000000000004</v>
      </c>
      <c r="G431" s="122">
        <f t="shared" si="40"/>
        <v>8.9018518518518525E-2</v>
      </c>
      <c r="H431" s="46" t="s">
        <v>252</v>
      </c>
      <c r="I431" s="3">
        <f t="shared" si="41"/>
        <v>200</v>
      </c>
    </row>
    <row r="432" spans="1:9" ht="15.75" hidden="1" thickBot="1" x14ac:dyDescent="0.3">
      <c r="A432" s="106" t="s">
        <v>137</v>
      </c>
      <c r="B432" s="1084"/>
      <c r="C432" s="1087"/>
      <c r="D432" s="1090"/>
      <c r="E432" s="70">
        <v>54</v>
      </c>
      <c r="F432" s="47">
        <f>+[2]GESTIÓN!W17</f>
        <v>5.24</v>
      </c>
      <c r="G432" s="128">
        <f t="shared" si="40"/>
        <v>9.7037037037037047E-2</v>
      </c>
      <c r="H432" s="119" t="s">
        <v>261</v>
      </c>
      <c r="I432" s="3">
        <f t="shared" si="41"/>
        <v>198</v>
      </c>
    </row>
    <row r="433" spans="1:9" hidden="1" x14ac:dyDescent="0.25">
      <c r="A433" s="57"/>
      <c r="B433" s="57"/>
      <c r="C433" s="57"/>
      <c r="D433" s="57"/>
      <c r="E433" s="57"/>
      <c r="F433" s="57"/>
      <c r="G433" s="57"/>
      <c r="H433" s="57"/>
    </row>
    <row r="434" spans="1:9" hidden="1" x14ac:dyDescent="0.25">
      <c r="A434" s="57"/>
      <c r="B434" s="57"/>
      <c r="C434" s="57"/>
      <c r="D434" s="57"/>
      <c r="E434" s="57"/>
      <c r="F434" s="57"/>
      <c r="G434" s="57"/>
      <c r="H434" s="57"/>
    </row>
    <row r="435" spans="1:9" ht="39" hidden="1" thickBot="1" x14ac:dyDescent="0.3">
      <c r="A435" s="62" t="s">
        <v>49</v>
      </c>
      <c r="B435" s="63" t="s">
        <v>196</v>
      </c>
      <c r="C435" s="80" t="s">
        <v>152</v>
      </c>
      <c r="D435" s="80" t="s">
        <v>153</v>
      </c>
      <c r="E435" s="80" t="s">
        <v>197</v>
      </c>
      <c r="F435" s="80" t="s">
        <v>198</v>
      </c>
      <c r="G435" s="80" t="s">
        <v>199</v>
      </c>
      <c r="H435" s="64" t="s">
        <v>185</v>
      </c>
    </row>
    <row r="436" spans="1:9" hidden="1" x14ac:dyDescent="0.25">
      <c r="A436" s="81" t="s">
        <v>132</v>
      </c>
      <c r="B436" s="1082" t="s">
        <v>245</v>
      </c>
      <c r="C436" s="1085" t="s">
        <v>246</v>
      </c>
      <c r="D436" s="1091">
        <v>33</v>
      </c>
      <c r="E436" s="83">
        <v>0.27</v>
      </c>
      <c r="F436" s="82"/>
      <c r="G436" s="82">
        <f t="shared" ref="G436:G441" si="42">F436/E436</f>
        <v>0</v>
      </c>
      <c r="H436" s="84"/>
      <c r="I436" s="3">
        <f t="shared" ref="I436:I441" si="43">LEN(H436)</f>
        <v>0</v>
      </c>
    </row>
    <row r="437" spans="1:9" hidden="1" x14ac:dyDescent="0.25">
      <c r="A437" s="35" t="s">
        <v>133</v>
      </c>
      <c r="B437" s="1083"/>
      <c r="C437" s="1086"/>
      <c r="D437" s="1092"/>
      <c r="E437" s="69">
        <v>0.27</v>
      </c>
      <c r="F437" s="45"/>
      <c r="G437" s="45">
        <f t="shared" si="42"/>
        <v>0</v>
      </c>
      <c r="H437" s="46"/>
      <c r="I437" s="3">
        <f t="shared" si="43"/>
        <v>0</v>
      </c>
    </row>
    <row r="438" spans="1:9" hidden="1" x14ac:dyDescent="0.25">
      <c r="A438" s="35" t="s">
        <v>134</v>
      </c>
      <c r="B438" s="1083"/>
      <c r="C438" s="1086"/>
      <c r="D438" s="1092"/>
      <c r="E438" s="69">
        <v>0.27</v>
      </c>
      <c r="F438" s="45"/>
      <c r="G438" s="45">
        <f t="shared" si="42"/>
        <v>0</v>
      </c>
      <c r="H438" s="46"/>
      <c r="I438" s="3">
        <f t="shared" si="43"/>
        <v>0</v>
      </c>
    </row>
    <row r="439" spans="1:9" hidden="1" x14ac:dyDescent="0.25">
      <c r="A439" s="35" t="s">
        <v>135</v>
      </c>
      <c r="B439" s="1083"/>
      <c r="C439" s="1086"/>
      <c r="D439" s="1092"/>
      <c r="E439" s="69">
        <v>0.27</v>
      </c>
      <c r="F439" s="45">
        <v>0.14000000000000001</v>
      </c>
      <c r="G439" s="122">
        <f t="shared" si="42"/>
        <v>0.51851851851851849</v>
      </c>
      <c r="H439" s="46" t="s">
        <v>247</v>
      </c>
      <c r="I439" s="3">
        <f>LEN(H439)</f>
        <v>193</v>
      </c>
    </row>
    <row r="440" spans="1:9" hidden="1" x14ac:dyDescent="0.25">
      <c r="A440" s="35" t="s">
        <v>136</v>
      </c>
      <c r="B440" s="1083"/>
      <c r="C440" s="1086"/>
      <c r="D440" s="1092"/>
      <c r="E440" s="69">
        <v>0.27</v>
      </c>
      <c r="F440" s="126">
        <f>+[2]GESTIÓN!U18</f>
        <v>0.2</v>
      </c>
      <c r="G440" s="122">
        <f t="shared" si="42"/>
        <v>0.7407407407407407</v>
      </c>
      <c r="H440" s="46" t="s">
        <v>253</v>
      </c>
      <c r="I440" s="3">
        <f t="shared" si="43"/>
        <v>154</v>
      </c>
    </row>
    <row r="441" spans="1:9" ht="15.75" hidden="1" thickBot="1" x14ac:dyDescent="0.3">
      <c r="A441" s="106" t="s">
        <v>137</v>
      </c>
      <c r="B441" s="1084"/>
      <c r="C441" s="1087"/>
      <c r="D441" s="1093"/>
      <c r="E441" s="127">
        <v>0.27</v>
      </c>
      <c r="F441" s="124">
        <v>0.26</v>
      </c>
      <c r="G441" s="125">
        <f t="shared" si="42"/>
        <v>0.96296296296296291</v>
      </c>
      <c r="H441" s="119" t="s">
        <v>267</v>
      </c>
      <c r="I441" s="3">
        <f t="shared" si="43"/>
        <v>148</v>
      </c>
    </row>
    <row r="442" spans="1:9" x14ac:dyDescent="0.25">
      <c r="A442" s="57"/>
      <c r="B442" s="100"/>
      <c r="C442" s="100"/>
      <c r="D442" s="172"/>
      <c r="E442" s="77"/>
      <c r="F442" s="57"/>
      <c r="G442" s="173"/>
      <c r="H442" s="57"/>
      <c r="I442" s="3"/>
    </row>
    <row r="443" spans="1:9" ht="15.75" thickBot="1" x14ac:dyDescent="0.3">
      <c r="A443" s="57"/>
      <c r="B443" s="100"/>
      <c r="C443" s="100"/>
      <c r="D443" s="172"/>
      <c r="E443" s="77"/>
      <c r="F443" s="57"/>
      <c r="G443" s="173"/>
      <c r="H443" s="57"/>
      <c r="I443" s="3"/>
    </row>
    <row r="444" spans="1:9" ht="21" thickBot="1" x14ac:dyDescent="0.35">
      <c r="A444" s="1094" t="s">
        <v>268</v>
      </c>
      <c r="B444" s="1095"/>
      <c r="C444" s="1095"/>
      <c r="D444" s="1095"/>
      <c r="E444" s="1095"/>
      <c r="F444" s="1095"/>
      <c r="G444" s="1095"/>
      <c r="H444" s="1096"/>
    </row>
    <row r="445" spans="1:9" ht="38.25" x14ac:dyDescent="0.25">
      <c r="A445" s="32" t="s">
        <v>50</v>
      </c>
      <c r="B445" s="59" t="s">
        <v>196</v>
      </c>
      <c r="C445" s="79" t="s">
        <v>152</v>
      </c>
      <c r="D445" s="79" t="s">
        <v>162</v>
      </c>
      <c r="E445" s="79" t="s">
        <v>284</v>
      </c>
      <c r="F445" s="79" t="s">
        <v>285</v>
      </c>
      <c r="G445" s="79" t="s">
        <v>286</v>
      </c>
      <c r="H445" s="61" t="s">
        <v>185</v>
      </c>
    </row>
    <row r="446" spans="1:9" x14ac:dyDescent="0.25">
      <c r="A446" s="180" t="s">
        <v>139</v>
      </c>
      <c r="B446" s="1156" t="s">
        <v>240</v>
      </c>
      <c r="C446" s="1097" t="s">
        <v>241</v>
      </c>
      <c r="D446" s="1157">
        <v>33</v>
      </c>
      <c r="E446" s="184">
        <v>56</v>
      </c>
      <c r="F446" s="185" t="e">
        <f>+#REF!</f>
        <v>#REF!</v>
      </c>
      <c r="G446" s="190" t="e">
        <f t="shared" ref="G446:G457" si="44">F446/E446</f>
        <v>#REF!</v>
      </c>
      <c r="H446" s="186"/>
      <c r="I446" s="3">
        <f t="shared" ref="I446:I457" si="45">LEN(H446)</f>
        <v>0</v>
      </c>
    </row>
    <row r="447" spans="1:9" x14ac:dyDescent="0.25">
      <c r="A447" s="133" t="s">
        <v>140</v>
      </c>
      <c r="B447" s="1083"/>
      <c r="C447" s="1086"/>
      <c r="D447" s="1092"/>
      <c r="E447" s="78">
        <v>56</v>
      </c>
      <c r="F447" s="45"/>
      <c r="G447" s="189">
        <f t="shared" si="44"/>
        <v>0</v>
      </c>
      <c r="H447" s="46"/>
      <c r="I447" s="3">
        <f t="shared" si="45"/>
        <v>0</v>
      </c>
    </row>
    <row r="448" spans="1:9" x14ac:dyDescent="0.25">
      <c r="A448" s="133" t="s">
        <v>141</v>
      </c>
      <c r="B448" s="1083"/>
      <c r="C448" s="1086"/>
      <c r="D448" s="1092"/>
      <c r="E448" s="78">
        <v>56</v>
      </c>
      <c r="F448" s="45"/>
      <c r="G448" s="189">
        <f t="shared" si="44"/>
        <v>0</v>
      </c>
      <c r="H448" s="46"/>
      <c r="I448" s="3">
        <f t="shared" si="45"/>
        <v>0</v>
      </c>
    </row>
    <row r="449" spans="1:9" x14ac:dyDescent="0.25">
      <c r="A449" s="133" t="s">
        <v>142</v>
      </c>
      <c r="B449" s="1083"/>
      <c r="C449" s="1086"/>
      <c r="D449" s="1092"/>
      <c r="E449" s="78">
        <v>56</v>
      </c>
      <c r="F449" s="45"/>
      <c r="G449" s="189">
        <f t="shared" si="44"/>
        <v>0</v>
      </c>
      <c r="H449" s="46"/>
      <c r="I449" s="3">
        <f t="shared" si="45"/>
        <v>0</v>
      </c>
    </row>
    <row r="450" spans="1:9" x14ac:dyDescent="0.25">
      <c r="A450" s="133" t="s">
        <v>143</v>
      </c>
      <c r="B450" s="1083"/>
      <c r="C450" s="1086"/>
      <c r="D450" s="1092"/>
      <c r="E450" s="78">
        <v>56</v>
      </c>
      <c r="F450" s="45"/>
      <c r="G450" s="189">
        <f t="shared" si="44"/>
        <v>0</v>
      </c>
      <c r="H450" s="46"/>
      <c r="I450" s="3">
        <f t="shared" si="45"/>
        <v>0</v>
      </c>
    </row>
    <row r="451" spans="1:9" x14ac:dyDescent="0.25">
      <c r="A451" s="133" t="s">
        <v>144</v>
      </c>
      <c r="B451" s="1083"/>
      <c r="C451" s="1086"/>
      <c r="D451" s="1092"/>
      <c r="E451" s="78">
        <v>56</v>
      </c>
      <c r="F451" s="45"/>
      <c r="G451" s="189">
        <f t="shared" si="44"/>
        <v>0</v>
      </c>
      <c r="H451" s="46"/>
      <c r="I451" s="3">
        <f t="shared" si="45"/>
        <v>0</v>
      </c>
    </row>
    <row r="452" spans="1:9" x14ac:dyDescent="0.25">
      <c r="A452" s="133" t="s">
        <v>132</v>
      </c>
      <c r="B452" s="1083"/>
      <c r="C452" s="1086"/>
      <c r="D452" s="1092"/>
      <c r="E452" s="78">
        <v>56</v>
      </c>
      <c r="F452" s="45"/>
      <c r="G452" s="189">
        <f t="shared" si="44"/>
        <v>0</v>
      </c>
      <c r="H452" s="46"/>
      <c r="I452" s="3">
        <f t="shared" si="45"/>
        <v>0</v>
      </c>
    </row>
    <row r="453" spans="1:9" x14ac:dyDescent="0.25">
      <c r="A453" s="35" t="s">
        <v>133</v>
      </c>
      <c r="B453" s="1083"/>
      <c r="C453" s="1086"/>
      <c r="D453" s="1092"/>
      <c r="E453" s="78">
        <v>56</v>
      </c>
      <c r="F453" s="45"/>
      <c r="G453" s="189">
        <f t="shared" si="44"/>
        <v>0</v>
      </c>
      <c r="H453" s="46"/>
      <c r="I453" s="3">
        <f t="shared" si="45"/>
        <v>0</v>
      </c>
    </row>
    <row r="454" spans="1:9" x14ac:dyDescent="0.25">
      <c r="A454" s="35" t="s">
        <v>134</v>
      </c>
      <c r="B454" s="1083"/>
      <c r="C454" s="1086"/>
      <c r="D454" s="1092"/>
      <c r="E454" s="78">
        <v>56</v>
      </c>
      <c r="F454" s="45"/>
      <c r="G454" s="189">
        <f t="shared" si="44"/>
        <v>0</v>
      </c>
      <c r="H454" s="46"/>
      <c r="I454" s="3">
        <f t="shared" si="45"/>
        <v>0</v>
      </c>
    </row>
    <row r="455" spans="1:9" x14ac:dyDescent="0.25">
      <c r="A455" s="35" t="s">
        <v>135</v>
      </c>
      <c r="B455" s="1083"/>
      <c r="C455" s="1086"/>
      <c r="D455" s="1092"/>
      <c r="E455" s="78">
        <v>56</v>
      </c>
      <c r="F455" s="45"/>
      <c r="G455" s="189">
        <f t="shared" si="44"/>
        <v>0</v>
      </c>
      <c r="H455" s="46"/>
      <c r="I455" s="3">
        <f t="shared" si="45"/>
        <v>0</v>
      </c>
    </row>
    <row r="456" spans="1:9" x14ac:dyDescent="0.25">
      <c r="A456" s="35" t="s">
        <v>136</v>
      </c>
      <c r="B456" s="1083"/>
      <c r="C456" s="1086"/>
      <c r="D456" s="1092"/>
      <c r="E456" s="78">
        <v>56</v>
      </c>
      <c r="F456" s="45"/>
      <c r="G456" s="189">
        <f t="shared" si="44"/>
        <v>0</v>
      </c>
      <c r="H456" s="46"/>
      <c r="I456" s="3">
        <f t="shared" si="45"/>
        <v>0</v>
      </c>
    </row>
    <row r="457" spans="1:9" ht="15.75" thickBot="1" x14ac:dyDescent="0.3">
      <c r="A457" s="150" t="s">
        <v>137</v>
      </c>
      <c r="B457" s="1084"/>
      <c r="C457" s="1087"/>
      <c r="D457" s="1093"/>
      <c r="E457" s="187">
        <v>56</v>
      </c>
      <c r="F457" s="47"/>
      <c r="G457" s="191">
        <f t="shared" si="44"/>
        <v>0</v>
      </c>
      <c r="H457" s="168"/>
      <c r="I457" s="3">
        <f t="shared" si="45"/>
        <v>0</v>
      </c>
    </row>
    <row r="458" spans="1:9" x14ac:dyDescent="0.25">
      <c r="A458" s="57"/>
      <c r="B458" s="100"/>
      <c r="C458" s="77"/>
      <c r="D458" s="57"/>
      <c r="E458" s="57"/>
      <c r="F458" s="57"/>
      <c r="G458" s="57"/>
      <c r="H458" s="57"/>
    </row>
    <row r="459" spans="1:9" ht="15.75" thickBot="1" x14ac:dyDescent="0.3">
      <c r="A459" s="57"/>
      <c r="B459" s="57"/>
      <c r="C459" s="57"/>
      <c r="D459" s="57"/>
      <c r="E459" s="57"/>
      <c r="F459" s="57"/>
      <c r="G459" s="57"/>
      <c r="H459" s="57"/>
    </row>
    <row r="460" spans="1:9" ht="38.25" x14ac:dyDescent="0.25">
      <c r="A460" s="58" t="s">
        <v>50</v>
      </c>
      <c r="B460" s="59" t="s">
        <v>196</v>
      </c>
      <c r="C460" s="79" t="s">
        <v>152</v>
      </c>
      <c r="D460" s="79" t="s">
        <v>162</v>
      </c>
      <c r="E460" s="79" t="s">
        <v>284</v>
      </c>
      <c r="F460" s="79" t="s">
        <v>285</v>
      </c>
      <c r="G460" s="79" t="s">
        <v>286</v>
      </c>
      <c r="H460" s="61" t="s">
        <v>185</v>
      </c>
    </row>
    <row r="461" spans="1:9" x14ac:dyDescent="0.25">
      <c r="A461" s="155" t="s">
        <v>139</v>
      </c>
      <c r="B461" s="1150" t="s">
        <v>242</v>
      </c>
      <c r="C461" s="1152" t="s">
        <v>243</v>
      </c>
      <c r="D461" s="1154">
        <v>34</v>
      </c>
      <c r="E461" s="188">
        <v>50</v>
      </c>
      <c r="F461" s="185" t="e">
        <f>+#REF!</f>
        <v>#REF!</v>
      </c>
      <c r="G461" s="190" t="e">
        <f t="shared" ref="G461:G472" si="46">F461/E461</f>
        <v>#REF!</v>
      </c>
      <c r="H461" s="186"/>
      <c r="I461" s="3">
        <f t="shared" ref="I461:I472" si="47">LEN(H461)</f>
        <v>0</v>
      </c>
    </row>
    <row r="462" spans="1:9" x14ac:dyDescent="0.25">
      <c r="A462" s="35" t="s">
        <v>140</v>
      </c>
      <c r="B462" s="1150"/>
      <c r="C462" s="1152"/>
      <c r="D462" s="1154"/>
      <c r="E462" s="69">
        <v>50</v>
      </c>
      <c r="F462" s="45"/>
      <c r="G462" s="192">
        <f t="shared" si="46"/>
        <v>0</v>
      </c>
      <c r="H462" s="46"/>
      <c r="I462" s="3">
        <f t="shared" si="47"/>
        <v>0</v>
      </c>
    </row>
    <row r="463" spans="1:9" x14ac:dyDescent="0.25">
      <c r="A463" s="35" t="s">
        <v>141</v>
      </c>
      <c r="B463" s="1150"/>
      <c r="C463" s="1152"/>
      <c r="D463" s="1154"/>
      <c r="E463" s="69">
        <v>50</v>
      </c>
      <c r="F463" s="45"/>
      <c r="G463" s="192">
        <f t="shared" si="46"/>
        <v>0</v>
      </c>
      <c r="H463" s="46"/>
      <c r="I463" s="3">
        <f t="shared" si="47"/>
        <v>0</v>
      </c>
    </row>
    <row r="464" spans="1:9" x14ac:dyDescent="0.25">
      <c r="A464" s="35" t="s">
        <v>142</v>
      </c>
      <c r="B464" s="1150"/>
      <c r="C464" s="1152"/>
      <c r="D464" s="1154"/>
      <c r="E464" s="69">
        <v>50</v>
      </c>
      <c r="F464" s="45"/>
      <c r="G464" s="192">
        <f t="shared" si="46"/>
        <v>0</v>
      </c>
      <c r="H464" s="46"/>
      <c r="I464" s="3">
        <f t="shared" si="47"/>
        <v>0</v>
      </c>
    </row>
    <row r="465" spans="1:9" x14ac:dyDescent="0.25">
      <c r="A465" s="35" t="s">
        <v>143</v>
      </c>
      <c r="B465" s="1150"/>
      <c r="C465" s="1152"/>
      <c r="D465" s="1154"/>
      <c r="E465" s="69">
        <v>50</v>
      </c>
      <c r="F465" s="45"/>
      <c r="G465" s="192">
        <f t="shared" si="46"/>
        <v>0</v>
      </c>
      <c r="H465" s="46"/>
      <c r="I465" s="3">
        <f t="shared" si="47"/>
        <v>0</v>
      </c>
    </row>
    <row r="466" spans="1:9" x14ac:dyDescent="0.25">
      <c r="A466" s="35" t="s">
        <v>144</v>
      </c>
      <c r="B466" s="1150"/>
      <c r="C466" s="1152"/>
      <c r="D466" s="1154"/>
      <c r="E466" s="69">
        <v>50</v>
      </c>
      <c r="F466" s="45"/>
      <c r="G466" s="192">
        <f t="shared" si="46"/>
        <v>0</v>
      </c>
      <c r="H466" s="46"/>
      <c r="I466" s="3">
        <f t="shared" si="47"/>
        <v>0</v>
      </c>
    </row>
    <row r="467" spans="1:9" x14ac:dyDescent="0.25">
      <c r="A467" s="35" t="s">
        <v>132</v>
      </c>
      <c r="B467" s="1150"/>
      <c r="C467" s="1152"/>
      <c r="D467" s="1154"/>
      <c r="E467" s="69">
        <v>50</v>
      </c>
      <c r="F467" s="45"/>
      <c r="G467" s="192">
        <f t="shared" si="46"/>
        <v>0</v>
      </c>
      <c r="H467" s="46"/>
      <c r="I467" s="3">
        <f t="shared" si="47"/>
        <v>0</v>
      </c>
    </row>
    <row r="468" spans="1:9" x14ac:dyDescent="0.25">
      <c r="A468" s="35" t="s">
        <v>133</v>
      </c>
      <c r="B468" s="1150"/>
      <c r="C468" s="1152"/>
      <c r="D468" s="1154"/>
      <c r="E468" s="69">
        <v>50</v>
      </c>
      <c r="F468" s="45"/>
      <c r="G468" s="192">
        <f t="shared" si="46"/>
        <v>0</v>
      </c>
      <c r="H468" s="46"/>
      <c r="I468" s="3">
        <f t="shared" si="47"/>
        <v>0</v>
      </c>
    </row>
    <row r="469" spans="1:9" x14ac:dyDescent="0.25">
      <c r="A469" s="35" t="s">
        <v>134</v>
      </c>
      <c r="B469" s="1150"/>
      <c r="C469" s="1152"/>
      <c r="D469" s="1154"/>
      <c r="E469" s="69">
        <v>50</v>
      </c>
      <c r="F469" s="45"/>
      <c r="G469" s="192">
        <f t="shared" si="46"/>
        <v>0</v>
      </c>
      <c r="H469" s="46"/>
      <c r="I469" s="3">
        <f t="shared" si="47"/>
        <v>0</v>
      </c>
    </row>
    <row r="470" spans="1:9" x14ac:dyDescent="0.25">
      <c r="A470" s="35" t="s">
        <v>135</v>
      </c>
      <c r="B470" s="1150"/>
      <c r="C470" s="1152"/>
      <c r="D470" s="1154"/>
      <c r="E470" s="69">
        <v>50</v>
      </c>
      <c r="F470" s="45"/>
      <c r="G470" s="192">
        <f t="shared" si="46"/>
        <v>0</v>
      </c>
      <c r="H470" s="46"/>
      <c r="I470" s="3">
        <f t="shared" si="47"/>
        <v>0</v>
      </c>
    </row>
    <row r="471" spans="1:9" x14ac:dyDescent="0.25">
      <c r="A471" s="35" t="s">
        <v>136</v>
      </c>
      <c r="B471" s="1150"/>
      <c r="C471" s="1152"/>
      <c r="D471" s="1154"/>
      <c r="E471" s="69">
        <v>50</v>
      </c>
      <c r="F471" s="45"/>
      <c r="G471" s="192">
        <f t="shared" si="46"/>
        <v>0</v>
      </c>
      <c r="H471" s="46"/>
      <c r="I471" s="3">
        <f t="shared" si="47"/>
        <v>0</v>
      </c>
    </row>
    <row r="472" spans="1:9" ht="15.75" thickBot="1" x14ac:dyDescent="0.3">
      <c r="A472" s="150" t="s">
        <v>137</v>
      </c>
      <c r="B472" s="1151"/>
      <c r="C472" s="1153"/>
      <c r="D472" s="1155"/>
      <c r="E472" s="70">
        <v>50</v>
      </c>
      <c r="F472" s="47"/>
      <c r="G472" s="193">
        <f t="shared" si="46"/>
        <v>0</v>
      </c>
      <c r="H472" s="168"/>
      <c r="I472" s="3">
        <f t="shared" si="47"/>
        <v>0</v>
      </c>
    </row>
    <row r="473" spans="1:9" x14ac:dyDescent="0.25">
      <c r="A473" s="57"/>
      <c r="B473" s="57"/>
      <c r="C473" s="57"/>
      <c r="D473" s="57"/>
      <c r="E473" s="57"/>
      <c r="F473" s="57"/>
      <c r="G473" s="57"/>
      <c r="H473" s="57"/>
    </row>
    <row r="474" spans="1:9" ht="15.75" thickBot="1" x14ac:dyDescent="0.3">
      <c r="A474" s="57"/>
      <c r="B474" s="57"/>
      <c r="C474" s="57"/>
      <c r="D474" s="57"/>
      <c r="E474" s="57"/>
      <c r="F474" s="57"/>
      <c r="G474" s="57"/>
      <c r="H474" s="57"/>
    </row>
    <row r="475" spans="1:9" ht="38.25" x14ac:dyDescent="0.25">
      <c r="A475" s="58" t="s">
        <v>50</v>
      </c>
      <c r="B475" s="59" t="s">
        <v>196</v>
      </c>
      <c r="C475" s="79" t="s">
        <v>152</v>
      </c>
      <c r="D475" s="79" t="s">
        <v>162</v>
      </c>
      <c r="E475" s="79" t="s">
        <v>284</v>
      </c>
      <c r="F475" s="79" t="s">
        <v>285</v>
      </c>
      <c r="G475" s="79" t="s">
        <v>286</v>
      </c>
      <c r="H475" s="61" t="s">
        <v>185</v>
      </c>
    </row>
    <row r="476" spans="1:9" x14ac:dyDescent="0.25">
      <c r="A476" s="155" t="s">
        <v>139</v>
      </c>
      <c r="B476" s="1150"/>
      <c r="C476" s="1152" t="s">
        <v>243</v>
      </c>
      <c r="D476" s="1158"/>
      <c r="E476" s="188">
        <v>590</v>
      </c>
      <c r="F476" s="185" t="e">
        <f>+#REF!</f>
        <v>#REF!</v>
      </c>
      <c r="G476" s="190" t="e">
        <f t="shared" ref="G476:G487" si="48">F476/E476</f>
        <v>#REF!</v>
      </c>
      <c r="H476" s="186"/>
      <c r="I476" s="3">
        <f t="shared" ref="I476:I487" si="49">LEN(H476)</f>
        <v>0</v>
      </c>
    </row>
    <row r="477" spans="1:9" x14ac:dyDescent="0.25">
      <c r="A477" s="35" t="s">
        <v>140</v>
      </c>
      <c r="B477" s="1150"/>
      <c r="C477" s="1152"/>
      <c r="D477" s="1158"/>
      <c r="E477" s="69">
        <v>590</v>
      </c>
      <c r="F477" s="45"/>
      <c r="G477" s="189">
        <f t="shared" si="48"/>
        <v>0</v>
      </c>
      <c r="H477" s="46"/>
      <c r="I477" s="3">
        <f t="shared" si="49"/>
        <v>0</v>
      </c>
    </row>
    <row r="478" spans="1:9" x14ac:dyDescent="0.25">
      <c r="A478" s="35" t="s">
        <v>141</v>
      </c>
      <c r="B478" s="1150"/>
      <c r="C478" s="1152"/>
      <c r="D478" s="1158"/>
      <c r="E478" s="69">
        <v>590</v>
      </c>
      <c r="F478" s="45"/>
      <c r="G478" s="189">
        <f t="shared" si="48"/>
        <v>0</v>
      </c>
      <c r="H478" s="46"/>
      <c r="I478" s="3">
        <f t="shared" si="49"/>
        <v>0</v>
      </c>
    </row>
    <row r="479" spans="1:9" x14ac:dyDescent="0.25">
      <c r="A479" s="35" t="s">
        <v>142</v>
      </c>
      <c r="B479" s="1150"/>
      <c r="C479" s="1152"/>
      <c r="D479" s="1158"/>
      <c r="E479" s="69">
        <v>590</v>
      </c>
      <c r="F479" s="45"/>
      <c r="G479" s="189">
        <f t="shared" si="48"/>
        <v>0</v>
      </c>
      <c r="H479" s="46"/>
      <c r="I479" s="3">
        <f t="shared" si="49"/>
        <v>0</v>
      </c>
    </row>
    <row r="480" spans="1:9" x14ac:dyDescent="0.25">
      <c r="A480" s="35" t="s">
        <v>143</v>
      </c>
      <c r="B480" s="1150"/>
      <c r="C480" s="1152"/>
      <c r="D480" s="1158"/>
      <c r="E480" s="69">
        <v>590</v>
      </c>
      <c r="F480" s="45"/>
      <c r="G480" s="189">
        <f t="shared" si="48"/>
        <v>0</v>
      </c>
      <c r="H480" s="46"/>
      <c r="I480" s="3">
        <f t="shared" si="49"/>
        <v>0</v>
      </c>
    </row>
    <row r="481" spans="1:9" x14ac:dyDescent="0.25">
      <c r="A481" s="35" t="s">
        <v>144</v>
      </c>
      <c r="B481" s="1150"/>
      <c r="C481" s="1152"/>
      <c r="D481" s="1158"/>
      <c r="E481" s="69">
        <v>590</v>
      </c>
      <c r="F481" s="45"/>
      <c r="G481" s="189">
        <f t="shared" si="48"/>
        <v>0</v>
      </c>
      <c r="H481" s="46"/>
      <c r="I481" s="3">
        <f t="shared" si="49"/>
        <v>0</v>
      </c>
    </row>
    <row r="482" spans="1:9" x14ac:dyDescent="0.25">
      <c r="A482" s="35" t="s">
        <v>132</v>
      </c>
      <c r="B482" s="1150"/>
      <c r="C482" s="1152"/>
      <c r="D482" s="1158"/>
      <c r="E482" s="69">
        <v>590</v>
      </c>
      <c r="F482" s="45"/>
      <c r="G482" s="189">
        <f t="shared" si="48"/>
        <v>0</v>
      </c>
      <c r="H482" s="46"/>
      <c r="I482" s="3">
        <f t="shared" si="49"/>
        <v>0</v>
      </c>
    </row>
    <row r="483" spans="1:9" x14ac:dyDescent="0.25">
      <c r="A483" s="35" t="s">
        <v>133</v>
      </c>
      <c r="B483" s="1150"/>
      <c r="C483" s="1152"/>
      <c r="D483" s="1158"/>
      <c r="E483" s="69">
        <v>590</v>
      </c>
      <c r="F483" s="45"/>
      <c r="G483" s="189">
        <f t="shared" si="48"/>
        <v>0</v>
      </c>
      <c r="H483" s="46"/>
      <c r="I483" s="3">
        <f t="shared" si="49"/>
        <v>0</v>
      </c>
    </row>
    <row r="484" spans="1:9" x14ac:dyDescent="0.25">
      <c r="A484" s="35" t="s">
        <v>134</v>
      </c>
      <c r="B484" s="1150"/>
      <c r="C484" s="1152"/>
      <c r="D484" s="1158"/>
      <c r="E484" s="69">
        <v>590</v>
      </c>
      <c r="F484" s="45"/>
      <c r="G484" s="189">
        <f t="shared" si="48"/>
        <v>0</v>
      </c>
      <c r="H484" s="46"/>
      <c r="I484" s="3">
        <f t="shared" si="49"/>
        <v>0</v>
      </c>
    </row>
    <row r="485" spans="1:9" x14ac:dyDescent="0.25">
      <c r="A485" s="35" t="s">
        <v>135</v>
      </c>
      <c r="B485" s="1150"/>
      <c r="C485" s="1152"/>
      <c r="D485" s="1158"/>
      <c r="E485" s="69">
        <v>590</v>
      </c>
      <c r="F485" s="45"/>
      <c r="G485" s="189">
        <f t="shared" si="48"/>
        <v>0</v>
      </c>
      <c r="H485" s="46"/>
      <c r="I485" s="3">
        <f t="shared" si="49"/>
        <v>0</v>
      </c>
    </row>
    <row r="486" spans="1:9" x14ac:dyDescent="0.25">
      <c r="A486" s="35" t="s">
        <v>136</v>
      </c>
      <c r="B486" s="1150"/>
      <c r="C486" s="1152"/>
      <c r="D486" s="1158"/>
      <c r="E486" s="69">
        <v>590</v>
      </c>
      <c r="F486" s="126"/>
      <c r="G486" s="189">
        <f t="shared" si="48"/>
        <v>0</v>
      </c>
      <c r="H486" s="46"/>
      <c r="I486" s="3">
        <f t="shared" si="49"/>
        <v>0</v>
      </c>
    </row>
    <row r="487" spans="1:9" ht="15.75" thickBot="1" x14ac:dyDescent="0.3">
      <c r="A487" s="150" t="s">
        <v>137</v>
      </c>
      <c r="B487" s="1151"/>
      <c r="C487" s="1153"/>
      <c r="D487" s="1159"/>
      <c r="E487" s="70">
        <v>590</v>
      </c>
      <c r="F487" s="47"/>
      <c r="G487" s="191">
        <f t="shared" si="48"/>
        <v>0</v>
      </c>
      <c r="H487" s="168"/>
      <c r="I487" s="3">
        <f t="shared" si="49"/>
        <v>0</v>
      </c>
    </row>
    <row r="488" spans="1:9" x14ac:dyDescent="0.25">
      <c r="A488" s="57"/>
      <c r="B488" s="57"/>
      <c r="C488" s="57"/>
      <c r="D488" s="57"/>
      <c r="E488" s="57"/>
      <c r="F488" s="57"/>
      <c r="G488" s="57"/>
      <c r="H488" s="57"/>
    </row>
    <row r="489" spans="1:9" ht="15.75" thickBot="1" x14ac:dyDescent="0.3">
      <c r="A489" s="57"/>
      <c r="B489" s="57"/>
      <c r="C489" s="57"/>
      <c r="D489" s="57"/>
      <c r="E489" s="57"/>
      <c r="F489" s="57"/>
      <c r="G489" s="57"/>
      <c r="H489" s="57"/>
    </row>
    <row r="490" spans="1:9" ht="38.25" x14ac:dyDescent="0.25">
      <c r="A490" s="58" t="s">
        <v>50</v>
      </c>
      <c r="B490" s="59" t="s">
        <v>196</v>
      </c>
      <c r="C490" s="79" t="s">
        <v>152</v>
      </c>
      <c r="D490" s="79" t="s">
        <v>162</v>
      </c>
      <c r="E490" s="79" t="s">
        <v>284</v>
      </c>
      <c r="F490" s="79" t="s">
        <v>285</v>
      </c>
      <c r="G490" s="79" t="s">
        <v>286</v>
      </c>
      <c r="H490" s="61" t="s">
        <v>185</v>
      </c>
    </row>
    <row r="491" spans="1:9" x14ac:dyDescent="0.25">
      <c r="A491" s="155" t="s">
        <v>139</v>
      </c>
      <c r="B491" s="1150" t="s">
        <v>245</v>
      </c>
      <c r="C491" s="1152" t="s">
        <v>246</v>
      </c>
      <c r="D491" s="1154">
        <v>33</v>
      </c>
      <c r="E491" s="188">
        <v>0.73</v>
      </c>
      <c r="F491" s="185" t="e">
        <f>+#REF!</f>
        <v>#REF!</v>
      </c>
      <c r="G491" s="190" t="e">
        <f t="shared" ref="G491:G502" si="50">F491/E491</f>
        <v>#REF!</v>
      </c>
      <c r="H491" s="186"/>
      <c r="I491" s="3">
        <f t="shared" ref="I491:I502" si="51">LEN(H491)</f>
        <v>0</v>
      </c>
    </row>
    <row r="492" spans="1:9" x14ac:dyDescent="0.25">
      <c r="A492" s="35" t="s">
        <v>140</v>
      </c>
      <c r="B492" s="1150"/>
      <c r="C492" s="1152"/>
      <c r="D492" s="1154"/>
      <c r="E492" s="69">
        <v>0.73</v>
      </c>
      <c r="F492" s="45"/>
      <c r="G492" s="192">
        <f t="shared" si="50"/>
        <v>0</v>
      </c>
      <c r="H492" s="46"/>
      <c r="I492" s="3">
        <f t="shared" si="51"/>
        <v>0</v>
      </c>
    </row>
    <row r="493" spans="1:9" x14ac:dyDescent="0.25">
      <c r="A493" s="35" t="s">
        <v>141</v>
      </c>
      <c r="B493" s="1150"/>
      <c r="C493" s="1152"/>
      <c r="D493" s="1154"/>
      <c r="E493" s="69">
        <v>0.73</v>
      </c>
      <c r="F493" s="45"/>
      <c r="G493" s="192">
        <f t="shared" si="50"/>
        <v>0</v>
      </c>
      <c r="H493" s="46"/>
      <c r="I493" s="3">
        <f t="shared" si="51"/>
        <v>0</v>
      </c>
    </row>
    <row r="494" spans="1:9" x14ac:dyDescent="0.25">
      <c r="A494" s="35" t="s">
        <v>142</v>
      </c>
      <c r="B494" s="1150"/>
      <c r="C494" s="1152"/>
      <c r="D494" s="1154"/>
      <c r="E494" s="69">
        <v>0.73</v>
      </c>
      <c r="F494" s="45"/>
      <c r="G494" s="192">
        <f t="shared" si="50"/>
        <v>0</v>
      </c>
      <c r="H494" s="46"/>
      <c r="I494" s="3">
        <f t="shared" si="51"/>
        <v>0</v>
      </c>
    </row>
    <row r="495" spans="1:9" x14ac:dyDescent="0.25">
      <c r="A495" s="35" t="s">
        <v>143</v>
      </c>
      <c r="B495" s="1150"/>
      <c r="C495" s="1152"/>
      <c r="D495" s="1154"/>
      <c r="E495" s="69">
        <v>0.73</v>
      </c>
      <c r="F495" s="45"/>
      <c r="G495" s="192">
        <f t="shared" si="50"/>
        <v>0</v>
      </c>
      <c r="H495" s="46"/>
      <c r="I495" s="3">
        <f t="shared" si="51"/>
        <v>0</v>
      </c>
    </row>
    <row r="496" spans="1:9" x14ac:dyDescent="0.25">
      <c r="A496" s="35" t="s">
        <v>144</v>
      </c>
      <c r="B496" s="1150"/>
      <c r="C496" s="1152"/>
      <c r="D496" s="1154"/>
      <c r="E496" s="69">
        <v>0.73</v>
      </c>
      <c r="F496" s="45"/>
      <c r="G496" s="192">
        <f t="shared" si="50"/>
        <v>0</v>
      </c>
      <c r="H496" s="46"/>
      <c r="I496" s="3">
        <f t="shared" si="51"/>
        <v>0</v>
      </c>
    </row>
    <row r="497" spans="1:9" x14ac:dyDescent="0.25">
      <c r="A497" s="35" t="s">
        <v>132</v>
      </c>
      <c r="B497" s="1150"/>
      <c r="C497" s="1152"/>
      <c r="D497" s="1154"/>
      <c r="E497" s="69">
        <v>0.73</v>
      </c>
      <c r="F497" s="45"/>
      <c r="G497" s="192">
        <f t="shared" si="50"/>
        <v>0</v>
      </c>
      <c r="H497" s="46"/>
      <c r="I497" s="3">
        <f t="shared" si="51"/>
        <v>0</v>
      </c>
    </row>
    <row r="498" spans="1:9" x14ac:dyDescent="0.25">
      <c r="A498" s="35" t="s">
        <v>133</v>
      </c>
      <c r="B498" s="1150"/>
      <c r="C498" s="1152"/>
      <c r="D498" s="1154"/>
      <c r="E498" s="69">
        <v>0.73</v>
      </c>
      <c r="F498" s="45"/>
      <c r="G498" s="192">
        <f t="shared" si="50"/>
        <v>0</v>
      </c>
      <c r="H498" s="46"/>
      <c r="I498" s="3">
        <f t="shared" si="51"/>
        <v>0</v>
      </c>
    </row>
    <row r="499" spans="1:9" x14ac:dyDescent="0.25">
      <c r="A499" s="35" t="s">
        <v>134</v>
      </c>
      <c r="B499" s="1150"/>
      <c r="C499" s="1152"/>
      <c r="D499" s="1154"/>
      <c r="E499" s="69">
        <v>0.73</v>
      </c>
      <c r="F499" s="45"/>
      <c r="G499" s="192">
        <f t="shared" si="50"/>
        <v>0</v>
      </c>
      <c r="H499" s="46"/>
      <c r="I499" s="3">
        <f t="shared" si="51"/>
        <v>0</v>
      </c>
    </row>
    <row r="500" spans="1:9" x14ac:dyDescent="0.25">
      <c r="A500" s="35" t="s">
        <v>135</v>
      </c>
      <c r="B500" s="1150"/>
      <c r="C500" s="1152"/>
      <c r="D500" s="1154"/>
      <c r="E500" s="69">
        <v>0.73</v>
      </c>
      <c r="F500" s="45"/>
      <c r="G500" s="192">
        <f t="shared" si="50"/>
        <v>0</v>
      </c>
      <c r="H500" s="46"/>
      <c r="I500" s="3">
        <f t="shared" si="51"/>
        <v>0</v>
      </c>
    </row>
    <row r="501" spans="1:9" x14ac:dyDescent="0.25">
      <c r="A501" s="35" t="s">
        <v>136</v>
      </c>
      <c r="B501" s="1150"/>
      <c r="C501" s="1152"/>
      <c r="D501" s="1154"/>
      <c r="E501" s="69">
        <v>0.73</v>
      </c>
      <c r="F501" s="126"/>
      <c r="G501" s="192">
        <f t="shared" si="50"/>
        <v>0</v>
      </c>
      <c r="H501" s="46"/>
      <c r="I501" s="3">
        <f t="shared" si="51"/>
        <v>0</v>
      </c>
    </row>
    <row r="502" spans="1:9" ht="15.75" thickBot="1" x14ac:dyDescent="0.3">
      <c r="A502" s="150" t="s">
        <v>137</v>
      </c>
      <c r="B502" s="1151"/>
      <c r="C502" s="1153"/>
      <c r="D502" s="1155"/>
      <c r="E502" s="70">
        <v>0.73</v>
      </c>
      <c r="F502" s="47"/>
      <c r="G502" s="193">
        <f t="shared" si="50"/>
        <v>0</v>
      </c>
      <c r="H502" s="168"/>
      <c r="I502" s="3">
        <f t="shared" si="51"/>
        <v>0</v>
      </c>
    </row>
    <row r="503" spans="1:9" x14ac:dyDescent="0.25">
      <c r="A503" s="57"/>
      <c r="B503" s="100"/>
      <c r="C503" s="100"/>
      <c r="D503" s="172"/>
      <c r="E503" s="77"/>
      <c r="F503" s="57"/>
      <c r="G503" s="173"/>
      <c r="H503" s="57"/>
      <c r="I503" s="3"/>
    </row>
    <row r="505" spans="1:9" ht="20.25" hidden="1" x14ac:dyDescent="0.3">
      <c r="A505" s="1041" t="s">
        <v>200</v>
      </c>
      <c r="B505" s="1042"/>
      <c r="C505" s="1042"/>
      <c r="D505" s="1042"/>
      <c r="E505" s="1042"/>
      <c r="F505" s="1042"/>
      <c r="G505" s="1042"/>
      <c r="H505" s="1043"/>
    </row>
    <row r="506" spans="1:9" ht="38.25" hidden="1" x14ac:dyDescent="0.25">
      <c r="A506" s="32" t="s">
        <v>62</v>
      </c>
      <c r="B506" s="33" t="s">
        <v>196</v>
      </c>
      <c r="C506" s="53" t="s">
        <v>152</v>
      </c>
      <c r="D506" s="53" t="s">
        <v>167</v>
      </c>
      <c r="E506" s="53" t="s">
        <v>201</v>
      </c>
      <c r="F506" s="53" t="s">
        <v>202</v>
      </c>
      <c r="G506" s="53" t="s">
        <v>203</v>
      </c>
      <c r="H506" s="34" t="s">
        <v>185</v>
      </c>
    </row>
    <row r="507" spans="1:9" hidden="1" x14ac:dyDescent="0.25">
      <c r="A507" s="39" t="s">
        <v>139</v>
      </c>
      <c r="B507" s="36"/>
      <c r="C507" s="36"/>
      <c r="D507" s="36"/>
      <c r="E507" s="36"/>
      <c r="F507" s="36"/>
      <c r="G507" s="36" t="e">
        <f>F507/E507</f>
        <v>#DIV/0!</v>
      </c>
      <c r="H507" s="37"/>
    </row>
    <row r="508" spans="1:9" hidden="1" x14ac:dyDescent="0.25">
      <c r="A508" s="39" t="s">
        <v>140</v>
      </c>
      <c r="B508" s="36"/>
      <c r="C508" s="36"/>
      <c r="D508" s="36"/>
      <c r="E508" s="36"/>
      <c r="F508" s="36"/>
      <c r="G508" s="36" t="e">
        <f t="shared" ref="G508:G518" si="52">F508/E508</f>
        <v>#DIV/0!</v>
      </c>
      <c r="H508" s="37"/>
    </row>
    <row r="509" spans="1:9" hidden="1" x14ac:dyDescent="0.25">
      <c r="A509" s="39" t="s">
        <v>141</v>
      </c>
      <c r="B509" s="36"/>
      <c r="C509" s="36"/>
      <c r="D509" s="36"/>
      <c r="E509" s="36"/>
      <c r="F509" s="36"/>
      <c r="G509" s="36" t="e">
        <f t="shared" si="52"/>
        <v>#DIV/0!</v>
      </c>
      <c r="H509" s="37"/>
    </row>
    <row r="510" spans="1:9" hidden="1" x14ac:dyDescent="0.25">
      <c r="A510" s="39" t="s">
        <v>142</v>
      </c>
      <c r="B510" s="36"/>
      <c r="C510" s="36"/>
      <c r="D510" s="36"/>
      <c r="E510" s="36"/>
      <c r="F510" s="36"/>
      <c r="G510" s="36" t="e">
        <f t="shared" si="52"/>
        <v>#DIV/0!</v>
      </c>
      <c r="H510" s="37"/>
    </row>
    <row r="511" spans="1:9" hidden="1" x14ac:dyDescent="0.25">
      <c r="A511" s="39" t="s">
        <v>143</v>
      </c>
      <c r="B511" s="36"/>
      <c r="C511" s="36"/>
      <c r="D511" s="36"/>
      <c r="E511" s="36"/>
      <c r="F511" s="36"/>
      <c r="G511" s="36" t="e">
        <f t="shared" si="52"/>
        <v>#DIV/0!</v>
      </c>
      <c r="H511" s="37"/>
    </row>
    <row r="512" spans="1:9" hidden="1" x14ac:dyDescent="0.25">
      <c r="A512" s="39" t="s">
        <v>144</v>
      </c>
      <c r="B512" s="36"/>
      <c r="C512" s="36"/>
      <c r="D512" s="36"/>
      <c r="E512" s="36"/>
      <c r="F512" s="36"/>
      <c r="G512" s="36" t="e">
        <f t="shared" si="52"/>
        <v>#DIV/0!</v>
      </c>
      <c r="H512" s="37"/>
    </row>
    <row r="513" spans="1:8" hidden="1" x14ac:dyDescent="0.25">
      <c r="A513" s="39" t="s">
        <v>132</v>
      </c>
      <c r="B513" s="36"/>
      <c r="C513" s="36"/>
      <c r="D513" s="36"/>
      <c r="E513" s="36"/>
      <c r="F513" s="36"/>
      <c r="G513" s="36" t="e">
        <f t="shared" si="52"/>
        <v>#DIV/0!</v>
      </c>
      <c r="H513" s="37"/>
    </row>
    <row r="514" spans="1:8" hidden="1" x14ac:dyDescent="0.25">
      <c r="A514" s="39" t="s">
        <v>133</v>
      </c>
      <c r="B514" s="36"/>
      <c r="C514" s="36"/>
      <c r="D514" s="36"/>
      <c r="E514" s="36"/>
      <c r="F514" s="36"/>
      <c r="G514" s="36" t="e">
        <f t="shared" si="52"/>
        <v>#DIV/0!</v>
      </c>
      <c r="H514" s="37"/>
    </row>
    <row r="515" spans="1:8" hidden="1" x14ac:dyDescent="0.25">
      <c r="A515" s="39" t="s">
        <v>134</v>
      </c>
      <c r="B515" s="36"/>
      <c r="C515" s="36"/>
      <c r="D515" s="36"/>
      <c r="E515" s="36"/>
      <c r="F515" s="36"/>
      <c r="G515" s="36" t="e">
        <f t="shared" si="52"/>
        <v>#DIV/0!</v>
      </c>
      <c r="H515" s="37"/>
    </row>
    <row r="516" spans="1:8" hidden="1" x14ac:dyDescent="0.25">
      <c r="A516" s="39" t="s">
        <v>135</v>
      </c>
      <c r="B516" s="36"/>
      <c r="C516" s="36"/>
      <c r="D516" s="36"/>
      <c r="E516" s="36"/>
      <c r="F516" s="36"/>
      <c r="G516" s="36" t="e">
        <f t="shared" si="52"/>
        <v>#DIV/0!</v>
      </c>
      <c r="H516" s="37"/>
    </row>
    <row r="517" spans="1:8" hidden="1" x14ac:dyDescent="0.25">
      <c r="A517" s="39" t="s">
        <v>136</v>
      </c>
      <c r="B517" s="36"/>
      <c r="C517" s="36"/>
      <c r="D517" s="36"/>
      <c r="E517" s="36"/>
      <c r="F517" s="36"/>
      <c r="G517" s="36" t="e">
        <f t="shared" si="52"/>
        <v>#DIV/0!</v>
      </c>
      <c r="H517" s="37"/>
    </row>
    <row r="518" spans="1:8" ht="15.75" hidden="1" thickBot="1" x14ac:dyDescent="0.3">
      <c r="A518" s="40" t="s">
        <v>137</v>
      </c>
      <c r="B518" s="38"/>
      <c r="C518" s="38"/>
      <c r="D518" s="38"/>
      <c r="E518" s="38"/>
      <c r="F518" s="38"/>
      <c r="G518" s="38" t="e">
        <f t="shared" si="52"/>
        <v>#DIV/0!</v>
      </c>
      <c r="H518" s="42"/>
    </row>
    <row r="520" spans="1:8" ht="20.25" hidden="1" x14ac:dyDescent="0.3">
      <c r="A520" s="1041" t="s">
        <v>200</v>
      </c>
      <c r="B520" s="1042"/>
      <c r="C520" s="1042"/>
      <c r="D520" s="1042"/>
      <c r="E520" s="1042"/>
      <c r="F520" s="1042"/>
      <c r="G520" s="1042"/>
      <c r="H520" s="1043"/>
    </row>
    <row r="521" spans="1:8" ht="38.25" hidden="1" x14ac:dyDescent="0.25">
      <c r="A521" s="32" t="s">
        <v>63</v>
      </c>
      <c r="B521" s="33" t="s">
        <v>196</v>
      </c>
      <c r="C521" s="53" t="s">
        <v>152</v>
      </c>
      <c r="D521" s="53" t="s">
        <v>172</v>
      </c>
      <c r="E521" s="53" t="s">
        <v>205</v>
      </c>
      <c r="F521" s="53" t="s">
        <v>206</v>
      </c>
      <c r="G521" s="53" t="s">
        <v>207</v>
      </c>
      <c r="H521" s="34" t="s">
        <v>185</v>
      </c>
    </row>
    <row r="522" spans="1:8" hidden="1" x14ac:dyDescent="0.25">
      <c r="A522" s="39" t="s">
        <v>139</v>
      </c>
      <c r="B522" s="36"/>
      <c r="C522" s="36"/>
      <c r="D522" s="36"/>
      <c r="E522" s="36"/>
      <c r="F522" s="36"/>
      <c r="G522" s="36" t="e">
        <f>F522/E522</f>
        <v>#DIV/0!</v>
      </c>
      <c r="H522" s="37"/>
    </row>
    <row r="523" spans="1:8" hidden="1" x14ac:dyDescent="0.25">
      <c r="A523" s="39" t="s">
        <v>140</v>
      </c>
      <c r="B523" s="36"/>
      <c r="C523" s="36"/>
      <c r="D523" s="36"/>
      <c r="E523" s="36"/>
      <c r="F523" s="36"/>
      <c r="G523" s="36" t="e">
        <f t="shared" ref="G523:G533" si="53">F523/E523</f>
        <v>#DIV/0!</v>
      </c>
      <c r="H523" s="37"/>
    </row>
    <row r="524" spans="1:8" hidden="1" x14ac:dyDescent="0.25">
      <c r="A524" s="39" t="s">
        <v>141</v>
      </c>
      <c r="B524" s="36"/>
      <c r="C524" s="36"/>
      <c r="D524" s="36"/>
      <c r="E524" s="36"/>
      <c r="F524" s="36"/>
      <c r="G524" s="36" t="e">
        <f t="shared" si="53"/>
        <v>#DIV/0!</v>
      </c>
      <c r="H524" s="37"/>
    </row>
    <row r="525" spans="1:8" hidden="1" x14ac:dyDescent="0.25">
      <c r="A525" s="39" t="s">
        <v>142</v>
      </c>
      <c r="B525" s="36"/>
      <c r="C525" s="36"/>
      <c r="D525" s="36"/>
      <c r="E525" s="36"/>
      <c r="F525" s="36"/>
      <c r="G525" s="36" t="e">
        <f t="shared" si="53"/>
        <v>#DIV/0!</v>
      </c>
      <c r="H525" s="37"/>
    </row>
    <row r="526" spans="1:8" hidden="1" x14ac:dyDescent="0.25">
      <c r="A526" s="39" t="s">
        <v>143</v>
      </c>
      <c r="B526" s="36"/>
      <c r="C526" s="36"/>
      <c r="D526" s="36"/>
      <c r="E526" s="36"/>
      <c r="F526" s="36"/>
      <c r="G526" s="36" t="e">
        <f t="shared" si="53"/>
        <v>#DIV/0!</v>
      </c>
      <c r="H526" s="37"/>
    </row>
    <row r="527" spans="1:8" hidden="1" x14ac:dyDescent="0.25">
      <c r="A527" s="39" t="s">
        <v>144</v>
      </c>
      <c r="B527" s="36"/>
      <c r="C527" s="36"/>
      <c r="D527" s="36"/>
      <c r="E527" s="36"/>
      <c r="F527" s="36"/>
      <c r="G527" s="36" t="e">
        <f t="shared" si="53"/>
        <v>#DIV/0!</v>
      </c>
      <c r="H527" s="37"/>
    </row>
    <row r="528" spans="1:8" hidden="1" x14ac:dyDescent="0.25">
      <c r="A528" s="39" t="s">
        <v>132</v>
      </c>
      <c r="B528" s="36"/>
      <c r="C528" s="36"/>
      <c r="D528" s="36"/>
      <c r="E528" s="36"/>
      <c r="F528" s="36"/>
      <c r="G528" s="36" t="e">
        <f t="shared" si="53"/>
        <v>#DIV/0!</v>
      </c>
      <c r="H528" s="37"/>
    </row>
    <row r="529" spans="1:8" hidden="1" x14ac:dyDescent="0.25">
      <c r="A529" s="39" t="s">
        <v>133</v>
      </c>
      <c r="B529" s="36"/>
      <c r="C529" s="36"/>
      <c r="D529" s="36"/>
      <c r="E529" s="36"/>
      <c r="F529" s="36"/>
      <c r="G529" s="36" t="e">
        <f t="shared" si="53"/>
        <v>#DIV/0!</v>
      </c>
      <c r="H529" s="37"/>
    </row>
    <row r="530" spans="1:8" hidden="1" x14ac:dyDescent="0.25">
      <c r="A530" s="39" t="s">
        <v>134</v>
      </c>
      <c r="B530" s="36"/>
      <c r="C530" s="36"/>
      <c r="D530" s="36"/>
      <c r="E530" s="36"/>
      <c r="F530" s="36"/>
      <c r="G530" s="36" t="e">
        <f t="shared" si="53"/>
        <v>#DIV/0!</v>
      </c>
      <c r="H530" s="37"/>
    </row>
    <row r="531" spans="1:8" hidden="1" x14ac:dyDescent="0.25">
      <c r="A531" s="39" t="s">
        <v>135</v>
      </c>
      <c r="B531" s="36"/>
      <c r="C531" s="36"/>
      <c r="D531" s="36"/>
      <c r="E531" s="36"/>
      <c r="F531" s="36"/>
      <c r="G531" s="36" t="e">
        <f t="shared" si="53"/>
        <v>#DIV/0!</v>
      </c>
      <c r="H531" s="37"/>
    </row>
    <row r="532" spans="1:8" hidden="1" x14ac:dyDescent="0.25">
      <c r="A532" s="39" t="s">
        <v>136</v>
      </c>
      <c r="B532" s="36"/>
      <c r="C532" s="36"/>
      <c r="D532" s="36"/>
      <c r="E532" s="36"/>
      <c r="F532" s="36"/>
      <c r="G532" s="36" t="e">
        <f t="shared" si="53"/>
        <v>#DIV/0!</v>
      </c>
      <c r="H532" s="37"/>
    </row>
    <row r="533" spans="1:8" ht="15.75" hidden="1" thickBot="1" x14ac:dyDescent="0.3">
      <c r="A533" s="40" t="s">
        <v>137</v>
      </c>
      <c r="B533" s="38"/>
      <c r="C533" s="38"/>
      <c r="D533" s="38"/>
      <c r="E533" s="38"/>
      <c r="F533" s="38"/>
      <c r="G533" s="38" t="e">
        <f t="shared" si="53"/>
        <v>#DIV/0!</v>
      </c>
      <c r="H533" s="42"/>
    </row>
    <row r="534" spans="1:8" ht="15.75" hidden="1" thickBot="1" x14ac:dyDescent="0.3"/>
    <row r="535" spans="1:8" ht="20.25" hidden="1" x14ac:dyDescent="0.3">
      <c r="A535" s="1041" t="s">
        <v>204</v>
      </c>
      <c r="B535" s="1042"/>
      <c r="C535" s="1042"/>
      <c r="D535" s="1042"/>
      <c r="E535" s="1042"/>
      <c r="F535" s="1042"/>
      <c r="G535" s="1042"/>
      <c r="H535" s="1043"/>
    </row>
    <row r="536" spans="1:8" ht="38.25" hidden="1" x14ac:dyDescent="0.25">
      <c r="A536" s="32" t="s">
        <v>63</v>
      </c>
      <c r="B536" s="33" t="s">
        <v>196</v>
      </c>
      <c r="C536" s="53" t="s">
        <v>152</v>
      </c>
      <c r="D536" s="53" t="s">
        <v>172</v>
      </c>
      <c r="E536" s="53" t="s">
        <v>205</v>
      </c>
      <c r="F536" s="53" t="s">
        <v>206</v>
      </c>
      <c r="G536" s="53" t="s">
        <v>207</v>
      </c>
      <c r="H536" s="34" t="s">
        <v>185</v>
      </c>
    </row>
    <row r="537" spans="1:8" hidden="1" x14ac:dyDescent="0.25">
      <c r="A537" s="39" t="s">
        <v>139</v>
      </c>
      <c r="B537" s="36"/>
      <c r="C537" s="36"/>
      <c r="D537" s="36"/>
      <c r="E537" s="36"/>
      <c r="F537" s="36"/>
      <c r="G537" s="36" t="e">
        <f>F537/E537</f>
        <v>#DIV/0!</v>
      </c>
      <c r="H537" s="37"/>
    </row>
    <row r="538" spans="1:8" hidden="1" x14ac:dyDescent="0.25">
      <c r="A538" s="39" t="s">
        <v>140</v>
      </c>
      <c r="B538" s="36"/>
      <c r="C538" s="36"/>
      <c r="D538" s="36"/>
      <c r="E538" s="36"/>
      <c r="F538" s="36"/>
      <c r="G538" s="36" t="e">
        <f t="shared" ref="G538:G548" si="54">F538/E538</f>
        <v>#DIV/0!</v>
      </c>
      <c r="H538" s="37"/>
    </row>
    <row r="539" spans="1:8" hidden="1" x14ac:dyDescent="0.25">
      <c r="A539" s="39" t="s">
        <v>141</v>
      </c>
      <c r="B539" s="36"/>
      <c r="C539" s="36"/>
      <c r="D539" s="36"/>
      <c r="E539" s="36"/>
      <c r="F539" s="36"/>
      <c r="G539" s="36" t="e">
        <f t="shared" si="54"/>
        <v>#DIV/0!</v>
      </c>
      <c r="H539" s="37"/>
    </row>
    <row r="540" spans="1:8" hidden="1" x14ac:dyDescent="0.25">
      <c r="A540" s="39" t="s">
        <v>142</v>
      </c>
      <c r="B540" s="36"/>
      <c r="C540" s="36"/>
      <c r="D540" s="36"/>
      <c r="E540" s="36"/>
      <c r="F540" s="36"/>
      <c r="G540" s="36" t="e">
        <f t="shared" si="54"/>
        <v>#DIV/0!</v>
      </c>
      <c r="H540" s="37"/>
    </row>
    <row r="541" spans="1:8" hidden="1" x14ac:dyDescent="0.25">
      <c r="A541" s="39" t="s">
        <v>143</v>
      </c>
      <c r="B541" s="36"/>
      <c r="C541" s="36"/>
      <c r="D541" s="36"/>
      <c r="E541" s="36"/>
      <c r="F541" s="36"/>
      <c r="G541" s="36" t="e">
        <f t="shared" si="54"/>
        <v>#DIV/0!</v>
      </c>
      <c r="H541" s="37"/>
    </row>
    <row r="542" spans="1:8" hidden="1" x14ac:dyDescent="0.25">
      <c r="A542" s="39" t="s">
        <v>144</v>
      </c>
      <c r="B542" s="36"/>
      <c r="C542" s="36"/>
      <c r="D542" s="36"/>
      <c r="E542" s="36"/>
      <c r="F542" s="36"/>
      <c r="G542" s="36" t="e">
        <f t="shared" si="54"/>
        <v>#DIV/0!</v>
      </c>
      <c r="H542" s="37"/>
    </row>
    <row r="543" spans="1:8" hidden="1" x14ac:dyDescent="0.25">
      <c r="A543" s="39" t="s">
        <v>132</v>
      </c>
      <c r="B543" s="36"/>
      <c r="C543" s="36"/>
      <c r="D543" s="36"/>
      <c r="E543" s="36"/>
      <c r="F543" s="36"/>
      <c r="G543" s="36" t="e">
        <f t="shared" si="54"/>
        <v>#DIV/0!</v>
      </c>
      <c r="H543" s="37"/>
    </row>
    <row r="544" spans="1:8" hidden="1" x14ac:dyDescent="0.25">
      <c r="A544" s="39" t="s">
        <v>133</v>
      </c>
      <c r="B544" s="36"/>
      <c r="C544" s="36"/>
      <c r="D544" s="36"/>
      <c r="E544" s="36"/>
      <c r="F544" s="36"/>
      <c r="G544" s="36" t="e">
        <f t="shared" si="54"/>
        <v>#DIV/0!</v>
      </c>
      <c r="H544" s="37"/>
    </row>
    <row r="545" spans="1:8" hidden="1" x14ac:dyDescent="0.25">
      <c r="A545" s="39" t="s">
        <v>134</v>
      </c>
      <c r="B545" s="36"/>
      <c r="C545" s="36"/>
      <c r="D545" s="36"/>
      <c r="E545" s="36"/>
      <c r="F545" s="36"/>
      <c r="G545" s="36" t="e">
        <f t="shared" si="54"/>
        <v>#DIV/0!</v>
      </c>
      <c r="H545" s="37"/>
    </row>
    <row r="546" spans="1:8" hidden="1" x14ac:dyDescent="0.25">
      <c r="A546" s="39" t="s">
        <v>135</v>
      </c>
      <c r="B546" s="36"/>
      <c r="C546" s="36"/>
      <c r="D546" s="36"/>
      <c r="E546" s="36"/>
      <c r="F546" s="36"/>
      <c r="G546" s="36" t="e">
        <f t="shared" si="54"/>
        <v>#DIV/0!</v>
      </c>
      <c r="H546" s="37"/>
    </row>
    <row r="547" spans="1:8" hidden="1" x14ac:dyDescent="0.25">
      <c r="A547" s="39" t="s">
        <v>136</v>
      </c>
      <c r="B547" s="36"/>
      <c r="C547" s="36"/>
      <c r="D547" s="36"/>
      <c r="E547" s="36"/>
      <c r="F547" s="36"/>
      <c r="G547" s="36" t="e">
        <f t="shared" si="54"/>
        <v>#DIV/0!</v>
      </c>
      <c r="H547" s="37"/>
    </row>
    <row r="548" spans="1:8" ht="15.75" hidden="1" thickBot="1" x14ac:dyDescent="0.3">
      <c r="A548" s="40" t="s">
        <v>137</v>
      </c>
      <c r="B548" s="38"/>
      <c r="C548" s="38"/>
      <c r="D548" s="38"/>
      <c r="E548" s="38"/>
      <c r="F548" s="38"/>
      <c r="G548" s="38" t="e">
        <f t="shared" si="54"/>
        <v>#DIV/0!</v>
      </c>
      <c r="H548" s="42"/>
    </row>
    <row r="549" spans="1:8" ht="15.75" hidden="1" thickBot="1" x14ac:dyDescent="0.3"/>
    <row r="550" spans="1:8" ht="20.25" hidden="1" x14ac:dyDescent="0.3">
      <c r="A550" s="1041" t="s">
        <v>208</v>
      </c>
      <c r="B550" s="1042"/>
      <c r="C550" s="1042"/>
      <c r="D550" s="1042"/>
      <c r="E550" s="1042"/>
      <c r="F550" s="1042"/>
      <c r="G550" s="1042"/>
      <c r="H550" s="1043"/>
    </row>
    <row r="551" spans="1:8" ht="63.75" hidden="1" customHeight="1" x14ac:dyDescent="0.25">
      <c r="A551" s="32" t="s">
        <v>64</v>
      </c>
      <c r="B551" s="33" t="s">
        <v>196</v>
      </c>
      <c r="C551" s="53" t="s">
        <v>152</v>
      </c>
      <c r="D551" s="53" t="s">
        <v>177</v>
      </c>
      <c r="E551" s="53" t="s">
        <v>209</v>
      </c>
      <c r="F551" s="53" t="s">
        <v>210</v>
      </c>
      <c r="G551" s="53" t="s">
        <v>211</v>
      </c>
      <c r="H551" s="34" t="s">
        <v>185</v>
      </c>
    </row>
    <row r="552" spans="1:8" hidden="1" x14ac:dyDescent="0.25">
      <c r="A552" s="39" t="s">
        <v>139</v>
      </c>
      <c r="B552" s="36"/>
      <c r="C552" s="36"/>
      <c r="D552" s="36"/>
      <c r="E552" s="36"/>
      <c r="F552" s="36"/>
      <c r="G552" s="36" t="e">
        <f>F552/E552</f>
        <v>#DIV/0!</v>
      </c>
      <c r="H552" s="37"/>
    </row>
    <row r="553" spans="1:8" hidden="1" x14ac:dyDescent="0.25">
      <c r="A553" s="39" t="s">
        <v>140</v>
      </c>
      <c r="B553" s="36"/>
      <c r="C553" s="36"/>
      <c r="D553" s="36"/>
      <c r="E553" s="36"/>
      <c r="F553" s="36"/>
      <c r="G553" s="36" t="e">
        <f t="shared" ref="G553:G563" si="55">F553/E553</f>
        <v>#DIV/0!</v>
      </c>
      <c r="H553" s="37"/>
    </row>
    <row r="554" spans="1:8" hidden="1" x14ac:dyDescent="0.25">
      <c r="A554" s="39" t="s">
        <v>141</v>
      </c>
      <c r="B554" s="36"/>
      <c r="C554" s="36"/>
      <c r="D554" s="36"/>
      <c r="E554" s="36"/>
      <c r="F554" s="36"/>
      <c r="G554" s="36" t="e">
        <f t="shared" si="55"/>
        <v>#DIV/0!</v>
      </c>
      <c r="H554" s="37"/>
    </row>
    <row r="555" spans="1:8" hidden="1" x14ac:dyDescent="0.25">
      <c r="A555" s="39" t="s">
        <v>142</v>
      </c>
      <c r="B555" s="36"/>
      <c r="C555" s="36"/>
      <c r="D555" s="36"/>
      <c r="E555" s="36"/>
      <c r="F555" s="36"/>
      <c r="G555" s="36" t="e">
        <f t="shared" si="55"/>
        <v>#DIV/0!</v>
      </c>
      <c r="H555" s="37"/>
    </row>
    <row r="556" spans="1:8" hidden="1" x14ac:dyDescent="0.25">
      <c r="A556" s="39" t="s">
        <v>143</v>
      </c>
      <c r="B556" s="36"/>
      <c r="C556" s="36"/>
      <c r="D556" s="36"/>
      <c r="E556" s="36"/>
      <c r="F556" s="36"/>
      <c r="G556" s="36" t="e">
        <f t="shared" si="55"/>
        <v>#DIV/0!</v>
      </c>
      <c r="H556" s="37"/>
    </row>
    <row r="557" spans="1:8" hidden="1" x14ac:dyDescent="0.25">
      <c r="A557" s="39" t="s">
        <v>144</v>
      </c>
      <c r="B557" s="36"/>
      <c r="C557" s="36"/>
      <c r="D557" s="36"/>
      <c r="E557" s="36"/>
      <c r="F557" s="36"/>
      <c r="G557" s="36" t="e">
        <f t="shared" si="55"/>
        <v>#DIV/0!</v>
      </c>
      <c r="H557" s="37"/>
    </row>
    <row r="558" spans="1:8" hidden="1" x14ac:dyDescent="0.25">
      <c r="A558" s="39" t="s">
        <v>132</v>
      </c>
      <c r="B558" s="36"/>
      <c r="C558" s="36"/>
      <c r="D558" s="36"/>
      <c r="E558" s="36"/>
      <c r="F558" s="36"/>
      <c r="G558" s="36" t="e">
        <f t="shared" si="55"/>
        <v>#DIV/0!</v>
      </c>
      <c r="H558" s="37"/>
    </row>
    <row r="559" spans="1:8" hidden="1" x14ac:dyDescent="0.25">
      <c r="A559" s="39" t="s">
        <v>133</v>
      </c>
      <c r="B559" s="36"/>
      <c r="C559" s="36"/>
      <c r="D559" s="36"/>
      <c r="E559" s="36"/>
      <c r="F559" s="36"/>
      <c r="G559" s="36" t="e">
        <f t="shared" si="55"/>
        <v>#DIV/0!</v>
      </c>
      <c r="H559" s="37"/>
    </row>
    <row r="560" spans="1:8" hidden="1" x14ac:dyDescent="0.25">
      <c r="A560" s="39" t="s">
        <v>134</v>
      </c>
      <c r="B560" s="36"/>
      <c r="C560" s="36"/>
      <c r="D560" s="36"/>
      <c r="E560" s="36"/>
      <c r="F560" s="36"/>
      <c r="G560" s="36" t="e">
        <f t="shared" si="55"/>
        <v>#DIV/0!</v>
      </c>
      <c r="H560" s="37"/>
    </row>
    <row r="561" spans="1:44" hidden="1" x14ac:dyDescent="0.25">
      <c r="A561" s="39" t="s">
        <v>135</v>
      </c>
      <c r="B561" s="36"/>
      <c r="C561" s="36"/>
      <c r="D561" s="36"/>
      <c r="E561" s="36"/>
      <c r="F561" s="36"/>
      <c r="G561" s="36" t="e">
        <f t="shared" si="55"/>
        <v>#DIV/0!</v>
      </c>
      <c r="H561" s="37"/>
    </row>
    <row r="562" spans="1:44" hidden="1" x14ac:dyDescent="0.25">
      <c r="A562" s="39" t="s">
        <v>136</v>
      </c>
      <c r="B562" s="36"/>
      <c r="C562" s="36"/>
      <c r="D562" s="36"/>
      <c r="E562" s="36"/>
      <c r="F562" s="36"/>
      <c r="G562" s="36" t="e">
        <f t="shared" si="55"/>
        <v>#DIV/0!</v>
      </c>
      <c r="H562" s="37"/>
    </row>
    <row r="563" spans="1:44" ht="15.75" hidden="1" thickBot="1" x14ac:dyDescent="0.3">
      <c r="A563" s="40" t="s">
        <v>137</v>
      </c>
      <c r="B563" s="38"/>
      <c r="C563" s="38"/>
      <c r="D563" s="38"/>
      <c r="E563" s="38"/>
      <c r="F563" s="38"/>
      <c r="G563" s="38" t="e">
        <f t="shared" si="55"/>
        <v>#DIV/0!</v>
      </c>
      <c r="H563" s="42"/>
    </row>
    <row r="564" spans="1:44" ht="26.25" customHeight="1" x14ac:dyDescent="0.25">
      <c r="A564" s="26" t="s">
        <v>35</v>
      </c>
      <c r="B564" s="24"/>
      <c r="C564" s="24"/>
      <c r="D564" s="24"/>
      <c r="E564" s="25"/>
      <c r="F564" s="25"/>
      <c r="G564" s="25"/>
      <c r="H564" s="25"/>
      <c r="I564" s="25"/>
      <c r="J564" s="25"/>
      <c r="K564" s="25"/>
      <c r="L564" s="25"/>
      <c r="M564" s="25"/>
      <c r="N564" s="25"/>
      <c r="O564" s="89"/>
      <c r="P564" s="25"/>
      <c r="Q564" s="25"/>
      <c r="R564" s="25"/>
      <c r="S564" s="25"/>
      <c r="T564" s="25"/>
      <c r="U564" s="25"/>
      <c r="V564" s="25"/>
      <c r="W564" s="25"/>
      <c r="X564" s="24"/>
      <c r="Y564" s="24"/>
      <c r="Z564" s="24"/>
      <c r="AA564" s="24"/>
      <c r="AB564" s="24"/>
      <c r="AC564" s="24"/>
      <c r="AD564" s="27"/>
      <c r="AE564" s="27"/>
      <c r="AF564" s="27"/>
      <c r="AG564" s="27"/>
      <c r="AH564" s="27"/>
      <c r="AI564" s="27"/>
      <c r="AJ564" s="31"/>
      <c r="AK564" s="31"/>
      <c r="AL564" s="28"/>
      <c r="AM564" s="28"/>
      <c r="AN564" s="28"/>
      <c r="AO564" s="28"/>
      <c r="AP564" s="28"/>
      <c r="AQ564" s="28"/>
      <c r="AR564" s="28"/>
    </row>
    <row r="565" spans="1:44" ht="26.25" customHeight="1" x14ac:dyDescent="0.25">
      <c r="A565" s="29" t="s">
        <v>36</v>
      </c>
      <c r="B565" s="842" t="s">
        <v>37</v>
      </c>
      <c r="C565" s="843"/>
      <c r="D565" s="844"/>
      <c r="E565" s="845" t="s">
        <v>38</v>
      </c>
      <c r="F565" s="846"/>
      <c r="G565" s="846"/>
      <c r="H565" s="846"/>
      <c r="I565" s="846"/>
      <c r="J565" s="846"/>
      <c r="K565" s="846"/>
      <c r="L565" s="846"/>
      <c r="M565" s="846"/>
      <c r="N565" s="846"/>
      <c r="O565" s="90"/>
      <c r="P565" s="24"/>
      <c r="Q565" s="24"/>
      <c r="R565" s="24"/>
      <c r="S565" s="24"/>
      <c r="T565" s="24"/>
      <c r="U565" s="24"/>
      <c r="V565" s="24"/>
      <c r="W565" s="24"/>
      <c r="X565" s="24"/>
      <c r="Y565" s="24"/>
      <c r="Z565" s="24"/>
      <c r="AA565" s="24"/>
      <c r="AB565" s="24"/>
      <c r="AC565" s="24"/>
      <c r="AD565" s="27"/>
      <c r="AE565" s="27"/>
      <c r="AF565" s="27"/>
      <c r="AG565" s="27"/>
      <c r="AH565" s="27"/>
      <c r="AI565" s="27"/>
      <c r="AJ565" s="31"/>
      <c r="AK565" s="31"/>
      <c r="AL565" s="27"/>
      <c r="AM565" s="27"/>
      <c r="AN565" s="27"/>
      <c r="AO565" s="27"/>
      <c r="AP565" s="27"/>
      <c r="AQ565" s="27"/>
      <c r="AR565" s="31"/>
    </row>
    <row r="566" spans="1:44" ht="43.5" customHeight="1" x14ac:dyDescent="0.25">
      <c r="A566" s="101">
        <v>12</v>
      </c>
      <c r="B566" s="847" t="s">
        <v>84</v>
      </c>
      <c r="C566" s="848"/>
      <c r="D566" s="849"/>
      <c r="E566" s="850" t="s">
        <v>85</v>
      </c>
      <c r="F566" s="851"/>
      <c r="G566" s="851"/>
      <c r="H566" s="851"/>
      <c r="I566" s="851"/>
      <c r="J566" s="851"/>
      <c r="K566" s="851"/>
      <c r="L566" s="851"/>
      <c r="M566" s="851"/>
      <c r="N566" s="851"/>
      <c r="O566" s="90"/>
      <c r="P566" s="24"/>
      <c r="Q566" s="24"/>
      <c r="R566" s="24"/>
      <c r="S566" s="24"/>
      <c r="T566" s="24"/>
      <c r="U566" s="24"/>
      <c r="V566" s="24"/>
      <c r="W566" s="24"/>
      <c r="X566" s="24"/>
      <c r="Y566" s="24"/>
      <c r="Z566" s="24"/>
      <c r="AA566" s="24"/>
      <c r="AB566" s="24"/>
      <c r="AC566" s="24"/>
      <c r="AD566" s="24"/>
      <c r="AE566" s="24"/>
      <c r="AF566" s="24"/>
      <c r="AG566" s="24"/>
      <c r="AH566" s="24"/>
      <c r="AI566" s="24"/>
      <c r="AJ566" s="30"/>
      <c r="AK566" s="30"/>
      <c r="AL566" s="24"/>
      <c r="AM566" s="24"/>
      <c r="AN566" s="24"/>
      <c r="AO566" s="24"/>
      <c r="AP566" s="24"/>
      <c r="AQ566" s="24"/>
      <c r="AR566" s="30"/>
    </row>
    <row r="567" spans="1:44" x14ac:dyDescent="0.25">
      <c r="A567" s="101">
        <v>13</v>
      </c>
      <c r="B567" s="847" t="s">
        <v>95</v>
      </c>
      <c r="C567" s="848"/>
      <c r="D567" s="849"/>
      <c r="E567" s="850" t="s">
        <v>86</v>
      </c>
      <c r="F567" s="851"/>
      <c r="G567" s="851"/>
      <c r="H567" s="851"/>
      <c r="I567" s="851"/>
      <c r="J567" s="851"/>
      <c r="K567" s="851"/>
      <c r="L567" s="851"/>
      <c r="M567" s="851"/>
      <c r="N567" s="851"/>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2021-12-07T16:21:27Z</cp:lastPrinted>
  <dcterms:created xsi:type="dcterms:W3CDTF">2010-03-25T16:40:43Z</dcterms:created>
  <dcterms:modified xsi:type="dcterms:W3CDTF">2023-10-30T03:25:13Z</dcterms:modified>
</cp:coreProperties>
</file>