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D:\Desktop\Para publicar\Plan de acción ajustado\"/>
    </mc:Choice>
  </mc:AlternateContent>
  <xr:revisionPtr revIDLastSave="0" documentId="13_ncr:1_{16EED62F-69C8-4B1B-AAD6-FC4DA9A18B45}" xr6:coauthVersionLast="45" xr6:coauthVersionMax="45" xr10:uidLastSave="{00000000-0000-0000-0000-000000000000}"/>
  <bookViews>
    <workbookView xWindow="-120" yWindow="-120" windowWidth="20730" windowHeight="11160" tabRatio="494" activeTab="1" xr2:uid="{00000000-000D-0000-FFFF-FFFF00000000}"/>
  </bookViews>
  <sheets>
    <sheet name="GESTIÓN" sheetId="5" r:id="rId1"/>
    <sheet name="INVERSIÓN" sheetId="6" r:id="rId2"/>
    <sheet name="ACTIVIDADES" sheetId="7" r:id="rId3"/>
    <sheet name="TERRITORIALIZACIÓN" sheetId="9" r:id="rId4"/>
  </sheets>
  <externalReferences>
    <externalReference r:id="rId5"/>
    <externalReference r:id="rId6"/>
  </externalReferences>
  <definedNames>
    <definedName name="_xlnm._FilterDatabase" localSheetId="3" hidden="1">TERRITORIALIZACIÓN!$A$7:$Y$104</definedName>
    <definedName name="_xlnm.Print_Area" localSheetId="2">ACTIVIDADES!$A$1:$V$83</definedName>
    <definedName name="_xlnm.Print_Area" localSheetId="0">GESTIÓN!$A$1:$AW$20</definedName>
    <definedName name="_xlnm.Print_Area" localSheetId="1">INVERSIÓN!$A$1:$AU$35</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8" i="7" l="1"/>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AP35" i="6"/>
  <c r="H13" i="6"/>
  <c r="AB63" i="6"/>
  <c r="H59" i="6"/>
  <c r="H46" i="6" l="1"/>
  <c r="H71" i="9" l="1"/>
  <c r="H103" i="9" s="1"/>
  <c r="J103" i="9"/>
  <c r="G103" i="9"/>
  <c r="F103" i="9"/>
  <c r="E103" i="9"/>
  <c r="L101" i="9"/>
  <c r="K101" i="9"/>
  <c r="J101" i="9"/>
  <c r="H101" i="9"/>
  <c r="G101" i="9"/>
  <c r="F101" i="9"/>
  <c r="E101" i="9"/>
  <c r="L100" i="9"/>
  <c r="K100" i="9"/>
  <c r="J100" i="9"/>
  <c r="H100" i="9"/>
  <c r="G100" i="9"/>
  <c r="F100" i="9"/>
  <c r="E100" i="9"/>
  <c r="L95" i="9"/>
  <c r="K95" i="9"/>
  <c r="J95" i="9"/>
  <c r="H95" i="9"/>
  <c r="G95" i="9"/>
  <c r="F95" i="9"/>
  <c r="E95" i="9"/>
  <c r="L94" i="9"/>
  <c r="K94" i="9"/>
  <c r="J94" i="9"/>
  <c r="H94" i="9"/>
  <c r="G94" i="9"/>
  <c r="F94" i="9"/>
  <c r="E94" i="9"/>
  <c r="K91" i="9"/>
  <c r="K89" i="9"/>
  <c r="K85" i="9"/>
  <c r="L81" i="9"/>
  <c r="K81" i="9"/>
  <c r="K69" i="9" s="1"/>
  <c r="J81" i="9"/>
  <c r="H81" i="9"/>
  <c r="F81" i="9"/>
  <c r="E81" i="9"/>
  <c r="L80" i="9"/>
  <c r="K80" i="9"/>
  <c r="J80" i="9"/>
  <c r="H80" i="9"/>
  <c r="G80" i="9"/>
  <c r="G69" i="9" s="1"/>
  <c r="F80" i="9"/>
  <c r="E80" i="9"/>
  <c r="K77" i="9"/>
  <c r="G73" i="9"/>
  <c r="L71" i="9"/>
  <c r="K71" i="9"/>
  <c r="L69" i="9"/>
  <c r="L67" i="9"/>
  <c r="K67" i="9"/>
  <c r="L65" i="9"/>
  <c r="L63" i="9"/>
  <c r="K63" i="9"/>
  <c r="J63" i="9"/>
  <c r="H63" i="9"/>
  <c r="G63" i="9"/>
  <c r="F63" i="9"/>
  <c r="E63" i="9"/>
  <c r="L62" i="9"/>
  <c r="K62" i="9"/>
  <c r="J62" i="9"/>
  <c r="H62" i="9"/>
  <c r="G62" i="9"/>
  <c r="F62" i="9"/>
  <c r="E62" i="9"/>
  <c r="K61" i="9"/>
  <c r="K59" i="9"/>
  <c r="K55" i="9"/>
  <c r="L53" i="9"/>
  <c r="L49" i="9" s="1"/>
  <c r="K53" i="9"/>
  <c r="J53" i="9"/>
  <c r="H53" i="9"/>
  <c r="G53" i="9"/>
  <c r="F53" i="9"/>
  <c r="E53" i="9"/>
  <c r="L52" i="9"/>
  <c r="K52" i="9"/>
  <c r="J52" i="9"/>
  <c r="G52" i="9"/>
  <c r="F52" i="9"/>
  <c r="E52" i="9"/>
  <c r="K49" i="9"/>
  <c r="L47" i="9"/>
  <c r="K47" i="9"/>
  <c r="J47" i="9"/>
  <c r="H47" i="9"/>
  <c r="G47" i="9"/>
  <c r="F47" i="9"/>
  <c r="E47" i="9"/>
  <c r="L46" i="9"/>
  <c r="J46" i="9"/>
  <c r="H46" i="9"/>
  <c r="G46" i="9"/>
  <c r="F46" i="9"/>
  <c r="E46" i="9"/>
  <c r="K42" i="9"/>
  <c r="K46" i="9" s="1"/>
  <c r="L41" i="9"/>
  <c r="K41" i="9"/>
  <c r="H41" i="9"/>
  <c r="H33" i="9" s="1"/>
  <c r="G41" i="9"/>
  <c r="F41" i="9"/>
  <c r="E41" i="9"/>
  <c r="L40" i="9"/>
  <c r="K40" i="9"/>
  <c r="J40" i="9"/>
  <c r="H40" i="9"/>
  <c r="G40" i="9"/>
  <c r="F40" i="9"/>
  <c r="E40" i="9"/>
  <c r="L39" i="9"/>
  <c r="K39" i="9"/>
  <c r="L37" i="9"/>
  <c r="K37" i="9"/>
  <c r="L35" i="9"/>
  <c r="K35" i="9"/>
  <c r="L33" i="9"/>
  <c r="K33" i="9"/>
  <c r="J33" i="9"/>
  <c r="J41" i="9" s="1"/>
  <c r="L31" i="9"/>
  <c r="K31" i="9"/>
  <c r="L29" i="9"/>
  <c r="K29" i="9"/>
  <c r="L27" i="9"/>
  <c r="K27" i="9"/>
  <c r="J27" i="9"/>
  <c r="H27" i="9"/>
  <c r="G27" i="9"/>
  <c r="F27" i="9"/>
  <c r="E27" i="9"/>
  <c r="L26" i="9"/>
  <c r="K26" i="9"/>
  <c r="J26" i="9"/>
  <c r="H26" i="9"/>
  <c r="G26" i="9"/>
  <c r="F26" i="9"/>
  <c r="E26" i="9"/>
  <c r="L17" i="9"/>
  <c r="K17" i="9"/>
  <c r="K13" i="9" s="1"/>
  <c r="J17" i="9"/>
  <c r="H17" i="9"/>
  <c r="H9" i="9" s="1"/>
  <c r="G17" i="9"/>
  <c r="F17" i="9"/>
  <c r="E17" i="9"/>
  <c r="L16" i="9"/>
  <c r="K16" i="9"/>
  <c r="J16" i="9"/>
  <c r="H16" i="9"/>
  <c r="G16" i="9"/>
  <c r="F16" i="9"/>
  <c r="E16" i="9"/>
  <c r="L15" i="9"/>
  <c r="H13" i="9"/>
  <c r="L11" i="9"/>
  <c r="K8" i="9"/>
  <c r="AX87" i="7"/>
  <c r="AX84" i="7"/>
  <c r="T78" i="7"/>
  <c r="AX77" i="7"/>
  <c r="AW76" i="7"/>
  <c r="AX76" i="7"/>
  <c r="AX75" i="7"/>
  <c r="AW74" i="7"/>
  <c r="AX74" i="7"/>
  <c r="AX73" i="7"/>
  <c r="AW72" i="7"/>
  <c r="AX72" i="7"/>
  <c r="AX71" i="7"/>
  <c r="AW70" i="7"/>
  <c r="AX70" i="7"/>
  <c r="AX69" i="7"/>
  <c r="AW68" i="7"/>
  <c r="AX68" i="7"/>
  <c r="AX67" i="7"/>
  <c r="AW66" i="7"/>
  <c r="AX66" i="7"/>
  <c r="AX65" i="7"/>
  <c r="AW64" i="7"/>
  <c r="AX64" i="7"/>
  <c r="AX63" i="7"/>
  <c r="AX62" i="7"/>
  <c r="AX61" i="7"/>
  <c r="AX60" i="7"/>
  <c r="AX59" i="7"/>
  <c r="AX58" i="7"/>
  <c r="AX57" i="7"/>
  <c r="AX56" i="7"/>
  <c r="AX55" i="7"/>
  <c r="AX54" i="7"/>
  <c r="AX53" i="7"/>
  <c r="AX52" i="7"/>
  <c r="U52" i="7"/>
  <c r="U54" i="7" s="1"/>
  <c r="AX51" i="7"/>
  <c r="AX50" i="7"/>
  <c r="AX49" i="7"/>
  <c r="AX48" i="7"/>
  <c r="AX47" i="7"/>
  <c r="AX46" i="7"/>
  <c r="AX45" i="7"/>
  <c r="AX44" i="7"/>
  <c r="U44" i="7"/>
  <c r="U46" i="7" s="1"/>
  <c r="AX43" i="7"/>
  <c r="AX42" i="7"/>
  <c r="AX41" i="7"/>
  <c r="AX40" i="7"/>
  <c r="AX39" i="7"/>
  <c r="AX38" i="7"/>
  <c r="AX37" i="7"/>
  <c r="AX36" i="7"/>
  <c r="U36" i="7"/>
  <c r="U38" i="7" s="1"/>
  <c r="AX35" i="7"/>
  <c r="AX34" i="7"/>
  <c r="AX33" i="7"/>
  <c r="AX32" i="7"/>
  <c r="AX31" i="7"/>
  <c r="AX30" i="7"/>
  <c r="AX29" i="7"/>
  <c r="AX28" i="7"/>
  <c r="U28" i="7"/>
  <c r="U30" i="7" s="1"/>
  <c r="AX27" i="7"/>
  <c r="AW26" i="7"/>
  <c r="AX26" i="7"/>
  <c r="AX25" i="7"/>
  <c r="AW24" i="7"/>
  <c r="AX24" i="7"/>
  <c r="AX23" i="7"/>
  <c r="AW22" i="7"/>
  <c r="AX22" i="7"/>
  <c r="AX21" i="7"/>
  <c r="AW20" i="7"/>
  <c r="AX20" i="7"/>
  <c r="AX19" i="7"/>
  <c r="AW18" i="7"/>
  <c r="AX18" i="7"/>
  <c r="AX17" i="7"/>
  <c r="AW16" i="7"/>
  <c r="AX16" i="7"/>
  <c r="AX15" i="7"/>
  <c r="AW14" i="7"/>
  <c r="AX14" i="7"/>
  <c r="AX13" i="7"/>
  <c r="AW12" i="7"/>
  <c r="AX12" i="7"/>
  <c r="AX11" i="7"/>
  <c r="AX10" i="7"/>
  <c r="U10" i="7"/>
  <c r="AX9" i="7"/>
  <c r="AX8" i="7"/>
  <c r="U8" i="7"/>
  <c r="H37" i="9" l="1"/>
  <c r="G65" i="9"/>
  <c r="H29" i="9"/>
  <c r="K65" i="9"/>
  <c r="L73" i="9"/>
  <c r="L103" i="9"/>
  <c r="G77" i="9"/>
  <c r="E102" i="9"/>
  <c r="E104" i="9" s="1"/>
  <c r="J102" i="9"/>
  <c r="J104" i="9" s="1"/>
  <c r="K103" i="9"/>
  <c r="F102" i="9"/>
  <c r="F104" i="9" s="1"/>
  <c r="K102" i="9"/>
  <c r="L102" i="9"/>
  <c r="K73" i="9"/>
  <c r="L77" i="9"/>
  <c r="G81" i="9"/>
  <c r="G102" i="9" s="1"/>
  <c r="G104" i="9" s="1"/>
  <c r="H102" i="9"/>
  <c r="H104" i="9" s="1"/>
  <c r="K9" i="9"/>
  <c r="AW36" i="7"/>
  <c r="AW10" i="7"/>
  <c r="AW8" i="7"/>
  <c r="AW28" i="7"/>
  <c r="AW44" i="7"/>
  <c r="AW52" i="7"/>
  <c r="AW54" i="7"/>
  <c r="U56" i="7"/>
  <c r="U58" i="7" s="1"/>
  <c r="AW46" i="7"/>
  <c r="U48" i="7"/>
  <c r="U50" i="7" s="1"/>
  <c r="AW50" i="7" s="1"/>
  <c r="U32" i="7"/>
  <c r="U34" i="7" s="1"/>
  <c r="AW34" i="7" s="1"/>
  <c r="AW30" i="7"/>
  <c r="AW38" i="7"/>
  <c r="U40" i="7"/>
  <c r="U42" i="7" s="1"/>
  <c r="AW42" i="7" s="1"/>
  <c r="K104" i="9" l="1"/>
  <c r="L104" i="9"/>
  <c r="AW40" i="7"/>
  <c r="U62" i="7"/>
  <c r="AW62" i="7" s="1"/>
  <c r="AW58" i="7"/>
  <c r="U60" i="7"/>
  <c r="AW60" i="7" s="1"/>
  <c r="AW56" i="7"/>
  <c r="AW48" i="7"/>
  <c r="AW32" i="7"/>
  <c r="AW78" i="7" l="1"/>
  <c r="U78" i="7"/>
  <c r="AE64" i="6" l="1"/>
  <c r="AE44" i="6"/>
  <c r="AM65" i="6"/>
  <c r="AL65" i="6"/>
  <c r="AK65" i="6"/>
  <c r="AK66" i="6" s="1"/>
  <c r="AE65" i="6"/>
  <c r="AC65" i="6"/>
  <c r="AB65" i="6"/>
  <c r="AA65" i="6"/>
  <c r="Z65" i="6"/>
  <c r="Y65" i="6"/>
  <c r="X65" i="6"/>
  <c r="X66" i="6" s="1"/>
  <c r="W65" i="6"/>
  <c r="W66" i="6" s="1"/>
  <c r="V65" i="6"/>
  <c r="U65" i="6"/>
  <c r="T65" i="6"/>
  <c r="T66" i="6" s="1"/>
  <c r="S65" i="6"/>
  <c r="S66" i="6" s="1"/>
  <c r="R65" i="6"/>
  <c r="Q65" i="6"/>
  <c r="P65" i="6"/>
  <c r="P66" i="6" s="1"/>
  <c r="O65" i="6"/>
  <c r="O66" i="6" s="1"/>
  <c r="N65" i="6"/>
  <c r="M65" i="6"/>
  <c r="L65" i="6"/>
  <c r="L66" i="6" s="1"/>
  <c r="K65" i="6"/>
  <c r="K66" i="6" s="1"/>
  <c r="J65" i="6"/>
  <c r="I65" i="6"/>
  <c r="AM64" i="6"/>
  <c r="AM66" i="6" s="1"/>
  <c r="AL64" i="6"/>
  <c r="AL66" i="6" s="1"/>
  <c r="AK64" i="6"/>
  <c r="AC64" i="6"/>
  <c r="AB64" i="6"/>
  <c r="AO64" i="6" s="1"/>
  <c r="AA64" i="6"/>
  <c r="AA66" i="6" s="1"/>
  <c r="Z64" i="6"/>
  <c r="Y64" i="6"/>
  <c r="X64" i="6"/>
  <c r="W64" i="6"/>
  <c r="V64" i="6"/>
  <c r="U64" i="6"/>
  <c r="T64" i="6"/>
  <c r="S64" i="6"/>
  <c r="R64" i="6"/>
  <c r="Q64" i="6"/>
  <c r="P64" i="6"/>
  <c r="O64" i="6"/>
  <c r="N64" i="6"/>
  <c r="M64" i="6"/>
  <c r="L64" i="6"/>
  <c r="K64" i="6"/>
  <c r="J64" i="6"/>
  <c r="I64" i="6"/>
  <c r="AO63" i="6"/>
  <c r="AM63" i="6"/>
  <c r="AL63" i="6"/>
  <c r="AK63" i="6"/>
  <c r="AM62" i="6"/>
  <c r="AL62" i="6"/>
  <c r="AK62" i="6"/>
  <c r="AB62" i="6"/>
  <c r="AA62" i="6"/>
  <c r="Z62" i="6"/>
  <c r="H62" i="6"/>
  <c r="AO59" i="6"/>
  <c r="AP59" i="6"/>
  <c r="AP58" i="6"/>
  <c r="AO58" i="6"/>
  <c r="AM57" i="6"/>
  <c r="AO57" i="6" s="1"/>
  <c r="AL57" i="6"/>
  <c r="AK57" i="6"/>
  <c r="AE57" i="6"/>
  <c r="AC57" i="6"/>
  <c r="AB57" i="6"/>
  <c r="AA57" i="6"/>
  <c r="Z57" i="6"/>
  <c r="S57" i="6"/>
  <c r="L57" i="6"/>
  <c r="J57" i="6"/>
  <c r="I57" i="6"/>
  <c r="AM56" i="6"/>
  <c r="AL56" i="6"/>
  <c r="AK56" i="6"/>
  <c r="AE56" i="6"/>
  <c r="AC56" i="6"/>
  <c r="AB56" i="6"/>
  <c r="AA56" i="6"/>
  <c r="Z56" i="6"/>
  <c r="Y56" i="6"/>
  <c r="S56" i="6"/>
  <c r="L56" i="6"/>
  <c r="J56" i="6"/>
  <c r="I56" i="6"/>
  <c r="AP55" i="6"/>
  <c r="AO55" i="6"/>
  <c r="H55" i="6"/>
  <c r="AO54" i="6"/>
  <c r="AO53" i="6"/>
  <c r="H53" i="6"/>
  <c r="AP53" i="6" s="1"/>
  <c r="AO52" i="6"/>
  <c r="H52" i="6"/>
  <c r="H56" i="6" s="1"/>
  <c r="AM51" i="6"/>
  <c r="AL51" i="6"/>
  <c r="AK51" i="6"/>
  <c r="AE51" i="6"/>
  <c r="AC51" i="6"/>
  <c r="AB51" i="6"/>
  <c r="AA51" i="6"/>
  <c r="Z51" i="6"/>
  <c r="Y51" i="6"/>
  <c r="S51" i="6"/>
  <c r="L51" i="6"/>
  <c r="J51" i="6"/>
  <c r="I51" i="6"/>
  <c r="AM50" i="6"/>
  <c r="AL50" i="6"/>
  <c r="AK50" i="6"/>
  <c r="AE50" i="6"/>
  <c r="AC50" i="6"/>
  <c r="Z50" i="6"/>
  <c r="S50" i="6"/>
  <c r="R50" i="6"/>
  <c r="L50" i="6"/>
  <c r="J50" i="6"/>
  <c r="I50" i="6"/>
  <c r="H50" i="6"/>
  <c r="AO49" i="6"/>
  <c r="H49" i="6"/>
  <c r="AP49" i="6" s="1"/>
  <c r="AO48" i="6"/>
  <c r="AO47" i="6"/>
  <c r="H47" i="6"/>
  <c r="AB46" i="6"/>
  <c r="AO46" i="6" s="1"/>
  <c r="AA46" i="6"/>
  <c r="AA50" i="6" s="1"/>
  <c r="R46" i="6"/>
  <c r="AP46" i="6" s="1"/>
  <c r="Q46" i="6"/>
  <c r="Q50" i="6" s="1"/>
  <c r="AM45" i="6"/>
  <c r="AL45" i="6"/>
  <c r="AK45" i="6"/>
  <c r="AE45" i="6"/>
  <c r="AC45" i="6"/>
  <c r="AB45" i="6"/>
  <c r="AA45" i="6"/>
  <c r="Z45" i="6"/>
  <c r="S45" i="6"/>
  <c r="L45" i="6"/>
  <c r="J45" i="6"/>
  <c r="I45" i="6"/>
  <c r="AM44" i="6"/>
  <c r="AL44" i="6"/>
  <c r="AK44" i="6"/>
  <c r="AC44" i="6"/>
  <c r="AB44" i="6"/>
  <c r="S44" i="6"/>
  <c r="L44" i="6"/>
  <c r="J44" i="6"/>
  <c r="I44" i="6"/>
  <c r="H44" i="6"/>
  <c r="AP43" i="6"/>
  <c r="AO43" i="6"/>
  <c r="H43" i="6"/>
  <c r="AO42" i="6"/>
  <c r="AO41" i="6"/>
  <c r="H41" i="6"/>
  <c r="H45" i="6" s="1"/>
  <c r="AP40" i="6"/>
  <c r="AO40" i="6"/>
  <c r="AM39" i="6"/>
  <c r="AO39" i="6" s="1"/>
  <c r="AL39" i="6"/>
  <c r="AK39" i="6"/>
  <c r="AE39" i="6"/>
  <c r="AC39" i="6"/>
  <c r="AB39" i="6"/>
  <c r="AA39" i="6"/>
  <c r="Z39" i="6"/>
  <c r="S39" i="6"/>
  <c r="L39" i="6"/>
  <c r="J39" i="6"/>
  <c r="I39" i="6"/>
  <c r="AM38" i="6"/>
  <c r="AL38" i="6"/>
  <c r="AK38" i="6"/>
  <c r="AC38" i="6"/>
  <c r="S38" i="6"/>
  <c r="L38" i="6"/>
  <c r="AO37" i="6"/>
  <c r="H37" i="6"/>
  <c r="AP37" i="6" s="1"/>
  <c r="AO35" i="6"/>
  <c r="H35" i="6"/>
  <c r="AP34" i="6"/>
  <c r="AO34" i="6"/>
  <c r="AM33" i="6"/>
  <c r="AL33" i="6"/>
  <c r="AK33" i="6"/>
  <c r="AE33" i="6"/>
  <c r="AC33" i="6"/>
  <c r="AB33" i="6"/>
  <c r="AA33" i="6"/>
  <c r="Z33" i="6"/>
  <c r="U33" i="6"/>
  <c r="S33" i="6"/>
  <c r="L33" i="6"/>
  <c r="K33" i="6"/>
  <c r="J33" i="6"/>
  <c r="I33" i="6"/>
  <c r="AO32" i="6"/>
  <c r="AM32" i="6"/>
  <c r="AL32" i="6"/>
  <c r="AK32" i="6"/>
  <c r="AC32" i="6"/>
  <c r="S32" i="6"/>
  <c r="L32" i="6"/>
  <c r="AP32" i="6" s="1"/>
  <c r="K32" i="6"/>
  <c r="J32" i="6"/>
  <c r="I32" i="6"/>
  <c r="AP31" i="6"/>
  <c r="AO31" i="6"/>
  <c r="H31" i="6"/>
  <c r="AO29" i="6"/>
  <c r="H29" i="6"/>
  <c r="H33" i="6" s="1"/>
  <c r="AP33" i="6" s="1"/>
  <c r="AP28" i="6"/>
  <c r="AO28" i="6"/>
  <c r="AM27" i="6"/>
  <c r="AL27" i="6"/>
  <c r="AK27" i="6"/>
  <c r="AE27" i="6"/>
  <c r="AC27" i="6"/>
  <c r="AB27" i="6"/>
  <c r="AA27" i="6"/>
  <c r="Z27" i="6"/>
  <c r="S27" i="6"/>
  <c r="L27" i="6"/>
  <c r="J27" i="6"/>
  <c r="I27" i="6"/>
  <c r="AM26" i="6"/>
  <c r="AO26" i="6" s="1"/>
  <c r="AL26" i="6"/>
  <c r="AK26" i="6"/>
  <c r="AE26" i="6"/>
  <c r="AC26" i="6"/>
  <c r="S26" i="6"/>
  <c r="L26" i="6"/>
  <c r="J26" i="6"/>
  <c r="I26" i="6"/>
  <c r="AP25" i="6"/>
  <c r="AO25" i="6"/>
  <c r="H25" i="6"/>
  <c r="AO24" i="6"/>
  <c r="AO23" i="6"/>
  <c r="H23" i="6"/>
  <c r="AP23" i="6" s="1"/>
  <c r="AO22" i="6"/>
  <c r="H22" i="6"/>
  <c r="H26" i="6" s="1"/>
  <c r="AM21" i="6"/>
  <c r="AO21" i="6" s="1"/>
  <c r="AL21" i="6"/>
  <c r="AK21" i="6"/>
  <c r="AE21" i="6"/>
  <c r="AC21" i="6"/>
  <c r="S21" i="6"/>
  <c r="J21" i="6"/>
  <c r="I21" i="6"/>
  <c r="AM20" i="6"/>
  <c r="AO20" i="6" s="1"/>
  <c r="AL20" i="6"/>
  <c r="AK20" i="6"/>
  <c r="AE20" i="6"/>
  <c r="AC20" i="6"/>
  <c r="S20" i="6"/>
  <c r="J20" i="6"/>
  <c r="I20" i="6"/>
  <c r="H20" i="6"/>
  <c r="AO17" i="6"/>
  <c r="H17" i="6"/>
  <c r="H21" i="6" s="1"/>
  <c r="AP16" i="6"/>
  <c r="AO16" i="6"/>
  <c r="AM15" i="6"/>
  <c r="AO15" i="6" s="1"/>
  <c r="AL15" i="6"/>
  <c r="AK15" i="6"/>
  <c r="AE15" i="6"/>
  <c r="AC15" i="6"/>
  <c r="AB15" i="6"/>
  <c r="AA15" i="6"/>
  <c r="Z15" i="6"/>
  <c r="S15" i="6"/>
  <c r="L15" i="6"/>
  <c r="J15" i="6"/>
  <c r="I15" i="6"/>
  <c r="AM14" i="6"/>
  <c r="AO14" i="6" s="1"/>
  <c r="AL14" i="6"/>
  <c r="AK14" i="6"/>
  <c r="AE14" i="6"/>
  <c r="AC14" i="6"/>
  <c r="S14" i="6"/>
  <c r="J14" i="6"/>
  <c r="I14" i="6"/>
  <c r="H14" i="6"/>
  <c r="AP13" i="6"/>
  <c r="AO13" i="6"/>
  <c r="H65" i="6"/>
  <c r="AO11" i="6"/>
  <c r="H11" i="6"/>
  <c r="H15" i="6" s="1"/>
  <c r="AP10" i="6"/>
  <c r="AO10" i="6"/>
  <c r="AQ16" i="5"/>
  <c r="AR16" i="5"/>
  <c r="AF16" i="5"/>
  <c r="AP50" i="6" l="1"/>
  <c r="AP14" i="6"/>
  <c r="AP21" i="6"/>
  <c r="AP22" i="6"/>
  <c r="AO33" i="6"/>
  <c r="AP44" i="6"/>
  <c r="H51" i="6"/>
  <c r="AB66" i="6"/>
  <c r="AO66" i="6" s="1"/>
  <c r="AP17" i="6"/>
  <c r="AO27" i="6"/>
  <c r="AP38" i="6"/>
  <c r="AO45" i="6"/>
  <c r="AO51" i="6"/>
  <c r="AO56" i="6"/>
  <c r="I66" i="6"/>
  <c r="M66" i="6"/>
  <c r="Q66" i="6"/>
  <c r="U66" i="6"/>
  <c r="Y66" i="6"/>
  <c r="AP51" i="6"/>
  <c r="J66" i="6"/>
  <c r="N66" i="6"/>
  <c r="R66" i="6"/>
  <c r="V66" i="6"/>
  <c r="Z66" i="6"/>
  <c r="AP20" i="6"/>
  <c r="AP26" i="6"/>
  <c r="H39" i="6"/>
  <c r="AO44" i="6"/>
  <c r="AP62" i="6"/>
  <c r="AC66" i="6"/>
  <c r="AP39" i="6"/>
  <c r="AP41" i="6"/>
  <c r="AP45" i="6"/>
  <c r="H27" i="6"/>
  <c r="AP27" i="6" s="1"/>
  <c r="AE66" i="6"/>
  <c r="AP56" i="6"/>
  <c r="AP65" i="6"/>
  <c r="AP15" i="6"/>
  <c r="AB50" i="6"/>
  <c r="AO50" i="6" s="1"/>
  <c r="H64" i="6"/>
  <c r="AP64" i="6" s="1"/>
  <c r="AP29" i="6"/>
  <c r="H57" i="6"/>
  <c r="AP57" i="6" s="1"/>
  <c r="H63" i="6"/>
  <c r="AP63" i="6" s="1"/>
  <c r="AP11" i="6"/>
  <c r="AP47" i="6"/>
  <c r="AP52" i="6"/>
  <c r="AO62" i="6"/>
  <c r="AO65" i="6"/>
  <c r="H66" i="6" l="1"/>
  <c r="AP66" i="6" s="1"/>
  <c r="AX1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Lina Forero</author>
  </authors>
  <commentList>
    <comment ref="AM22" authorId="0" shapeId="0" xr:uid="{00000000-0006-0000-0100-000001000000}">
      <text>
        <r>
          <rPr>
            <b/>
            <sz val="9"/>
            <color indexed="81"/>
            <rFont val="Tahoma"/>
            <family val="2"/>
          </rPr>
          <t>Lina Forero:</t>
        </r>
        <r>
          <rPr>
            <sz val="9"/>
            <color indexed="81"/>
            <rFont val="Tahoma"/>
            <family val="2"/>
          </rPr>
          <t xml:space="preserve">
No se reporta avance en magnitud ya que los recursos se han empleado en actividades previas para la habilitación de senderos. Sin embargo, estás actividades no pueden ser cuantificadas como área habilitada.</t>
        </r>
      </text>
    </comment>
    <comment ref="AM40" authorId="0" shapeId="0" xr:uid="{00000000-0006-0000-0100-000003000000}">
      <text>
        <r>
          <rPr>
            <b/>
            <sz val="9"/>
            <color indexed="81"/>
            <rFont val="Tahoma"/>
            <family val="2"/>
          </rPr>
          <t>Lina Forero:</t>
        </r>
        <r>
          <rPr>
            <sz val="9"/>
            <color indexed="81"/>
            <rFont val="Tahoma"/>
            <family val="2"/>
          </rPr>
          <t xml:space="preserve">
No se reporta avance en magnitud ya que los recursos se han empleado en actividades previas a la  restauración econlógica. Por lo anterior, estás actividades no pueden ser cuantificadas como ha restaurada.</t>
        </r>
      </text>
    </comment>
    <comment ref="AM46" authorId="0" shapeId="0" xr:uid="{00000000-0006-0000-0100-000004000000}">
      <text>
        <r>
          <rPr>
            <b/>
            <sz val="9"/>
            <color indexed="81"/>
            <rFont val="Tahoma"/>
            <family val="2"/>
          </rPr>
          <t>Lina Forero:</t>
        </r>
        <r>
          <rPr>
            <sz val="9"/>
            <color indexed="81"/>
            <rFont val="Tahoma"/>
            <family val="2"/>
          </rPr>
          <t xml:space="preserve">
No se reporta avance en magnitud ya que los recursos se han empleado en actividades previas para el manejo de ha para prevenir y mitigar incendios forestales y así mismo en el apoyo a la supervisión para la ejecución de la reserva de magnitud. </t>
        </r>
      </text>
    </comment>
    <comment ref="AM52" authorId="0" shapeId="0" xr:uid="{00000000-0006-0000-0100-000007000000}">
      <text>
        <r>
          <rPr>
            <b/>
            <sz val="9"/>
            <color indexed="81"/>
            <rFont val="Tahoma"/>
            <family val="2"/>
          </rPr>
          <t>Lina Forero:</t>
        </r>
        <r>
          <rPr>
            <sz val="9"/>
            <color indexed="81"/>
            <rFont val="Tahoma"/>
            <family val="2"/>
          </rPr>
          <t xml:space="preserve">
Si bien el 98% de los recursos están comprometidos,  éstos se han empleado en actividades previas a la implementación y se proyecta iniciar implementación en el IV TRIMESTRE.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LINA.FORERO</author>
  </authors>
  <commentList>
    <comment ref="L29" authorId="0" shapeId="0" xr:uid="{00000000-0006-0000-0300-000001000000}">
      <text>
        <r>
          <rPr>
            <b/>
            <sz val="9"/>
            <color indexed="81"/>
            <rFont val="Tahoma"/>
            <family val="2"/>
          </rPr>
          <t>LINA.FORERO:</t>
        </r>
        <r>
          <rPr>
            <sz val="9"/>
            <color indexed="81"/>
            <rFont val="Tahoma"/>
            <family val="2"/>
          </rPr>
          <t xml:space="preserve">
Si bien se comprometieron los recursos, las actividades de los contratos suscritos estan encaminadas a las actividades previas a la implementación (tales como levantamiento de línea base, reconocimiento de áreas, prediseños y diseños)</t>
        </r>
      </text>
    </comment>
    <comment ref="L33" authorId="0" shapeId="0" xr:uid="{00000000-0006-0000-0300-000002000000}">
      <text>
        <r>
          <rPr>
            <b/>
            <sz val="9"/>
            <color indexed="81"/>
            <rFont val="Tahoma"/>
            <family val="2"/>
          </rPr>
          <t>LINA.FORERO:</t>
        </r>
        <r>
          <rPr>
            <sz val="9"/>
            <color indexed="81"/>
            <rFont val="Tahoma"/>
            <family val="2"/>
          </rPr>
          <t xml:space="preserve">
Si bien se comprometieron los recursos, las actividades de los contratos suscritos estan encaminadas a las actividades previas a la implementación (tales como levantamiento de línea base, reconocimiento de áreas, prediseños y diseños)</t>
        </r>
      </text>
    </comment>
    <comment ref="L37" authorId="0" shapeId="0" xr:uid="{00000000-0006-0000-0300-000003000000}">
      <text>
        <r>
          <rPr>
            <b/>
            <sz val="9"/>
            <color indexed="81"/>
            <rFont val="Tahoma"/>
            <family val="2"/>
          </rPr>
          <t>LINA.FORERO:</t>
        </r>
        <r>
          <rPr>
            <sz val="9"/>
            <color indexed="81"/>
            <rFont val="Tahoma"/>
            <family val="2"/>
          </rPr>
          <t xml:space="preserve">
Si bien se comprometieron los recursos, las actividades de los contratos suscritos estan encaminadas a las actividades previas a la implementación (tales como levantamiento de línea base, reconocimiento de áreas, prediseños y diseños)</t>
        </r>
      </text>
    </comment>
    <comment ref="L55" authorId="0" shapeId="0" xr:uid="{00000000-0006-0000-0300-000004000000}">
      <text>
        <r>
          <rPr>
            <b/>
            <sz val="9"/>
            <color indexed="81"/>
            <rFont val="Tahoma"/>
            <family val="2"/>
          </rPr>
          <t>LINA.FORERO:</t>
        </r>
        <r>
          <rPr>
            <sz val="9"/>
            <color indexed="81"/>
            <rFont val="Tahoma"/>
            <family val="2"/>
          </rPr>
          <t xml:space="preserve">
Si bien se comprometieron los recursos, una parte de ellos se enfocan  en actividades previas a la implementación (tales como levantamiento de línea base, reconocimiento de áreas, prediseños y diseños). De otra parte, si bien el convenio 20191295 fue suscrito el 26/06/2019, éste se encuentra en la aprobación de los requisitos para iniciar la ejecución;por lo cual la implementación de acciones se realizará en el IV TRIM de 2019.</t>
        </r>
      </text>
    </comment>
    <comment ref="F56" authorId="0" shapeId="0" xr:uid="{00000000-0006-0000-0300-000005000000}">
      <text>
        <r>
          <rPr>
            <b/>
            <sz val="9"/>
            <color indexed="81"/>
            <rFont val="Tahoma"/>
            <family val="2"/>
          </rPr>
          <t>LINA.FORERO:</t>
        </r>
        <r>
          <rPr>
            <sz val="9"/>
            <color indexed="81"/>
            <rFont val="Tahoma"/>
            <family val="2"/>
          </rPr>
          <t xml:space="preserve">
Los diagnósticos y diseños son necesarios para adelantar las acciones de restauración, si bien fueron programados para algunas hectáreas en las localidades de Santa Fe, San Cristóbal y Usme, a la fecha solo se cuenta con la versión final en Santa Fe y San Cristóbal. Así, la intervención se adelantó únicamente en las zonas con diagnóstico y diseño, es decir la serranía del zuque. De otra parte, el diagnóstico y diseño para USME, se realizará en marco del convenio 1328, el cual se encuentra en etapa de conciliación en lo que se refiere a criterios técnicos entre las entidades convinientes.</t>
        </r>
      </text>
    </comment>
    <comment ref="L59" authorId="0" shapeId="0" xr:uid="{00000000-0006-0000-0300-000006000000}">
      <text>
        <r>
          <rPr>
            <b/>
            <sz val="9"/>
            <color indexed="81"/>
            <rFont val="Tahoma"/>
            <family val="2"/>
          </rPr>
          <t>LINA.FORERO:</t>
        </r>
        <r>
          <rPr>
            <sz val="9"/>
            <color indexed="81"/>
            <rFont val="Tahoma"/>
            <family val="2"/>
          </rPr>
          <t xml:space="preserve">
Si bien se comprometieron los recursos, una parte de ellos se enfocan  en actividades previas a la implementación (tales como levantamiento de línea base, reconocimiento de áreas, prediseños y diseños). De otra parte, si bien el convenio 20191295 fue suscrito el 26/06/2019, éste se encuentra en la aprobación de los requisitos para iniciar la ejecución;por lo cual la implementación de acciones se realizará en el IV TRIM de 2019.</t>
        </r>
      </text>
    </comment>
    <comment ref="L65" authorId="0" shapeId="0" xr:uid="{00000000-0006-0000-0300-000007000000}">
      <text>
        <r>
          <rPr>
            <b/>
            <sz val="9"/>
            <color indexed="81"/>
            <rFont val="Tahoma"/>
            <family val="2"/>
          </rPr>
          <t>LINA.FORERO:</t>
        </r>
        <r>
          <rPr>
            <sz val="9"/>
            <color indexed="81"/>
            <rFont val="Tahoma"/>
            <family val="2"/>
          </rPr>
          <t xml:space="preserve">
Si bien se comprometieron los recursos con la suscripción del convenio No 20191283, el 26/06/2019, la implementación de acciones se realizará en el IV TRIM de 2019.</t>
        </r>
      </text>
    </comment>
    <comment ref="L69" authorId="0" shapeId="0" xr:uid="{00000000-0006-0000-0300-000008000000}">
      <text>
        <r>
          <rPr>
            <b/>
            <sz val="9"/>
            <color indexed="81"/>
            <rFont val="Tahoma"/>
            <family val="2"/>
          </rPr>
          <t>LINA.FORERO:</t>
        </r>
        <r>
          <rPr>
            <sz val="9"/>
            <color indexed="81"/>
            <rFont val="Tahoma"/>
            <family val="2"/>
          </rPr>
          <t xml:space="preserve">
</t>
        </r>
      </text>
    </comment>
    <comment ref="L73" authorId="0" shapeId="0" xr:uid="{00000000-0006-0000-0300-000009000000}">
      <text>
        <r>
          <rPr>
            <b/>
            <sz val="9"/>
            <color indexed="81"/>
            <rFont val="Tahoma"/>
            <family val="2"/>
          </rPr>
          <t>LINA.FORERO:</t>
        </r>
        <r>
          <rPr>
            <sz val="9"/>
            <color indexed="81"/>
            <rFont val="Tahoma"/>
            <family val="2"/>
          </rPr>
          <t xml:space="preserve">
Si bien se comprometieron los recursos con la suscripción del convenio No 20191283, el 26/06/2019, la implementación de acciones se realizará en el IV TRIM de 2019.</t>
        </r>
      </text>
    </comment>
    <comment ref="L77" authorId="0" shapeId="0" xr:uid="{00000000-0006-0000-0300-00000A000000}">
      <text>
        <r>
          <rPr>
            <b/>
            <sz val="9"/>
            <color indexed="81"/>
            <rFont val="Tahoma"/>
            <family val="2"/>
          </rPr>
          <t>LINA.FORERO:</t>
        </r>
        <r>
          <rPr>
            <sz val="9"/>
            <color indexed="81"/>
            <rFont val="Tahoma"/>
            <family val="2"/>
          </rPr>
          <t xml:space="preserve">
Si bien se comprometieron los recursos con la suscripción del convenio No 20191283, el 26/06/2019, la implementación de acciones se realizará en el IV TRIM de 2019.</t>
        </r>
      </text>
    </comment>
    <comment ref="L91" authorId="0" shapeId="0" xr:uid="{00000000-0006-0000-0300-00000B000000}">
      <text>
        <r>
          <rPr>
            <b/>
            <sz val="9"/>
            <color indexed="81"/>
            <rFont val="Tahoma"/>
            <family val="2"/>
          </rPr>
          <t>LINA.FORERO:</t>
        </r>
        <r>
          <rPr>
            <sz val="9"/>
            <color indexed="81"/>
            <rFont val="Tahoma"/>
            <family val="2"/>
          </rPr>
          <t xml:space="preserve">
Si bien se comprometieron los recursos, las actividades de los contratos suscritos estan encaminadas a las actividades previas a la implementación (tales como levantamiento de línea base, reconocimiento de terreno, acuerdos de voluntades y diseño de incentivos). y se planea intervenir en el IV trim de 2019.</t>
        </r>
      </text>
    </comment>
  </commentList>
</comments>
</file>

<file path=xl/sharedStrings.xml><?xml version="1.0" encoding="utf-8"?>
<sst xmlns="http://schemas.openxmlformats.org/spreadsheetml/2006/main" count="892" uniqueCount="378">
  <si>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</si>
  <si>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</si>
  <si>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</si>
  <si>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</si>
  <si>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</si>
  <si>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</si>
  <si>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</si>
  <si>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</si>
  <si>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</si>
  <si>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</si>
  <si>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</si>
  <si>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</si>
  <si>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</si>
  <si>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</si>
  <si>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</si>
  <si>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</si>
  <si>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</si>
  <si>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</si>
  <si>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</si>
  <si>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</si>
  <si>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</si>
  <si>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</si>
  <si>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</si>
  <si>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</si>
  <si>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</si>
  <si>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</si>
  <si>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</si>
  <si>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</si>
  <si>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</si>
  <si>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</si>
  <si>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</si>
  <si>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</si>
  <si>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</si>
  <si>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</si>
  <si>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</si>
  <si>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</si>
  <si>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</si>
  <si>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</si>
  <si>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</si>
  <si>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 MP1</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</si>
  <si>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</si>
  <si>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</si>
  <si>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</si>
  <si>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</si>
  <si>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</si>
  <si>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</si>
  <si>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</si>
  <si>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</si>
  <si>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</si>
  <si>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</si>
  <si>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</si>
  <si>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</si>
  <si>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</si>
  <si>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</si>
  <si>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</si>
  <si>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</si>
  <si>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</si>
  <si>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</si>
  <si>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</si>
  <si>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</si>
  <si>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</si>
  <si>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</si>
  <si>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</si>
  <si>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</si>
  <si>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</si>
  <si>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</si>
  <si>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</si>
  <si>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</si>
  <si>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</si>
  <si>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</si>
  <si>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</si>
  <si>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</si>
  <si>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</si>
  <si>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</si>
  <si>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</si>
  <si>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</si>
  <si>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</si>
  <si>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</si>
  <si>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</si>
  <si>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</si>
  <si>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</si>
  <si>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</si>
  <si>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</si>
  <si>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</si>
  <si>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</si>
  <si>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</si>
  <si>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</si>
  <si>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</si>
  <si>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</si>
  <si>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</si>
  <si>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</si>
  <si>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</si>
  <si>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</si>
  <si>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</si>
  <si>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</si>
  <si>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</si>
  <si>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</si>
  <si>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</si>
  <si>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</si>
  <si>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</si>
  <si>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</si>
  <si>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</si>
  <si>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</si>
  <si>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</si>
  <si>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</si>
  <si>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TOTAL RECURSOS VIGENCIA</t>
  </si>
  <si>
    <t>TOTAL MAGNITUD</t>
  </si>
  <si>
    <t>Usaquén</t>
  </si>
  <si>
    <t xml:space="preserve">NUMERO INTERSEXUAL </t>
  </si>
  <si>
    <t>Diciembre</t>
  </si>
  <si>
    <t>Septiembre</t>
  </si>
  <si>
    <t>Junio</t>
  </si>
  <si>
    <t>Marzo</t>
  </si>
  <si>
    <t xml:space="preserve">6, ACTUALIZACIÓN </t>
  </si>
  <si>
    <t>3, Nombre -Punto de inversión (Escala: Localidad, Especial, Distrital)
Breve descripción del punto de inversión.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</si>
  <si>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</si>
  <si>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</si>
  <si>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</si>
  <si>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</si>
  <si>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</si>
  <si>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</si>
  <si>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</si>
  <si>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</si>
  <si>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</si>
  <si>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</si>
  <si>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</si>
  <si>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</si>
  <si>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</si>
  <si>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</si>
  <si>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</si>
  <si>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</si>
  <si>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</si>
  <si>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</si>
  <si>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</si>
  <si>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</si>
  <si>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</si>
  <si>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</si>
  <si>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</si>
  <si>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</si>
  <si>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PROGRAMACIÓN, ACTUALIZACIÓN Y SEGUIMIENTO DEL PLAN DE ACCIÓN
Actualización y seguimiento a territorialización de la inversión</t>
  </si>
  <si>
    <t>DIRECCIONAMIENTO ESTRATÉGICO</t>
  </si>
  <si>
    <t>7, SEGUIMIENTO</t>
  </si>
  <si>
    <t xml:space="preserve">Dirección de Gestión Ambiental </t>
  </si>
  <si>
    <t>1150 Implementación de acciones del plan de manejo de la franja de adecuación y la reserva forestal protectora de los cerros orientales en cumplimiento de la sentencia del Consejo De Estado</t>
  </si>
  <si>
    <t xml:space="preserve">6 - Sostenibilidad Ambiental basada en eficiencia energética </t>
  </si>
  <si>
    <t>39 - Ambiente sano para la equidad y disfrute ciudadano</t>
  </si>
  <si>
    <t>IMPLEMENTACIÓN DE ACCIONES DEL PLAN DE MANEJO DE LA FRANJA DE ADECUACIÓN Y LA RESERVA FORESTAL PROTECTORA DE LOS CERROS ORIENTALES</t>
  </si>
  <si>
    <t>Plan de manejo de la franja de adecuación y la Reserva Forestal Protectora de los cerros orientales en proceso de implementación</t>
  </si>
  <si>
    <t>% de avance de los planes de manejo</t>
  </si>
  <si>
    <t>Porcentaje</t>
  </si>
  <si>
    <t>Creciente</t>
  </si>
  <si>
    <t xml:space="preserve">De acuerdo a reunión sostenida el 31 de agosto de 2016 entre la Secretaria Distrital de Planeación-SDP  y la Secretaria Distrital de Ambiente-SDA, y por recomendación de la SDP;  a partir de la vigencia 2017 el proyecto de inversión 1150 denominado "Implementación de acciones del plan de manejo de la franja de adecuación y la reserva protectora de los cerros orientales en cumplimiento de la sentencia del Consejo de Estado", pasara del proyecto estratégico 179 " Ambiente Sano" al proyecto estratégico 180 "Recuperación y proyección del río Bogotá y cerros orientales". La anterior recomendación surge, debido a que se realizó una errónea asociación del proyecto de inversión frente a su proyecto estratégico y después de evaluarla nuevamente se encuentra que el proyecto estratégico 180,  fue creado con el fin de dar cuenta de las acciones y recursos asignados para dar respuesta a lo ordenado en la sentencia de cerros orientales. </t>
  </si>
  <si>
    <t>RECUPERACIÓN Y PROTECCIÓN DEL RÍO BOGOTÁ Y CERROS ORIENTALES</t>
  </si>
  <si>
    <t>Porcentaje de implementación del plan de manejo de la franja de adecuación y la Reserva Forestal Protectora de los cerros orientales</t>
  </si>
  <si>
    <t xml:space="preserve">Apropiación del territorio por parte de las comunidades de las zonas piloto de la Franja de Adecuación y zonas aledañas; adicionalmente la implementación de las iniciativas se convierte en un incentivo que permite el mejoramiento de las condiciones socioeconómicas de los pobladores de la Franja. Incidir mediante  la búsqueda de financiación con el sector privado para el apoyo de iniciativas y emprendimientos sociales.
Las acciones adelantadas en el marco del procedimiento de adquisición predial contribuyen al cumplimiento de lo dispuesto en el Decreto 485 de 2015 por el cual se adopta el plan de manejo ambiental de la Franja de Adecuación, en concordancia con la sentencia del Consejo de Estado para la Protección de los Cerros orientales. 
Zonas intervenidas con acciones para evitar la ocurrencia de incendios forestales y mitigar los efectos en caso de que se presenten. Acciones para restaurar las zonas invadidas de retamo y afectadas por el fuego. 
Consolidación del Área de Ocupación Prioritaria de la Franja de Adecuación, aportando a la conservación y recuperación de Ecosistemas y cumplimiento del Plan de Manejo planteado en el Decreto 485 de 2015.
Conexión ecológica entre la franja de adecuación y reserva forestal bosque oriental.
</t>
  </si>
  <si>
    <t xml:space="preserve">Actas de reunión, Informes mensuales, Informes técnicos registro fotográfico, cartografía y acta de Acuerdo de Voluntades suscrita.
</t>
  </si>
  <si>
    <t xml:space="preserve">Demoras en contactar propietarios y falta de interés </t>
  </si>
  <si>
    <t>Apoyo a la Secretaría Distrital de Ambiente, por parte de la EAAB.</t>
  </si>
  <si>
    <r>
      <t>La implementación del plan de manejo corresponde a</t>
    </r>
    <r>
      <rPr>
        <sz val="10"/>
        <color rgb="FFFF0000"/>
        <rFont val="Arial"/>
        <family val="2"/>
      </rPr>
      <t xml:space="preserve"> </t>
    </r>
    <r>
      <rPr>
        <sz val="10"/>
        <rFont val="Arial"/>
        <family val="2"/>
      </rPr>
      <t>32.81</t>
    </r>
    <r>
      <rPr>
        <sz val="10"/>
        <color theme="1"/>
        <rFont val="Arial"/>
        <family val="2"/>
      </rPr>
      <t>% en lo avanzado del PDD y sus acciones se realizan en 5 componentes:
Avances III trim 2019:1.)SOCIAL:2019.Gestión para implementar 1 iniciativa/vincular 3 grupos sociales.2)PREDIAL:Oferta para notificacion de compraventa RT 10. RT 17 en revision juridica.3.)INCENDIOS FORESTALES:Planeación y contratación para intervenir en IV trim.4.)INCENTIVOS: Finalización de control retamo y plantación 2000 árboles. Plantación 581 árboles (0.5 ha) en Carabineros.Acuerdo Voluntades Santa Teresita.Contacto con Gimnasio Femenino.Reunión predio Soratama.5.)RESTAURACIÓN: Intervención 0,6 ha en serranía del Zuque.Identificacion de areas de intervención Consolidación de línea base de habilitación y restauración. Línea base para intervención y mantenimiento integral de senderos en la Serranía El Zuque.
El avance en PDD es:1.) SOCIAL: 2016.Vinculación 1grupo/1 iniciativa.2017.Vinculación 2grupos/1iniciativa. Ecotravesía.2018: Implementación 1grupo/1iniciativa. Implementación túnel ambiental. 2019.Selección 1 iniciativa/Vinculación 3grupos.2.)PREDIAL: 2016.identificación técnica de 44 predios.2017.Estudios títulos 44 predios.2018.Levantamientos topográficos 4 predios.3 predios priorizados. Decreto Distrital 798/2018. 2019.Avalúos de referencia y avalúos comerciales RT10 y RT17, en tramite de notificacion de ofertas por enajeacion voluntaria.3)INCENDIOS FTALES:77,75ha: 2016: adecuación 1ha incendiada.2017:control inicial retamo 4ha; mantenimiento retamo 53,66ha; restauración 3,09ha área incendiada.2018.2ha restauración área incendiada; 7,1ha control inicial retamo.2019.control inicial retamo 4,4ha; 2,5 ha restauración área incendiada. 4).INCENTIVOS:2016.implementación 2ha. 2017,diseño incentivos 8 ha. 2018.Implementación 8ha y seguimiento,selección 2 predios.2019: Control retamo (5ha) y plantación 2000 árboles en La Primavera. Restauración Carabineros 1 ha (766 árboles). Definición área Intervención y borrador Acta Acuerdo Voluntades.Reunión predio Soratama.5.) RESTAURACIÓN: 2016: restauración en 0.6ha, 0.16ha recuperación senderos.2017.Apoyo a acciones de restauración en 0.6ha (CAR-Red de Colegios Cerros Orientales e IDIPRON). Priorización y prediseño de actividades a implementar en 1ha de cantera en Zuque, 9,4ha de restauración y 1.2ha de senderos.2018:Actividades con IDIPRON y FDLSC para intervenir 1 cantera y realizar restauración.Se aunó esfuerzos con Aguas de Bogotá, la Empresa de Acueducto y Alcantarillo de Bogotá y el Instituto Distrital de Turismo para intervenir 1.64ha de senderos.2019.Intervención 50 ha con acciones de restauración en Serranía del Zuque. Intervención 3 ha de cantera con manejo paisajístico y restauración ecológica.Consolidación de línea base y evaluación de criterios para intervención en acciones de restauración, habilitación de cantera.Priorizaron de senderos en la Serranía El Zuque para intervención, consolidación de línea base y presupuesto preliminar en marco de Contrato No.92017.</t>
    </r>
  </si>
  <si>
    <t>Demoras en la concertación del acuerdo de voluntades con los propietarios de los predios ubicados en la localidad de Usaquen.</t>
  </si>
  <si>
    <t>Dirección de Gestión Ambiental</t>
  </si>
  <si>
    <t>HABILITACIÓN DE ESPACIOS PARA EL DISFRUTE DE LA OFERTA NATURAL DE LOS CERROS ORIENTALES</t>
  </si>
  <si>
    <t>GESTIONAR  100% EL PLAN DE  ADQUISICIÓN DE PREDIOS PRIORIZADOS EN LOS CERROS ORIENTALES</t>
  </si>
  <si>
    <t>Para el III trimestre de 2019, con recursos de vigencia se recibieron los avaluos comerciales y se tramita la notificacion de ofertas de compraventa a propietario del RT 10 y RT 17, es necesario revisar estudio de titulos de linderos de los predios.
En 2016 se realizó la caracterización y priorización, generando un resultado de 44 predios para el estudio de títulos. 
Para la vigencia del 2017, con recursos de reserva se realizaron los estudios de títulos de los cuarenta y cuatro (44) predios priorizados. Así mismo, se realizó la priorización de estos mismos predios conforme a la viabilidad jurídica. Así mismo se contó con el Informe técnico de afectación minera y/o pasivos ambientales) de 7 predios priorizados, ubicados en la Localidad de Usaquén, Santafé y Usme. Adicionalmente, se entregaron los insumos técnicos necesarios para realizar los levantamientos topográficos de cuatro predios priorizados. 
Para el 2018. Se reciben los avalúos comerciales de los RT 10-CHIP AAA0142LCOE, RT 17-CHIP AAA0142LCKL y RT 30-CHIP AAA0156LEMR equivalente a un área total de 32ha, en zona de franja de adecuación, lo anterior con recursos de reserva. Se anuncia y expide el proyecto de declaratoria de utilidad pública. Se inicia el proceso para realizar avalúos de referencia por parte de Catastro Distrital. 
En lo corrido del 2019, se reciben los avalúos comerciales y se procede realizar la notificacion de las oferta de compra RT 10, y RT; 17 en revision juridica de cabida y linderos de escrituras anteriores ambos predios. Se realiza mesa de trabajo con Catastro para dar mayor celeridad al proceso de recibir la justificación del resultado obtenido del valor de referencia del suelo, segun lo establecido en el proyecto de declaratoria de utilidad pública en cerros orientales mediante el Decreto Distrital 798 de 2018.</t>
  </si>
  <si>
    <t>N.A</t>
  </si>
  <si>
    <t>N.A.</t>
  </si>
  <si>
    <t xml:space="preserve">Las acciones adelantadas contribuyen al cumplimiento de lo dispuesto en el decreto 485 de 2015 por el cual se adopta el plan de manejo ambiental de la Franja de Adecuación, en concordancia con la sentencia del Consejo de Estado para la Protección de los Cerros orientales 
Consolidar el área de ocupación público prioritaria de la franja de adecuación, como un espacio que amplié la oferta ambiental del Distrito Capital y permita una transición armónica entre la zona urbana y el área protegida. 
</t>
  </si>
  <si>
    <t xml:space="preserve">Informes técnicos actualizados de los avalúos comerciales entregados por parte de la Unidad Administrativa Especial Catastro Distrital RT 17 y RT 10 referencia 20193034-20193035
Oficios de solicitud de ajuste y actualizacion de areas con base en los avaluos comerciales entregados por parte de Catastro
Formato de recibo de conformidad de los avalúos comerciales RT 30, RT 10, RT 17.
Solicitud de avalúo comercial de área remanente RT 17
Solicitud mediante oficio ante Catastro avalúos de referencia
Solicitud mediante oficio ante Catastro capacitación de plataforma digital para radicación de avalúos comerciales
Actualizacion y ajuste promesa de compraventa RT 10 y RT 17
</t>
  </si>
  <si>
    <t>ADQUIRIR  25 HECTÁREAS DE PREDIOS PRIORIZADOS EN LOS CERROS ORIENTALES</t>
  </si>
  <si>
    <t>Suma</t>
  </si>
  <si>
    <t xml:space="preserve">Para el III Trimestre de 2019, se inicia tramite notificacion de adquisición predial del RT 10, tomando como insumos la actualización de los avalúos comerciales y ajuste en los valores de referencia, entregados por Catastro Distrital. RT 17 se debe revisar el estudio de titulos de las escrituras anteriores del inmueble para definir el area a adquirir.
En el 2017, con recursos de vigencia, fueron entregados los productos técnicos necesarios para la realización de los levantamientos topográficos de los con CHIP: AAA0142LCOE de 22,5 ha, CHIP AAA0142LCKL de 6,2ha y el CHIP AAA0156KNUH de 7,1ha. 
En la vigencia 2018, con recursos de 2017 se reciben 4 levantamientos topográficos (38ha) para la gestión predial de los predios priorizados. Se realizan los avalúos comerciales de RT 30, RT 10 y RT 17. Se reciben dichos productos para iniciar gestión predial con base en el proyecto de utilidad pública y se inicia contrato interadministrativo con el fin de realizar los respectivos avalúos de referencia por parte Catastro.
En lo corrido del 2019, con base en las actividades de gestión predial programadas se realiza notificacion a propieatrios de las ofertas formales de compra por enajenación voluntaria. </t>
  </si>
  <si>
    <t xml:space="preserve">Retraso en la revision juridica para actualizacion de cabida y linderos del predios RT 17 </t>
  </si>
  <si>
    <t>Mesa de trabajo conjunta con la Empresa de Acueducto para adelntar la revison de cabida y linderos del predio</t>
  </si>
  <si>
    <t xml:space="preserve">Dar mayor celeridad a la gestion predial de adquisicion 
Dar cumplimiento a la sentencia del Consejo de Estado para la Protección de los Cerros orientales.
Consolidar la franja de adecuación de la Reserva forestal del Bosque oriental de Bogotá como un espacio que amplié la oferta de servicios medioambientales al Distrito Capital. </t>
  </si>
  <si>
    <t>Documento versión actualizada y sus respectivos anexos jurídicos del proyecto de declaratoria de utilidad publica
Oferta formal compraventa  RT 10 para notificacion a propietario titular del dominio
Borrador Oferta formal compraventa RT 17
Acta de asistencia a reunion EAAB</t>
  </si>
  <si>
    <t xml:space="preserve">HABILITAR  4 HECTÁREAS   DE REDES DE SENDEROS ECOLÓGICOS SECUNDARIOS EN LOS CERROS ORIENTALES </t>
  </si>
  <si>
    <r>
      <t xml:space="preserve">Para el III trimestre de 2019, con recursos de vigencia, se consolidó la línea base para el mantenimiento del sendero priorizado en la Localidad de San Cristóbal y se unificó con el presupuesto preliminar estimado en el Contrato No.92017. Con recursos de reserva, finalizó la etapa de diseños arquitectónicos y paisajísticos de los senderos de la Quebrada Las Delicias y del Cerro Guadalupe-Cerro Aguanoso, y se está a la espera de la aprobación de estos por parte del Comité Técnico para dar inicio en el IV trimestre.
Para la vigencia 2016, se adelantaron acciones de restauración en 0.16 ha ubicadas en el camino que conduce al aula ambiental Soratama.
Para la vigencia 2017, se identificó la red de senderos existentes en la cartografía de la Franja de Cerros para mantenimiento y adecuación. Se definió realizar el diagnóstico de 1 tramo de sendero para mantenimiento del Parque del Agua (desde el río San Francisco-Vichachá hasta el circuito de la Quebrada La Leona, 1.7 km) priorizado en la reunión interinstitucional con EAAB ESP y CAR. Se contrató la habilitación del sendero Zuque-Corinto en 1.2 ha.
Para la vigencia 2018, se identificaron los senderos del Cerro Guadalupe-Cerro Aguanoso y de la Quebrada Las Delicias, los cuales serán intervenidos con el Convenio SDA-CV-20181473 que tiene fecha de acta de inicio el día 21 de diciembre de 2018. Con este Convenio se intervendrán al menos 1.64 ha de senderos.
En lo corrido del año 2019, se realizó el levantamiento topográfico de los senderos y se presentará en el próximo Comité Técnico los diseños definitivos de los mismos para su aprobación. Así mismo, se hizo el análisis predial de los senderos del Convenio, y se finalizó el estudio geotécnico e hidráulico. Con recursos de vigencia, se unificó la información de la línea base para la intervención del sendero priorizado en la localidad de San Cristóbal. </t>
    </r>
    <r>
      <rPr>
        <sz val="7"/>
        <rFont val="Arial"/>
        <family val="2"/>
      </rPr>
      <t>Se dio incio a la elaboración de los documentos precontractuales de meta 2019.</t>
    </r>
  </si>
  <si>
    <t>Retraso en la aprobación de las actividades del diseño definitivo por parte de la Interventoría contratada por el Ejecutor.</t>
  </si>
  <si>
    <t>En Comité Técnico se modificó el Cronograma para disminuir los tiempos de aprobación para dar inicio con las actividades de ejecución en campo.</t>
  </si>
  <si>
    <t>Dar cumplimiento al Plan de Manejo, adoptado por la Administración Distrital mediante el Decreto
485 de 2015, para dar conectividad ecológica y disfrute a la ciudadanía.</t>
  </si>
  <si>
    <t>1. Informes mensuales 01, 02 y 03 - Convenio Interadministrativo SDA-CV-20181473.
2. Informe mensual 04 - Convenio Interadministrativo SDA-CV-20181473.
3. Presentación Comité Técnico 6 - Convenio Interadministrativo SDA-CV-20181473.</t>
  </si>
  <si>
    <t>HABILITAR 5 HECTÁREAS DE UNA CANTERA EN LOS CERROS ORIENTALES PARA EL DISFRUTE DE LA OFERTA NATURAL</t>
  </si>
  <si>
    <t xml:space="preserve">En el lll trimestre de 2019, con recursos de reserva, se adelantarón visitas para la elaboración de diseños en la hectarea (1) a ejecutar a travez del convenio 20171328, en el área priorizada de la serrania del Zuque, para lo cual EAAB ESP cuenta con los profesionales que adelantarán el diseño. Con recursos de vigencia, en septiembre con el convenio 12952019, se identificó el área de intervención y se inicia la formulación de diseños para 1 ha de la cantera del zuque. 
Para 2016, la meta no contaba con programación. 
Para 2017, se realizó el proceso de identificación y priorización de 1 ha de cantera ubicada en la serranía del Zuque, como área de intervención. 
En 2018, se realizó el diagnostico, planeación y elaboración de diseños de 1ha de cantera. Se identifican y diseñan, en conjunto con IDIPRON y FDLSC la intervención de 3 ha de la cantera del Zuque. Inició la adecuación de una vía de acceso, estabilización de taludes y control de exóticas invasoras en 1 ha de la Serranía del Zuque
En 2019, se intervinieron 3 ha con acciones de control de exóticas y establecimiento de material vegetal.
En 2019, se adelantaron visitas para la elaboración de diseños en la hectarea a ejecutar a travez del convenio 20171328, en el área priorizada de  la serrania del Zuque, para lo cual ya se cuenta con los profesionales que adelantarán el diseño. En el mes de septiembre con el convenio 12952019, se identifica el área de intervención y se inicia la formulación de diseños para 1 ha de la cantera del zuque. </t>
  </si>
  <si>
    <t>Se presentarón  retrasos debido a la disparidad de criterios técnicos, sin embargo a la fecha ya se armonizan los criterios entre las entidades para iniciar la etapa de diseño  en el convenio 20171328. 
Así mismo, recientemente se suscribio el convenio 20191295 del cual en el mes de Julio se suscribe el acta de inicio y inicia  la intervención de (1) hectarea de cantera en el zuque, con la identificación y diseño..</t>
  </si>
  <si>
    <t xml:space="preserve">Respecto a los retrasos debido a la disparidad de criterios técnicos en el convenio 20171328 , se adelantarón  mesas de trabajo de los equipos técnicos de las entidades, a fin de subsanar las diferencias e iniciar la fase de implementación.
Para el convenio 20191295 se adelanta la suscripción del acta de inicio, se adelantó la identificación y se trabaja en el diseño de intervención, se  proyecta el inicio de actividades para el mes de octubre.
</t>
  </si>
  <si>
    <t>Conectividad ecológica y disfrute ciudadano.
Agilidad en el proceso de concertación.</t>
  </si>
  <si>
    <t xml:space="preserve">1. Informes mensuales de ejecución convenio 0312018.
2. Acta de inicio del convenio 12952019.
</t>
  </si>
  <si>
    <t>APROPIACIÓN SOCIAL POR PARTE DE GRUPOS DE INTERÉS PARA LA CONSERVACIÓN DE LOS CERROS ORIENTALES</t>
  </si>
  <si>
    <t>VINCULAR 10 GRUPOS DE INTERÉS EN LA CONSERVACIÓN  CERROS IMPLEMENTANDO 5 INICIATIVAS  AMBIENTALES  PARA LA APROPIACIÓN SOCIAL.</t>
  </si>
  <si>
    <t>En III Trimestre 2019, con recursos de reserva continúa la implementación de la iniciativa "Nuestros Cerros" programando los eventos culturales y continuando con la elaboración del mural.Así mismo, se realizó 1 capacitación en restauración, dando inicio a la implementación de la iniciativa en Zuque-Corinto. Con recursos de Vigencia, se vincularon 3 grupos de interés ambiental, y se continúan las gestiones para realizar la implementación de la iniciativa "Las violetas" en la Zona Prioritaria Conexión Entrenubes.
En 2016 se vinculó un grupo conformado por juntas de Acción Comunal de 4 Barrios, como proponentes iniciativas recuperando el corazón de la mariposa.
En 2017 se implementó 1 componente de la iniciativa Recuperando el Corazón de la Mariposa, desarrollando 3 talleres:  restauración, manejo y conservación de fuentes hídricas; manejo de residuos sólidos y separación en la fuente. Se realizó la caracterización socioeconómica del Parque del Agua y Zuque. Se seleccionaron 2 iniciativas en las zonas Parque del Agua y Zuque-Corinto, acompañando el proceso de ajuste y la espacialización de las áreas a intervenir. Se realizó la Eco travesía por los Cerros Orientales vinculando comunidad del Verjón. Se realizó el guion para el túnel ambiental en procura de la apropiación social de los cerros y se actualizó la matriz de actores sociales e iniciativas de las 4 zonas prioritarias. En 2018,con recursos de reserva terminó la implementación de la iniciativa "Recuperando el Corazón de la Mariposa". Con recursos de vigencia, se diseñó e implementó un proceso de formación en agricultura urbana e implementó el túnel ambiental. Inicia la implementación de iniciativa "Nuestros Cerros" realizando la instalación de la señalética (10 paneles de información taxonómica y 2 vallas tipo 2 para la delimitación de la Franja). 2019. Continúa la implementación de la iniciativa "Nuestros Cerros",  comienza   implementación en "Zuque-Corinto" y las gestiones de implementación en "Las Violetas"</t>
  </si>
  <si>
    <t>Apropiación del territorio, por parte de las comunidades asentadas en la Franja de Adecuación, de tal forma que se conviertan en  nuestros principales aliados en el cuidado y la conservación  de sus ecosistemas; además del establecimiento de una corresponsabilidad por los beneficios que les brindan los Cerros Orientales. La implementación de la iniciativa, se convierte en un incentivo que permite el mejoramiento de las condiciones socioeconómicas de los pobladores de la Franja.         
Incidir mediante  la búsqueda de financiación con el sector privado para el apoyo de iniciativas y emprendimientos sociales.</t>
  </si>
  <si>
    <t xml:space="preserve">Actas de reuniones.
Registro Fotográfico de las Salidas de campo Conexión Entrenubes y Bosquejos para elaborar el mural
Polígonos susceptibles para intervención Entrenubes.
Documento  de caracterización socioeconómica Entrenubes.
Documento de Informe de  actividades realizadas con el Túnel Ambiental
</t>
  </si>
  <si>
    <t xml:space="preserve">RESTAURACIÓN, MANEJO Y CONSERVACIÓN DE COBERTURAS VEGETALES </t>
  </si>
  <si>
    <t>RESTAURAR Y MANTENER   80 HA EN EL BOSQUE ORIENTAL DE BOGOTÁ CON PARTICIPACIÓN DEL SECTOR PRIVADO.</t>
  </si>
  <si>
    <t>En el III trimestre de 2019, con recursos de vigencia se aunan esfuerzos y suscribe el convenio 12952019, se identifica el área de intervención de 10 ha en el predio "La Calera Monserrate 1". Con el convenio 0312018 se intervienen en septiembre 0,6 ha en la serrania del Zuque.
En 2016, se adelantaron acciones de restauración en 0,5 ha en la cantera del Zuque y 0,1 ha en el parque nacional Enrique Olaya Herrera. 
En 2017 se realizó la identificación y priorización de 9,4 hectáreas en franja de adecuación en los predios Serranía del Zuque (5 ha) y Tanque de los Alpes (5 ha). 
En 2018, con recursos de reserva se realizó el inventario forestal en el predio Hoya de San Cristóbal y sendero Parque del Agua. Con recursos de vigencia, se aunaron esfuerzos técnicos con IDIPRON y el FDLSC para la intervención en 50 ha ubicadas en la serranía del Zuque. 
En 2019, para la ejecución del convenio 20171328, se adelanó ajuste de las áreas de intervención (10 Ha ) ubicadas en el área de franja de adecuación de los predios "Quebrada la vieja", "Santa Isabel 1"   y  "Vitelma", que reemplazan a Serranía del Zuque. Con el convenio 0312018 se implementan los diseños e intervienen 0,6 ha en la serranía del Zuque, con el control de exóticas y plantación de especies nativas. Con recursos de la vigencia se aunan esfuerzos y suscribe el convenio 12952019, se identifica el área de intervención de 10 ha en el predio "La Calera Monserrate 1".</t>
  </si>
  <si>
    <t>Se presentan retrasos debido a la disparidad de criterios técnicos que permitirán la consolidación de los diseños definitivos en el convenio 20171328. Así mismo, recientemente se suscribio el convenio 20191295 del cual en el mes de septiembre  o inicios de octubre, se espera inciar la actividad de campo.</t>
  </si>
  <si>
    <t xml:space="preserve">Respecto a los retrasos debido a la disparidad de criterios técnicos en el convenio 20171328 , se adelantarón  mesas de trabajo de los equipos técnicos de las entidades, a fin de subsanar las diferencias e iniciar la fase de implementación.
Para el convenio 20191295 se adelantó la suscripción del acta de inicio en la segunda semana del mes de julio.
Adelantar la concertación y armonización de criterios técnicos. </t>
  </si>
  <si>
    <t>Generar la conexión ecológica</t>
  </si>
  <si>
    <t xml:space="preserve">1. Informes mensuales de ejecución convenio 0312018.
2 Acta de inició convenio 12952019
</t>
  </si>
  <si>
    <t>En el III trimestre de 2019 se realizaron acciones de planeación y contratación, orientadas a intervenciones en número de hectáreas, en el marco de un convenio (20191283).
En 2016, se adecuó 1 ha afectada por incendio forestal (Parque Nacional Enrique Olaya Herrera). 
En 2017, con reservas, se trabajó en 43,62 ha y con recursos de vigencia se intervinieron 17,13 ha. (total 2017: 60,75).
En 2018, con recursos de reserva, se intervinieron 8 ha y con recursos de vigencia 1,1 ha (total 2018: 9,1 ha).
En 2019, con recursos de reserva, se intervinieron 6,9 ha (4,4 ha de control inicial de retamo y 2,5 ha afectadas por incendio forestal).</t>
  </si>
  <si>
    <t xml:space="preserve">Recuperación de los ecosistemas nativos, mediante las acciones para restaurar las zonas invadidas de retamo. 
</t>
  </si>
  <si>
    <t>Informes de convenio, actas de comité de convenio.</t>
  </si>
  <si>
    <t>DESARROLLAR EN 40 HA INCENTIVOS PARA LA CONSERVACIÓN DE COBERTURAS VEGETALES</t>
  </si>
  <si>
    <t>Durante el III trimestre de 2019, con recursos de reserva, finalizó la implementación en el Predio la Primavera, control de retamo en 5 ha y plantación de 2000 árboles en total; así mismo, se realizó restauración en Carabineros de 0.5  ha (581 árboles) y control rebrotes eucalipto, se realizó visita al vivero de Soratama con la Universidad del Bosque, pues facilitarán el contacto con el Gimnasio Femenino. Reunión con propietario del predio en Soratama para definir interés en trabajar con incentivos. Con recursos de vigencia, se realizó reunión con el propietario del predio Hacienda Santa Teresita y la EAAB para establecer implementación en el predio.  Se elaboró borrador de Acuerdo de Voluntades 
En la vigencia 2016, se identificaron, delimitaron y priorizaron 4 zonas en Franja; caracterización biológica de la zona de Soratama; se seleccionó predio; Jornada ambiental para revitalización de la franja. 
En la vigencia 2017, final polígonos zonas prioritarias. Salidas caracterización biológica de Parque del Agua, Zuque y Entrenubes. Modificación Acta de Acuerdo. Diseño de restauración y manejo. Jornadas lúdicas Parque del Agua y Zuque. Documento definitivo caracterización biológica Parque del Agua, borrador final caracterización de Zuque. Inicio contrato implementación incentivos; se implementaron 2 ha. 
En la vigencia 2018, implementación restauración pasiva y activa en 8 ha. Con recursos de vigencia, selección predios Zuque (7ha), diseños restauración predios, Convenio No. 031 de 2018 con IDIPRON y la Alcaldía de San Cristóbal para la implementación 15 ha.AQ51
En la vigencia 2019,  con recursos de la reserva, cronograma implementación, plantación 766 árboles Carabineros (1 ha),  suscripción Acta Acuerdo, control retamo en 5 ha, plantación 2000 árboles y capacitación en La Primavera. Con recursos de vigencia, se realizó visita nuevo predio, se realizó reunión con el propietario, definición área efectiva implementación y  revisión  borrador Acta Acuerdo.</t>
  </si>
  <si>
    <t xml:space="preserve">Apoyo a la Secretaría Distrital de Ambiente, por parte de la EAAB </t>
  </si>
  <si>
    <t xml:space="preserve">Consolidación del Área de Ocupación Prioritaria de la Franja de Adecuación, aportando a la conservación de Ecosistemas su recuperación y el cumplimiento del Plan de Manejo planteado en el Decreto 485 de 2015. </t>
  </si>
  <si>
    <t>Actas de reunión, registro fotográfico, cartografía</t>
  </si>
  <si>
    <t>PAGO VIGENCIAS ANTERIORES FENECIDAS</t>
  </si>
  <si>
    <t>PAGAR 100 % COMPROMISOS DE VIGENCIAS ANTERIORES FENECIDAS</t>
  </si>
  <si>
    <t>Constante</t>
  </si>
  <si>
    <t>Para el trimestre III, se cuenta con los respectivos avances según los pagos establecidos: pago 1 (100%), pago 2 (90%), pago 3 (100%), cuarto pago (90%), quinto pago (50%) y sexto pago (25%).
Se han revisado informes financieros y administrativos para los pagos 1, 2, 3, 4 y 5. Así, se efectuó el primer pago; para el segundo y tercer pago pago se gestionó la resolución que reconoce el pago, la solicitud de expedición de CDP, resolución que reconoce y ordena el pago, el acta de recibo parcial e IAAP.
A menara detallada, se han recibido informes técnicos de topografía, componente diseños, geología, geotecnia, restauración ecológica, administrativo y socioeconómico; así como los informes del ítem normativo y permisos; y se han revisado informes financieros y administrativos para el primer, segundo, tercer, cuarto y quinto pago.</t>
  </si>
  <si>
    <t>Demora en la entrega de los productos según cronograma propuesto por el contratista.</t>
  </si>
  <si>
    <t>Se realizará seguimiento permanente a la ejecución del contrato a través de reuniones semanales con el contratista.</t>
  </si>
  <si>
    <t>Consolidación del Área de Ocupación Prioritaria de la Franja de Adecuación, aportando a la conservación de Ecosistemas su recuperación y el cumplimiento del Plan de Manejo planteado en el Decreto 485 de 2015.</t>
  </si>
  <si>
    <t>Acta de inicio, acta de reunión, cronograma y acta de salida.</t>
  </si>
  <si>
    <t>MANEJAR 89 HA COMO ESTRATEGIA DE PREVENCIÓN Y MITIGACIÓN DE INCENDIOS FORESTALES</t>
  </si>
  <si>
    <t>1, Elaboración de avaluos de predios seleccionados</t>
  </si>
  <si>
    <t>X</t>
  </si>
  <si>
    <t xml:space="preserve">2, Gestión requerida para la adquisición predial de la SDA </t>
  </si>
  <si>
    <t>ADQUIRIR 25 HA DE PREDIOS PRIORIZADOS EN LOS CERROS ORIENTALES</t>
  </si>
  <si>
    <t>3,  Revisión y aprobación de los avalúos de predios seleccionados</t>
  </si>
  <si>
    <t>4, Gestion predial para la solicitud del Certificado de Disponibilidad Presupuestal que respaldará ofertas formales de adquisición</t>
  </si>
  <si>
    <t>5, Proceso de oferta de compraventa mediante enajenación voluntaria</t>
  </si>
  <si>
    <t>6, Adquisición predial</t>
  </si>
  <si>
    <t xml:space="preserve">HABILITAR  4 HECTÁREAS  DE REDES DE SENDEROS ECOLÓGICOS SECUNDARIOS EN LOS CERROS ORIENTALES </t>
  </si>
  <si>
    <t>7, Identificar, diagnosticar, planear y elaborar los prediseños para acciones de adecuación y mantenimiento de senderos ecologicos secundarios.</t>
  </si>
  <si>
    <t>8, Realizar la intervención de mantenimiento y adecuación de senderos ecologicos secundarios y el modelo de administración para el acceso a  la Reserva Forestal Bosque Oriental de Bogotá.</t>
  </si>
  <si>
    <t>La actividad tuvo retrasos en la presentación de los diseños definitivos de los senderos, pero una vez aprobado por el Comité Técnico, se espera iniciar labores de campo a inicios del IV trimestre de 2019.</t>
  </si>
  <si>
    <t>9, Identificar, diagnosticar, planear y elaborar los prediseños para acciones de adecuación y mantenimiento de senderos ecologicos secundarios.</t>
  </si>
  <si>
    <t>Se priorizaron los senderos ecológicos para intervención en la Localidad de San Cristóbal y se adelantaron los diseños definitivos de los mismos por medio del Contrato de Consultoría  No.92017.</t>
  </si>
  <si>
    <t>10, Realizar la intervención de mantenimiento y adecuación de senderos ecologicos secundarios y el modelo de administración para el acceso a  la Reserva Forestal Bosque Oriental de Bogotá.</t>
  </si>
  <si>
    <t>11, Identificar el área de cantera, diagnosticar, planear y elaborar los diseños para acciones restauración, rehabilitación o recuperación ecológica.</t>
  </si>
  <si>
    <t>12, Realizar la implementación de acciones de restauración, rehabilitación o recuperación ecológica.</t>
  </si>
  <si>
    <t>13, Identificar el área de cantera, diagnosticar, planear y elaborar los diseños para acciones restauración, rehabilitación o recuperación ecológica.</t>
  </si>
  <si>
    <t>14, Realizar la implementación de acciones de restauración, rehabilitación o recuperación ecológica.</t>
  </si>
  <si>
    <t>La actividad iniciará una vez se terminen los diseños de intervención, es decir a mediados del mes de octubre.</t>
  </si>
  <si>
    <t>15, Actividades de diagnóstico, caracterización social, convocatoria, vinculación de grupos sociales  y diseño de  una (1) iniciativa socioambiental.</t>
  </si>
  <si>
    <t>16, Realizar la implementación y seguimiento de una (1)  iniciativa socioambiental</t>
  </si>
  <si>
    <t>Se radica oficialmente ante la SDA la iniciativa seleccionada " Las Violetas en Ambiente con el Ambiente" presentada por la JAC del barrio Las Violetas; esta iniciativa se encuentra encaminada a la implementación de huertas agroecológicas - urbanas, como una estrategia de educación ambiental. Por lo anterior,  se están realizando las gestiones requeridas para comenzar con la implementación de la misma, resaltando gestiones precontractuales y la realización de reuniones y salidas de campo encaminadas a  gestionar los permisos para la utilización de los predios requeridos  y la socialización del proyecto, con el fin de vincular a más personas de la comunidad en la implementación.</t>
  </si>
  <si>
    <t>17,Realizar la implementación y seguimiento a dos (2) iniciativas socioambientales</t>
  </si>
  <si>
    <t xml:space="preserve">18, Realizar el seguimiento a una (1) iniciativa socioambiental implementada en Usaquen  y a la ejecución de la herramienta pedagógica "ruta ambiental". </t>
  </si>
  <si>
    <t>En respuesta a una petición realizada por la comunidad, se presenta un informe detallado de las actividades de recuperación de coberturas vegetales, desarrolladas en el marco de la implementación de la iniciativa "Recuperando el Corazón de la Mariposa"; adicionalmente, se realizan las gestiones para vincular a proponentes de la iniciativa en el desarrollo del diplomado formación de líderes en turismo de  naturaleza de Cerros Orientales.
Se realiza el seguimiento a las actividades y/o eventos en las cuales se utilizó la estrategia de educación ambiental "Ruta Ambiental". En este sentido se desarrollaron las siguientes: Concejo de Bogotá D.C. (30); Secretaria de Salud (54); Colegio Mayor de San Bartolomé (449); Alcaldía de Fontibón (35); Secretaría de la Mujer - Santa María del Lago (19); Colegio Filarmónico Simón Bolívar -Parque Mirador de los Nevados (64); Colegio Pedagógico Dulce María -Parque Mirador de los Nevados (56); Colegio José Martí Sede D (137); Colegio Parroquial San Luis Gonzaga -Entrenubes (301); Colegio Parroquial San Luis Gonzaga Entrenubes- (314); Jardín Infantil Sol Solecito - Entrenubes (326); Colegio Nidia Quintero de Turbay (214); Parque de los Novios (35); Jardín Infantil Mi Dulce Refugio -Soratama (130); Comunidad en general -Parque Mirador de los Nevados (96); Comunidad en general - Parque Mirador de los Nevados (18);  Comunidad en general -Santa María del Lago (20); Centro Día Servitá -Soratama (135); Centro Día Servitá -Soratama (43); Comunidad en general -Santa María del Lago (20); Colegio Distrital Técnico Palermo (406); Parque Metropolitano Gilma Jiménez (153); Club Hogar Michin y Comunidad en general - Santa María del Lago (34); Grupo adulto mayor La Granja y Comunidad en general - Santa María del Lago (60); Colegio José Félix Restrepo y Comunidad en general -Santa María del Lago (75); Colegio Debora Arango Pérez (677);  Colegio Robert F. Kennedy -Santa María del Lago (167); Colegio Aquileo Parra -Soratama (181); Colegio Jonathan Swift – primaria - Mirador de los Nevados(78); Colegio Villemar El Carmén (Mirador de los Nevados(20); Consejo Local de Vejez y Envejecimiento de Suba (Mirador de los Nevados (42); Conjunto Residencial Parque Macarena II (128); Colegio Quiroga Alianza -Mirador de los Nevados(79); Servidores públicos Distrito -Entrenubes (27); Jardín Niño Jesús -Entrenubes (136); Colegio San Martín de Porres -Entrenubes (32); Colegio Compartir Recuerdo -Entrenubes(35): Colegio Jonathan Swift – bachillerato -Mirador de los Nevados (87); Colegio Angloamericano (6).</t>
  </si>
  <si>
    <t>RESTAURACIÓN, MANEJO Y CONSERVACIÓN DE COBERTURAS VEGETALES</t>
  </si>
  <si>
    <t>19, Elaborar  diagnósticos y diseños,  para  la planificación  en áreas priorizadas de intervención  en la reserva forestal Bosque Oriental de Bogotá.</t>
  </si>
  <si>
    <t>Se continúa con la labor de concertación técnica con CAR-EAAB. 
Se avanza en la elaboración de los documentos de diagnostico y diseño por la consultoría. Se revisa el documento de diseño correspondiente al 75%.</t>
  </si>
  <si>
    <t>20, Intervenir  con acciones  de restauración ecológica  en áreas priorizadas  en la reserva forestal Bosque Oriental de Bogotá.</t>
  </si>
  <si>
    <t>Se continúa con la labor de concertación técnica con CAR-EAAB.
Se revisan y aceptan  los documentos diagnósticos, y el avance del 50% en el  documento de diseño.
Con la entrega del documento preliminar de diseños se hace la  implementación en la serranía del zuque, se termina el control de exóticas en 0,6 has y el proceso de restauración ecológica respectivo. Actividad Finalizada.</t>
  </si>
  <si>
    <t>21 Elaborar  diagnósticos y diseños,  para  la planificación  en áreas priorizadas de intervención  en la reserva forestal Bosque Oriental de Bogotá.</t>
  </si>
  <si>
    <t>22, Intervenir  con acciones  de restauración ecológica  en áreas priorizadas  en la reserva forestal Bosque Oriental de Bogotá.</t>
  </si>
  <si>
    <t>Las actividades en campo se contemplan inicien en el mes de octubre, una vez se cuente con diagnostico y diseño.</t>
  </si>
  <si>
    <t>23, Ejecutar acciones de prevención y mitigación de incendios forestales, manejo adaptativo en áreas invadidas por retamo y recuperación de áreas afectadas por incendio forestal en el Distrito Capital.</t>
  </si>
  <si>
    <t>Actividad Finalizada</t>
  </si>
  <si>
    <t>24, Elaborar el mapa del estado de la invasión del complejo de retamo en la zona urbana de Bogotá</t>
  </si>
  <si>
    <t>La consultoría contratada para elaborar el mapa (Contrato SECOP II 552018) culminó el procesamiento de información espacial del área de estudio, la identificación de la especie invasora y la verificación en campo de los resultados y generó el mapa de la invasión de retamo para la zona urbana de Bogotá, con el procesamiento y sinergismo de la información de imágenes satelitales Planet Scope e imágenes gratuitas.
El mapa, así como la metodología empleada para su generación, fueron socializados el 22 de julio de 2019 a representantes de 14  entidades, organizaciones y universidades.</t>
  </si>
  <si>
    <t>25, Ejecutar acciones de prevención y mitigación de incendios forestales, manejo adaptativo en áreas invadidas por retamo y recuperación de áreas afectadas por incendio forestal en el Distrito Capital.</t>
  </si>
  <si>
    <t>Las actividades previstas aún no han iniciado, ya que el nuevo convenio interadministrativo suscrito para realizarlas (SDA-CD-20191283) , inició el 29 de julio y, por ahora, las acciones están en fase de planeación y contratación.</t>
  </si>
  <si>
    <t>26, Desarrollar acciones de sensibilización y capacitación para prevenir la ocurrencia de incendios forestales.</t>
  </si>
  <si>
    <t>27, Desarrollar acciones de sensibilización y capacitación para prevenir la ocurrencia de incendios forestales.</t>
  </si>
  <si>
    <t>28, Presidir y participar en la Comisión Distrital para la Prevención y Mitigación de Incendios Forestales.</t>
  </si>
  <si>
    <t>29, Selección predios implementación</t>
  </si>
  <si>
    <t>30, Implementar los incentivos y realizar el seguimiento y evaluación para los predios seleccionados.</t>
  </si>
  <si>
    <t xml:space="preserve">La hectárea que se intervino durante el trimestre, se distribuyó así: 1- plantación de 581 árboles y control de rebrote de eucalipto para las 0.5 ha restantes en Carabineros (Localidad de Usaquén), en jornada con carabineritos y la alcaldía Local de Usaquén; 2- 0,5 ha de control de retamo en el Predio La Primavera (Localidad de San Cristóbal). Se elaboró correo para acordar entrega de actividades al propietario del predio La Primavera en la Localidad de San Cristóbal para que se encargue de los mantenimientos
</t>
  </si>
  <si>
    <t>31, Caracterizar las áreas piloto con potencial para conservación, restauración y rehabilitación bajo el modelo de incentivos a la conservación.</t>
  </si>
  <si>
    <t xml:space="preserve">Se están revisando ajustes a  la caracterización de la Zona prioritaria Cerros Orientales- Entrenubes </t>
  </si>
  <si>
    <t>32, Selección predios implementación</t>
  </si>
  <si>
    <t>33, Diseñar un paquete de incentivos para los predios seleccionados en las áreas piloto.</t>
  </si>
  <si>
    <t>Esta actividad se desarrolla una vez los predios estén seleccionados</t>
  </si>
  <si>
    <t xml:space="preserve">34, Implementar los incentivos y realizar el seguimiento y evaluación para los predios seleccionados.
</t>
  </si>
  <si>
    <t>Esta actividad se desarrolla una vez suscritas las Actas de Acuerdo de Voluntades</t>
  </si>
  <si>
    <t>35, Gestionar el pago de los pasivos exigibles</t>
  </si>
  <si>
    <t>Para el trimestre III, gestionaron los pago 2 y pago 3.
Se revisaron informes financieros y administrativos para los pagos  2, 3, 4 y 5. Así,
A menara detallada, se han recibido informes técnicos de topografía, componente diseños, geología, geotecnia, restauración ecológica, administrativo y socioeconómico; así como los informes del ítem normativo y permisos; y se han revisado informes financieros y administrativos para el segundo, tercer, cuarto y quinto pago.</t>
  </si>
  <si>
    <t>Trim I</t>
  </si>
  <si>
    <t>Meta 2019</t>
  </si>
  <si>
    <t>Cumplimiento 2018</t>
  </si>
  <si>
    <t>% 2019 para cumplir</t>
  </si>
  <si>
    <t xml:space="preserve">Revisión y aprobación de la actualización de los avalúos de los RT 10 y 17. </t>
  </si>
  <si>
    <t>Actividad finalizada se reciben informes a satisfacción de los productos avalúos comerciales RT 10 y RT 17, entregados por parte de Catastro</t>
  </si>
  <si>
    <t xml:space="preserve">Se inicia proceso por enajenación voluntaria para notificación a propietarios con base en las ofertas de compra de los predios RT 10. Y para el Rt 17 debe revisarse estudio de títulos de las escrituras anteriores </t>
  </si>
  <si>
    <t>Actividad finalizada con base en la justificación de anulación de Disponibilidad Presupuestal y nueva solicitud según priorización predial RT 10 y RT17</t>
  </si>
  <si>
    <t>En tramite notificación de oferta de compra RT 10, RT 17 en revisión jurídica y posterior notificación a propietarios con base en la revisión de actualización de cabida y linderos del predio</t>
  </si>
  <si>
    <t>Se inicia proceso de enajenación voluntaria de los predios priorizado RT 10</t>
  </si>
  <si>
    <t>Se aprobaron por parte del Comité Técnico los pre diseños para las acciones de adecuación de los senderos de la Quebrada Las Delicias y Cerro Guadalupe-Cerro Aguanoso, y se está a la espera de la presentación de los diseños definitivos para iniciar labores de obra en el marco del Convenio SDA-CV-20181473.</t>
  </si>
  <si>
    <t>La actividad presentó retrasos en los pre diseños de los senderos, y aún no ha sido vinculado a ningún proceso, lo cual genera que la intervención y mantenimiento de estos no presente avance alguno y se tenga prevista para IV trimestre del 2019.</t>
  </si>
  <si>
    <t>Se inicia la etapa de diseños florísticos para la intervención de 1 ha con el convenio 20171328.
Se adelantó el diagnostico para la intervención de  3 ha en la cantera del Zuque con el convenio 0312018, mediante la des infestación de exóticas y plantación de especies nativas, así como la implementación de acciones biomecánicas.</t>
  </si>
  <si>
    <t xml:space="preserve">Se identifica 1 ha de cantera en el zuque para intervención, y se avanza en los diseños, los cuales se tendrán finalizados a mediados del mes de octubre. </t>
  </si>
  <si>
    <t>Se realiza la caracterización socioeconómica de la Zona Prioritaria Conexión Entrenubes. Por otro lado,  se continúa con los ajustes del documento  requerido para la convocatoria que permitirá la selección de la iniciativa socio ambiental susceptible a ser apoyada en su implementación en el año 2020; En este sentido se realiza la socialización, solicitud de revisión y observaciones a profesionales de la SDA, involucrados en el tema de Cerros Orientales;  adicionalmente, se continúan las gestiones  con la oficina asesora de comunicaciones para realizar la publicación de la convocatoria antes mencionada.
Teniendo en cuenta que la SDA está realizando un aporte técnico en el desarrollo del diplomado en formación de líderes en turismo de  naturaleza de Cerros Orientales, se gestionó la vinculación de algunos líderes comunitarios  y proponentes de iniciativas, en el proceso de formación antes mencionado.</t>
  </si>
  <si>
    <t xml:space="preserve">Dando de continuidad  con las gestiones de implementación de la iniciativa "Nuestros Cerros"; y teniendo en cuenta que ya se realizó la adecuación del muro a intervenir,  se continúan las gestiones para la elaboración del mural socio-ambiental  y las mesas de trabajo con sus proponentes para programar los eventos culturales y ambientales planteados en el marco de la implementación de la iniciativa.
En el marco de la implementación de la iniciativa Corinto,   se realizan mesas de trabajo con profesionales de la SDA, el JBB, el coordinador del colegio Los Alpes y  líderes comunitarios con el fin de programar diferentes actividades planteadas en la implementación;  como resultado de ello, se desarrolló un taller en temas de restauración y mantenimiento de coberturas vegetales en el colegio los Alpes- jornada fines de semana,  se programan talleres comunitarios y mingas de trabajo en el NODO Ambiental. 
De igual forma, teniendo en cuenta que la SDA está realizando un aporte técnico en el desarrollo del diplomado formación de líderes en turismo de  naturaleza de Cerros Orientales, se gestionó la vinculación de algunos líderes comunitarios  y proponentes de la  iniciativa en el proceso de formación antes mencionado, con lo que se estaría abordando el tema de formación comunitaria en guianza e interpretación ambiental, planteada en la implementación.
Por otro lado, se continúan las gestiones con profesional del SENA, con el fin de retomar la programación del taller de Emprendimiento, también planteado en el marco de la implementación de la misma  iniciativa.
</t>
  </si>
  <si>
    <t xml:space="preserve">A pesar de haber aunado esfuerzos el IDIPRON y el FDLSC en el mes de junio, las actividades en campo se contemplan inicien en el mes de octubre. No obstante, actualmente se avanza con la contratación del personal que hará el diagnostico y diseño de las áreas a intervenir. </t>
  </si>
  <si>
    <t>Se presentó el sketch de la campaña de prevención de incendios forestales en el sendero a Monserrate, en el Parque Nacional EOH, en la Quebrada Las Delicias, el Parque Simón Bolívar y en el salón comunal del barrio José Obrero de la Localidad de Engativá (el 28 de julio, el 4, 7, 11, 18, 19 y 25 de agosto y el 14 de septiembre), con el cual se entregó un mensaje lúdico, orientado a evitar la ocurrencia de incendios forestales.
Se adelantó 1 sensibilización (25 de julio) a productores agropecuarios de la Vereda Pasquilla, de la Localidad de Ciudad Bolívar, sobre prevención de incendios forestales, mediante la no realización de quemas agrícolas.
Se adelantó 1 jornada de formación de 2 días (7 y 14 de septiembre) dirigida a un grupo de niños "Bomberitos" del barrio José Obrero de la Localidad de Engativá, sobre gestión del riesgo por incendios forestales.</t>
  </si>
  <si>
    <t>* La SDA presidió la sesión ordinaria de julio y agosto de la Comisión y participó en la sesión de septiembre.
* Culminó la valoración económica y ambiental de daños de un incendio forestal de gran complejidad, que ocurrió en Santa Rosita, en enero de 2019.
* Se revisaron, complementaron y ajustaron las matrices de evaluación de incendios forestales para determinar cuáles de los ocurridos en el primer semestre fueron de gran complejidad, según diligenciamiento previo por parte de la UAECOB. Se definió que 6 fueron de gran complejidad, por lo que deberá realizarse la valoración económica y ambiental de los daños por ellos ocasionados.
* Se realizó, junto con la CAR y la Defensa Civil, la visita de verificación del área y coberturas vegetales del incendio forestal de gran complejidad ocurrido el 03/02/19 en el Verjón Bajo de la Localidad de Chapinero, para iniciar la valoración económica y ambiental de daños ocasionados por dicho Incendio.
* Se realizó, junto con la CAR y la Defensa Civil, la visita de verificación del área y coberturas vegetales del incendio forestal de gran complejidad ocurrido el 12/03/19 en la vereda Quiba de la Localidad de Ciudad Bolívar, para iniciar la valoración económica y ambiental de daños ocasionados por dicho Incendio.
* Se realizó, junto con la CAR y la Defensa Civil, visita de instalación de parcelas, para continuar la valoración económica y ambiental de daños del incendio forestal de gran complejidad ocurrido el 12/03/19 en la vereda Quiba de la Localidad de Ciudad Bolívar.
* Se encuentra en actualización, en la plataforma del Sistema Nacional de Información Forestal (SNIF), la información de los incendios forestales ocurridos en el primer trimestre de 2019, que se presentaron en la zona urbana de Bogotá D.C., debido a que la tipología de cobertura vegetal no es suficientemente clara en el Sistema.</t>
  </si>
  <si>
    <t xml:space="preserve">Se realizó visita al vivero Soratama con la Universidad del Bosque como parte del acercamiento  con el Colegio Gimnasio Femenino para implementación en 5 ha . Se realizó reunión con el propietario del predio Santa Teresita (Usme), para las 5 ha restantes y el Acta de Acuerdo de Voluntades está en revisión. Se realizó análisis cartográfico para establecer nuevos predios. Se está negociando con propietario de predio en Soratama con 20 ha para implementación
 </t>
  </si>
  <si>
    <t>Se realizó reunión con el propietario del predio Hacienda Santa Teresita y la EAAB para implementación (12 ha).
Se realizó análisis cartográfico para establecer nuevos predios. Se está negociando con propietario de predio en Soratama con 20 ha para implementación</t>
  </si>
  <si>
    <t>Se intervino con tratamientos biomecánicos para el arreglo de la vía de acceso y estabilización de talud. Actividad finalizada</t>
  </si>
  <si>
    <t>5, PONDERACIÓN HORIZONTAL AÑO: 2019</t>
  </si>
  <si>
    <t>01 julio- 30 septiembre de 2019</t>
  </si>
  <si>
    <t>Usaquen:
Zonas en cerros orientales de Alto Valor Ambiental y de prioridad de espacio publico en la Franja de Adecuacion del Bosque Oriental  ubicados en UPZ  10, 11, 13 y en zona rural de la localidad 1.
Descripción:  Delimitacion de poligonos y selección de areas de alto valor ambiental y de prioridad de espacio publico para adquisicion predial en el Plan de manejo de la Franja de adecuacion. Las acciones de la meta desarrolladas en la localidad 1 se localizan en las UPZ La Uribe, Los Cedros, San Cristobal Norte y zona rural, MPI1.</t>
  </si>
  <si>
    <t>La Uribe (10), Los Cedros (13), San Cristobal Norte (11), zona rural</t>
  </si>
  <si>
    <t>BARRANCAS,LA GRANJA NORTE,BARRANCAS NORTE,SANTA TERESA,BOSQUE DE PINOS III, SANTA CECILIA PUENTE NORTE, CEDRO SALAZAR, BOSQUE DE PINOS III RURAL, EL REDIL, BOSQUE DE PINOS, SAN JOSE DE USAQUEN, TIBABITA RURAL I, BARRANCAS ORIENTAL, BARRANCAS ORIENTAL RURAL, LA CITA, SAN CRISTOBAL NORTE</t>
  </si>
  <si>
    <t>Polígono, se anexan archivos de intervención.</t>
  </si>
  <si>
    <t>Polígonos definidos dentro de la zonificación para adquisición predial del Plan de manejo de la Franja de adecuación como zonas de Alto Valor Ambiental y de prioridad de espacio público</t>
  </si>
  <si>
    <t>NO DISCRIMINA</t>
  </si>
  <si>
    <t>Usme:
 Zona de Alto Valor Ambiental y de prioridad de espacio publico en la Franja de Adecuación del Bosque Oriental en las UPZ  La Flora (52), Ciudad Usme (61) y en zona rural de la localidad 5.
Descripción:  Delimitación de polígonos y selección de áreas de Alto Valor Ambiental y de prioridad de espacio publico para adquisición predial en el Plan de manejo de la Franja de adecuación.</t>
  </si>
  <si>
    <t>Usme</t>
  </si>
  <si>
    <t>La Flora (52), Ciudad Usme (61) y zona rural</t>
  </si>
  <si>
    <t xml:space="preserve">
LAS VIOLETAS, TIHUAQUE RURAL, LAS VIOLETAS RURAL, TIHUAQUE, LOS ARRAYANES, JUAN JOSE RONDON I
</t>
  </si>
  <si>
    <t>Usaquén:
  Predios priorizados para adquisición en los cerros orientales ubicados en Zona rural de la localidad.
Descripción:  Predios en los barrios: Barrancas, La Granja Norte, Barrancas Norte, Santa Teresa, Bosque De Pinos III, Santa Cecilia Puente Norte, Cedro Salazar, Bosque De Pinos III Rural, El Redil, Bosque De Pinos, San José De Usaquén, Tibabita Rural I,Barrancas Oriental,Barrancas Oriental Rural,La Cita,San Cristobal Norte.</t>
  </si>
  <si>
    <t>Usme:
Predios priorizados para adquisicion en los cerros orientales ubicados en Zona rural de la localidad.
Descripción:  Predios priorizados  en los barrios: Las Violetas, Tihuaque Rural, Las Violetas Rural, Tihuaque, Los Arrayanes, Juan Jose Rondon I.</t>
  </si>
  <si>
    <t>Especial: Territorios Supra e intralocales en   San Cristobal en los barrios Corinto, Danubio, Alfonso Lopez, Comuneros, Parque Entrenubes, La Gloria, los libertadores, La belleza.
Descripción:  Identificacion, diagnostico y planeacion para la recuperacion ecológica y accesibilidad a senderos y caminos en la Reserva Forestal Bosque Oriental de Bogotá ubicados en las localidades Usme y San Cristobal (tramo de sendero ubicado entre la cantera del Zuque y Corinto y segmento del sendero del parque del agua, entre el instituto Humbolt y la vereda Fatima).</t>
  </si>
  <si>
    <t xml:space="preserve">
San cristobal
</t>
  </si>
  <si>
    <t>La Gloria</t>
  </si>
  <si>
    <t xml:space="preserve">Corinto, Danubio, Alfonso Lopez, Comuneros, Parque Entrenubes, La Gloria, los libertadores, La belleza,  </t>
  </si>
  <si>
    <t>1. Propuesta sendero Zuque</t>
  </si>
  <si>
    <t>Aula Ambiental Entrenubes y sectores de Corinto y El Zuque.</t>
  </si>
  <si>
    <t>Especial: Territorios Supra e intralocales en Santa Fe en los barrios Bosque Calderón y Bosque Calderón Tejada.</t>
  </si>
  <si>
    <t>Chapinero</t>
  </si>
  <si>
    <t>Pardo Rubio</t>
  </si>
  <si>
    <t>Bosque Calderón</t>
  </si>
  <si>
    <t>1. Trazado de sendero carreteable final (2,67 km).
2. Trazado del sendero Guadalupe - Aguanoso (1,67 km).</t>
  </si>
  <si>
    <t>Cerros Orientales</t>
  </si>
  <si>
    <t>Especial: Territorios Supra e intralocales en Chapinero en los barrios  Egipto y Egipto Alto</t>
  </si>
  <si>
    <t>Santa fe</t>
  </si>
  <si>
    <t>Lourdes</t>
  </si>
  <si>
    <t>Egipto Alto y Egipto</t>
  </si>
  <si>
    <t xml:space="preserve">1. Trazado del sendero Las Delicias Tramo 1 (0,57 km).
2. Trazado del sendero Las Delicias Tramo 3 (0,57 km)
</t>
  </si>
  <si>
    <t>Especial: Territorios Supra e intralocales en  San Cristobal en Cerros surorientales en antigua Cantera Zuque.
Descripción:  Acciones para la restauracion, rehabilitación o recuperacion ecologica parte de la reserva forestal en el suroriente de Bogota.</t>
  </si>
  <si>
    <t>San cristobal</t>
  </si>
  <si>
    <t>Polígono cantera Zuque</t>
  </si>
  <si>
    <t>sectores de Corinto y El Zuque.</t>
  </si>
  <si>
    <t>VINCULAR 10 GRUPOS DE INTERÉS EN LA CONSERVACIÓN  CERROS IMPLEMENTANDO 5 INICIATIVAS  AMBIENTALES  PARA LA APROPIACIÓN SOCIAL</t>
  </si>
  <si>
    <t xml:space="preserve">USME
UPZ  52 - La Flora 
Barrio Las Violetas
Zona de Alto Valor Ambiental en la Franja de Adecuación y la Reserva Forestal Protectora Bosque Oriental.
Descripción: Implementación de una iniciativa ciudadana, encaminada a la conservación ambiental y contribuir al mejoramiento de la calidad de vida y las condiciones socio-económicas de los habitantes de la zona.
</t>
  </si>
  <si>
    <t xml:space="preserve">
Usme</t>
  </si>
  <si>
    <t xml:space="preserve"> La Flora</t>
  </si>
  <si>
    <t>Las Violetas</t>
  </si>
  <si>
    <t>Entre las calles 100 sur y 90 B sur, en el extremo oriental del Parque Ecológico Distrital de Montaña PEDM Entrenubes</t>
  </si>
  <si>
    <t>USME :Zona de Alto Valor Ambiental en la Franja de Adecuación y la reserva forestal protectora Bosque Oriental en las UPZ La Flora (52), Ciudad Usme (61) , Danubio (56), Gran Yomasa (57), Comuneros (58), Alfonso López (59), Parque Entre Nubes(60) y en zona rural de la localidad 5.
Descripción:  Acciones para el manejo, protección, restauración, rehabilitación o recuperación ecológica por medio de la inducción de transformaciones ambientales en apoyo a y en la dirección de las tendencias generales de la sucesión, lo que implica el manejo de factores físicos, bióticos y sociales en la Franja de Adecuación y la reserva forestal protectora Bosque Oriental al suroriente de Bogotá.</t>
  </si>
  <si>
    <t>52. La flora.
56. Danubio
57. Gran yomasa
58. comuneros
59. Alfonso López
60. Parque Entrenubes</t>
  </si>
  <si>
    <t>Chiniza, Tihuaque, Los Soches, Usminia, puerta al Llano.</t>
  </si>
  <si>
    <t>Sin polígono</t>
  </si>
  <si>
    <t>Reserva Forestal Protectora Bosque Oriental</t>
  </si>
  <si>
    <t>Santa Fe  y  San Cristóbal:
Areas priorizadas en la reserva forestal Bosque Oriental de Bogota en las localidades Santa fe y San Cristobal con acciones para restauracion ecologica y mantenimiento.
Descripción: Las areas priorizadas de intervención  en la reserva forestal Bosque Oriental de Bogota objeto de disenio y recuperacion se localizan en los barrios Bosque Izquierdo,Germania,La Macarena,La Paz Centro,La Perseverancia,Altos Del Zipa,Altos Del Zuque,Moralba,Puente Colorado,Quindio,Chiguaza Urbana,La Arboleda Rural y Tibaque.</t>
  </si>
  <si>
    <t>Santa Fe  y  San Cristóbal</t>
  </si>
  <si>
    <t>92. La Macarena
50, La Gloria
32. San Blas
904. UPR San Cristóbal</t>
  </si>
  <si>
    <t xml:space="preserve">
Bosque Izquierdo
Germania
La Macarena
La Paz Centro
La Perseverancia
Altos Del Zipa
Altos Del Zuque
Moralba
Puente Colorado
Quindio
Chiguaza Urbana
La Arboleda Rural
Tibaque
</t>
  </si>
  <si>
    <t>Polígono Santa Isabel, polígono Quebrada Chuscal , polígono predio el Zuque y polígono tanque del agua.</t>
  </si>
  <si>
    <t>En el bosque Oriental de Bogotá, la UPZ ubicada frente a zona afectada por incendio forestal ocurrido en el sector de Monserrate.
Cerros orientales, sur del Bosque Oriental de Bogotá</t>
  </si>
  <si>
    <r>
      <rPr>
        <b/>
        <sz val="8"/>
        <color indexed="8"/>
        <rFont val="Arial"/>
        <family val="2"/>
      </rPr>
      <t>San Cristóbal:</t>
    </r>
    <r>
      <rPr>
        <sz val="8"/>
        <color indexed="8"/>
        <rFont val="Arial"/>
        <family val="2"/>
      </rPr>
      <t xml:space="preserve">
Restauración de área afectada por incendio forestal</t>
    </r>
  </si>
  <si>
    <t>San Cristóbal</t>
  </si>
  <si>
    <t>UPZ 32 - San Blas</t>
  </si>
  <si>
    <t>Barrio San Dionisio</t>
  </si>
  <si>
    <t>Polígono - Sector La Cascada (predio San Dionisio de la EAAB).</t>
  </si>
  <si>
    <t>Área de la Localidad San Cristóbal ubicada a 1 km a la redonda del sector La Cascada.</t>
  </si>
  <si>
    <r>
      <rPr>
        <b/>
        <sz val="8"/>
        <color indexed="8"/>
        <rFont val="Arial"/>
        <family val="2"/>
      </rPr>
      <t>Usme:</t>
    </r>
    <r>
      <rPr>
        <sz val="8"/>
        <color indexed="8"/>
        <rFont val="Arial"/>
        <family val="2"/>
      </rPr>
      <t xml:space="preserve">
Área para control de retamo.</t>
    </r>
  </si>
  <si>
    <t>UPZ 52 - La Flora</t>
  </si>
  <si>
    <t>Barrio Juan Rey (La Paz)</t>
  </si>
  <si>
    <t>Polígono - Futuro Parque La Arboleda</t>
  </si>
  <si>
    <t>Área de la Localidad de Usme ubicada a 1 km a la redonda del Futuro Parque La Arboleda.</t>
  </si>
  <si>
    <r>
      <rPr>
        <b/>
        <sz val="8"/>
        <color indexed="8"/>
        <rFont val="Arial"/>
        <family val="2"/>
      </rPr>
      <t>Santa Fé:</t>
    </r>
    <r>
      <rPr>
        <sz val="8"/>
        <color indexed="8"/>
        <rFont val="Arial"/>
        <family val="2"/>
      </rPr>
      <t xml:space="preserve">
Área para control de retamo.</t>
    </r>
  </si>
  <si>
    <t>Santa Fe</t>
  </si>
  <si>
    <t>Vereda Monserrate
UPR 903 -  SANTA FE
UPZ 96 - Lourdes</t>
  </si>
  <si>
    <t>Vereda Monserrate
Zona Rural
Barrio Egipto</t>
  </si>
  <si>
    <t>Línea - Sendero a Monserrate (desde la estación del funicular hasta el punto de ascenso al Santuario No. 7).
Tramo Vía a Choachí
Tramo Avenida Circunvalar</t>
  </si>
  <si>
    <t>Cerro de Monserrate
Área de la Localidad de Santa Fe ubicada a 1 km a la redonda del tramo de la vía a Choachi y la Avenida Circunvalar.</t>
  </si>
  <si>
    <r>
      <rPr>
        <b/>
        <sz val="8"/>
        <color indexed="8"/>
        <rFont val="Arial"/>
        <family val="2"/>
      </rPr>
      <t>Chapinero:</t>
    </r>
    <r>
      <rPr>
        <sz val="8"/>
        <color indexed="8"/>
        <rFont val="Arial"/>
        <family val="2"/>
      </rPr>
      <t xml:space="preserve">
Área para control de retamo.</t>
    </r>
  </si>
  <si>
    <t>UPZ 89 - San Isidro Patios
UPZ 90 - Pardo Rubio</t>
  </si>
  <si>
    <t>Barrio San Isidro
Barrio Pardo Rubio - Chapinero Alto</t>
  </si>
  <si>
    <t>Tramo Vía La Calera
Tramo Avenida Circunvalar</t>
  </si>
  <si>
    <t>Área de la Localidad Chapinero ubicada a 1 km a la redonda del tramo de de la Vía La Calera y Avenida Circunvalar.</t>
  </si>
  <si>
    <t>Usaquen:
Area piloto en el barrio Cerro Norte.
Descripción: Area piloto en el barrio Cerro Norte.</t>
  </si>
  <si>
    <t>San Cristobal Norte</t>
  </si>
  <si>
    <t>Cerro Norte</t>
  </si>
  <si>
    <t>Barrios colindantes desde la calle 149 hasta la calle 180</t>
  </si>
  <si>
    <t>San Cristóbal:
 La Gloria, San Blas y la UPR San Cristóbal. En Altos del Zipa, Altos del Zuque, Aguas claras, La arboleda rural, Los laureles I, Tibaque I, Tibaque, Tibaque urbano, Moralba, Quindío, El triangulo.
Descripción:  Area en la zona prioritaria Zuque Corinto</t>
  </si>
  <si>
    <t>San Cristobal</t>
  </si>
  <si>
    <t>La Gloria (50)  San Blas (32) y zona rural</t>
  </si>
  <si>
    <t>ALTOS DEL ZIPA, ALTOS DEL ZUQUE, AGUAS CLARAS, LA ARBOLEDA RURAL, LOS LAURELES I, TIBAQUE I, TIBAQUE, TIBAQUE URBANO, MORALBA, QUINDIO, EL TRIANGULO</t>
  </si>
  <si>
    <t>Cantera El Zuque, Barrio Corinto y barrios colindantes</t>
  </si>
  <si>
    <t xml:space="preserve">USME
Barrio Las Violetas
Zona de Alto Valor Ambiental en la Franja de Adecuación y la Reserva Forestal Protectora Bosque Oriental.
Descripción: </t>
  </si>
  <si>
    <t>7, OBSERVACIONES AVANCE TRIMESTRE_III___  DE 2019____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</si>
</sst>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quot;$&quot;* #,##0_-;_-&quot;$&quot;* &quot;-&quot;_-;_-@_-"/>
    <numFmt numFmtId="165" formatCode="_(&quot;$&quot;\ * #,##0.00_);_(&quot;$&quot;\ * \(#,##0.00\);_(&quot;$&quot;\ * &quot;-&quot;??_);_(@_)"/>
    <numFmt numFmtId="166" formatCode="_(* #,##0.00_);_(* \(#,##0.00\);_(* &quot;-&quot;??_);_(@_)"/>
    <numFmt numFmtId="167" formatCode="_-* #,##0.00\ &quot;€&quot;_-;\-* #,##0.00\ &quot;€&quot;_-;_-* &quot;-&quot;??\ &quot;€&quot;_-;_-@_-"/>
    <numFmt numFmtId="168" formatCode="_-* #,##0.00\ _€_-;\-* #,##0.00\ _€_-;_-* &quot;-&quot;??\ _€_-;_-@_-"/>
    <numFmt numFmtId="169" formatCode="_ &quot;$&quot;\ * #,##0.00_ ;_ &quot;$&quot;\ * \-#,##0.00_ ;_ &quot;$&quot;\ * &quot;-&quot;??_ ;_ @_ "/>
    <numFmt numFmtId="170" formatCode="_ * #,##0.00_ ;_ * \-#,##0.00_ ;_ * &quot;-&quot;??_ ;_ @_ "/>
    <numFmt numFmtId="171" formatCode="[$$-240A]\ #,##0"/>
    <numFmt numFmtId="172" formatCode="_([$$-240A]\ * #,##0_);_([$$-240A]\ * \(#,##0\);_([$$-240A]\ * &quot;-&quot;??_);_(@_)"/>
    <numFmt numFmtId="173" formatCode="0.0%"/>
    <numFmt numFmtId="174" formatCode="_ * #,##0_ ;_ * \-#,##0_ ;_ * &quot;-&quot;??_ ;_ @_ "/>
    <numFmt numFmtId="175" formatCode="_(&quot;$&quot;* #,##0.00_);_(&quot;$&quot;* \(#,##0.00\);_(&quot;$&quot;* &quot;-&quot;??_);_(@_)"/>
    <numFmt numFmtId="176" formatCode="_-* #,##0\ _€_-;\-* #,##0\ _€_-;_-* &quot;-&quot;??\ _€_-;_-@_-"/>
    <numFmt numFmtId="177" formatCode="&quot;$&quot;\ #,##0.00"/>
    <numFmt numFmtId="178" formatCode="&quot;$&quot;\ #,##0"/>
    <numFmt numFmtId="179" formatCode="#,##0.0"/>
    <numFmt numFmtId="180" formatCode="0.0"/>
  </numFmts>
  <fonts count="5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8"/>
      <color indexed="8"/>
      <name val="Arial"/>
      <family val="2"/>
    </font>
    <font>
      <sz val="11"/>
      <color theme="1"/>
      <name val="Calibri"/>
      <family val="2"/>
      <scheme val="minor"/>
    </font>
    <font>
      <sz val="10"/>
      <color theme="1"/>
      <name val="Calibri"/>
      <family val="2"/>
      <scheme val="minor"/>
    </font>
    <font>
      <sz val="7"/>
      <name val="Calibri"/>
      <family val="2"/>
      <scheme val="minor"/>
    </font>
    <font>
      <sz val="11"/>
      <color theme="1"/>
      <name val="Arial"/>
      <family val="2"/>
    </font>
    <font>
      <sz val="8"/>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4"/>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7"/>
      <name val="Calibri"/>
      <family val="2"/>
      <scheme val="minor"/>
    </font>
    <font>
      <b/>
      <sz val="12"/>
      <color indexed="8"/>
      <name val="Arial"/>
      <family val="2"/>
    </font>
    <font>
      <b/>
      <sz val="14"/>
      <color indexed="8"/>
      <name val="Arial"/>
      <family val="2"/>
    </font>
    <font>
      <b/>
      <sz val="10"/>
      <color theme="1"/>
      <name val="Calibri"/>
      <family val="2"/>
      <scheme val="minor"/>
    </font>
    <font>
      <sz val="24"/>
      <name val="Arial"/>
      <family val="2"/>
    </font>
    <font>
      <b/>
      <sz val="12"/>
      <color theme="1"/>
      <name val="Arial"/>
      <family val="2"/>
    </font>
    <font>
      <sz val="10"/>
      <color theme="1"/>
      <name val="Arial"/>
      <family val="2"/>
    </font>
    <font>
      <sz val="10"/>
      <color rgb="FFFF0000"/>
      <name val="Arial"/>
      <family val="2"/>
    </font>
    <font>
      <sz val="9"/>
      <color indexed="81"/>
      <name val="Tahoma"/>
      <family val="2"/>
    </font>
    <font>
      <b/>
      <sz val="9"/>
      <color theme="1"/>
      <name val="Arial"/>
      <family val="2"/>
    </font>
    <font>
      <sz val="9"/>
      <color theme="1"/>
      <name val="Arial"/>
      <family val="2"/>
    </font>
    <font>
      <b/>
      <sz val="10"/>
      <color theme="1"/>
      <name val="Arial"/>
      <family val="2"/>
    </font>
    <font>
      <sz val="9"/>
      <color rgb="FFFFFF00"/>
      <name val="Arial"/>
      <family val="2"/>
    </font>
    <font>
      <sz val="7"/>
      <color theme="1"/>
      <name val="Calibri"/>
      <family val="2"/>
      <scheme val="minor"/>
    </font>
    <font>
      <b/>
      <sz val="7"/>
      <color theme="1"/>
      <name val="Calibri"/>
      <family val="2"/>
      <scheme val="minor"/>
    </font>
    <font>
      <b/>
      <i/>
      <u/>
      <sz val="9"/>
      <color theme="1"/>
      <name val="Arial"/>
      <family val="2"/>
    </font>
    <font>
      <sz val="9"/>
      <color theme="0" tint="-0.249977111117893"/>
      <name val="Arial"/>
      <family val="2"/>
    </font>
    <font>
      <b/>
      <sz val="8"/>
      <color indexed="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0" tint="-0.3499862666707357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s>
  <cellStyleXfs count="25">
    <xf numFmtId="0" fontId="0" fillId="0" borderId="0"/>
    <xf numFmtId="170" fontId="8" fillId="0" borderId="0" applyFont="0" applyFill="0" applyBorder="0" applyAlignment="0" applyProtection="0"/>
    <xf numFmtId="170" fontId="4"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4"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9" fontId="4" fillId="0" borderId="0" applyFont="0" applyFill="0" applyBorder="0" applyAlignment="0" applyProtection="0"/>
    <xf numFmtId="174" fontId="4" fillId="0" borderId="0" applyFont="0" applyFill="0" applyBorder="0" applyAlignment="0" applyProtection="0"/>
    <xf numFmtId="165" fontId="21" fillId="0" borderId="0" applyFont="0" applyFill="0" applyBorder="0" applyAlignment="0" applyProtection="0"/>
    <xf numFmtId="175" fontId="12" fillId="0" borderId="0" applyFont="0" applyFill="0" applyBorder="0" applyAlignment="0" applyProtection="0"/>
    <xf numFmtId="167"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164" fontId="21" fillId="0" borderId="0" applyFont="0" applyFill="0" applyBorder="0" applyAlignment="0" applyProtection="0"/>
  </cellStyleXfs>
  <cellXfs count="813">
    <xf numFmtId="0" fontId="0" fillId="0" borderId="0" xfId="0"/>
    <xf numFmtId="0" fontId="0" fillId="0" borderId="0" xfId="0" applyFill="1"/>
    <xf numFmtId="0" fontId="5" fillId="0" borderId="0" xfId="14" applyFont="1" applyBorder="1" applyAlignment="1">
      <alignment vertical="center"/>
    </xf>
    <xf numFmtId="0" fontId="6" fillId="0" borderId="0" xfId="0" applyFont="1"/>
    <xf numFmtId="0" fontId="0" fillId="3" borderId="0" xfId="0" applyFill="1"/>
    <xf numFmtId="0" fontId="4" fillId="0" borderId="0" xfId="14" applyBorder="1" applyAlignment="1">
      <alignment vertical="center"/>
    </xf>
    <xf numFmtId="0" fontId="4" fillId="2" borderId="0" xfId="14" applyFill="1" applyBorder="1" applyAlignment="1">
      <alignment vertical="center"/>
    </xf>
    <xf numFmtId="0" fontId="11" fillId="2" borderId="0" xfId="14" applyFon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6" fillId="0" borderId="0" xfId="0" applyFont="1" applyAlignment="1">
      <alignment vertical="center"/>
    </xf>
    <xf numFmtId="3" fontId="16" fillId="0" borderId="3" xfId="0" applyNumberFormat="1"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3" fontId="16" fillId="3" borderId="1" xfId="8"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0" fontId="27" fillId="3" borderId="0" xfId="0" applyFont="1" applyFill="1" applyBorder="1"/>
    <xf numFmtId="0" fontId="27" fillId="3" borderId="30" xfId="0" applyFont="1" applyFill="1" applyBorder="1"/>
    <xf numFmtId="0" fontId="0" fillId="4" borderId="0" xfId="0" applyFill="1"/>
    <xf numFmtId="0" fontId="0" fillId="5" borderId="0" xfId="0" applyFill="1"/>
    <xf numFmtId="0" fontId="29" fillId="3" borderId="0" xfId="14" applyFont="1" applyFill="1" applyBorder="1" applyProtection="1">
      <protection locked="0"/>
    </xf>
    <xf numFmtId="0" fontId="0" fillId="3" borderId="0" xfId="0" applyFill="1" applyBorder="1"/>
    <xf numFmtId="0" fontId="30" fillId="3" borderId="0" xfId="14" applyFont="1" applyFill="1" applyBorder="1" applyAlignment="1" applyProtection="1">
      <alignment horizontal="center"/>
      <protection locked="0"/>
    </xf>
    <xf numFmtId="0" fontId="31" fillId="3" borderId="0" xfId="14" applyFont="1" applyFill="1" applyBorder="1" applyProtection="1">
      <protection locked="0"/>
    </xf>
    <xf numFmtId="0" fontId="32" fillId="0" borderId="0" xfId="0" applyFont="1" applyFill="1"/>
    <xf numFmtId="0" fontId="34" fillId="0" borderId="0" xfId="0" applyFont="1" applyFill="1"/>
    <xf numFmtId="0" fontId="5" fillId="5" borderId="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5" fillId="5" borderId="5"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5" fillId="5" borderId="3" xfId="0" applyFont="1" applyFill="1" applyBorder="1" applyAlignment="1" applyProtection="1">
      <alignment horizontal="left" vertical="center" wrapText="1"/>
      <protection locked="0"/>
    </xf>
    <xf numFmtId="0" fontId="15" fillId="5" borderId="4"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protection locked="0"/>
    </xf>
    <xf numFmtId="0" fontId="15" fillId="6" borderId="2" xfId="0" applyFont="1" applyFill="1" applyBorder="1" applyAlignment="1" applyProtection="1">
      <alignment horizontal="left" vertical="center" wrapText="1"/>
      <protection locked="0"/>
    </xf>
    <xf numFmtId="0" fontId="15" fillId="6" borderId="4" xfId="0" applyFont="1" applyFill="1" applyBorder="1" applyAlignment="1" applyProtection="1">
      <alignment horizontal="left" vertical="center" wrapText="1"/>
      <protection locked="0"/>
    </xf>
    <xf numFmtId="10" fontId="4" fillId="5" borderId="4" xfId="14" applyNumberFormat="1" applyFont="1" applyFill="1" applyBorder="1" applyAlignment="1">
      <alignment horizontal="center" vertical="center" wrapText="1"/>
    </xf>
    <xf numFmtId="0" fontId="2" fillId="5" borderId="4" xfId="14" applyFont="1" applyFill="1" applyBorder="1" applyAlignment="1">
      <alignment horizontal="center" vertical="center" wrapText="1"/>
    </xf>
    <xf numFmtId="0" fontId="14" fillId="5" borderId="4" xfId="14" applyFont="1" applyFill="1" applyBorder="1" applyAlignment="1">
      <alignment horizontal="center" vertical="center" textRotation="90" wrapText="1"/>
    </xf>
    <xf numFmtId="173" fontId="23" fillId="5" borderId="5" xfId="0" applyNumberFormat="1" applyFont="1" applyFill="1" applyBorder="1" applyAlignment="1">
      <alignment vertical="center"/>
    </xf>
    <xf numFmtId="173" fontId="23" fillId="5" borderId="3" xfId="0" applyNumberFormat="1" applyFont="1" applyFill="1" applyBorder="1" applyAlignment="1">
      <alignment vertical="center"/>
    </xf>
    <xf numFmtId="173" fontId="23" fillId="6" borderId="1" xfId="0" applyNumberFormat="1" applyFont="1" applyFill="1" applyBorder="1" applyAlignment="1">
      <alignment vertical="center"/>
    </xf>
    <xf numFmtId="0" fontId="2" fillId="5" borderId="58" xfId="14" applyFont="1" applyFill="1" applyBorder="1" applyAlignment="1">
      <alignment horizontal="center" vertical="center" wrapText="1"/>
    </xf>
    <xf numFmtId="0" fontId="14" fillId="5" borderId="4" xfId="17" applyFont="1" applyFill="1" applyBorder="1" applyAlignment="1">
      <alignment horizontal="center" vertical="center" wrapText="1"/>
    </xf>
    <xf numFmtId="0" fontId="14" fillId="5" borderId="4" xfId="17" applyFont="1" applyFill="1" applyBorder="1" applyAlignment="1">
      <alignment horizontal="center" vertical="center"/>
    </xf>
    <xf numFmtId="0" fontId="14" fillId="5" borderId="12" xfId="17" applyFont="1" applyFill="1" applyBorder="1" applyAlignment="1">
      <alignment horizontal="center" vertical="center" wrapText="1"/>
    </xf>
    <xf numFmtId="0" fontId="14" fillId="5" borderId="40" xfId="17" applyFont="1" applyFill="1" applyBorder="1" applyAlignment="1">
      <alignment horizontal="center" vertical="center" wrapText="1"/>
    </xf>
    <xf numFmtId="0" fontId="19" fillId="5" borderId="5" xfId="17" applyFont="1" applyFill="1" applyBorder="1" applyAlignment="1">
      <alignment horizontal="left" vertical="center" wrapText="1"/>
    </xf>
    <xf numFmtId="0" fontId="19" fillId="5" borderId="4" xfId="17" applyFont="1" applyFill="1" applyBorder="1" applyAlignment="1">
      <alignment horizontal="left" vertical="center" wrapText="1"/>
    </xf>
    <xf numFmtId="0" fontId="19" fillId="5" borderId="61" xfId="17" applyFont="1" applyFill="1" applyBorder="1" applyAlignment="1">
      <alignment horizontal="left" vertical="center" wrapText="1"/>
    </xf>
    <xf numFmtId="0" fontId="19" fillId="6" borderId="60" xfId="17" applyFont="1" applyFill="1" applyBorder="1" applyAlignment="1">
      <alignment horizontal="left" vertical="center" wrapText="1"/>
    </xf>
    <xf numFmtId="0" fontId="19" fillId="6" borderId="1" xfId="17" applyFont="1" applyFill="1" applyBorder="1" applyAlignment="1">
      <alignment horizontal="left" vertical="center" wrapText="1"/>
    </xf>
    <xf numFmtId="173" fontId="36" fillId="6" borderId="2" xfId="0" applyNumberFormat="1" applyFont="1" applyFill="1" applyBorder="1" applyAlignment="1">
      <alignment vertical="center" wrapText="1"/>
    </xf>
    <xf numFmtId="0" fontId="28" fillId="0" borderId="0" xfId="0" applyFont="1" applyFill="1"/>
    <xf numFmtId="0" fontId="0" fillId="0" borderId="1" xfId="0" applyFill="1" applyBorder="1" applyAlignment="1">
      <alignment horizontal="center" vertical="center"/>
    </xf>
    <xf numFmtId="0" fontId="28" fillId="7" borderId="1" xfId="0" applyFont="1" applyFill="1" applyBorder="1" applyAlignment="1">
      <alignment horizontal="center" vertical="center"/>
    </xf>
    <xf numFmtId="0" fontId="39" fillId="7" borderId="1" xfId="0" applyFont="1" applyFill="1" applyBorder="1" applyAlignment="1">
      <alignment horizontal="center" vertical="center"/>
    </xf>
    <xf numFmtId="0" fontId="22" fillId="0" borderId="1" xfId="0" applyFont="1" applyFill="1" applyBorder="1" applyAlignment="1">
      <alignment horizontal="center" vertical="center"/>
    </xf>
    <xf numFmtId="0" fontId="28" fillId="3" borderId="0" xfId="0" applyFont="1" applyFill="1"/>
    <xf numFmtId="0" fontId="33" fillId="3" borderId="12"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3" borderId="1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10" fontId="5" fillId="8"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3" borderId="1"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2" fontId="16" fillId="3" borderId="10" xfId="0" applyNumberFormat="1" applyFont="1" applyFill="1" applyBorder="1" applyAlignment="1">
      <alignment horizontal="center" vertical="center" wrapText="1"/>
    </xf>
    <xf numFmtId="2" fontId="16" fillId="3" borderId="8" xfId="0" applyNumberFormat="1" applyFont="1" applyFill="1" applyBorder="1" applyAlignment="1">
      <alignment horizontal="center" vertical="center" wrapText="1"/>
    </xf>
    <xf numFmtId="2" fontId="16" fillId="3" borderId="11" xfId="8" applyNumberFormat="1" applyFont="1" applyFill="1" applyBorder="1" applyAlignment="1">
      <alignment horizontal="center" vertical="center" wrapText="1"/>
    </xf>
    <xf numFmtId="2" fontId="16" fillId="3" borderId="11" xfId="0" applyNumberFormat="1" applyFont="1" applyFill="1" applyBorder="1" applyAlignment="1">
      <alignment horizontal="center" vertical="center" wrapText="1"/>
    </xf>
    <xf numFmtId="2" fontId="18" fillId="3" borderId="10" xfId="0" applyNumberFormat="1" applyFont="1" applyFill="1" applyBorder="1" applyAlignment="1">
      <alignment horizontal="center" vertical="center" wrapText="1"/>
    </xf>
    <xf numFmtId="2" fontId="18" fillId="3" borderId="22" xfId="0" applyNumberFormat="1" applyFont="1" applyFill="1" applyBorder="1" applyAlignment="1">
      <alignment horizontal="center" vertical="center" wrapText="1"/>
    </xf>
    <xf numFmtId="2" fontId="16" fillId="3" borderId="1" xfId="8" applyNumberFormat="1" applyFont="1" applyFill="1" applyBorder="1" applyAlignment="1">
      <alignment horizontal="center" vertical="center"/>
    </xf>
    <xf numFmtId="0" fontId="34" fillId="0" borderId="0" xfId="0" applyFont="1" applyFill="1" applyAlignment="1">
      <alignment wrapText="1"/>
    </xf>
    <xf numFmtId="0" fontId="32" fillId="0" borderId="0" xfId="0" applyFont="1" applyFill="1" applyAlignment="1">
      <alignment wrapText="1"/>
    </xf>
    <xf numFmtId="0" fontId="0" fillId="0" borderId="0" xfId="0" applyFill="1" applyAlignment="1">
      <alignment wrapText="1"/>
    </xf>
    <xf numFmtId="0" fontId="0" fillId="3" borderId="0" xfId="0" applyFill="1" applyAlignment="1">
      <alignment wrapText="1"/>
    </xf>
    <xf numFmtId="0" fontId="4" fillId="3" borderId="0" xfId="0" applyFont="1" applyFill="1" applyAlignment="1">
      <alignment wrapText="1"/>
    </xf>
    <xf numFmtId="0" fontId="11" fillId="3" borderId="0" xfId="0" applyFont="1" applyFill="1" applyAlignment="1">
      <alignment wrapText="1"/>
    </xf>
    <xf numFmtId="0" fontId="5" fillId="3" borderId="0" xfId="0" applyFont="1" applyFill="1" applyAlignment="1">
      <alignment horizontal="center" wrapText="1"/>
    </xf>
    <xf numFmtId="0" fontId="0" fillId="3" borderId="0" xfId="0" applyFill="1" applyAlignment="1">
      <alignment horizontal="center" wrapText="1"/>
    </xf>
    <xf numFmtId="176" fontId="0" fillId="3" borderId="0" xfId="0" applyNumberFormat="1" applyFill="1" applyAlignment="1">
      <alignment horizontal="center" wrapText="1"/>
    </xf>
    <xf numFmtId="0" fontId="26" fillId="0" borderId="0" xfId="0" applyFont="1" applyFill="1" applyAlignment="1">
      <alignment horizontal="center" vertical="center" wrapText="1"/>
    </xf>
    <xf numFmtId="2" fontId="18" fillId="3" borderId="10" xfId="21" applyNumberFormat="1" applyFont="1" applyFill="1" applyBorder="1" applyAlignment="1">
      <alignment horizontal="center" vertical="center" wrapText="1"/>
    </xf>
    <xf numFmtId="9" fontId="18" fillId="3" borderId="42" xfId="21" applyFont="1" applyFill="1" applyBorder="1" applyAlignment="1">
      <alignment horizontal="center" vertical="center" wrapText="1"/>
    </xf>
    <xf numFmtId="9" fontId="18" fillId="3" borderId="3" xfId="21" applyFont="1" applyFill="1" applyBorder="1" applyAlignment="1">
      <alignment horizontal="center" vertical="center" wrapText="1"/>
    </xf>
    <xf numFmtId="0" fontId="24" fillId="0" borderId="0" xfId="0" applyFont="1" applyFill="1" applyAlignment="1">
      <alignment horizontal="center" vertical="center" wrapText="1"/>
    </xf>
    <xf numFmtId="0" fontId="0" fillId="0" borderId="0" xfId="0" applyFill="1" applyAlignment="1">
      <alignment horizontal="center" vertical="center" wrapText="1"/>
    </xf>
    <xf numFmtId="177" fontId="16" fillId="3" borderId="11" xfId="8" applyNumberFormat="1" applyFont="1" applyFill="1" applyBorder="1" applyAlignment="1">
      <alignment horizontal="center" vertical="center" wrapText="1"/>
    </xf>
    <xf numFmtId="9" fontId="18" fillId="3" borderId="7" xfId="21" applyFont="1" applyFill="1" applyBorder="1" applyAlignment="1">
      <alignment horizontal="center" vertical="center" wrapText="1"/>
    </xf>
    <xf numFmtId="9" fontId="18" fillId="3" borderId="1" xfId="21" applyFont="1" applyFill="1" applyBorder="1" applyAlignment="1">
      <alignment horizontal="center" vertical="center" wrapText="1"/>
    </xf>
    <xf numFmtId="9" fontId="18" fillId="3" borderId="1" xfId="23" applyFont="1" applyFill="1" applyBorder="1" applyAlignment="1">
      <alignment horizontal="center" vertical="center" wrapText="1"/>
    </xf>
    <xf numFmtId="2" fontId="18" fillId="3" borderId="11" xfId="21" applyNumberFormat="1" applyFont="1" applyFill="1" applyBorder="1" applyAlignment="1">
      <alignment horizontal="center" vertical="center" wrapText="1"/>
    </xf>
    <xf numFmtId="177" fontId="16" fillId="3" borderId="12" xfId="8" applyNumberFormat="1" applyFont="1" applyFill="1" applyBorder="1" applyAlignment="1">
      <alignment horizontal="center" vertical="center" wrapText="1"/>
    </xf>
    <xf numFmtId="9" fontId="18" fillId="3" borderId="56" xfId="21" applyFont="1" applyFill="1" applyBorder="1" applyAlignment="1">
      <alignment horizontal="center" vertical="center" wrapText="1"/>
    </xf>
    <xf numFmtId="9" fontId="18" fillId="3" borderId="4" xfId="21" applyFont="1" applyFill="1" applyBorder="1" applyAlignment="1">
      <alignment horizontal="center" vertical="center" wrapText="1"/>
    </xf>
    <xf numFmtId="173" fontId="18" fillId="3" borderId="42" xfId="21" applyNumberFormat="1" applyFont="1" applyFill="1" applyBorder="1" applyAlignment="1">
      <alignment horizontal="center" vertical="center" wrapText="1"/>
    </xf>
    <xf numFmtId="173" fontId="18" fillId="3" borderId="3" xfId="21" applyNumberFormat="1" applyFont="1" applyFill="1" applyBorder="1" applyAlignment="1">
      <alignment horizontal="center" vertical="center" wrapText="1"/>
    </xf>
    <xf numFmtId="173" fontId="18" fillId="3" borderId="7" xfId="21" applyNumberFormat="1" applyFont="1" applyFill="1" applyBorder="1" applyAlignment="1">
      <alignment horizontal="center" vertical="center" wrapText="1"/>
    </xf>
    <xf numFmtId="173" fontId="18" fillId="3" borderId="1" xfId="21" applyNumberFormat="1" applyFont="1" applyFill="1" applyBorder="1" applyAlignment="1">
      <alignment horizontal="center" vertical="center" wrapText="1"/>
    </xf>
    <xf numFmtId="0" fontId="18" fillId="3" borderId="1" xfId="21" applyNumberFormat="1" applyFont="1" applyFill="1" applyBorder="1" applyAlignment="1">
      <alignment horizontal="center" vertical="center" wrapText="1"/>
    </xf>
    <xf numFmtId="177" fontId="16" fillId="3" borderId="22" xfId="8" applyNumberFormat="1" applyFont="1" applyFill="1" applyBorder="1" applyAlignment="1">
      <alignment horizontal="center" vertical="center" wrapText="1"/>
    </xf>
    <xf numFmtId="9" fontId="18" fillId="3" borderId="53" xfId="21" applyFont="1" applyFill="1" applyBorder="1" applyAlignment="1">
      <alignment horizontal="center" vertical="center" wrapText="1"/>
    </xf>
    <xf numFmtId="9" fontId="18" fillId="3" borderId="5" xfId="23" applyFont="1" applyFill="1" applyBorder="1" applyAlignment="1">
      <alignment horizontal="center" vertical="center" wrapText="1"/>
    </xf>
    <xf numFmtId="9" fontId="18" fillId="3" borderId="65" xfId="21" applyFont="1" applyFill="1" applyBorder="1" applyAlignment="1">
      <alignment horizontal="center" vertical="center" wrapText="1"/>
    </xf>
    <xf numFmtId="9" fontId="18" fillId="3" borderId="2" xfId="21" applyFont="1" applyFill="1" applyBorder="1" applyAlignment="1">
      <alignment horizontal="center" vertical="center" wrapText="1"/>
    </xf>
    <xf numFmtId="177" fontId="16" fillId="3" borderId="8" xfId="0" applyNumberFormat="1" applyFont="1" applyFill="1" applyBorder="1" applyAlignment="1">
      <alignment horizontal="center" vertical="center" wrapText="1"/>
    </xf>
    <xf numFmtId="9" fontId="18" fillId="3" borderId="5" xfId="21" applyFont="1" applyFill="1" applyBorder="1" applyAlignment="1">
      <alignment horizontal="center" vertical="center" wrapText="1"/>
    </xf>
    <xf numFmtId="177" fontId="16" fillId="3" borderId="11" xfId="0" applyNumberFormat="1" applyFont="1" applyFill="1" applyBorder="1" applyAlignment="1">
      <alignment horizontal="center" vertical="center" wrapText="1"/>
    </xf>
    <xf numFmtId="9" fontId="18" fillId="3" borderId="38" xfId="21" applyFont="1" applyFill="1" applyBorder="1" applyAlignment="1">
      <alignment horizontal="center" vertical="center" wrapText="1"/>
    </xf>
    <xf numFmtId="9" fontId="18" fillId="3" borderId="40" xfId="21" applyFont="1" applyFill="1" applyBorder="1" applyAlignment="1">
      <alignment horizontal="center" vertical="center" wrapText="1"/>
    </xf>
    <xf numFmtId="177" fontId="16" fillId="3" borderId="20" xfId="8" applyNumberFormat="1" applyFont="1" applyFill="1" applyBorder="1" applyAlignment="1">
      <alignment horizontal="center" vertical="center" wrapText="1"/>
    </xf>
    <xf numFmtId="9" fontId="18" fillId="3" borderId="42" xfId="23" applyFont="1" applyFill="1" applyBorder="1" applyAlignment="1">
      <alignment horizontal="center" vertical="center" wrapText="1"/>
    </xf>
    <xf numFmtId="9" fontId="18" fillId="3" borderId="16" xfId="21" applyFont="1" applyFill="1" applyBorder="1" applyAlignment="1">
      <alignment horizontal="center" vertical="center" wrapText="1"/>
    </xf>
    <xf numFmtId="9" fontId="18" fillId="3" borderId="8" xfId="23" applyFont="1" applyFill="1" applyBorder="1" applyAlignment="1">
      <alignment horizontal="center" vertical="center" wrapText="1"/>
    </xf>
    <xf numFmtId="9" fontId="18" fillId="3" borderId="8" xfId="21" applyFont="1" applyFill="1" applyBorder="1" applyAlignment="1">
      <alignment horizontal="center" vertical="center" wrapText="1"/>
    </xf>
    <xf numFmtId="0" fontId="18" fillId="3" borderId="8" xfId="21" applyNumberFormat="1" applyFont="1" applyFill="1" applyBorder="1" applyAlignment="1">
      <alignment horizontal="center" vertical="center" wrapText="1"/>
    </xf>
    <xf numFmtId="9" fontId="18" fillId="3" borderId="51" xfId="21" applyFont="1" applyFill="1" applyBorder="1" applyAlignment="1">
      <alignment horizontal="center" vertical="center" wrapText="1"/>
    </xf>
    <xf numFmtId="9" fontId="18" fillId="3" borderId="46" xfId="21" applyFont="1" applyFill="1" applyBorder="1" applyAlignment="1">
      <alignment horizontal="center" vertical="center" wrapText="1"/>
    </xf>
    <xf numFmtId="177" fontId="46" fillId="3" borderId="10" xfId="8" applyNumberFormat="1" applyFont="1" applyFill="1" applyBorder="1" applyAlignment="1">
      <alignment horizontal="center" vertical="center" wrapText="1"/>
    </xf>
    <xf numFmtId="9" fontId="16" fillId="3" borderId="17" xfId="21" applyNumberFormat="1" applyFont="1" applyFill="1" applyBorder="1" applyAlignment="1">
      <alignment horizontal="center" vertical="center" wrapText="1"/>
    </xf>
    <xf numFmtId="9" fontId="46" fillId="3" borderId="10" xfId="0" applyNumberFormat="1" applyFont="1" applyFill="1" applyBorder="1" applyAlignment="1">
      <alignment horizontal="center" vertical="center" wrapText="1"/>
    </xf>
    <xf numFmtId="0" fontId="24" fillId="0" borderId="0" xfId="0" applyFont="1" applyFill="1" applyAlignment="1">
      <alignment wrapText="1"/>
    </xf>
    <xf numFmtId="177" fontId="46" fillId="3" borderId="11" xfId="8" applyNumberFormat="1" applyFont="1" applyFill="1" applyBorder="1" applyAlignment="1">
      <alignment horizontal="center" vertical="center" wrapText="1"/>
    </xf>
    <xf numFmtId="9" fontId="16" fillId="3" borderId="29" xfId="21" applyNumberFormat="1" applyFont="1" applyFill="1" applyBorder="1" applyAlignment="1">
      <alignment horizontal="center" vertical="center" wrapText="1"/>
    </xf>
    <xf numFmtId="9" fontId="46" fillId="3" borderId="11" xfId="0" applyNumberFormat="1" applyFont="1" applyFill="1" applyBorder="1" applyAlignment="1">
      <alignment horizontal="center" vertical="center" wrapText="1"/>
    </xf>
    <xf numFmtId="177" fontId="46" fillId="3" borderId="12" xfId="8" applyNumberFormat="1" applyFont="1" applyFill="1" applyBorder="1" applyAlignment="1">
      <alignment horizontal="center" vertical="center" wrapText="1"/>
    </xf>
    <xf numFmtId="9" fontId="46" fillId="3" borderId="19" xfId="0" applyNumberFormat="1" applyFont="1" applyFill="1" applyBorder="1" applyAlignment="1">
      <alignment horizontal="center" vertical="center" wrapText="1"/>
    </xf>
    <xf numFmtId="9" fontId="46" fillId="3" borderId="12" xfId="0" applyNumberFormat="1" applyFont="1" applyFill="1" applyBorder="1" applyAlignment="1">
      <alignment horizontal="center" vertical="center" wrapText="1"/>
    </xf>
    <xf numFmtId="0" fontId="42" fillId="0" borderId="0" xfId="0" applyFont="1" applyFill="1" applyAlignment="1">
      <alignment wrapText="1"/>
    </xf>
    <xf numFmtId="0" fontId="4" fillId="0" borderId="0" xfId="0" applyFont="1" applyFill="1" applyAlignment="1">
      <alignment wrapText="1"/>
    </xf>
    <xf numFmtId="0" fontId="11" fillId="0" borderId="0" xfId="0" applyFont="1" applyFill="1" applyAlignment="1">
      <alignment wrapText="1"/>
    </xf>
    <xf numFmtId="0" fontId="5" fillId="0" borderId="0" xfId="0" applyFont="1" applyFill="1" applyAlignment="1">
      <alignment horizontal="center" wrapText="1"/>
    </xf>
    <xf numFmtId="0" fontId="0" fillId="0" borderId="0" xfId="0" applyFill="1" applyAlignment="1">
      <alignment horizontal="center" wrapText="1"/>
    </xf>
    <xf numFmtId="0" fontId="23" fillId="2" borderId="0" xfId="14" applyFont="1" applyFill="1" applyAlignment="1">
      <alignment vertical="center"/>
    </xf>
    <xf numFmtId="0" fontId="23" fillId="0" borderId="49" xfId="0" applyFont="1" applyFill="1" applyBorder="1"/>
    <xf numFmtId="0" fontId="23" fillId="0" borderId="51" xfId="0" applyFont="1" applyFill="1" applyBorder="1"/>
    <xf numFmtId="9" fontId="2" fillId="5" borderId="40" xfId="23" applyFont="1" applyFill="1" applyBorder="1" applyAlignment="1">
      <alignment horizontal="center" vertical="center" wrapText="1"/>
    </xf>
    <xf numFmtId="10" fontId="16" fillId="0" borderId="1" xfId="14" applyNumberFormat="1" applyFont="1" applyFill="1" applyBorder="1" applyAlignment="1">
      <alignment vertical="center"/>
    </xf>
    <xf numFmtId="3" fontId="17" fillId="0" borderId="3" xfId="17" applyNumberFormat="1" applyFont="1" applyFill="1" applyBorder="1" applyAlignment="1">
      <alignment horizontal="center" vertical="center" wrapText="1"/>
    </xf>
    <xf numFmtId="9" fontId="17" fillId="0" borderId="3" xfId="21" applyFont="1" applyFill="1" applyBorder="1" applyAlignment="1">
      <alignment horizontal="center" vertical="center" wrapText="1"/>
    </xf>
    <xf numFmtId="9" fontId="17" fillId="3" borderId="3" xfId="21" applyFont="1" applyFill="1" applyBorder="1" applyAlignment="1">
      <alignment horizontal="center" vertical="center" wrapText="1"/>
    </xf>
    <xf numFmtId="173" fontId="16" fillId="0" borderId="3" xfId="21" applyNumberFormat="1" applyFont="1" applyFill="1" applyBorder="1" applyAlignment="1">
      <alignment horizontal="center" vertical="center" wrapText="1"/>
    </xf>
    <xf numFmtId="177" fontId="17" fillId="0" borderId="1" xfId="8" applyNumberFormat="1" applyFont="1" applyFill="1" applyBorder="1" applyAlignment="1">
      <alignment horizontal="center" vertical="center" wrapText="1"/>
    </xf>
    <xf numFmtId="178" fontId="17" fillId="0" borderId="1" xfId="8" applyNumberFormat="1" applyFont="1" applyFill="1" applyBorder="1" applyAlignment="1">
      <alignment horizontal="center" vertical="center"/>
    </xf>
    <xf numFmtId="177" fontId="17" fillId="3" borderId="1" xfId="8" applyNumberFormat="1" applyFont="1" applyFill="1" applyBorder="1" applyAlignment="1">
      <alignment horizontal="center" vertical="center" wrapText="1"/>
    </xf>
    <xf numFmtId="177" fontId="16" fillId="0" borderId="1" xfId="8" applyNumberFormat="1" applyFont="1" applyFill="1" applyBorder="1" applyAlignment="1">
      <alignment horizontal="center" vertical="center" wrapText="1"/>
    </xf>
    <xf numFmtId="173" fontId="23" fillId="5" borderId="1" xfId="0" applyNumberFormat="1" applyFont="1" applyFill="1" applyBorder="1" applyAlignment="1">
      <alignment vertical="center"/>
    </xf>
    <xf numFmtId="37"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3" fontId="17" fillId="0" borderId="1" xfId="17" applyNumberFormat="1" applyFont="1" applyFill="1" applyBorder="1" applyAlignment="1">
      <alignment horizontal="center" vertical="center" wrapText="1"/>
    </xf>
    <xf numFmtId="9" fontId="17" fillId="0" borderId="1" xfId="21" applyFont="1" applyFill="1" applyBorder="1" applyAlignment="1">
      <alignment horizontal="center" vertical="center" wrapText="1"/>
    </xf>
    <xf numFmtId="177" fontId="17" fillId="3" borderId="1" xfId="17" applyNumberFormat="1" applyFont="1" applyFill="1" applyBorder="1" applyAlignment="1">
      <alignment horizontal="center" vertical="center" wrapText="1"/>
    </xf>
    <xf numFmtId="177" fontId="17" fillId="0" borderId="1" xfId="17" applyNumberFormat="1" applyFont="1" applyFill="1" applyBorder="1" applyAlignment="1">
      <alignment horizontal="center" vertical="center" wrapText="1"/>
    </xf>
    <xf numFmtId="3" fontId="16" fillId="0" borderId="1" xfId="17" applyNumberFormat="1" applyFont="1" applyFill="1" applyBorder="1" applyAlignment="1">
      <alignment horizontal="center" vertical="center" wrapText="1"/>
    </xf>
    <xf numFmtId="178" fontId="17" fillId="0" borderId="1" xfId="17" applyNumberFormat="1" applyFont="1" applyFill="1" applyBorder="1" applyAlignment="1">
      <alignment horizontal="center" vertical="center" wrapText="1"/>
    </xf>
    <xf numFmtId="171" fontId="16" fillId="0" borderId="1" xfId="17"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79" fontId="17" fillId="0" borderId="1" xfId="17" applyNumberFormat="1" applyFont="1" applyFill="1" applyBorder="1" applyAlignment="1">
      <alignment horizontal="center" vertical="center" wrapText="1"/>
    </xf>
    <xf numFmtId="9" fontId="17" fillId="3" borderId="1" xfId="21" applyFont="1" applyFill="1" applyBorder="1" applyAlignment="1">
      <alignment horizontal="center" vertical="center" wrapText="1"/>
    </xf>
    <xf numFmtId="173" fontId="16" fillId="0" borderId="1" xfId="21" applyNumberFormat="1" applyFont="1" applyFill="1" applyBorder="1" applyAlignment="1">
      <alignment horizontal="center" vertical="center" wrapText="1"/>
    </xf>
    <xf numFmtId="173" fontId="36" fillId="5" borderId="1" xfId="0" applyNumberFormat="1" applyFont="1" applyFill="1" applyBorder="1" applyAlignment="1">
      <alignment vertical="center"/>
    </xf>
    <xf numFmtId="1" fontId="17" fillId="0" borderId="1" xfId="17" applyNumberFormat="1" applyFont="1" applyFill="1" applyBorder="1" applyAlignment="1">
      <alignment horizontal="center" vertical="center" wrapText="1"/>
    </xf>
    <xf numFmtId="1" fontId="17" fillId="0" borderId="1" xfId="8" applyNumberFormat="1" applyFont="1" applyFill="1" applyBorder="1" applyAlignment="1">
      <alignment horizontal="center" vertical="center"/>
    </xf>
    <xf numFmtId="9" fontId="17" fillId="0" borderId="1" xfId="23" applyFont="1" applyFill="1" applyBorder="1" applyAlignment="1">
      <alignment horizontal="center" vertical="center" wrapText="1"/>
    </xf>
    <xf numFmtId="1" fontId="16" fillId="0" borderId="1" xfId="17" applyNumberFormat="1" applyFont="1" applyFill="1" applyBorder="1" applyAlignment="1">
      <alignment horizontal="center" vertical="center" wrapText="1"/>
    </xf>
    <xf numFmtId="173" fontId="36" fillId="6" borderId="1" xfId="0" applyNumberFormat="1" applyFont="1" applyFill="1" applyBorder="1" applyAlignment="1">
      <alignment vertical="center" wrapText="1"/>
    </xf>
    <xf numFmtId="37" fontId="17" fillId="0" borderId="1" xfId="8" applyNumberFormat="1" applyFont="1" applyFill="1" applyBorder="1" applyAlignment="1">
      <alignment horizontal="center" vertical="center"/>
    </xf>
    <xf numFmtId="179" fontId="17" fillId="3" borderId="3" xfId="17" applyNumberFormat="1" applyFont="1" applyFill="1" applyBorder="1" applyAlignment="1">
      <alignment horizontal="center" vertical="center" wrapText="1"/>
    </xf>
    <xf numFmtId="179" fontId="17" fillId="0" borderId="3" xfId="17" applyNumberFormat="1" applyFont="1" applyFill="1" applyBorder="1" applyAlignment="1">
      <alignment horizontal="center" vertical="center" wrapText="1"/>
    </xf>
    <xf numFmtId="1" fontId="17" fillId="0" borderId="3" xfId="17" applyNumberFormat="1" applyFont="1" applyFill="1" applyBorder="1" applyAlignment="1">
      <alignment horizontal="center" vertical="center" wrapText="1"/>
    </xf>
    <xf numFmtId="178" fontId="17" fillId="0" borderId="1" xfId="8" applyNumberFormat="1" applyFont="1" applyFill="1" applyBorder="1" applyAlignment="1">
      <alignment horizontal="center" vertical="center" wrapText="1"/>
    </xf>
    <xf numFmtId="37" fontId="19" fillId="0" borderId="1" xfId="8" applyNumberFormat="1" applyFont="1" applyFill="1" applyBorder="1" applyAlignment="1">
      <alignment horizontal="center" vertical="center"/>
    </xf>
    <xf numFmtId="179" fontId="16" fillId="3" borderId="1" xfId="0" applyNumberFormat="1" applyFont="1" applyFill="1" applyBorder="1" applyAlignment="1">
      <alignment horizontal="center" vertical="center" wrapText="1"/>
    </xf>
    <xf numFmtId="178" fontId="19" fillId="0" borderId="1" xfId="8" applyNumberFormat="1" applyFont="1" applyFill="1" applyBorder="1" applyAlignment="1">
      <alignment horizontal="center" vertical="center"/>
    </xf>
    <xf numFmtId="164" fontId="17" fillId="0" borderId="1" xfId="24" applyFont="1" applyFill="1" applyBorder="1" applyAlignment="1">
      <alignment horizontal="center" vertical="center" wrapText="1"/>
    </xf>
    <xf numFmtId="4" fontId="17" fillId="0" borderId="3" xfId="17" applyNumberFormat="1" applyFont="1" applyFill="1" applyBorder="1" applyAlignment="1">
      <alignment horizontal="center" vertical="center" wrapText="1"/>
    </xf>
    <xf numFmtId="2" fontId="17" fillId="0" borderId="3" xfId="17" applyNumberFormat="1" applyFont="1" applyFill="1" applyBorder="1" applyAlignment="1">
      <alignment horizontal="center" vertical="center" wrapText="1"/>
    </xf>
    <xf numFmtId="2" fontId="46" fillId="0" borderId="3" xfId="17" applyNumberFormat="1" applyFont="1" applyFill="1" applyBorder="1" applyAlignment="1">
      <alignment horizontal="center" vertical="center" wrapText="1"/>
    </xf>
    <xf numFmtId="3" fontId="17" fillId="0" borderId="1" xfId="8" applyNumberFormat="1" applyFont="1" applyFill="1" applyBorder="1" applyAlignment="1">
      <alignment horizontal="center" vertical="center" wrapText="1"/>
    </xf>
    <xf numFmtId="178" fontId="46" fillId="0" borderId="1" xfId="8" applyNumberFormat="1" applyFont="1" applyFill="1" applyBorder="1" applyAlignment="1">
      <alignment horizontal="center" vertical="center" wrapText="1"/>
    </xf>
    <xf numFmtId="4" fontId="17" fillId="0" borderId="1" xfId="17" applyNumberFormat="1" applyFont="1" applyFill="1" applyBorder="1" applyAlignment="1">
      <alignment horizontal="center" vertical="center" wrapText="1"/>
    </xf>
    <xf numFmtId="3" fontId="46" fillId="0" borderId="1" xfId="17" applyNumberFormat="1" applyFont="1" applyFill="1" applyBorder="1" applyAlignment="1">
      <alignment horizontal="center" vertical="center" wrapText="1"/>
    </xf>
    <xf numFmtId="171" fontId="17" fillId="0" borderId="1" xfId="17" applyNumberFormat="1" applyFont="1" applyFill="1" applyBorder="1" applyAlignment="1">
      <alignment horizontal="center" vertical="center" wrapText="1"/>
    </xf>
    <xf numFmtId="171" fontId="46" fillId="0" borderId="1" xfId="17" applyNumberFormat="1" applyFont="1" applyFill="1" applyBorder="1" applyAlignment="1">
      <alignment horizontal="center" vertical="center" wrapText="1"/>
    </xf>
    <xf numFmtId="2" fontId="17" fillId="0" borderId="1" xfId="17" applyNumberFormat="1" applyFont="1" applyFill="1" applyBorder="1" applyAlignment="1">
      <alignment horizontal="center" vertical="center" wrapText="1"/>
    </xf>
    <xf numFmtId="2" fontId="46" fillId="0" borderId="1" xfId="17" applyNumberFormat="1" applyFont="1" applyFill="1" applyBorder="1" applyAlignment="1">
      <alignment horizontal="center" vertical="center" wrapText="1"/>
    </xf>
    <xf numFmtId="2" fontId="16" fillId="0" borderId="3" xfId="17" applyNumberFormat="1" applyFont="1" applyFill="1" applyBorder="1" applyAlignment="1">
      <alignment horizontal="center" vertical="center" wrapText="1"/>
    </xf>
    <xf numFmtId="3" fontId="16" fillId="0" borderId="3" xfId="17" applyNumberFormat="1" applyFont="1" applyFill="1" applyBorder="1" applyAlignment="1">
      <alignment horizontal="center" vertical="center" wrapText="1"/>
    </xf>
    <xf numFmtId="173" fontId="36" fillId="5" borderId="5" xfId="0" applyNumberFormat="1" applyFont="1" applyFill="1" applyBorder="1" applyAlignment="1">
      <alignment vertical="center"/>
    </xf>
    <xf numFmtId="180" fontId="17" fillId="0" borderId="5" xfId="17" applyNumberFormat="1" applyFont="1" applyFill="1" applyBorder="1" applyAlignment="1">
      <alignment horizontal="center" vertical="center" wrapText="1"/>
    </xf>
    <xf numFmtId="4" fontId="16" fillId="0" borderId="5" xfId="0" applyNumberFormat="1" applyFont="1" applyFill="1" applyBorder="1" applyAlignment="1">
      <alignment horizontal="center" vertical="center" wrapText="1"/>
    </xf>
    <xf numFmtId="178" fontId="16" fillId="0" borderId="1" xfId="8" applyNumberFormat="1" applyFont="1" applyFill="1" applyBorder="1" applyAlignment="1">
      <alignment horizontal="center" vertical="center" wrapText="1"/>
    </xf>
    <xf numFmtId="4" fontId="16" fillId="0" borderId="3" xfId="0" applyNumberFormat="1" applyFont="1" applyFill="1" applyBorder="1" applyAlignment="1">
      <alignment horizontal="center" vertical="center" wrapText="1"/>
    </xf>
    <xf numFmtId="3" fontId="16" fillId="0" borderId="1" xfId="8" applyNumberFormat="1" applyFont="1" applyFill="1" applyBorder="1" applyAlignment="1">
      <alignment horizontal="center" vertical="center" wrapText="1"/>
    </xf>
    <xf numFmtId="178" fontId="16" fillId="0" borderId="1" xfId="17" applyNumberFormat="1" applyFont="1" applyFill="1" applyBorder="1" applyAlignment="1">
      <alignment horizontal="center" vertical="center"/>
    </xf>
    <xf numFmtId="37" fontId="16" fillId="0" borderId="1" xfId="17" applyNumberFormat="1" applyFont="1" applyFill="1" applyBorder="1" applyAlignment="1">
      <alignment horizontal="center" vertical="center"/>
    </xf>
    <xf numFmtId="180" fontId="17" fillId="0" borderId="1" xfId="17"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4" fontId="16" fillId="3" borderId="3" xfId="0" applyNumberFormat="1" applyFont="1" applyFill="1" applyBorder="1" applyAlignment="1">
      <alignment horizontal="center" vertical="center" wrapText="1"/>
    </xf>
    <xf numFmtId="39" fontId="17" fillId="0" borderId="1" xfId="0" applyNumberFormat="1" applyFont="1" applyFill="1" applyBorder="1" applyAlignment="1">
      <alignment horizontal="center" vertical="center"/>
    </xf>
    <xf numFmtId="179" fontId="17" fillId="3" borderId="1" xfId="17" applyNumberFormat="1" applyFont="1" applyFill="1" applyBorder="1" applyAlignment="1">
      <alignment horizontal="center" vertical="center" wrapText="1"/>
    </xf>
    <xf numFmtId="4" fontId="16" fillId="3" borderId="1" xfId="8" applyNumberFormat="1" applyFont="1" applyFill="1" applyBorder="1" applyAlignment="1">
      <alignment horizontal="center" vertical="center" wrapText="1"/>
    </xf>
    <xf numFmtId="178" fontId="16" fillId="3" borderId="1" xfId="17" applyNumberFormat="1" applyFont="1" applyFill="1" applyBorder="1" applyAlignment="1">
      <alignment horizontal="center" vertical="center"/>
    </xf>
    <xf numFmtId="37" fontId="16" fillId="3" borderId="1" xfId="17" applyNumberFormat="1" applyFont="1" applyFill="1" applyBorder="1" applyAlignment="1">
      <alignment horizontal="center" vertical="center"/>
    </xf>
    <xf numFmtId="171" fontId="17" fillId="3" borderId="1" xfId="17"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3" fontId="17" fillId="3" borderId="1" xfId="17" applyNumberFormat="1" applyFont="1" applyFill="1" applyBorder="1" applyAlignment="1">
      <alignment horizontal="center" vertical="center" wrapText="1"/>
    </xf>
    <xf numFmtId="4" fontId="16" fillId="3" borderId="1" xfId="17" applyNumberFormat="1" applyFont="1" applyFill="1" applyBorder="1" applyAlignment="1">
      <alignment horizontal="center" vertical="center" wrapText="1"/>
    </xf>
    <xf numFmtId="178" fontId="17" fillId="3" borderId="1" xfId="8" applyNumberFormat="1" applyFont="1" applyFill="1" applyBorder="1" applyAlignment="1">
      <alignment horizontal="center" vertical="center"/>
    </xf>
    <xf numFmtId="178" fontId="17" fillId="3" borderId="1" xfId="8" applyNumberFormat="1" applyFont="1" applyFill="1" applyBorder="1" applyAlignment="1">
      <alignment horizontal="center" vertical="center" wrapText="1"/>
    </xf>
    <xf numFmtId="4" fontId="17" fillId="3" borderId="1" xfId="0" applyNumberFormat="1" applyFont="1" applyFill="1" applyBorder="1" applyAlignment="1">
      <alignment horizontal="center" vertical="center"/>
    </xf>
    <xf numFmtId="4" fontId="17" fillId="3" borderId="1" xfId="17" applyNumberFormat="1" applyFont="1" applyFill="1" applyBorder="1" applyAlignment="1">
      <alignment horizontal="center" vertical="center" wrapText="1"/>
    </xf>
    <xf numFmtId="178" fontId="17" fillId="3" borderId="1" xfId="17" applyNumberFormat="1" applyFont="1" applyFill="1" applyBorder="1" applyAlignment="1">
      <alignment horizontal="center" vertical="center" wrapText="1"/>
    </xf>
    <xf numFmtId="4" fontId="16" fillId="3" borderId="1" xfId="0" applyNumberFormat="1" applyFont="1" applyFill="1" applyBorder="1" applyAlignment="1">
      <alignment horizontal="center" vertical="center" wrapText="1"/>
    </xf>
    <xf numFmtId="178" fontId="17" fillId="0" borderId="2" xfId="8" applyNumberFormat="1" applyFont="1" applyFill="1" applyBorder="1" applyAlignment="1">
      <alignment horizontal="center" vertical="center"/>
    </xf>
    <xf numFmtId="171" fontId="17" fillId="0" borderId="2" xfId="17" applyNumberFormat="1" applyFont="1" applyFill="1" applyBorder="1" applyAlignment="1">
      <alignment horizontal="center" vertical="center" wrapText="1"/>
    </xf>
    <xf numFmtId="3" fontId="17" fillId="3" borderId="3" xfId="17" applyNumberFormat="1" applyFont="1" applyFill="1" applyBorder="1" applyAlignment="1">
      <alignment horizontal="center" vertical="center" wrapText="1"/>
    </xf>
    <xf numFmtId="178" fontId="16" fillId="0" borderId="1" xfId="8" applyNumberFormat="1" applyFont="1" applyFill="1" applyBorder="1" applyAlignment="1">
      <alignment horizontal="center" vertical="center"/>
    </xf>
    <xf numFmtId="178" fontId="17" fillId="3" borderId="1" xfId="0" applyNumberFormat="1" applyFont="1" applyFill="1" applyBorder="1" applyAlignment="1">
      <alignment horizontal="center" vertical="center"/>
    </xf>
    <xf numFmtId="178" fontId="16" fillId="0" borderId="1" xfId="17"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xf>
    <xf numFmtId="4" fontId="16" fillId="0" borderId="1" xfId="17" applyNumberFormat="1" applyFont="1" applyFill="1" applyBorder="1" applyAlignment="1">
      <alignment horizontal="center" vertical="center" wrapText="1"/>
    </xf>
    <xf numFmtId="4" fontId="46" fillId="0" borderId="1" xfId="17"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xf>
    <xf numFmtId="178" fontId="46" fillId="0" borderId="1" xfId="17"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xf>
    <xf numFmtId="173" fontId="23" fillId="5" borderId="1" xfId="0" applyNumberFormat="1" applyFont="1" applyFill="1" applyBorder="1" applyAlignment="1">
      <alignment horizontal="left" vertical="center" wrapText="1"/>
    </xf>
    <xf numFmtId="173" fontId="23" fillId="6" borderId="1" xfId="0" applyNumberFormat="1" applyFont="1" applyFill="1" applyBorder="1" applyAlignment="1">
      <alignment horizontal="left" vertical="center" wrapText="1"/>
    </xf>
    <xf numFmtId="2" fontId="17" fillId="3" borderId="1" xfId="17" applyNumberFormat="1" applyFont="1" applyFill="1" applyBorder="1" applyAlignment="1">
      <alignment horizontal="center" vertical="center" wrapText="1"/>
    </xf>
    <xf numFmtId="173" fontId="36" fillId="6" borderId="4" xfId="0" applyNumberFormat="1" applyFont="1" applyFill="1" applyBorder="1" applyAlignment="1">
      <alignment vertical="center" wrapText="1"/>
    </xf>
    <xf numFmtId="178" fontId="17" fillId="0" borderId="4" xfId="17" applyNumberFormat="1" applyFont="1" applyFill="1" applyBorder="1" applyAlignment="1">
      <alignment horizontal="center" vertical="center" wrapText="1"/>
    </xf>
    <xf numFmtId="178" fontId="17" fillId="3" borderId="4" xfId="17" applyNumberFormat="1" applyFont="1" applyFill="1" applyBorder="1" applyAlignment="1">
      <alignment horizontal="center" vertical="center" wrapText="1"/>
    </xf>
    <xf numFmtId="178" fontId="17" fillId="0" borderId="4" xfId="8" applyNumberFormat="1" applyFont="1" applyFill="1" applyBorder="1" applyAlignment="1">
      <alignment horizontal="center" vertical="center" wrapText="1"/>
    </xf>
    <xf numFmtId="178" fontId="16" fillId="0" borderId="4" xfId="17" applyNumberFormat="1" applyFont="1" applyFill="1" applyBorder="1" applyAlignment="1">
      <alignment horizontal="center" vertical="center" wrapText="1"/>
    </xf>
    <xf numFmtId="3" fontId="16" fillId="0" borderId="5" xfId="0" applyNumberFormat="1" applyFont="1" applyFill="1" applyBorder="1" applyAlignment="1">
      <alignment horizontal="center" vertical="center" wrapText="1"/>
    </xf>
    <xf numFmtId="3" fontId="17" fillId="0" borderId="5" xfId="17" applyNumberFormat="1" applyFont="1" applyFill="1" applyBorder="1" applyAlignment="1">
      <alignment horizontal="center" vertical="center" wrapText="1"/>
    </xf>
    <xf numFmtId="178" fontId="17" fillId="3" borderId="5" xfId="17" applyNumberFormat="1" applyFont="1" applyFill="1" applyBorder="1" applyAlignment="1">
      <alignment horizontal="center" vertical="center" wrapText="1"/>
    </xf>
    <xf numFmtId="178" fontId="17" fillId="0" borderId="5" xfId="17" applyNumberFormat="1" applyFont="1" applyFill="1" applyBorder="1" applyAlignment="1">
      <alignment horizontal="center" vertical="center" wrapText="1"/>
    </xf>
    <xf numFmtId="178" fontId="46" fillId="0" borderId="5" xfId="17" applyNumberFormat="1" applyFont="1" applyFill="1" applyBorder="1" applyAlignment="1">
      <alignment horizontal="center" vertical="center" wrapText="1"/>
    </xf>
    <xf numFmtId="180" fontId="17" fillId="3" borderId="1" xfId="17" applyNumberFormat="1" applyFont="1" applyFill="1" applyBorder="1" applyAlignment="1">
      <alignment horizontal="center" vertical="center" wrapText="1"/>
    </xf>
    <xf numFmtId="4" fontId="16" fillId="0" borderId="25" xfId="0" applyNumberFormat="1" applyFont="1" applyFill="1" applyBorder="1" applyAlignment="1">
      <alignment horizontal="center" vertical="center"/>
    </xf>
    <xf numFmtId="172" fontId="16" fillId="0" borderId="1" xfId="8" applyNumberFormat="1" applyFont="1" applyFill="1" applyBorder="1" applyAlignment="1">
      <alignment horizontal="center" vertical="center"/>
    </xf>
    <xf numFmtId="4" fontId="16" fillId="3" borderId="1" xfId="0" applyNumberFormat="1" applyFont="1" applyFill="1" applyBorder="1" applyAlignment="1">
      <alignment horizontal="center" vertical="center"/>
    </xf>
    <xf numFmtId="1" fontId="46" fillId="0" borderId="1" xfId="8" applyNumberFormat="1" applyFont="1" applyFill="1" applyBorder="1" applyAlignment="1">
      <alignment horizontal="center" vertical="center"/>
    </xf>
    <xf numFmtId="1" fontId="16" fillId="0" borderId="1" xfId="8" applyNumberFormat="1" applyFont="1" applyFill="1" applyBorder="1" applyAlignment="1">
      <alignment horizontal="center" vertical="center"/>
    </xf>
    <xf numFmtId="2" fontId="16" fillId="0" borderId="1" xfId="8" applyNumberFormat="1" applyFont="1" applyFill="1" applyBorder="1" applyAlignment="1">
      <alignment horizontal="center" vertical="center"/>
    </xf>
    <xf numFmtId="178" fontId="46" fillId="0" borderId="1" xfId="8" applyNumberFormat="1" applyFont="1" applyFill="1" applyBorder="1" applyAlignment="1">
      <alignment horizontal="center" vertical="center"/>
    </xf>
    <xf numFmtId="9" fontId="16" fillId="0" borderId="3" xfId="21" applyFont="1" applyFill="1" applyBorder="1" applyAlignment="1">
      <alignment horizontal="center" vertical="center" wrapText="1"/>
    </xf>
    <xf numFmtId="178" fontId="16" fillId="0" borderId="3" xfId="8" applyNumberFormat="1" applyFont="1" applyFill="1" applyBorder="1" applyAlignment="1">
      <alignment horizontal="center" vertical="center"/>
    </xf>
    <xf numFmtId="9" fontId="46" fillId="0" borderId="1" xfId="21" applyFont="1" applyFill="1" applyBorder="1" applyAlignment="1">
      <alignment horizontal="center" vertical="center"/>
    </xf>
    <xf numFmtId="1" fontId="46" fillId="0" borderId="1" xfId="21" applyNumberFormat="1" applyFont="1" applyFill="1" applyBorder="1" applyAlignment="1">
      <alignment horizontal="center" vertical="center"/>
    </xf>
    <xf numFmtId="2" fontId="46" fillId="0" borderId="1" xfId="21" applyNumberFormat="1" applyFont="1" applyFill="1" applyBorder="1" applyAlignment="1">
      <alignment horizontal="center" vertical="center"/>
    </xf>
    <xf numFmtId="178" fontId="46" fillId="0" borderId="4" xfId="8" applyNumberFormat="1" applyFont="1" applyFill="1" applyBorder="1" applyAlignment="1">
      <alignment horizontal="center" vertical="center"/>
    </xf>
    <xf numFmtId="178" fontId="16" fillId="0" borderId="4" xfId="8" applyNumberFormat="1" applyFont="1" applyFill="1" applyBorder="1" applyAlignment="1">
      <alignment horizontal="center" vertical="center"/>
    </xf>
    <xf numFmtId="0" fontId="19" fillId="5" borderId="67" xfId="17" applyFont="1" applyFill="1" applyBorder="1" applyAlignment="1">
      <alignment horizontal="left" vertical="center" wrapText="1"/>
    </xf>
    <xf numFmtId="164" fontId="19" fillId="5" borderId="53" xfId="24" applyFont="1" applyFill="1" applyBorder="1" applyAlignment="1">
      <alignment horizontal="center" vertical="center" wrapText="1"/>
    </xf>
    <xf numFmtId="178" fontId="19" fillId="5" borderId="53" xfId="24" applyNumberFormat="1" applyFont="1" applyFill="1" applyBorder="1" applyAlignment="1">
      <alignment horizontal="center" vertical="center" wrapText="1"/>
    </xf>
    <xf numFmtId="164" fontId="19" fillId="6" borderId="7" xfId="24" applyFont="1" applyFill="1" applyBorder="1" applyAlignment="1">
      <alignment horizontal="center" vertical="center" wrapText="1"/>
    </xf>
    <xf numFmtId="164" fontId="18" fillId="6" borderId="7" xfId="24" applyFont="1" applyFill="1" applyBorder="1" applyAlignment="1">
      <alignment horizontal="center" vertical="center" wrapText="1"/>
    </xf>
    <xf numFmtId="164" fontId="19" fillId="5" borderId="56" xfId="24" applyFont="1" applyFill="1" applyBorder="1" applyAlignment="1">
      <alignment horizontal="left" vertical="center" wrapText="1"/>
    </xf>
    <xf numFmtId="0" fontId="4" fillId="0" borderId="0" xfId="14" applyFill="1" applyBorder="1" applyAlignment="1">
      <alignment vertical="center"/>
    </xf>
    <xf numFmtId="0" fontId="4" fillId="0" borderId="0" xfId="14" applyFill="1" applyAlignment="1">
      <alignment vertical="center"/>
    </xf>
    <xf numFmtId="0" fontId="11" fillId="0" borderId="0" xfId="14" applyFont="1" applyFill="1" applyAlignment="1">
      <alignment vertical="center"/>
    </xf>
    <xf numFmtId="0" fontId="4" fillId="0" borderId="0" xfId="14" applyFill="1" applyAlignment="1">
      <alignment horizontal="left" vertical="center"/>
    </xf>
    <xf numFmtId="10" fontId="4" fillId="0" borderId="0" xfId="14" applyNumberFormat="1" applyFill="1" applyAlignment="1">
      <alignment vertical="center"/>
    </xf>
    <xf numFmtId="10" fontId="51" fillId="0" borderId="0" xfId="14" applyNumberFormat="1" applyFont="1" applyFill="1" applyAlignment="1">
      <alignment horizontal="center" vertical="center"/>
    </xf>
    <xf numFmtId="2" fontId="52" fillId="0" borderId="0" xfId="14" applyNumberFormat="1" applyFont="1" applyFill="1" applyAlignment="1">
      <alignment vertical="center"/>
    </xf>
    <xf numFmtId="10" fontId="46" fillId="0" borderId="0" xfId="14" applyNumberFormat="1" applyFont="1" applyFill="1" applyAlignment="1">
      <alignment horizontal="center" vertical="center"/>
    </xf>
    <xf numFmtId="2" fontId="46" fillId="0" borderId="0" xfId="14" applyNumberFormat="1" applyFont="1" applyFill="1" applyAlignment="1">
      <alignment horizontal="center" vertical="center"/>
    </xf>
    <xf numFmtId="2" fontId="46" fillId="0" borderId="0" xfId="14" applyNumberFormat="1" applyFont="1" applyFill="1" applyAlignment="1">
      <alignment vertical="center"/>
    </xf>
    <xf numFmtId="10" fontId="46" fillId="0" borderId="0" xfId="21" applyNumberFormat="1" applyFont="1" applyFill="1" applyAlignment="1">
      <alignment vertical="center"/>
    </xf>
    <xf numFmtId="0" fontId="23" fillId="0" borderId="0" xfId="14" applyFont="1" applyFill="1" applyAlignment="1">
      <alignment vertical="center"/>
    </xf>
    <xf numFmtId="0" fontId="23" fillId="0" borderId="0" xfId="14" applyFont="1" applyFill="1" applyBorder="1" applyAlignment="1">
      <alignment vertical="center"/>
    </xf>
    <xf numFmtId="0" fontId="39" fillId="7" borderId="1" xfId="0" applyFont="1" applyFill="1" applyBorder="1" applyAlignment="1">
      <alignment horizontal="center" vertical="center"/>
    </xf>
    <xf numFmtId="0" fontId="4" fillId="0" borderId="1" xfId="0" applyFont="1" applyFill="1" applyBorder="1" applyAlignment="1">
      <alignment horizontal="center" vertical="center" wrapText="1"/>
    </xf>
    <xf numFmtId="2" fontId="45" fillId="0" borderId="1" xfId="21" applyNumberFormat="1" applyFont="1" applyFill="1" applyBorder="1" applyAlignment="1">
      <alignment horizontal="center" vertical="center" wrapText="1"/>
    </xf>
    <xf numFmtId="2" fontId="45" fillId="0" borderId="8" xfId="21" applyNumberFormat="1" applyFont="1" applyFill="1" applyBorder="1" applyAlignment="1">
      <alignment horizontal="center" vertical="center" wrapText="1"/>
    </xf>
    <xf numFmtId="177" fontId="46" fillId="0" borderId="4" xfId="8" applyNumberFormat="1" applyFont="1" applyFill="1" applyBorder="1" applyAlignment="1">
      <alignment horizontal="center" vertical="center" wrapText="1"/>
    </xf>
    <xf numFmtId="177" fontId="46" fillId="0" borderId="46" xfId="8" applyNumberFormat="1" applyFont="1" applyFill="1" applyBorder="1" applyAlignment="1">
      <alignment horizontal="center" vertical="center" wrapText="1"/>
    </xf>
    <xf numFmtId="2" fontId="46" fillId="0" borderId="3" xfId="0" applyNumberFormat="1" applyFont="1" applyFill="1" applyBorder="1" applyAlignment="1">
      <alignment horizontal="center" vertical="center" wrapText="1"/>
    </xf>
    <xf numFmtId="2" fontId="46" fillId="0" borderId="16" xfId="0" applyNumberFormat="1" applyFont="1" applyFill="1" applyBorder="1" applyAlignment="1">
      <alignment horizontal="center" vertical="center" wrapText="1"/>
    </xf>
    <xf numFmtId="177" fontId="46" fillId="0" borderId="1" xfId="8" applyNumberFormat="1" applyFont="1" applyFill="1" applyBorder="1" applyAlignment="1">
      <alignment horizontal="center" vertical="center" wrapText="1"/>
    </xf>
    <xf numFmtId="177" fontId="46" fillId="0" borderId="8" xfId="8" applyNumberFormat="1" applyFont="1" applyFill="1" applyBorder="1" applyAlignment="1">
      <alignment horizontal="center" vertical="center" wrapText="1"/>
    </xf>
    <xf numFmtId="2" fontId="46" fillId="0" borderId="1" xfId="0" applyNumberFormat="1" applyFont="1" applyFill="1" applyBorder="1" applyAlignment="1">
      <alignment horizontal="center" vertical="center" wrapText="1"/>
    </xf>
    <xf numFmtId="2" fontId="46" fillId="0" borderId="8" xfId="0" applyNumberFormat="1" applyFont="1" applyFill="1" applyBorder="1" applyAlignment="1">
      <alignment horizontal="center" vertical="center" wrapText="1"/>
    </xf>
    <xf numFmtId="177" fontId="46" fillId="0" borderId="1" xfId="0" applyNumberFormat="1" applyFont="1" applyFill="1" applyBorder="1" applyAlignment="1">
      <alignment horizontal="center" vertical="center" wrapText="1"/>
    </xf>
    <xf numFmtId="177" fontId="46" fillId="0" borderId="8" xfId="0" applyNumberFormat="1" applyFont="1" applyFill="1" applyBorder="1" applyAlignment="1">
      <alignment horizontal="center" vertical="center" wrapText="1"/>
    </xf>
    <xf numFmtId="2" fontId="46" fillId="0" borderId="1" xfId="8" applyNumberFormat="1" applyFont="1" applyFill="1" applyBorder="1" applyAlignment="1">
      <alignment horizontal="center" vertical="center" wrapText="1"/>
    </xf>
    <xf numFmtId="2" fontId="46" fillId="0" borderId="8" xfId="8" applyNumberFormat="1" applyFont="1" applyFill="1" applyBorder="1" applyAlignment="1">
      <alignment horizontal="center" vertical="center" wrapText="1"/>
    </xf>
    <xf numFmtId="2" fontId="16" fillId="0" borderId="3" xfId="0" applyNumberFormat="1" applyFont="1" applyFill="1" applyBorder="1" applyAlignment="1">
      <alignment horizontal="center" vertical="center" wrapText="1"/>
    </xf>
    <xf numFmtId="2" fontId="16" fillId="0" borderId="42" xfId="0" applyNumberFormat="1" applyFont="1" applyFill="1" applyBorder="1" applyAlignment="1">
      <alignment horizontal="center" vertical="center" wrapText="1"/>
    </xf>
    <xf numFmtId="2" fontId="16" fillId="0" borderId="16" xfId="0" applyNumberFormat="1" applyFont="1" applyFill="1" applyBorder="1" applyAlignment="1">
      <alignment horizontal="center" vertical="center" wrapText="1"/>
    </xf>
    <xf numFmtId="177" fontId="16" fillId="0" borderId="7" xfId="8" applyNumberFormat="1" applyFont="1" applyFill="1" applyBorder="1" applyAlignment="1">
      <alignment horizontal="center" vertical="center" wrapText="1"/>
    </xf>
    <xf numFmtId="177" fontId="16" fillId="0" borderId="8" xfId="8"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2" fontId="16" fillId="0" borderId="7" xfId="0" applyNumberFormat="1" applyFont="1" applyFill="1" applyBorder="1" applyAlignment="1">
      <alignment horizontal="center" vertical="center" wrapText="1"/>
    </xf>
    <xf numFmtId="2" fontId="16" fillId="0" borderId="8"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77" fontId="16" fillId="0" borderId="7" xfId="0" applyNumberFormat="1" applyFont="1" applyFill="1" applyBorder="1" applyAlignment="1">
      <alignment horizontal="center" vertical="center" wrapText="1"/>
    </xf>
    <xf numFmtId="177" fontId="16" fillId="0" borderId="8" xfId="0" applyNumberFormat="1" applyFont="1" applyFill="1" applyBorder="1" applyAlignment="1">
      <alignment horizontal="center" vertical="center" wrapText="1"/>
    </xf>
    <xf numFmtId="2" fontId="16" fillId="0" borderId="7" xfId="8" applyNumberFormat="1" applyFont="1" applyFill="1" applyBorder="1" applyAlignment="1">
      <alignment horizontal="center" vertical="center" wrapText="1"/>
    </xf>
    <xf numFmtId="2" fontId="16" fillId="0" borderId="1" xfId="8" applyNumberFormat="1" applyFont="1" applyFill="1" applyBorder="1" applyAlignment="1">
      <alignment horizontal="center" vertical="center" wrapText="1"/>
    </xf>
    <xf numFmtId="2" fontId="16" fillId="0" borderId="8" xfId="8" applyNumberFormat="1" applyFont="1" applyFill="1" applyBorder="1" applyAlignment="1">
      <alignment horizontal="center" vertical="center" wrapText="1"/>
    </xf>
    <xf numFmtId="177" fontId="16" fillId="0" borderId="4" xfId="8" applyNumberFormat="1" applyFont="1" applyFill="1" applyBorder="1" applyAlignment="1">
      <alignment horizontal="center" vertical="center" wrapText="1"/>
    </xf>
    <xf numFmtId="2" fontId="18" fillId="0" borderId="3" xfId="0" applyNumberFormat="1" applyFont="1" applyFill="1" applyBorder="1" applyAlignment="1">
      <alignment horizontal="center" vertical="center" wrapText="1"/>
    </xf>
    <xf numFmtId="2" fontId="18" fillId="0" borderId="16" xfId="0" applyNumberFormat="1" applyFont="1" applyFill="1" applyBorder="1" applyAlignment="1">
      <alignment horizontal="center" vertical="center" wrapText="1"/>
    </xf>
    <xf numFmtId="2" fontId="18" fillId="0" borderId="5" xfId="0" applyNumberFormat="1" applyFont="1" applyFill="1" applyBorder="1" applyAlignment="1">
      <alignment horizontal="center" vertical="center" wrapText="1"/>
    </xf>
    <xf numFmtId="2" fontId="18" fillId="0" borderId="51" xfId="0" applyNumberFormat="1" applyFont="1" applyFill="1" applyBorder="1" applyAlignment="1">
      <alignment horizontal="center" vertical="center" wrapText="1"/>
    </xf>
    <xf numFmtId="177" fontId="16" fillId="0" borderId="46" xfId="8" applyNumberFormat="1" applyFont="1" applyFill="1" applyBorder="1" applyAlignment="1">
      <alignment horizontal="center" vertical="center" wrapText="1"/>
    </xf>
    <xf numFmtId="177" fontId="16" fillId="0" borderId="2" xfId="8" applyNumberFormat="1" applyFont="1" applyFill="1" applyBorder="1" applyAlignment="1">
      <alignment horizontal="center" vertical="center" wrapText="1"/>
    </xf>
    <xf numFmtId="177" fontId="16" fillId="0" borderId="66" xfId="8" applyNumberFormat="1" applyFont="1" applyFill="1" applyBorder="1" applyAlignment="1">
      <alignment horizontal="center" vertical="center" wrapText="1"/>
    </xf>
    <xf numFmtId="177" fontId="46" fillId="0" borderId="3" xfId="8" applyNumberFormat="1" applyFont="1" applyFill="1" applyBorder="1" applyAlignment="1">
      <alignment horizontal="center" vertical="center" wrapText="1"/>
    </xf>
    <xf numFmtId="177" fontId="46" fillId="0" borderId="16" xfId="8" applyNumberFormat="1" applyFont="1" applyFill="1" applyBorder="1" applyAlignment="1">
      <alignment horizontal="center" vertical="center" wrapText="1"/>
    </xf>
    <xf numFmtId="2" fontId="45" fillId="0" borderId="3" xfId="0" applyNumberFormat="1" applyFont="1" applyFill="1" applyBorder="1" applyAlignment="1">
      <alignment horizontal="center" vertical="center" wrapText="1"/>
    </xf>
    <xf numFmtId="2" fontId="45" fillId="0" borderId="3" xfId="21" applyNumberFormat="1" applyFont="1" applyFill="1" applyBorder="1" applyAlignment="1">
      <alignment horizontal="center" vertical="center" wrapText="1"/>
    </xf>
    <xf numFmtId="2" fontId="45" fillId="0" borderId="17" xfId="21" applyNumberFormat="1" applyFont="1" applyFill="1" applyBorder="1" applyAlignment="1">
      <alignment horizontal="center" vertical="center" wrapText="1"/>
    </xf>
    <xf numFmtId="2" fontId="45" fillId="0" borderId="16" xfId="21" applyNumberFormat="1" applyFont="1" applyFill="1" applyBorder="1" applyAlignment="1">
      <alignment horizontal="center" vertical="center" wrapText="1"/>
    </xf>
    <xf numFmtId="2" fontId="18" fillId="0" borderId="17" xfId="21" applyNumberFormat="1" applyFont="1" applyFill="1" applyBorder="1" applyAlignment="1">
      <alignment horizontal="center" vertical="center" wrapText="1"/>
    </xf>
    <xf numFmtId="2" fontId="18" fillId="0" borderId="3" xfId="21" applyNumberFormat="1" applyFont="1" applyFill="1" applyBorder="1" applyAlignment="1">
      <alignment horizontal="center" vertical="center" wrapText="1"/>
    </xf>
    <xf numFmtId="177" fontId="46" fillId="0" borderId="18" xfId="8" applyNumberFormat="1" applyFont="1" applyFill="1" applyBorder="1" applyAlignment="1">
      <alignment horizontal="center" vertical="center" wrapText="1"/>
    </xf>
    <xf numFmtId="177" fontId="16" fillId="0" borderId="18" xfId="8" applyNumberFormat="1" applyFont="1" applyFill="1" applyBorder="1" applyAlignment="1">
      <alignment horizontal="center" vertical="center" wrapText="1"/>
    </xf>
    <xf numFmtId="2" fontId="46" fillId="0" borderId="18" xfId="0" applyNumberFormat="1" applyFont="1" applyFill="1" applyBorder="1" applyAlignment="1">
      <alignment horizontal="center" vertical="center" wrapText="1"/>
    </xf>
    <xf numFmtId="2" fontId="16" fillId="0" borderId="18" xfId="0" applyNumberFormat="1" applyFont="1" applyFill="1" applyBorder="1" applyAlignment="1">
      <alignment horizontal="center" vertical="center" wrapText="1"/>
    </xf>
    <xf numFmtId="178" fontId="46" fillId="0" borderId="18" xfId="0" applyNumberFormat="1" applyFont="1" applyFill="1" applyBorder="1" applyAlignment="1">
      <alignment horizontal="center" vertical="center" wrapText="1"/>
    </xf>
    <xf numFmtId="178" fontId="16" fillId="0" borderId="18" xfId="0" applyNumberFormat="1" applyFont="1" applyFill="1" applyBorder="1" applyAlignment="1">
      <alignment horizontal="center" vertical="center" wrapText="1"/>
    </xf>
    <xf numFmtId="2" fontId="45" fillId="0" borderId="1" xfId="8" applyNumberFormat="1" applyFont="1" applyFill="1" applyBorder="1" applyAlignment="1">
      <alignment horizontal="center" vertical="center" wrapText="1"/>
    </xf>
    <xf numFmtId="2" fontId="45" fillId="0" borderId="18" xfId="21" applyNumberFormat="1" applyFont="1" applyFill="1" applyBorder="1" applyAlignment="1">
      <alignment horizontal="center" vertical="center" wrapText="1"/>
    </xf>
    <xf numFmtId="2" fontId="18" fillId="0" borderId="18" xfId="21" applyNumberFormat="1" applyFont="1" applyFill="1" applyBorder="1" applyAlignment="1">
      <alignment horizontal="center" vertical="center" wrapText="1"/>
    </xf>
    <xf numFmtId="2" fontId="18" fillId="0" borderId="1" xfId="21" applyNumberFormat="1" applyFont="1" applyFill="1" applyBorder="1" applyAlignment="1">
      <alignment horizontal="center" vertical="center" wrapText="1"/>
    </xf>
    <xf numFmtId="177" fontId="46" fillId="0" borderId="19" xfId="8" applyNumberFormat="1" applyFont="1" applyFill="1" applyBorder="1" applyAlignment="1">
      <alignment horizontal="center" vertical="center" wrapText="1"/>
    </xf>
    <xf numFmtId="177" fontId="16" fillId="0" borderId="19" xfId="8" applyNumberFormat="1" applyFont="1" applyFill="1" applyBorder="1" applyAlignment="1">
      <alignment horizontal="center" vertical="center" wrapText="1"/>
    </xf>
    <xf numFmtId="2" fontId="42" fillId="0" borderId="3" xfId="0" applyNumberFormat="1" applyFont="1" applyFill="1" applyBorder="1" applyAlignment="1">
      <alignment horizontal="center" vertical="center" wrapText="1"/>
    </xf>
    <xf numFmtId="2" fontId="46" fillId="0" borderId="17" xfId="0" applyNumberFormat="1" applyFont="1" applyFill="1" applyBorder="1" applyAlignment="1">
      <alignment horizontal="center" vertical="center" wrapText="1"/>
    </xf>
    <xf numFmtId="2" fontId="16" fillId="0" borderId="17" xfId="0" applyNumberFormat="1" applyFont="1" applyFill="1" applyBorder="1" applyAlignment="1">
      <alignment horizontal="center" vertical="center" wrapText="1"/>
    </xf>
    <xf numFmtId="2" fontId="45" fillId="0" borderId="1" xfId="0" applyNumberFormat="1" applyFont="1" applyFill="1" applyBorder="1" applyAlignment="1">
      <alignment horizontal="center" vertical="center" wrapText="1"/>
    </xf>
    <xf numFmtId="178" fontId="16" fillId="0" borderId="45" xfId="0" applyNumberFormat="1" applyFont="1" applyFill="1" applyBorder="1" applyAlignment="1">
      <alignment horizontal="center" vertical="center" wrapText="1"/>
    </xf>
    <xf numFmtId="177" fontId="16" fillId="0" borderId="5" xfId="8" applyNumberFormat="1" applyFont="1" applyFill="1" applyBorder="1" applyAlignment="1">
      <alignment horizontal="center" vertical="center" wrapText="1"/>
    </xf>
    <xf numFmtId="2" fontId="45" fillId="0" borderId="3" xfId="8" applyNumberFormat="1" applyFont="1" applyFill="1" applyBorder="1" applyAlignment="1">
      <alignment horizontal="center" vertical="center" wrapText="1"/>
    </xf>
    <xf numFmtId="2" fontId="47" fillId="0" borderId="3" xfId="0" applyNumberFormat="1" applyFont="1" applyFill="1" applyBorder="1" applyAlignment="1">
      <alignment horizontal="center" vertical="center" wrapText="1"/>
    </xf>
    <xf numFmtId="2" fontId="47" fillId="0" borderId="1" xfId="0" applyNumberFormat="1" applyFont="1" applyFill="1" applyBorder="1" applyAlignment="1">
      <alignment horizontal="center" vertical="center" wrapText="1"/>
    </xf>
    <xf numFmtId="177" fontId="16" fillId="0" borderId="18" xfId="0" applyNumberFormat="1" applyFont="1" applyFill="1" applyBorder="1" applyAlignment="1">
      <alignment horizontal="center" vertical="center" wrapText="1"/>
    </xf>
    <xf numFmtId="2" fontId="18" fillId="0" borderId="1" xfId="0" applyNumberFormat="1" applyFont="1" applyFill="1" applyBorder="1" applyAlignment="1">
      <alignment horizontal="center" vertical="center" wrapText="1"/>
    </xf>
    <xf numFmtId="2" fontId="18" fillId="0" borderId="17" xfId="0" applyNumberFormat="1" applyFont="1" applyFill="1" applyBorder="1" applyAlignment="1">
      <alignment horizontal="center" vertical="center" wrapText="1"/>
    </xf>
    <xf numFmtId="2" fontId="18" fillId="0" borderId="47" xfId="0" applyNumberFormat="1" applyFont="1" applyFill="1" applyBorder="1" applyAlignment="1">
      <alignment horizontal="center" vertical="center" wrapText="1"/>
    </xf>
    <xf numFmtId="2" fontId="16" fillId="0" borderId="48" xfId="0" applyNumberFormat="1" applyFont="1" applyFill="1" applyBorder="1" applyAlignment="1">
      <alignment horizontal="center" vertical="center" wrapText="1"/>
    </xf>
    <xf numFmtId="2" fontId="45" fillId="0" borderId="5" xfId="0" applyNumberFormat="1" applyFont="1" applyFill="1" applyBorder="1" applyAlignment="1">
      <alignment horizontal="center" vertical="center" wrapText="1"/>
    </xf>
    <xf numFmtId="2" fontId="45" fillId="0" borderId="5" xfId="8" applyNumberFormat="1" applyFont="1" applyFill="1" applyBorder="1" applyAlignment="1">
      <alignment horizontal="center" vertical="center" wrapText="1"/>
    </xf>
    <xf numFmtId="2" fontId="18" fillId="0" borderId="45" xfId="0" applyNumberFormat="1" applyFont="1" applyFill="1" applyBorder="1" applyAlignment="1">
      <alignment horizontal="center" vertical="center" wrapText="1"/>
    </xf>
    <xf numFmtId="177" fontId="46" fillId="0" borderId="2" xfId="8" applyNumberFormat="1" applyFont="1" applyFill="1" applyBorder="1" applyAlignment="1">
      <alignment horizontal="center" vertical="center" wrapText="1"/>
    </xf>
    <xf numFmtId="177" fontId="16" fillId="0" borderId="21" xfId="8" applyNumberFormat="1" applyFont="1" applyFill="1" applyBorder="1" applyAlignment="1">
      <alignment horizontal="center" vertical="center" wrapText="1"/>
    </xf>
    <xf numFmtId="9" fontId="45" fillId="0" borderId="3" xfId="21" applyFont="1" applyFill="1" applyBorder="1" applyAlignment="1">
      <alignment horizontal="center" vertical="center" wrapText="1"/>
    </xf>
    <xf numFmtId="177" fontId="46" fillId="0" borderId="17" xfId="8" applyNumberFormat="1" applyFont="1" applyFill="1" applyBorder="1" applyAlignment="1">
      <alignment horizontal="center" vertical="center" wrapText="1"/>
    </xf>
    <xf numFmtId="177" fontId="48" fillId="0" borderId="1" xfId="8" applyNumberFormat="1" applyFont="1" applyFill="1" applyBorder="1" applyAlignment="1">
      <alignment horizontal="center" vertical="center" wrapText="1"/>
    </xf>
    <xf numFmtId="10" fontId="5" fillId="0" borderId="1" xfId="21" applyNumberFormat="1" applyFont="1" applyFill="1" applyBorder="1" applyAlignment="1">
      <alignment horizontal="center" vertical="center" wrapText="1"/>
    </xf>
    <xf numFmtId="49" fontId="42" fillId="0" borderId="1" xfId="0" applyNumberFormat="1" applyFont="1" applyFill="1" applyBorder="1" applyAlignment="1">
      <alignment horizontal="left" vertical="top" wrapText="1"/>
    </xf>
    <xf numFmtId="173" fontId="23" fillId="0" borderId="3" xfId="0" applyNumberFormat="1" applyFont="1" applyFill="1" applyBorder="1" applyAlignment="1">
      <alignment horizontal="center" vertical="center"/>
    </xf>
    <xf numFmtId="173" fontId="23" fillId="0" borderId="10" xfId="0" applyNumberFormat="1" applyFont="1" applyFill="1" applyBorder="1" applyAlignment="1">
      <alignment horizontal="center" vertical="center"/>
    </xf>
    <xf numFmtId="173" fontId="23" fillId="0" borderId="4" xfId="0" applyNumberFormat="1" applyFont="1" applyFill="1" applyBorder="1" applyAlignment="1">
      <alignment horizontal="center" vertical="center"/>
    </xf>
    <xf numFmtId="10" fontId="49" fillId="0" borderId="4" xfId="14" applyNumberFormat="1" applyFont="1" applyFill="1" applyBorder="1" applyAlignment="1">
      <alignment horizontal="center" vertical="center" wrapText="1"/>
    </xf>
    <xf numFmtId="173" fontId="23" fillId="0" borderId="12" xfId="0" applyNumberFormat="1" applyFont="1" applyFill="1" applyBorder="1" applyAlignment="1">
      <alignment horizontal="center" vertical="center"/>
    </xf>
    <xf numFmtId="10" fontId="23" fillId="0" borderId="4" xfId="14" applyNumberFormat="1" applyFont="1" applyFill="1" applyBorder="1" applyAlignment="1">
      <alignment horizontal="center" vertical="center" wrapText="1"/>
    </xf>
    <xf numFmtId="173" fontId="23" fillId="0" borderId="36" xfId="0" applyNumberFormat="1" applyFont="1" applyFill="1" applyBorder="1" applyAlignment="1">
      <alignment horizontal="center" vertical="center"/>
    </xf>
    <xf numFmtId="173" fontId="23" fillId="0" borderId="34" xfId="0" applyNumberFormat="1" applyFont="1" applyFill="1" applyBorder="1" applyAlignment="1">
      <alignment horizontal="center" vertical="center"/>
    </xf>
    <xf numFmtId="10" fontId="49" fillId="0" borderId="2" xfId="14" applyNumberFormat="1" applyFont="1" applyFill="1" applyBorder="1" applyAlignment="1">
      <alignment horizontal="center" vertical="center" wrapText="1"/>
    </xf>
    <xf numFmtId="173" fontId="23" fillId="0" borderId="2" xfId="0" applyNumberFormat="1" applyFont="1" applyFill="1" applyBorder="1" applyAlignment="1">
      <alignment horizontal="center" vertical="center"/>
    </xf>
    <xf numFmtId="173" fontId="23" fillId="0" borderId="20" xfId="0" applyNumberFormat="1" applyFont="1" applyFill="1" applyBorder="1" applyAlignment="1">
      <alignment horizontal="center" vertical="center"/>
    </xf>
    <xf numFmtId="10" fontId="23" fillId="0" borderId="3" xfId="0" applyNumberFormat="1" applyFont="1" applyFill="1" applyBorder="1" applyAlignment="1">
      <alignment horizontal="center" vertical="center"/>
    </xf>
    <xf numFmtId="10" fontId="23" fillId="0" borderId="10" xfId="0" applyNumberFormat="1" applyFont="1" applyFill="1" applyBorder="1" applyAlignment="1">
      <alignment horizontal="center" vertical="center"/>
    </xf>
    <xf numFmtId="10" fontId="23" fillId="0" borderId="4" xfId="0" applyNumberFormat="1" applyFont="1" applyFill="1" applyBorder="1" applyAlignment="1">
      <alignment horizontal="center" vertical="center"/>
    </xf>
    <xf numFmtId="10" fontId="23" fillId="0" borderId="12" xfId="0" applyNumberFormat="1" applyFont="1" applyFill="1" applyBorder="1" applyAlignment="1">
      <alignment horizontal="center" vertical="center"/>
    </xf>
    <xf numFmtId="173" fontId="23" fillId="5" borderId="3" xfId="0" applyNumberFormat="1" applyFont="1" applyFill="1" applyBorder="1" applyAlignment="1">
      <alignment horizontal="center" vertical="center"/>
    </xf>
    <xf numFmtId="173" fontId="23" fillId="6" borderId="1" xfId="0" applyNumberFormat="1" applyFont="1" applyFill="1" applyBorder="1" applyAlignment="1">
      <alignment horizontal="center" vertical="center"/>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9" fillId="5" borderId="18" xfId="0" applyFont="1" applyFill="1" applyBorder="1" applyAlignment="1">
      <alignment horizontal="left" vertical="center" wrapText="1"/>
    </xf>
    <xf numFmtId="0" fontId="9" fillId="5" borderId="1" xfId="0" applyFont="1" applyFill="1" applyBorder="1" applyAlignment="1">
      <alignment horizontal="left" vertical="center" wrapText="1"/>
    </xf>
    <xf numFmtId="0" fontId="35" fillId="0" borderId="16"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35" fillId="0" borderId="36" xfId="0" applyFont="1" applyFill="1" applyBorder="1" applyAlignment="1">
      <alignment horizontal="center" vertical="center" wrapText="1"/>
    </xf>
    <xf numFmtId="0" fontId="9" fillId="3" borderId="16" xfId="0" applyFont="1" applyFill="1" applyBorder="1" applyAlignment="1">
      <alignment horizontal="left" vertical="center" wrapText="1"/>
    </xf>
    <xf numFmtId="0" fontId="9" fillId="3" borderId="35"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33" fillId="3" borderId="46" xfId="0" applyFont="1" applyFill="1" applyBorder="1" applyAlignment="1">
      <alignment horizontal="left" vertical="center" wrapText="1"/>
    </xf>
    <xf numFmtId="0" fontId="33" fillId="3" borderId="33" xfId="0" applyFont="1" applyFill="1" applyBorder="1" applyAlignment="1">
      <alignment horizontal="left" vertical="center" wrapText="1"/>
    </xf>
    <xf numFmtId="0" fontId="33" fillId="3" borderId="56" xfId="0" applyFont="1" applyFill="1" applyBorder="1" applyAlignment="1">
      <alignment horizontal="left" vertical="center" wrapText="1"/>
    </xf>
    <xf numFmtId="0" fontId="33" fillId="3" borderId="34" xfId="0" applyFont="1" applyFill="1" applyBorder="1" applyAlignment="1">
      <alignment horizontal="left" vertical="center" wrapText="1"/>
    </xf>
    <xf numFmtId="0" fontId="9" fillId="5" borderId="47" xfId="0" applyFont="1" applyFill="1" applyBorder="1" applyAlignment="1">
      <alignment horizontal="left" vertical="center" wrapText="1"/>
    </xf>
    <xf numFmtId="0" fontId="9" fillId="5" borderId="35" xfId="0" applyFont="1" applyFill="1" applyBorder="1" applyAlignment="1">
      <alignment horizontal="left" vertical="center" wrapText="1"/>
    </xf>
    <xf numFmtId="0" fontId="9" fillId="5" borderId="42"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34" fillId="0" borderId="26" xfId="0" applyFont="1" applyFill="1" applyBorder="1" applyAlignment="1">
      <alignment horizontal="center"/>
    </xf>
    <xf numFmtId="0" fontId="34" fillId="0" borderId="27" xfId="0" applyFont="1" applyFill="1" applyBorder="1" applyAlignment="1">
      <alignment horizontal="center"/>
    </xf>
    <xf numFmtId="0" fontId="34" fillId="0" borderId="28" xfId="0" applyFont="1" applyFill="1" applyBorder="1" applyAlignment="1">
      <alignment horizontal="center"/>
    </xf>
    <xf numFmtId="0" fontId="34" fillId="0" borderId="29" xfId="0" applyFont="1" applyFill="1" applyBorder="1" applyAlignment="1">
      <alignment horizontal="center"/>
    </xf>
    <xf numFmtId="0" fontId="34" fillId="0" borderId="0" xfId="0" applyFont="1" applyFill="1" applyBorder="1" applyAlignment="1">
      <alignment horizontal="center"/>
    </xf>
    <xf numFmtId="0" fontId="34" fillId="0" borderId="9" xfId="0" applyFont="1" applyFill="1" applyBorder="1" applyAlignment="1">
      <alignment horizontal="center"/>
    </xf>
    <xf numFmtId="0" fontId="34" fillId="0" borderId="31" xfId="0" applyFont="1" applyFill="1" applyBorder="1" applyAlignment="1">
      <alignment horizontal="center"/>
    </xf>
    <xf numFmtId="0" fontId="34" fillId="0" borderId="32" xfId="0" applyFont="1" applyFill="1" applyBorder="1" applyAlignment="1">
      <alignment horizontal="center"/>
    </xf>
    <xf numFmtId="0" fontId="34" fillId="0" borderId="38" xfId="0" applyFont="1" applyFill="1" applyBorder="1" applyAlignment="1">
      <alignment horizontal="center"/>
    </xf>
    <xf numFmtId="0" fontId="40" fillId="0" borderId="8"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37"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22" fillId="0" borderId="1" xfId="0" applyFont="1" applyFill="1" applyBorder="1" applyAlignment="1">
      <alignment horizontal="left"/>
    </xf>
    <xf numFmtId="0" fontId="0" fillId="0" borderId="29" xfId="0" applyFill="1" applyBorder="1" applyAlignment="1">
      <alignment horizontal="center"/>
    </xf>
    <xf numFmtId="0" fontId="0" fillId="0" borderId="0" xfId="0" applyFill="1" applyBorder="1" applyAlignment="1">
      <alignment horizontal="center"/>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39" fillId="7" borderId="1" xfId="0" applyFont="1" applyFill="1" applyBorder="1" applyAlignment="1">
      <alignment horizontal="center" vertical="center"/>
    </xf>
    <xf numFmtId="0" fontId="22" fillId="0" borderId="1" xfId="0" applyFont="1" applyFill="1" applyBorder="1" applyAlignment="1">
      <alignment horizontal="left" vertical="center"/>
    </xf>
    <xf numFmtId="0" fontId="5" fillId="3" borderId="1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8"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9" fontId="5" fillId="3" borderId="2" xfId="0" applyNumberFormat="1" applyFont="1" applyFill="1" applyBorder="1" applyAlignment="1">
      <alignment horizontal="center" vertical="center" wrapText="1"/>
    </xf>
    <xf numFmtId="9" fontId="5" fillId="3" borderId="5" xfId="0" applyNumberFormat="1" applyFont="1" applyFill="1" applyBorder="1" applyAlignment="1">
      <alignment horizontal="center" vertical="center" wrapText="1"/>
    </xf>
    <xf numFmtId="10" fontId="5" fillId="3" borderId="1" xfId="0" applyNumberFormat="1" applyFont="1" applyFill="1" applyBorder="1" applyAlignment="1">
      <alignment horizontal="center" vertical="center" wrapText="1"/>
    </xf>
    <xf numFmtId="10" fontId="41" fillId="8" borderId="39" xfId="0" applyNumberFormat="1" applyFont="1" applyFill="1" applyBorder="1" applyAlignment="1">
      <alignment horizontal="center" vertical="center" wrapText="1"/>
    </xf>
    <xf numFmtId="10" fontId="41" fillId="8" borderId="5" xfId="0" applyNumberFormat="1" applyFont="1" applyFill="1" applyBorder="1" applyAlignment="1">
      <alignment horizontal="center" vertical="center" wrapText="1"/>
    </xf>
    <xf numFmtId="10" fontId="41" fillId="8" borderId="1" xfId="0" applyNumberFormat="1" applyFont="1" applyFill="1" applyBorder="1" applyAlignment="1">
      <alignment horizontal="center" vertical="center" wrapText="1"/>
    </xf>
    <xf numFmtId="10" fontId="5" fillId="8" borderId="1" xfId="0" applyNumberFormat="1" applyFont="1" applyFill="1" applyBorder="1" applyAlignment="1">
      <alignment horizontal="center" vertical="center" wrapText="1"/>
    </xf>
    <xf numFmtId="10" fontId="5" fillId="8" borderId="39" xfId="0" applyNumberFormat="1" applyFont="1" applyFill="1" applyBorder="1" applyAlignment="1">
      <alignment horizontal="center" vertical="center" wrapText="1"/>
    </xf>
    <xf numFmtId="10" fontId="5" fillId="8" borderId="5"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9" xfId="0" applyFont="1" applyFill="1" applyBorder="1" applyAlignment="1">
      <alignment horizontal="center" vertical="center" wrapText="1"/>
    </xf>
    <xf numFmtId="0" fontId="5" fillId="8" borderId="5" xfId="0" applyFont="1" applyFill="1" applyBorder="1" applyAlignment="1">
      <alignment horizontal="center" vertical="center" wrapText="1"/>
    </xf>
    <xf numFmtId="10" fontId="41" fillId="8" borderId="11" xfId="0" applyNumberFormat="1" applyFont="1" applyFill="1" applyBorder="1" applyAlignment="1">
      <alignment horizontal="center" vertical="center" wrapText="1"/>
    </xf>
    <xf numFmtId="0" fontId="0" fillId="0" borderId="26" xfId="0" applyFill="1" applyBorder="1" applyAlignment="1">
      <alignment horizontal="center" wrapText="1"/>
    </xf>
    <xf numFmtId="0" fontId="0" fillId="0" borderId="27" xfId="0" applyFill="1" applyBorder="1" applyAlignment="1">
      <alignment horizontal="center" wrapText="1"/>
    </xf>
    <xf numFmtId="0" fontId="0" fillId="0" borderId="28" xfId="0" applyFill="1" applyBorder="1" applyAlignment="1">
      <alignment horizontal="center" wrapText="1"/>
    </xf>
    <xf numFmtId="0" fontId="0" fillId="0" borderId="29" xfId="0" applyFill="1" applyBorder="1" applyAlignment="1">
      <alignment horizontal="center"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0" fillId="0" borderId="31" xfId="0" applyFill="1" applyBorder="1" applyAlignment="1">
      <alignment horizontal="center" wrapText="1"/>
    </xf>
    <xf numFmtId="0" fontId="0" fillId="0" borderId="32" xfId="0" applyFill="1" applyBorder="1" applyAlignment="1">
      <alignment horizontal="center" wrapText="1"/>
    </xf>
    <xf numFmtId="0" fontId="0" fillId="0" borderId="38" xfId="0" applyFill="1" applyBorder="1" applyAlignment="1">
      <alignment horizontal="center" wrapText="1"/>
    </xf>
    <xf numFmtId="0" fontId="9" fillId="5" borderId="54" xfId="0" applyFont="1" applyFill="1" applyBorder="1" applyAlignment="1">
      <alignment horizontal="left" vertical="center" wrapText="1"/>
    </xf>
    <xf numFmtId="0" fontId="9" fillId="5" borderId="52" xfId="0" applyFont="1" applyFill="1" applyBorder="1" applyAlignment="1">
      <alignment horizontal="left" vertical="center" wrapText="1"/>
    </xf>
    <xf numFmtId="0" fontId="9" fillId="5" borderId="53" xfId="0" applyFont="1" applyFill="1" applyBorder="1" applyAlignment="1">
      <alignment horizontal="left" vertical="center" wrapText="1"/>
    </xf>
    <xf numFmtId="0" fontId="9" fillId="5" borderId="55" xfId="0" applyFont="1" applyFill="1" applyBorder="1" applyAlignment="1">
      <alignment horizontal="left" vertical="center" wrapText="1"/>
    </xf>
    <xf numFmtId="0" fontId="9" fillId="5" borderId="33" xfId="0" applyFont="1" applyFill="1" applyBorder="1" applyAlignment="1">
      <alignment horizontal="left" vertical="center" wrapText="1"/>
    </xf>
    <xf numFmtId="0" fontId="9" fillId="5" borderId="56" xfId="0" applyFont="1" applyFill="1" applyBorder="1" applyAlignment="1">
      <alignment horizontal="left" vertical="center" wrapText="1"/>
    </xf>
    <xf numFmtId="0" fontId="9" fillId="3" borderId="51" xfId="0" applyFont="1" applyFill="1" applyBorder="1" applyAlignment="1">
      <alignment horizontal="left" vertical="center" wrapText="1"/>
    </xf>
    <xf numFmtId="0" fontId="9" fillId="3" borderId="52" xfId="0" applyFont="1" applyFill="1" applyBorder="1" applyAlignment="1">
      <alignment horizontal="left" vertical="center" wrapText="1"/>
    </xf>
    <xf numFmtId="0" fontId="9" fillId="3" borderId="57" xfId="0" applyFont="1" applyFill="1" applyBorder="1" applyAlignment="1">
      <alignment horizontal="left" vertical="center" wrapText="1"/>
    </xf>
    <xf numFmtId="0" fontId="9" fillId="3" borderId="46" xfId="0" applyFont="1" applyFill="1" applyBorder="1" applyAlignment="1">
      <alignment horizontal="left" vertical="center" wrapText="1"/>
    </xf>
    <xf numFmtId="0" fontId="9" fillId="3" borderId="33"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40" fillId="3" borderId="8"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 fillId="0" borderId="42"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4" fillId="0" borderId="56"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39"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4" xfId="0" applyFont="1" applyFill="1" applyBorder="1" applyAlignment="1">
      <alignment horizontal="left" vertical="top" wrapText="1"/>
    </xf>
    <xf numFmtId="0" fontId="5" fillId="5" borderId="4" xfId="0" applyFont="1" applyFill="1" applyBorder="1" applyAlignment="1">
      <alignment horizontal="center" wrapText="1"/>
    </xf>
    <xf numFmtId="0" fontId="5" fillId="5" borderId="8"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42" fillId="0" borderId="39"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4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4" fillId="0" borderId="12"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4" fillId="3" borderId="17" xfId="0" applyFont="1" applyFill="1" applyBorder="1" applyAlignment="1">
      <alignment horizontal="justify" vertical="center" wrapText="1"/>
    </xf>
    <xf numFmtId="0" fontId="4" fillId="3" borderId="18" xfId="0" applyFont="1" applyFill="1" applyBorder="1" applyAlignment="1">
      <alignment horizontal="justify" vertical="center" wrapText="1"/>
    </xf>
    <xf numFmtId="0" fontId="4" fillId="3" borderId="19" xfId="0" applyFont="1" applyFill="1" applyBorder="1" applyAlignment="1">
      <alignment horizontal="justify" vertical="center" wrapText="1"/>
    </xf>
    <xf numFmtId="0" fontId="4" fillId="0" borderId="42"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56" xfId="0" applyFont="1" applyFill="1" applyBorder="1" applyAlignment="1">
      <alignment horizontal="left" vertical="top" wrapText="1"/>
    </xf>
    <xf numFmtId="0" fontId="5" fillId="3" borderId="26"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63"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0" borderId="53" xfId="0" applyFont="1" applyFill="1" applyBorder="1" applyAlignment="1">
      <alignment horizontal="justify" vertical="center" wrapText="1"/>
    </xf>
    <xf numFmtId="0" fontId="4" fillId="0" borderId="65"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2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38" xfId="0" applyFont="1" applyFill="1" applyBorder="1" applyAlignment="1">
      <alignment horizontal="left" vertical="top" wrapText="1"/>
    </xf>
    <xf numFmtId="0" fontId="4" fillId="0" borderId="39" xfId="0" applyFont="1" applyFill="1" applyBorder="1" applyAlignment="1">
      <alignment horizontal="justify" vertical="center" wrapText="1"/>
    </xf>
    <xf numFmtId="0" fontId="4" fillId="0" borderId="25" xfId="0" applyFont="1" applyFill="1" applyBorder="1" applyAlignment="1">
      <alignment horizontal="justify" vertical="center" wrapText="1"/>
    </xf>
    <xf numFmtId="0" fontId="4" fillId="0" borderId="40" xfId="0" applyFont="1" applyFill="1" applyBorder="1" applyAlignment="1">
      <alignment horizontal="justify" vertical="center" wrapText="1"/>
    </xf>
    <xf numFmtId="0" fontId="4" fillId="0" borderId="23" xfId="0" applyFont="1" applyFill="1" applyBorder="1" applyAlignment="1">
      <alignment horizontal="justify" vertical="center" wrapText="1"/>
    </xf>
    <xf numFmtId="0" fontId="4" fillId="0" borderId="24" xfId="0" applyFont="1" applyFill="1" applyBorder="1" applyAlignment="1">
      <alignment horizontal="justify" vertical="center" wrapText="1"/>
    </xf>
    <xf numFmtId="0" fontId="4" fillId="0" borderId="58" xfId="0" applyFont="1" applyFill="1" applyBorder="1" applyAlignment="1">
      <alignment horizontal="justify" vertical="center" wrapText="1"/>
    </xf>
    <xf numFmtId="0" fontId="3" fillId="5" borderId="29"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3" fillId="5" borderId="32" xfId="0" applyFont="1" applyFill="1" applyBorder="1" applyAlignment="1" applyProtection="1">
      <alignment horizontal="center" vertical="center" wrapText="1"/>
      <protection locked="0"/>
    </xf>
    <xf numFmtId="0" fontId="3" fillId="5" borderId="38" xfId="0" applyFont="1" applyFill="1" applyBorder="1" applyAlignment="1" applyProtection="1">
      <alignment horizontal="center" vertical="center" wrapText="1"/>
      <protection locked="0"/>
    </xf>
    <xf numFmtId="176" fontId="46" fillId="3" borderId="27" xfId="0" applyNumberFormat="1" applyFont="1" applyFill="1" applyBorder="1" applyAlignment="1">
      <alignment horizontal="center" wrapText="1"/>
    </xf>
    <xf numFmtId="176" fontId="46" fillId="3" borderId="28" xfId="0" applyNumberFormat="1" applyFont="1" applyFill="1" applyBorder="1" applyAlignment="1">
      <alignment horizontal="center" wrapText="1"/>
    </xf>
    <xf numFmtId="176" fontId="46" fillId="3" borderId="0" xfId="0" applyNumberFormat="1" applyFont="1" applyFill="1" applyBorder="1" applyAlignment="1">
      <alignment horizontal="center" wrapText="1"/>
    </xf>
    <xf numFmtId="176" fontId="46" fillId="3" borderId="9" xfId="0" applyNumberFormat="1" applyFont="1" applyFill="1" applyBorder="1" applyAlignment="1">
      <alignment horizontal="center" wrapText="1"/>
    </xf>
    <xf numFmtId="176" fontId="46" fillId="3" borderId="32" xfId="0" applyNumberFormat="1" applyFont="1" applyFill="1" applyBorder="1" applyAlignment="1">
      <alignment horizontal="center" wrapText="1"/>
    </xf>
    <xf numFmtId="176" fontId="46" fillId="3" borderId="38" xfId="0" applyNumberFormat="1" applyFont="1" applyFill="1" applyBorder="1" applyAlignment="1">
      <alignment horizontal="center" wrapText="1"/>
    </xf>
    <xf numFmtId="0" fontId="5" fillId="5" borderId="16"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4" fillId="3" borderId="64" xfId="0" applyFont="1" applyFill="1" applyBorder="1" applyAlignment="1">
      <alignment horizontal="center" vertical="center" wrapText="1"/>
    </xf>
    <xf numFmtId="37" fontId="4" fillId="0" borderId="17" xfId="0" applyNumberFormat="1"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37" fontId="4" fillId="0" borderId="53" xfId="0" applyNumberFormat="1" applyFont="1" applyFill="1" applyBorder="1" applyAlignment="1">
      <alignment horizontal="left" vertical="top" wrapText="1"/>
    </xf>
    <xf numFmtId="0" fontId="4" fillId="0" borderId="65" xfId="0" applyFont="1" applyFill="1" applyBorder="1" applyAlignment="1">
      <alignment horizontal="left" vertical="top" wrapText="1"/>
    </xf>
    <xf numFmtId="0" fontId="33" fillId="3" borderId="55" xfId="0" applyFont="1" applyFill="1" applyBorder="1" applyAlignment="1">
      <alignment horizontal="left" vertical="center" wrapText="1"/>
    </xf>
    <xf numFmtId="0" fontId="0" fillId="0" borderId="1" xfId="0" applyFill="1" applyBorder="1" applyAlignment="1">
      <alignment horizontal="left" vertical="center"/>
    </xf>
    <xf numFmtId="0" fontId="28" fillId="7" borderId="1" xfId="0" applyFont="1" applyFill="1" applyBorder="1" applyAlignment="1">
      <alignment horizontal="center" vertical="center"/>
    </xf>
    <xf numFmtId="0" fontId="28" fillId="7" borderId="1" xfId="0" applyFont="1" applyFill="1" applyBorder="1" applyAlignment="1">
      <alignment horizontal="center" vertical="center" wrapText="1"/>
    </xf>
    <xf numFmtId="0" fontId="2" fillId="5" borderId="3" xfId="14" applyFont="1" applyFill="1" applyBorder="1" applyAlignment="1">
      <alignment horizontal="center" vertical="center" wrapText="1"/>
    </xf>
    <xf numFmtId="0" fontId="2" fillId="5" borderId="10" xfId="14" applyFont="1" applyFill="1" applyBorder="1" applyAlignment="1">
      <alignment horizontal="center" vertical="center" wrapText="1"/>
    </xf>
    <xf numFmtId="0" fontId="2" fillId="5" borderId="12" xfId="14" applyFont="1" applyFill="1" applyBorder="1" applyAlignment="1">
      <alignment horizontal="center" vertical="center" wrapText="1"/>
    </xf>
    <xf numFmtId="0" fontId="0" fillId="0" borderId="26" xfId="0" applyFill="1" applyBorder="1" applyAlignment="1">
      <alignment horizontal="center"/>
    </xf>
    <xf numFmtId="0" fontId="0" fillId="0" borderId="27"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35" fillId="0" borderId="17"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40" fillId="3" borderId="18" xfId="0" applyFont="1" applyFill="1" applyBorder="1" applyAlignment="1">
      <alignment horizontal="center" vertical="center" wrapText="1"/>
    </xf>
    <xf numFmtId="0" fontId="40" fillId="3" borderId="1"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2" fillId="5" borderId="39" xfId="14" applyFont="1" applyFill="1" applyBorder="1" applyAlignment="1">
      <alignment horizontal="center" vertical="center" wrapText="1"/>
    </xf>
    <xf numFmtId="0" fontId="2" fillId="5" borderId="40" xfId="14" applyFont="1" applyFill="1" applyBorder="1" applyAlignment="1">
      <alignment horizontal="center" vertical="center" wrapText="1"/>
    </xf>
    <xf numFmtId="0" fontId="14" fillId="5" borderId="16" xfId="14" applyFont="1" applyFill="1" applyBorder="1" applyAlignment="1">
      <alignment horizontal="center" vertical="center" wrapText="1"/>
    </xf>
    <xf numFmtId="0" fontId="14" fillId="5" borderId="42" xfId="14" applyFont="1" applyFill="1" applyBorder="1" applyAlignment="1">
      <alignment horizontal="center" vertical="center" wrapText="1"/>
    </xf>
    <xf numFmtId="0" fontId="9" fillId="5" borderId="34"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9" fillId="5" borderId="36" xfId="0" applyFont="1" applyFill="1" applyBorder="1" applyAlignment="1">
      <alignment horizontal="left" vertical="center" wrapText="1"/>
    </xf>
    <xf numFmtId="0" fontId="2" fillId="5" borderId="26" xfId="14" applyFont="1" applyFill="1" applyBorder="1" applyAlignment="1">
      <alignment horizontal="center" vertical="center" wrapText="1"/>
    </xf>
    <xf numFmtId="0" fontId="2" fillId="5" borderId="31" xfId="14" applyFont="1" applyFill="1" applyBorder="1" applyAlignment="1">
      <alignment horizontal="center" vertical="center" wrapText="1"/>
    </xf>
    <xf numFmtId="0" fontId="2" fillId="5" borderId="4" xfId="14" applyFont="1" applyFill="1" applyBorder="1" applyAlignment="1">
      <alignment horizontal="center" vertical="center" wrapText="1"/>
    </xf>
    <xf numFmtId="0" fontId="23" fillId="0" borderId="29" xfId="14" applyFont="1" applyFill="1" applyBorder="1" applyAlignment="1">
      <alignment horizontal="center" vertical="center" wrapText="1"/>
    </xf>
    <xf numFmtId="0" fontId="23" fillId="0" borderId="31" xfId="14" applyFont="1" applyFill="1" applyBorder="1" applyAlignment="1">
      <alignment horizontal="center" vertical="center" wrapText="1"/>
    </xf>
    <xf numFmtId="0" fontId="23" fillId="0" borderId="62" xfId="14" applyFont="1" applyFill="1" applyBorder="1" applyAlignment="1">
      <alignment horizontal="center" vertical="center" wrapText="1"/>
    </xf>
    <xf numFmtId="0" fontId="23" fillId="0" borderId="63" xfId="14" applyFont="1" applyFill="1" applyBorder="1" applyAlignment="1">
      <alignment horizontal="center" vertical="center" wrapText="1"/>
    </xf>
    <xf numFmtId="0" fontId="23" fillId="0" borderId="64" xfId="14" applyFont="1" applyFill="1" applyBorder="1" applyAlignment="1">
      <alignment horizontal="center" vertical="center" wrapText="1"/>
    </xf>
    <xf numFmtId="0" fontId="23" fillId="0" borderId="13" xfId="14" applyFont="1" applyFill="1" applyBorder="1" applyAlignment="1">
      <alignment horizontal="left" vertical="center" wrapText="1"/>
    </xf>
    <xf numFmtId="0" fontId="23" fillId="0" borderId="45" xfId="14" applyFont="1" applyFill="1" applyBorder="1" applyAlignment="1">
      <alignment horizontal="left" vertical="center" wrapText="1"/>
    </xf>
    <xf numFmtId="0" fontId="36" fillId="0" borderId="39" xfId="0" applyFont="1" applyFill="1" applyBorder="1" applyAlignment="1" applyProtection="1">
      <alignment horizontal="center" vertical="center" wrapText="1"/>
      <protection locked="0"/>
    </xf>
    <xf numFmtId="0" fontId="36" fillId="0" borderId="5" xfId="0" applyFont="1" applyFill="1" applyBorder="1" applyAlignment="1" applyProtection="1">
      <alignment horizontal="center" vertical="center" wrapText="1"/>
      <protection locked="0"/>
    </xf>
    <xf numFmtId="0" fontId="36" fillId="0" borderId="50" xfId="0" applyFont="1" applyFill="1" applyBorder="1" applyAlignment="1" applyProtection="1">
      <alignment horizontal="center" vertical="center" wrapText="1"/>
      <protection locked="0"/>
    </xf>
    <xf numFmtId="0" fontId="36" fillId="0" borderId="51" xfId="0" applyFont="1" applyFill="1" applyBorder="1" applyAlignment="1" applyProtection="1">
      <alignment horizontal="center" vertical="center" wrapText="1"/>
      <protection locked="0"/>
    </xf>
    <xf numFmtId="10" fontId="36" fillId="3" borderId="62" xfId="0" applyNumberFormat="1" applyFont="1" applyFill="1" applyBorder="1" applyAlignment="1" applyProtection="1">
      <alignment horizontal="center" vertical="center" wrapText="1"/>
    </xf>
    <xf numFmtId="10" fontId="36" fillId="3" borderId="63" xfId="0" applyNumberFormat="1" applyFont="1" applyFill="1" applyBorder="1" applyAlignment="1" applyProtection="1">
      <alignment horizontal="center" vertical="center" wrapText="1"/>
    </xf>
    <xf numFmtId="10" fontId="36" fillId="3" borderId="64" xfId="0" applyNumberFormat="1" applyFont="1" applyFill="1" applyBorder="1" applyAlignment="1" applyProtection="1">
      <alignment horizontal="center" vertical="center" wrapText="1"/>
    </xf>
    <xf numFmtId="10" fontId="36" fillId="3" borderId="17" xfId="0" applyNumberFormat="1" applyFont="1" applyFill="1" applyBorder="1" applyAlignment="1" applyProtection="1">
      <alignment horizontal="center" vertical="center" wrapText="1"/>
    </xf>
    <xf numFmtId="10" fontId="36" fillId="3" borderId="18" xfId="0" applyNumberFormat="1" applyFont="1" applyFill="1" applyBorder="1" applyAlignment="1" applyProtection="1">
      <alignment horizontal="center" vertical="center" wrapText="1"/>
    </xf>
    <xf numFmtId="0" fontId="23" fillId="0" borderId="10" xfId="14" applyFont="1" applyFill="1" applyBorder="1" applyAlignment="1">
      <alignment horizontal="left" vertical="top" wrapText="1"/>
    </xf>
    <xf numFmtId="0" fontId="23" fillId="0" borderId="11" xfId="14" applyFont="1" applyFill="1" applyBorder="1" applyAlignment="1">
      <alignment horizontal="left" vertical="top" wrapText="1"/>
    </xf>
    <xf numFmtId="10" fontId="18" fillId="3" borderId="1" xfId="0" applyNumberFormat="1" applyFont="1" applyFill="1" applyBorder="1" applyAlignment="1" applyProtection="1">
      <alignment horizontal="center" vertical="center" wrapText="1"/>
    </xf>
    <xf numFmtId="0" fontId="23" fillId="0" borderId="18" xfId="14" applyFont="1" applyFill="1" applyBorder="1" applyAlignment="1">
      <alignment horizontal="left" vertical="center" wrapText="1"/>
    </xf>
    <xf numFmtId="0" fontId="23" fillId="0" borderId="19" xfId="14" applyFont="1" applyFill="1" applyBorder="1" applyAlignment="1">
      <alignment horizontal="left" vertical="center" wrapText="1"/>
    </xf>
    <xf numFmtId="0" fontId="36" fillId="0" borderId="1" xfId="0" applyFont="1" applyFill="1" applyBorder="1" applyAlignment="1" applyProtection="1">
      <alignment horizontal="center" vertical="center" wrapText="1"/>
      <protection locked="0"/>
    </xf>
    <xf numFmtId="0" fontId="36" fillId="0" borderId="4" xfId="0" applyFont="1" applyFill="1" applyBorder="1" applyAlignment="1" applyProtection="1">
      <alignment horizontal="center" vertical="center" wrapText="1"/>
      <protection locked="0"/>
    </xf>
    <xf numFmtId="0" fontId="36" fillId="0" borderId="8" xfId="0" applyFont="1" applyFill="1" applyBorder="1" applyAlignment="1" applyProtection="1">
      <alignment horizontal="center" vertical="center" wrapText="1"/>
      <protection locked="0"/>
    </xf>
    <xf numFmtId="0" fontId="36" fillId="0" borderId="46" xfId="0" applyFont="1" applyFill="1" applyBorder="1" applyAlignment="1" applyProtection="1">
      <alignment horizontal="center" vertical="center" wrapText="1"/>
      <protection locked="0"/>
    </xf>
    <xf numFmtId="10" fontId="36" fillId="3" borderId="21" xfId="0" applyNumberFormat="1" applyFont="1" applyFill="1" applyBorder="1" applyAlignment="1" applyProtection="1">
      <alignment horizontal="center" vertical="center" wrapText="1"/>
    </xf>
    <xf numFmtId="10" fontId="36" fillId="3" borderId="15" xfId="0" applyNumberFormat="1" applyFont="1" applyFill="1" applyBorder="1" applyAlignment="1" applyProtection="1">
      <alignment horizontal="center" vertical="center" wrapText="1"/>
    </xf>
    <xf numFmtId="0" fontId="23" fillId="0" borderId="57" xfId="14" applyFont="1" applyFill="1" applyBorder="1" applyAlignment="1">
      <alignment horizontal="left" vertical="top" wrapText="1"/>
    </xf>
    <xf numFmtId="0" fontId="23" fillId="0" borderId="34" xfId="14" applyFont="1" applyFill="1" applyBorder="1" applyAlignment="1">
      <alignment horizontal="left" vertical="top" wrapText="1"/>
    </xf>
    <xf numFmtId="0" fontId="23" fillId="0" borderId="17" xfId="14" applyFont="1" applyFill="1" applyBorder="1" applyAlignment="1">
      <alignment horizontal="left" vertical="center" wrapText="1"/>
    </xf>
    <xf numFmtId="0" fontId="36" fillId="0" borderId="3" xfId="0" applyFont="1" applyFill="1" applyBorder="1" applyAlignment="1" applyProtection="1">
      <alignment horizontal="center" vertical="center" wrapText="1"/>
      <protection locked="0"/>
    </xf>
    <xf numFmtId="0" fontId="36" fillId="0" borderId="16" xfId="0" applyFont="1" applyFill="1" applyBorder="1" applyAlignment="1" applyProtection="1">
      <alignment horizontal="center" vertical="center" wrapText="1"/>
      <protection locked="0"/>
    </xf>
    <xf numFmtId="10" fontId="36" fillId="3" borderId="13" xfId="0" applyNumberFormat="1" applyFont="1" applyFill="1" applyBorder="1" applyAlignment="1" applyProtection="1">
      <alignment horizontal="center" vertical="center" wrapText="1"/>
    </xf>
    <xf numFmtId="10" fontId="36" fillId="3" borderId="45" xfId="0" applyNumberFormat="1" applyFont="1" applyFill="1" applyBorder="1" applyAlignment="1" applyProtection="1">
      <alignment horizontal="center" vertical="center" wrapText="1"/>
    </xf>
    <xf numFmtId="0" fontId="23" fillId="0" borderId="23" xfId="14" applyFont="1" applyFill="1" applyBorder="1" applyAlignment="1">
      <alignment horizontal="left" vertical="top" wrapText="1"/>
    </xf>
    <xf numFmtId="0" fontId="23" fillId="0" borderId="22" xfId="14" applyFont="1" applyFill="1" applyBorder="1" applyAlignment="1">
      <alignment horizontal="left" vertical="top" wrapText="1"/>
    </xf>
    <xf numFmtId="0" fontId="23" fillId="0" borderId="21" xfId="14" applyFont="1" applyFill="1" applyBorder="1" applyAlignment="1">
      <alignment horizontal="left" vertical="center" wrapText="1"/>
    </xf>
    <xf numFmtId="0" fontId="36" fillId="0" borderId="2" xfId="0"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23" fillId="0" borderId="24" xfId="14" applyFont="1" applyFill="1" applyBorder="1" applyAlignment="1">
      <alignment horizontal="left" vertical="top" wrapText="1"/>
    </xf>
    <xf numFmtId="0" fontId="23" fillId="0" borderId="14" xfId="14" applyFont="1" applyFill="1" applyBorder="1" applyAlignment="1">
      <alignment horizontal="left" vertical="center" wrapText="1"/>
    </xf>
    <xf numFmtId="0" fontId="36" fillId="0" borderId="25" xfId="0" applyFont="1" applyFill="1" applyBorder="1" applyAlignment="1" applyProtection="1">
      <alignment horizontal="center" vertical="center" wrapText="1"/>
      <protection locked="0"/>
    </xf>
    <xf numFmtId="0" fontId="36" fillId="0" borderId="49" xfId="0" applyFont="1" applyFill="1" applyBorder="1" applyAlignment="1" applyProtection="1">
      <alignment horizontal="center" vertical="center" wrapText="1"/>
      <protection locked="0"/>
    </xf>
    <xf numFmtId="10" fontId="36" fillId="3" borderId="14" xfId="0" applyNumberFormat="1" applyFont="1" applyFill="1" applyBorder="1" applyAlignment="1" applyProtection="1">
      <alignment horizontal="center" vertical="center" wrapText="1"/>
    </xf>
    <xf numFmtId="0" fontId="23" fillId="0" borderId="20" xfId="14" applyFont="1" applyFill="1" applyBorder="1" applyAlignment="1">
      <alignment horizontal="left" vertical="top" wrapText="1"/>
    </xf>
    <xf numFmtId="0" fontId="23" fillId="0" borderId="30" xfId="14" applyFont="1" applyFill="1" applyBorder="1" applyAlignment="1">
      <alignment horizontal="left" vertical="top" wrapText="1"/>
    </xf>
    <xf numFmtId="0" fontId="23" fillId="0" borderId="43" xfId="14" applyFont="1" applyFill="1" applyBorder="1" applyAlignment="1">
      <alignment horizontal="left" vertical="top" wrapText="1"/>
    </xf>
    <xf numFmtId="0" fontId="23" fillId="0" borderId="68" xfId="14" applyFont="1" applyFill="1" applyBorder="1" applyAlignment="1">
      <alignment horizontal="left" vertical="top" wrapText="1"/>
    </xf>
    <xf numFmtId="0" fontId="23" fillId="0" borderId="44" xfId="14" applyFont="1" applyFill="1" applyBorder="1" applyAlignment="1">
      <alignment horizontal="left" vertical="top" wrapText="1"/>
    </xf>
    <xf numFmtId="0" fontId="23" fillId="0" borderId="13" xfId="14" applyFont="1" applyFill="1" applyBorder="1" applyAlignment="1">
      <alignment horizontal="left" vertical="top" wrapText="1"/>
    </xf>
    <xf numFmtId="0" fontId="23" fillId="0" borderId="45" xfId="14" applyFont="1" applyFill="1" applyBorder="1" applyAlignment="1">
      <alignment horizontal="left" vertical="top" wrapText="1"/>
    </xf>
    <xf numFmtId="0" fontId="23" fillId="0" borderId="14" xfId="14" applyFont="1" applyFill="1" applyBorder="1" applyAlignment="1">
      <alignment horizontal="left" vertical="top" wrapText="1"/>
    </xf>
    <xf numFmtId="0" fontId="23" fillId="0" borderId="26" xfId="14" applyFont="1" applyFill="1" applyBorder="1" applyAlignment="1">
      <alignment horizontal="center" vertical="center" wrapText="1"/>
    </xf>
    <xf numFmtId="0" fontId="23" fillId="0" borderId="17" xfId="14" applyFont="1" applyFill="1" applyBorder="1" applyAlignment="1">
      <alignment horizontal="left" vertical="top" wrapText="1"/>
    </xf>
    <xf numFmtId="0" fontId="23" fillId="0" borderId="18" xfId="14" applyFont="1" applyFill="1" applyBorder="1" applyAlignment="1">
      <alignment horizontal="left" vertical="top" wrapText="1"/>
    </xf>
    <xf numFmtId="10" fontId="50" fillId="3" borderId="62" xfId="0" applyNumberFormat="1" applyFont="1" applyFill="1" applyBorder="1" applyAlignment="1" applyProtection="1">
      <alignment horizontal="center" vertical="center" wrapText="1"/>
    </xf>
    <xf numFmtId="10" fontId="50" fillId="3" borderId="63" xfId="0" applyNumberFormat="1" applyFont="1" applyFill="1" applyBorder="1" applyAlignment="1" applyProtection="1">
      <alignment horizontal="center" vertical="center" wrapText="1"/>
    </xf>
    <xf numFmtId="10" fontId="50" fillId="3" borderId="64" xfId="0" applyNumberFormat="1" applyFont="1" applyFill="1" applyBorder="1" applyAlignment="1" applyProtection="1">
      <alignment horizontal="center" vertical="center" wrapText="1"/>
    </xf>
    <xf numFmtId="10" fontId="36" fillId="3" borderId="26" xfId="0" applyNumberFormat="1" applyFont="1" applyFill="1" applyBorder="1" applyAlignment="1" applyProtection="1">
      <alignment horizontal="center" vertical="center" wrapText="1"/>
    </xf>
    <xf numFmtId="10" fontId="36" fillId="3" borderId="54" xfId="0" applyNumberFormat="1" applyFont="1" applyFill="1" applyBorder="1" applyAlignment="1" applyProtection="1">
      <alignment horizontal="center" vertical="center" wrapText="1"/>
    </xf>
    <xf numFmtId="10" fontId="36" fillId="3" borderId="48" xfId="0" applyNumberFormat="1" applyFont="1" applyFill="1" applyBorder="1" applyAlignment="1" applyProtection="1">
      <alignment horizontal="center" vertical="center" wrapText="1"/>
    </xf>
    <xf numFmtId="10" fontId="36" fillId="3" borderId="69" xfId="0" applyNumberFormat="1" applyFont="1" applyFill="1" applyBorder="1" applyAlignment="1" applyProtection="1">
      <alignment horizontal="center" vertical="center" wrapText="1"/>
    </xf>
    <xf numFmtId="10" fontId="36" fillId="3" borderId="55" xfId="0" applyNumberFormat="1" applyFont="1" applyFill="1" applyBorder="1" applyAlignment="1" applyProtection="1">
      <alignment horizontal="center" vertical="center" wrapText="1"/>
    </xf>
    <xf numFmtId="0" fontId="23" fillId="0" borderId="12" xfId="14" applyFont="1" applyFill="1" applyBorder="1" applyAlignment="1">
      <alignment horizontal="left" vertical="top" wrapText="1"/>
    </xf>
    <xf numFmtId="10" fontId="36" fillId="3" borderId="59" xfId="0" applyNumberFormat="1" applyFont="1" applyFill="1" applyBorder="1" applyAlignment="1" applyProtection="1">
      <alignment horizontal="center" vertical="center" wrapText="1"/>
    </xf>
    <xf numFmtId="10" fontId="36" fillId="3" borderId="60" xfId="0" applyNumberFormat="1" applyFont="1" applyFill="1" applyBorder="1" applyAlignment="1" applyProtection="1">
      <alignment horizontal="center" vertical="center" wrapText="1"/>
    </xf>
    <xf numFmtId="10" fontId="36" fillId="3" borderId="26" xfId="8" applyNumberFormat="1" applyFont="1" applyFill="1" applyBorder="1" applyAlignment="1" applyProtection="1">
      <alignment horizontal="center" vertical="center" wrapText="1"/>
    </xf>
    <xf numFmtId="10" fontId="36" fillId="3" borderId="29" xfId="8" applyNumberFormat="1" applyFont="1" applyFill="1" applyBorder="1" applyAlignment="1" applyProtection="1">
      <alignment horizontal="center" vertical="center" wrapText="1"/>
    </xf>
    <xf numFmtId="0" fontId="23" fillId="0" borderId="10" xfId="14" applyFont="1" applyFill="1" applyBorder="1" applyAlignment="1">
      <alignment vertical="top" wrapText="1"/>
    </xf>
    <xf numFmtId="0" fontId="23" fillId="0" borderId="11" xfId="14" applyFont="1" applyFill="1" applyBorder="1" applyAlignment="1">
      <alignment vertical="top" wrapText="1"/>
    </xf>
    <xf numFmtId="10" fontId="18" fillId="3" borderId="1" xfId="8" applyNumberFormat="1" applyFont="1" applyFill="1" applyBorder="1" applyAlignment="1" applyProtection="1">
      <alignment horizontal="center" vertical="center" wrapText="1"/>
    </xf>
    <xf numFmtId="0" fontId="23" fillId="0" borderId="18" xfId="0" applyFont="1" applyFill="1" applyBorder="1" applyAlignment="1">
      <alignment horizontal="left" vertical="center" wrapText="1"/>
    </xf>
    <xf numFmtId="0" fontId="23" fillId="0" borderId="18" xfId="0" applyFont="1" applyFill="1" applyBorder="1" applyAlignment="1">
      <alignment horizontal="left"/>
    </xf>
    <xf numFmtId="10" fontId="36" fillId="3" borderId="21" xfId="8" applyNumberFormat="1" applyFont="1" applyFill="1" applyBorder="1" applyAlignment="1" applyProtection="1">
      <alignment horizontal="center" vertical="center" wrapText="1"/>
    </xf>
    <xf numFmtId="10" fontId="36" fillId="3" borderId="45" xfId="8" applyNumberFormat="1" applyFont="1" applyFill="1" applyBorder="1" applyAlignment="1" applyProtection="1">
      <alignment horizontal="center" vertical="center" wrapText="1"/>
    </xf>
    <xf numFmtId="0" fontId="23" fillId="0" borderId="68" xfId="14" applyFont="1" applyFill="1" applyBorder="1" applyAlignment="1">
      <alignment vertical="top" wrapText="1"/>
    </xf>
    <xf numFmtId="0" fontId="23" fillId="0" borderId="57" xfId="14" applyFont="1" applyFill="1" applyBorder="1" applyAlignment="1">
      <alignment vertical="top" wrapText="1"/>
    </xf>
    <xf numFmtId="0" fontId="36" fillId="0" borderId="8" xfId="0" applyFont="1" applyFill="1" applyBorder="1" applyAlignment="1">
      <alignment horizontal="center" vertical="center" wrapText="1"/>
    </xf>
    <xf numFmtId="0" fontId="23" fillId="0" borderId="8" xfId="0" applyFont="1" applyFill="1" applyBorder="1" applyAlignment="1"/>
    <xf numFmtId="10" fontId="36" fillId="3" borderId="14" xfId="8" applyNumberFormat="1" applyFont="1" applyFill="1" applyBorder="1" applyAlignment="1" applyProtection="1">
      <alignment horizontal="center" vertical="center" wrapText="1"/>
    </xf>
    <xf numFmtId="0" fontId="23" fillId="0" borderId="21" xfId="14" applyFont="1" applyFill="1" applyBorder="1" applyAlignment="1">
      <alignment horizontal="left" vertical="top" wrapText="1"/>
    </xf>
    <xf numFmtId="10" fontId="36" fillId="3" borderId="69" xfId="8" applyNumberFormat="1" applyFont="1" applyFill="1" applyBorder="1" applyAlignment="1" applyProtection="1">
      <alignment horizontal="center" vertical="center" wrapText="1"/>
    </xf>
    <xf numFmtId="10" fontId="36" fillId="3" borderId="54" xfId="8" applyNumberFormat="1" applyFont="1" applyFill="1" applyBorder="1" applyAlignment="1" applyProtection="1">
      <alignment horizontal="center" vertical="center" wrapText="1"/>
    </xf>
    <xf numFmtId="0" fontId="23" fillId="0" borderId="20" xfId="14" applyFont="1" applyFill="1" applyBorder="1" applyAlignment="1">
      <alignment vertical="top" wrapText="1"/>
    </xf>
    <xf numFmtId="0" fontId="23" fillId="0" borderId="22" xfId="14" applyFont="1" applyFill="1" applyBorder="1" applyAlignment="1">
      <alignment vertical="top" wrapText="1"/>
    </xf>
    <xf numFmtId="0" fontId="23" fillId="0" borderId="49" xfId="0" applyFont="1" applyFill="1" applyBorder="1" applyAlignment="1">
      <alignment horizontal="center"/>
    </xf>
    <xf numFmtId="10" fontId="36" fillId="3" borderId="6" xfId="0" applyNumberFormat="1" applyFont="1" applyFill="1" applyBorder="1" applyAlignment="1" applyProtection="1">
      <alignment horizontal="center" vertical="center" wrapText="1"/>
    </xf>
    <xf numFmtId="10" fontId="36" fillId="3" borderId="70" xfId="0" applyNumberFormat="1" applyFont="1" applyFill="1" applyBorder="1" applyAlignment="1" applyProtection="1">
      <alignment horizontal="center" vertical="center" wrapText="1"/>
    </xf>
    <xf numFmtId="0" fontId="49" fillId="0" borderId="13" xfId="0" applyFont="1" applyFill="1" applyBorder="1" applyAlignment="1">
      <alignment horizontal="left" vertical="center" wrapText="1"/>
    </xf>
    <xf numFmtId="0" fontId="49" fillId="0" borderId="45" xfId="0" applyFont="1" applyFill="1" applyBorder="1" applyAlignment="1">
      <alignment horizontal="left" vertical="center" wrapText="1"/>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10" fontId="36" fillId="3" borderId="29" xfId="0" applyNumberFormat="1" applyFont="1" applyFill="1" applyBorder="1" applyAlignment="1" applyProtection="1">
      <alignment horizontal="center" vertical="center" wrapText="1"/>
    </xf>
    <xf numFmtId="10" fontId="36" fillId="3" borderId="31" xfId="0" applyNumberFormat="1" applyFont="1" applyFill="1" applyBorder="1" applyAlignment="1" applyProtection="1">
      <alignment horizontal="center" vertical="center" wrapText="1"/>
    </xf>
    <xf numFmtId="0" fontId="23" fillId="0" borderId="45" xfId="0" applyFont="1" applyFill="1" applyBorder="1" applyAlignment="1">
      <alignment horizontal="left" vertical="center" wrapText="1"/>
    </xf>
    <xf numFmtId="0" fontId="36" fillId="0" borderId="2"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49" xfId="0" applyFont="1" applyFill="1" applyBorder="1" applyAlignment="1">
      <alignment horizontal="center" vertical="center" wrapText="1"/>
    </xf>
    <xf numFmtId="0" fontId="23" fillId="0" borderId="11" xfId="14" applyFont="1" applyFill="1" applyBorder="1" applyAlignment="1">
      <alignment horizontal="left" vertical="center" wrapText="1"/>
    </xf>
    <xf numFmtId="0" fontId="23" fillId="0" borderId="14" xfId="0" applyFont="1" applyFill="1" applyBorder="1" applyAlignment="1">
      <alignment horizontal="left" vertical="center" wrapText="1"/>
    </xf>
    <xf numFmtId="0" fontId="2" fillId="5" borderId="15" xfId="14" applyFont="1" applyFill="1" applyBorder="1" applyAlignment="1">
      <alignment horizontal="center" vertical="center" wrapText="1"/>
    </xf>
    <xf numFmtId="0" fontId="23" fillId="0" borderId="15" xfId="0" applyFont="1" applyFill="1" applyBorder="1" applyAlignment="1">
      <alignment horizontal="left" vertical="center" wrapText="1"/>
    </xf>
    <xf numFmtId="0" fontId="36" fillId="0" borderId="40" xfId="0" applyFont="1" applyFill="1" applyBorder="1" applyAlignment="1" applyProtection="1">
      <alignment horizontal="center" vertical="center" wrapText="1"/>
      <protection locked="0"/>
    </xf>
    <xf numFmtId="0" fontId="36" fillId="0" borderId="41" xfId="0" applyFont="1" applyFill="1" applyBorder="1" applyAlignment="1" applyProtection="1">
      <alignment horizontal="center" vertical="center" wrapText="1"/>
      <protection locked="0"/>
    </xf>
    <xf numFmtId="10" fontId="36" fillId="3" borderId="19" xfId="0" applyNumberFormat="1" applyFont="1" applyFill="1" applyBorder="1" applyAlignment="1" applyProtection="1">
      <alignment horizontal="center" vertical="center" wrapText="1"/>
    </xf>
    <xf numFmtId="0" fontId="23" fillId="0" borderId="12" xfId="14" applyFont="1" applyFill="1" applyBorder="1" applyAlignment="1">
      <alignment horizontal="left" vertical="center" wrapText="1"/>
    </xf>
    <xf numFmtId="173" fontId="36" fillId="3" borderId="50" xfId="0" applyNumberFormat="1" applyFont="1" applyFill="1" applyBorder="1" applyAlignment="1" applyProtection="1">
      <alignment horizontal="center" vertical="center" wrapText="1"/>
      <protection locked="0"/>
    </xf>
    <xf numFmtId="173" fontId="36" fillId="3" borderId="41" xfId="0" applyNumberFormat="1" applyFont="1" applyFill="1" applyBorder="1" applyAlignment="1" applyProtection="1">
      <alignment horizontal="center" vertical="center" wrapText="1"/>
      <protection locked="0"/>
    </xf>
    <xf numFmtId="173" fontId="36" fillId="3" borderId="54" xfId="0" applyNumberFormat="1" applyFont="1" applyFill="1" applyBorder="1" applyAlignment="1" applyProtection="1">
      <alignment horizontal="center" vertical="center" wrapText="1"/>
      <protection locked="0"/>
    </xf>
    <xf numFmtId="173" fontId="36" fillId="3" borderId="55" xfId="0" applyNumberFormat="1" applyFont="1" applyFill="1" applyBorder="1" applyAlignment="1" applyProtection="1">
      <alignment horizontal="center" vertical="center" wrapText="1"/>
      <protection locked="0"/>
    </xf>
    <xf numFmtId="37" fontId="23" fillId="0" borderId="23" xfId="14" applyNumberFormat="1" applyFont="1" applyFill="1" applyBorder="1" applyAlignment="1">
      <alignment horizontal="left" vertical="top" wrapText="1"/>
    </xf>
    <xf numFmtId="0" fontId="23" fillId="0" borderId="58" xfId="14" applyFont="1" applyFill="1" applyBorder="1" applyAlignment="1">
      <alignment horizontal="left" vertical="top" wrapText="1"/>
    </xf>
    <xf numFmtId="0" fontId="14" fillId="5" borderId="17" xfId="17" applyFont="1" applyFill="1" applyBorder="1" applyAlignment="1">
      <alignment horizontal="center" vertical="center" wrapText="1"/>
    </xf>
    <xf numFmtId="0" fontId="14" fillId="5" borderId="19" xfId="17" applyFont="1" applyFill="1" applyBorder="1" applyAlignment="1">
      <alignment horizontal="center" vertical="center" wrapText="1"/>
    </xf>
    <xf numFmtId="0" fontId="14" fillId="5" borderId="3" xfId="17" applyFont="1" applyFill="1" applyBorder="1" applyAlignment="1">
      <alignment horizontal="center" vertical="center" wrapText="1"/>
    </xf>
    <xf numFmtId="0" fontId="14" fillId="5" borderId="4" xfId="17" applyFont="1" applyFill="1" applyBorder="1" applyAlignment="1">
      <alignment horizontal="center" vertical="center" wrapText="1"/>
    </xf>
    <xf numFmtId="0" fontId="37" fillId="3" borderId="46" xfId="17" applyFont="1" applyFill="1" applyBorder="1" applyAlignment="1">
      <alignment vertical="center" wrapText="1"/>
    </xf>
    <xf numFmtId="0" fontId="37" fillId="3" borderId="33" xfId="17" applyFont="1" applyFill="1" applyBorder="1" applyAlignment="1">
      <alignment vertical="center" wrapText="1"/>
    </xf>
    <xf numFmtId="0" fontId="37" fillId="3" borderId="34" xfId="17" applyFont="1" applyFill="1" applyBorder="1" applyAlignment="1">
      <alignment vertical="center" wrapText="1"/>
    </xf>
    <xf numFmtId="0" fontId="38" fillId="5" borderId="47" xfId="17" applyFont="1" applyFill="1" applyBorder="1" applyAlignment="1">
      <alignment horizontal="right" vertical="center" wrapText="1"/>
    </xf>
    <xf numFmtId="0" fontId="38" fillId="5" borderId="35" xfId="17" applyFont="1" applyFill="1" applyBorder="1" applyAlignment="1">
      <alignment horizontal="right" vertical="center" wrapText="1"/>
    </xf>
    <xf numFmtId="0" fontId="38" fillId="5" borderId="42" xfId="17" applyFont="1" applyFill="1" applyBorder="1" applyAlignment="1">
      <alignment horizontal="right" vertical="center" wrapText="1"/>
    </xf>
    <xf numFmtId="0" fontId="38" fillId="5" borderId="55" xfId="17" applyFont="1" applyFill="1" applyBorder="1" applyAlignment="1">
      <alignment horizontal="right" vertical="center" wrapText="1"/>
    </xf>
    <xf numFmtId="0" fontId="38" fillId="5" borderId="33" xfId="17" applyFont="1" applyFill="1" applyBorder="1" applyAlignment="1">
      <alignment horizontal="right" vertical="center" wrapText="1"/>
    </xf>
    <xf numFmtId="0" fontId="38" fillId="5" borderId="56" xfId="17" applyFont="1" applyFill="1" applyBorder="1" applyAlignment="1">
      <alignment horizontal="right" vertical="center" wrapText="1"/>
    </xf>
    <xf numFmtId="0" fontId="33" fillId="3" borderId="4" xfId="0" applyFont="1" applyFill="1" applyBorder="1" applyAlignment="1">
      <alignment horizontal="center" vertical="center" wrapText="1"/>
    </xf>
    <xf numFmtId="0" fontId="33" fillId="3" borderId="12" xfId="0" applyFont="1" applyFill="1" applyBorder="1" applyAlignment="1">
      <alignment horizontal="center" vertical="center" wrapText="1"/>
    </xf>
    <xf numFmtId="0" fontId="33" fillId="3" borderId="19" xfId="0" applyFont="1" applyFill="1" applyBorder="1" applyAlignment="1">
      <alignment horizontal="left" vertical="center" wrapText="1"/>
    </xf>
    <xf numFmtId="0" fontId="33" fillId="3" borderId="4" xfId="0" applyFont="1" applyFill="1" applyBorder="1" applyAlignment="1">
      <alignment horizontal="left" vertical="center" wrapText="1"/>
    </xf>
    <xf numFmtId="0" fontId="37" fillId="3" borderId="51" xfId="17" applyFont="1" applyFill="1" applyBorder="1" applyAlignment="1">
      <alignment vertical="center" wrapText="1"/>
    </xf>
    <xf numFmtId="0" fontId="37" fillId="3" borderId="52" xfId="17" applyFont="1" applyFill="1" applyBorder="1" applyAlignment="1">
      <alignment vertical="center" wrapText="1"/>
    </xf>
    <xf numFmtId="0" fontId="37" fillId="3" borderId="57" xfId="17" applyFont="1" applyFill="1" applyBorder="1" applyAlignment="1">
      <alignment vertical="center" wrapText="1"/>
    </xf>
    <xf numFmtId="0" fontId="0" fillId="0" borderId="1" xfId="0" applyFill="1" applyBorder="1" applyAlignment="1">
      <alignment horizontal="center" vertical="center"/>
    </xf>
    <xf numFmtId="0" fontId="14" fillId="5" borderId="16" xfId="17" applyFont="1" applyFill="1" applyBorder="1" applyAlignment="1">
      <alignment horizontal="center" vertical="center" wrapText="1"/>
    </xf>
    <xf numFmtId="0" fontId="14" fillId="5" borderId="35" xfId="17" applyFont="1" applyFill="1" applyBorder="1" applyAlignment="1">
      <alignment horizontal="center" vertical="center" wrapText="1"/>
    </xf>
    <xf numFmtId="0" fontId="14" fillId="5" borderId="10" xfId="17" applyFont="1" applyFill="1" applyBorder="1" applyAlignment="1">
      <alignment horizontal="center" vertical="center" wrapText="1"/>
    </xf>
    <xf numFmtId="176" fontId="11" fillId="0" borderId="3" xfId="4" applyNumberFormat="1" applyFont="1" applyFill="1" applyBorder="1" applyAlignment="1">
      <alignment horizontal="center" vertical="center" wrapText="1"/>
    </xf>
    <xf numFmtId="176" fontId="11" fillId="0" borderId="1" xfId="4" applyNumberFormat="1" applyFont="1" applyFill="1" applyBorder="1" applyAlignment="1">
      <alignment horizontal="center" vertical="center" wrapText="1"/>
    </xf>
    <xf numFmtId="3" fontId="11" fillId="0" borderId="10" xfId="4" applyNumberFormat="1" applyFont="1" applyFill="1" applyBorder="1" applyAlignment="1">
      <alignment horizontal="center" vertical="center" wrapText="1"/>
    </xf>
    <xf numFmtId="3" fontId="11" fillId="0" borderId="11" xfId="4" applyNumberFormat="1" applyFont="1" applyFill="1" applyBorder="1" applyAlignment="1">
      <alignment horizontal="center" vertical="center" wrapText="1"/>
    </xf>
    <xf numFmtId="3" fontId="11" fillId="0" borderId="11" xfId="0" applyNumberFormat="1" applyFont="1" applyFill="1" applyBorder="1" applyAlignment="1">
      <alignment horizontal="center" vertical="center" wrapText="1"/>
    </xf>
    <xf numFmtId="176" fontId="25" fillId="0" borderId="1" xfId="4" applyNumberFormat="1" applyFont="1" applyFill="1" applyBorder="1" applyAlignment="1">
      <alignment horizontal="center" vertical="center" wrapText="1"/>
    </xf>
    <xf numFmtId="0" fontId="20" fillId="0" borderId="17" xfId="17" applyFont="1" applyFill="1" applyBorder="1" applyAlignment="1">
      <alignment horizontal="center" vertical="center" wrapText="1"/>
    </xf>
    <xf numFmtId="0" fontId="20" fillId="0" borderId="18" xfId="17" applyFont="1" applyFill="1" applyBorder="1" applyAlignment="1">
      <alignment horizontal="center" vertical="center" wrapText="1"/>
    </xf>
    <xf numFmtId="0" fontId="20" fillId="0" borderId="3" xfId="17" applyFont="1" applyFill="1" applyBorder="1" applyAlignment="1">
      <alignment horizontal="center" vertical="center" wrapText="1"/>
    </xf>
    <xf numFmtId="0" fontId="20" fillId="0" borderId="1" xfId="17"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1" fontId="25" fillId="0" borderId="3" xfId="0" applyNumberFormat="1" applyFont="1" applyFill="1" applyBorder="1" applyAlignment="1">
      <alignment horizontal="center" vertical="center" wrapText="1"/>
    </xf>
    <xf numFmtId="1" fontId="25" fillId="0" borderId="1" xfId="0" applyNumberFormat="1" applyFont="1" applyFill="1" applyBorder="1" applyAlignment="1">
      <alignment horizontal="center" vertical="center" wrapText="1"/>
    </xf>
    <xf numFmtId="0" fontId="20" fillId="3" borderId="2" xfId="17" applyFont="1" applyFill="1" applyBorder="1" applyAlignment="1">
      <alignment horizontal="center" vertical="center" wrapText="1"/>
    </xf>
    <xf numFmtId="0" fontId="20" fillId="3" borderId="40" xfId="17" applyFont="1" applyFill="1" applyBorder="1" applyAlignment="1">
      <alignment horizontal="center" vertical="center" wrapText="1"/>
    </xf>
    <xf numFmtId="3" fontId="25" fillId="0" borderId="11" xfId="0" applyNumberFormat="1" applyFont="1" applyFill="1" applyBorder="1" applyAlignment="1">
      <alignment horizontal="center" vertical="center" wrapText="1"/>
    </xf>
    <xf numFmtId="0" fontId="11" fillId="0" borderId="1" xfId="4"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11" xfId="0" applyNumberFormat="1" applyFont="1" applyFill="1" applyBorder="1" applyAlignment="1">
      <alignment horizontal="left" vertical="center" wrapText="1"/>
    </xf>
    <xf numFmtId="3" fontId="11" fillId="0" borderId="10" xfId="0" applyNumberFormat="1" applyFont="1" applyFill="1" applyBorder="1" applyAlignment="1">
      <alignment horizontal="center" vertical="center" wrapText="1"/>
    </xf>
    <xf numFmtId="0" fontId="20" fillId="0" borderId="13" xfId="17" applyFont="1" applyFill="1" applyBorder="1" applyAlignment="1">
      <alignment horizontal="center" vertical="center" wrapText="1"/>
    </xf>
    <xf numFmtId="0" fontId="20" fillId="0" borderId="14" xfId="17" applyFont="1" applyFill="1" applyBorder="1" applyAlignment="1">
      <alignment horizontal="center" vertical="center" wrapText="1"/>
    </xf>
    <xf numFmtId="0" fontId="20" fillId="0" borderId="15" xfId="17" applyFont="1" applyFill="1" applyBorder="1" applyAlignment="1">
      <alignment horizontal="center" vertical="center" wrapText="1"/>
    </xf>
    <xf numFmtId="0" fontId="20" fillId="0" borderId="39" xfId="17" applyFont="1" applyFill="1" applyBorder="1" applyAlignment="1">
      <alignment horizontal="center" vertical="center" wrapText="1"/>
    </xf>
    <xf numFmtId="0" fontId="20" fillId="0" borderId="25" xfId="17" applyFont="1" applyFill="1" applyBorder="1" applyAlignment="1">
      <alignment horizontal="center" vertical="center" wrapText="1"/>
    </xf>
    <xf numFmtId="0" fontId="20" fillId="0" borderId="40" xfId="17" applyFont="1" applyFill="1" applyBorder="1" applyAlignment="1">
      <alignment horizontal="center" vertical="center" wrapText="1"/>
    </xf>
    <xf numFmtId="176" fontId="25" fillId="0" borderId="3" xfId="4" applyNumberFormat="1" applyFont="1" applyFill="1" applyBorder="1" applyAlignment="1">
      <alignment horizontal="center" vertical="center" wrapText="1"/>
    </xf>
    <xf numFmtId="3" fontId="25" fillId="0" borderId="10" xfId="4" applyNumberFormat="1" applyFont="1" applyFill="1" applyBorder="1" applyAlignment="1">
      <alignment horizontal="center" vertical="center" wrapText="1"/>
    </xf>
    <xf numFmtId="3" fontId="25" fillId="0" borderId="11" xfId="4" applyNumberFormat="1" applyFont="1" applyFill="1" applyBorder="1" applyAlignment="1">
      <alignment horizontal="center" vertical="center" wrapText="1"/>
    </xf>
    <xf numFmtId="0" fontId="20" fillId="3" borderId="25" xfId="17" applyFont="1" applyFill="1" applyBorder="1" applyAlignment="1">
      <alignment horizontal="center" vertical="center" wrapText="1"/>
    </xf>
    <xf numFmtId="0" fontId="11" fillId="0" borderId="5" xfId="4" applyNumberFormat="1" applyFont="1" applyFill="1" applyBorder="1" applyAlignment="1">
      <alignment horizontal="left" vertical="center" wrapText="1"/>
    </xf>
    <xf numFmtId="0" fontId="11" fillId="0" borderId="5" xfId="0" applyNumberFormat="1" applyFont="1" applyFill="1" applyBorder="1" applyAlignment="1">
      <alignment horizontal="left" vertical="center" wrapText="1"/>
    </xf>
    <xf numFmtId="0" fontId="11" fillId="0" borderId="22" xfId="0" applyNumberFormat="1" applyFont="1" applyFill="1" applyBorder="1" applyAlignment="1">
      <alignment horizontal="left" vertical="center" wrapText="1"/>
    </xf>
    <xf numFmtId="0" fontId="25" fillId="0" borderId="3"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3" fontId="25" fillId="0" borderId="3" xfId="0" applyNumberFormat="1" applyFont="1" applyFill="1" applyBorder="1" applyAlignment="1">
      <alignment horizontal="center" vertical="center" wrapText="1"/>
    </xf>
    <xf numFmtId="3" fontId="25" fillId="0" borderId="10"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0" fillId="0" borderId="2" xfId="17" applyFont="1" applyFill="1" applyBorder="1" applyAlignment="1">
      <alignment horizontal="center" vertical="center" wrapText="1"/>
    </xf>
    <xf numFmtId="0" fontId="11" fillId="0" borderId="3" xfId="17" applyFont="1" applyFill="1" applyBorder="1" applyAlignment="1">
      <alignment horizontal="center" vertical="center" wrapText="1"/>
    </xf>
    <xf numFmtId="0" fontId="11" fillId="0" borderId="1" xfId="17" applyFont="1" applyFill="1" applyBorder="1" applyAlignment="1">
      <alignment horizontal="center" vertical="center" wrapText="1"/>
    </xf>
    <xf numFmtId="0" fontId="11" fillId="0" borderId="2" xfId="4"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20" xfId="0" applyNumberFormat="1" applyFont="1" applyFill="1" applyBorder="1" applyAlignment="1">
      <alignment horizontal="left" vertical="center" wrapText="1"/>
    </xf>
    <xf numFmtId="0" fontId="20" fillId="0" borderId="19" xfId="17" applyFont="1" applyFill="1" applyBorder="1" applyAlignment="1">
      <alignment horizontal="center" vertical="center" wrapText="1"/>
    </xf>
    <xf numFmtId="0" fontId="11" fillId="0" borderId="42" xfId="17" applyFont="1" applyFill="1" applyBorder="1" applyAlignment="1">
      <alignment horizontal="center" vertical="center" wrapText="1"/>
    </xf>
    <xf numFmtId="0" fontId="11" fillId="0" borderId="7" xfId="17" applyFont="1" applyFill="1" applyBorder="1" applyAlignment="1">
      <alignment horizontal="center" vertical="center" wrapText="1"/>
    </xf>
    <xf numFmtId="0" fontId="11" fillId="0" borderId="56" xfId="17"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horizontal="justify" vertical="center" wrapText="1"/>
    </xf>
    <xf numFmtId="0" fontId="11" fillId="0" borderId="1" xfId="0" applyFont="1" applyFill="1" applyBorder="1" applyAlignment="1">
      <alignment horizontal="justify" vertical="center" wrapText="1"/>
    </xf>
    <xf numFmtId="1" fontId="11" fillId="0" borderId="3" xfId="0" applyNumberFormat="1" applyFont="1" applyFill="1" applyBorder="1" applyAlignment="1">
      <alignment horizontal="justify" vertical="center" wrapText="1"/>
    </xf>
    <xf numFmtId="1" fontId="11" fillId="0" borderId="1" xfId="0" applyNumberFormat="1" applyFont="1" applyFill="1" applyBorder="1" applyAlignment="1">
      <alignment horizontal="justify" vertical="center" wrapText="1"/>
    </xf>
    <xf numFmtId="0" fontId="20" fillId="3" borderId="1" xfId="17" applyFont="1" applyFill="1" applyBorder="1" applyAlignment="1">
      <alignment horizontal="center" vertical="center" wrapText="1"/>
    </xf>
    <xf numFmtId="0" fontId="20" fillId="3" borderId="4" xfId="17" applyFont="1" applyFill="1" applyBorder="1" applyAlignment="1">
      <alignment horizontal="center" vertical="center" wrapText="1"/>
    </xf>
    <xf numFmtId="0" fontId="11" fillId="0" borderId="4" xfId="4"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12" xfId="0" applyNumberFormat="1" applyFont="1" applyFill="1" applyBorder="1" applyAlignment="1">
      <alignment horizontal="left" vertical="center" wrapText="1"/>
    </xf>
    <xf numFmtId="0" fontId="20" fillId="0" borderId="5" xfId="17" applyFont="1" applyFill="1" applyBorder="1" applyAlignment="1">
      <alignment horizontal="center" vertical="center" wrapText="1"/>
    </xf>
    <xf numFmtId="0" fontId="11" fillId="0" borderId="5" xfId="17" applyFont="1" applyFill="1" applyBorder="1" applyAlignment="1">
      <alignment horizontal="center" vertical="center" wrapText="1"/>
    </xf>
    <xf numFmtId="0" fontId="25" fillId="0" borderId="5" xfId="0" applyFont="1" applyFill="1" applyBorder="1" applyAlignment="1">
      <alignment horizontal="center" vertical="center" wrapText="1"/>
    </xf>
    <xf numFmtId="1" fontId="25" fillId="0" borderId="5" xfId="0" applyNumberFormat="1" applyFont="1" applyFill="1" applyBorder="1" applyAlignment="1">
      <alignment horizontal="center" vertical="center" wrapText="1"/>
    </xf>
    <xf numFmtId="176" fontId="25" fillId="0" borderId="5" xfId="4" applyNumberFormat="1" applyFont="1" applyFill="1" applyBorder="1" applyAlignment="1">
      <alignment vertical="center" wrapText="1"/>
    </xf>
    <xf numFmtId="176" fontId="25" fillId="0" borderId="1" xfId="4" applyNumberFormat="1" applyFont="1" applyFill="1" applyBorder="1" applyAlignment="1">
      <alignment vertical="center" wrapText="1"/>
    </xf>
    <xf numFmtId="176" fontId="25" fillId="0" borderId="5" xfId="4" applyNumberFormat="1" applyFont="1" applyFill="1" applyBorder="1" applyAlignment="1">
      <alignment horizontal="center" vertical="center" wrapText="1"/>
    </xf>
    <xf numFmtId="3" fontId="25" fillId="0" borderId="22" xfId="4"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14" fillId="5" borderId="29" xfId="17" applyFont="1" applyFill="1" applyBorder="1" applyAlignment="1">
      <alignment horizontal="center" vertical="center" wrapText="1"/>
    </xf>
    <xf numFmtId="0" fontId="14" fillId="5" borderId="0" xfId="17" applyFont="1" applyFill="1" applyBorder="1" applyAlignment="1">
      <alignment horizontal="center" vertical="center" wrapText="1"/>
    </xf>
    <xf numFmtId="0" fontId="14" fillId="5" borderId="30" xfId="17" applyFont="1" applyFill="1" applyBorder="1" applyAlignment="1">
      <alignment horizontal="center" vertical="center" wrapText="1"/>
    </xf>
    <xf numFmtId="0" fontId="14" fillId="5" borderId="31" xfId="17" applyFont="1" applyFill="1" applyBorder="1" applyAlignment="1">
      <alignment horizontal="center" vertical="center" wrapText="1"/>
    </xf>
    <xf numFmtId="0" fontId="14" fillId="5" borderId="32" xfId="17" applyFont="1" applyFill="1" applyBorder="1" applyAlignment="1">
      <alignment horizontal="center" vertical="center" wrapText="1"/>
    </xf>
    <xf numFmtId="0" fontId="14" fillId="5" borderId="44" xfId="17"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40" xfId="0" applyFont="1" applyFill="1" applyBorder="1" applyAlignment="1">
      <alignment horizontal="center" vertical="center" wrapText="1"/>
    </xf>
    <xf numFmtId="3" fontId="25" fillId="0" borderId="12" xfId="0" applyNumberFormat="1" applyFont="1" applyFill="1" applyBorder="1" applyAlignment="1">
      <alignment horizontal="center" vertical="center" wrapText="1"/>
    </xf>
    <xf numFmtId="0" fontId="20" fillId="0" borderId="4" xfId="17" applyFont="1" applyFill="1" applyBorder="1" applyAlignment="1">
      <alignment horizontal="center" vertical="center" wrapText="1"/>
    </xf>
  </cellXfs>
  <cellStyles count="25">
    <cellStyle name="Coma 2" xfId="1" xr:uid="{00000000-0005-0000-0000-000000000000}"/>
    <cellStyle name="Coma 2 2" xfId="2" xr:uid="{00000000-0005-0000-0000-000001000000}"/>
    <cellStyle name="Millares 2" xfId="3" xr:uid="{00000000-0005-0000-0000-000002000000}"/>
    <cellStyle name="Millares 2 2" xfId="4" xr:uid="{00000000-0005-0000-0000-000003000000}"/>
    <cellStyle name="Millares 3" xfId="5" xr:uid="{00000000-0005-0000-0000-000004000000}"/>
    <cellStyle name="Millares 3 2" xfId="6" xr:uid="{00000000-0005-0000-0000-000005000000}"/>
    <cellStyle name="Millares 4" xfId="7" xr:uid="{00000000-0005-0000-0000-000006000000}"/>
    <cellStyle name="Moneda [0]" xfId="24" builtinId="7"/>
    <cellStyle name="Moneda 2" xfId="8" xr:uid="{00000000-0005-0000-0000-000008000000}"/>
    <cellStyle name="Moneda 2 2" xfId="9" xr:uid="{00000000-0005-0000-0000-000009000000}"/>
    <cellStyle name="Moneda 2 2 2" xfId="10" xr:uid="{00000000-0005-0000-0000-00000A000000}"/>
    <cellStyle name="Moneda 2 3" xfId="11" xr:uid="{00000000-0005-0000-0000-00000B000000}"/>
    <cellStyle name="Moneda 3" xfId="12" xr:uid="{00000000-0005-0000-0000-00000C000000}"/>
    <cellStyle name="Moneda 4" xfId="13" xr:uid="{00000000-0005-0000-0000-00000D000000}"/>
    <cellStyle name="Normal" xfId="0" builtinId="0"/>
    <cellStyle name="Normal 2" xfId="14" xr:uid="{00000000-0005-0000-0000-00000F000000}"/>
    <cellStyle name="Normal 2 10" xfId="15" xr:uid="{00000000-0005-0000-0000-000010000000}"/>
    <cellStyle name="Normal 3" xfId="16" xr:uid="{00000000-0005-0000-0000-000011000000}"/>
    <cellStyle name="Normal 3 2" xfId="17" xr:uid="{00000000-0005-0000-0000-000012000000}"/>
    <cellStyle name="Normal 4 2" xfId="18" xr:uid="{00000000-0005-0000-0000-000013000000}"/>
    <cellStyle name="Porcentaje 2" xfId="21" xr:uid="{00000000-0005-0000-0000-000014000000}"/>
    <cellStyle name="Porcentaje 3" xfId="22" xr:uid="{00000000-0005-0000-0000-000015000000}"/>
    <cellStyle name="Porcentaje 4" xfId="23" xr:uid="{00000000-0005-0000-0000-000016000000}"/>
    <cellStyle name="Porcentual 2" xfId="19" xr:uid="{00000000-0005-0000-0000-000017000000}"/>
    <cellStyle name="Porcentual 2 2" xfId="20" xr:uid="{00000000-0005-0000-0000-000018000000}"/>
  </cellStyles>
  <dxfs count="0"/>
  <tableStyles count="0" defaultTableStyle="TableStyleMedium9" defaultPivotStyle="PivotStyleLight16"/>
  <colors>
    <mruColors>
      <color rgb="FF75DBFF"/>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114299</xdr:rowOff>
    </xdr:from>
    <xdr:to>
      <xdr:col>6</xdr:col>
      <xdr:colOff>914400</xdr:colOff>
      <xdr:row>3</xdr:row>
      <xdr:rowOff>409868</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80999"/>
          <a:ext cx="6134100" cy="2543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804863</xdr:colOff>
      <xdr:row>0</xdr:row>
      <xdr:rowOff>109537</xdr:rowOff>
    </xdr:from>
    <xdr:to>
      <xdr:col>4</xdr:col>
      <xdr:colOff>985837</xdr:colOff>
      <xdr:row>2</xdr:row>
      <xdr:rowOff>405106</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63" y="109537"/>
          <a:ext cx="4729162" cy="1819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526144</xdr:colOff>
      <xdr:row>0</xdr:row>
      <xdr:rowOff>204787</xdr:rowOff>
    </xdr:from>
    <xdr:to>
      <xdr:col>2</xdr:col>
      <xdr:colOff>2129518</xdr:colOff>
      <xdr:row>2</xdr:row>
      <xdr:rowOff>399590</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144" y="204787"/>
          <a:ext cx="4052660" cy="1555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224117</xdr:colOff>
      <xdr:row>0</xdr:row>
      <xdr:rowOff>120742</xdr:rowOff>
    </xdr:from>
    <xdr:to>
      <xdr:col>3</xdr:col>
      <xdr:colOff>582706</xdr:colOff>
      <xdr:row>2</xdr:row>
      <xdr:rowOff>280146</xdr:rowOff>
    </xdr:to>
    <xdr:pic>
      <xdr:nvPicPr>
        <xdr:cNvPr id="3" name="Imagen 21" descr="logo 3">
          <a:extLst>
            <a:ext uri="{FF2B5EF4-FFF2-40B4-BE49-F238E27FC236}">
              <a16:creationId xmlns:a16="http://schemas.microsoft.com/office/drawing/2014/main" id="{4D59CD57-3C3E-4F50-ABBE-BFBCB1C78F7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140"/>
        <a:stretch/>
      </xdr:blipFill>
      <xdr:spPr bwMode="auto">
        <a:xfrm>
          <a:off x="224117" y="120742"/>
          <a:ext cx="4728883" cy="1369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1%7d\Downloads\PE01PR02F2%201150_IIITRIM-Rev%20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s>
    <sheetDataSet>
      <sheetData sheetId="0"/>
      <sheetData sheetId="1">
        <row r="10">
          <cell r="AA10">
            <v>95</v>
          </cell>
          <cell r="AB10">
            <v>95</v>
          </cell>
          <cell r="AM10">
            <v>80</v>
          </cell>
        </row>
        <row r="11">
          <cell r="AA11">
            <v>162018000</v>
          </cell>
          <cell r="AB11">
            <v>159576500</v>
          </cell>
          <cell r="AL11">
            <v>134939500</v>
          </cell>
          <cell r="AM11">
            <v>134939500</v>
          </cell>
        </row>
        <row r="13">
          <cell r="AM13">
            <v>23720495</v>
          </cell>
        </row>
        <row r="14">
          <cell r="AL14">
            <v>80</v>
          </cell>
        </row>
        <row r="16">
          <cell r="AB16">
            <v>25</v>
          </cell>
          <cell r="AM16">
            <v>0</v>
          </cell>
        </row>
        <row r="17">
          <cell r="AB17">
            <v>4195000000</v>
          </cell>
          <cell r="AM17">
            <v>0</v>
          </cell>
        </row>
        <row r="22">
          <cell r="AA22">
            <v>0.86</v>
          </cell>
          <cell r="AB22">
            <v>0.86</v>
          </cell>
          <cell r="AM22">
            <v>0</v>
          </cell>
        </row>
        <row r="23">
          <cell r="AB23">
            <v>1390035575</v>
          </cell>
          <cell r="AL23">
            <v>185020000</v>
          </cell>
          <cell r="AM23">
            <v>243828200</v>
          </cell>
        </row>
        <row r="24">
          <cell r="AA24">
            <v>2.84</v>
          </cell>
        </row>
        <row r="25">
          <cell r="AL25">
            <v>2646928171</v>
          </cell>
          <cell r="AM25">
            <v>2665729171</v>
          </cell>
        </row>
        <row r="26">
          <cell r="AL26">
            <v>0</v>
          </cell>
        </row>
        <row r="28">
          <cell r="AB28">
            <v>5</v>
          </cell>
          <cell r="AL28">
            <v>3</v>
          </cell>
          <cell r="AM28">
            <v>3</v>
          </cell>
        </row>
        <row r="29">
          <cell r="AB29">
            <v>193935000</v>
          </cell>
          <cell r="AM29">
            <v>193935000</v>
          </cell>
        </row>
        <row r="34">
          <cell r="AM34">
            <v>3</v>
          </cell>
        </row>
        <row r="35">
          <cell r="AB35">
            <v>244244000</v>
          </cell>
          <cell r="AL35">
            <v>163033500</v>
          </cell>
          <cell r="AM35">
            <v>172576000</v>
          </cell>
        </row>
        <row r="38">
          <cell r="AL38">
            <v>3</v>
          </cell>
        </row>
        <row r="40">
          <cell r="AA40">
            <v>20</v>
          </cell>
        </row>
        <row r="41">
          <cell r="AB41">
            <v>1355559500</v>
          </cell>
          <cell r="AL41">
            <v>1327980500</v>
          </cell>
          <cell r="AM41">
            <v>1327980500</v>
          </cell>
        </row>
        <row r="43">
          <cell r="AL43">
            <v>1853482344</v>
          </cell>
        </row>
        <row r="46">
          <cell r="AB46">
            <v>8.25</v>
          </cell>
          <cell r="AM46">
            <v>0</v>
          </cell>
        </row>
        <row r="47">
          <cell r="AA47">
            <v>617596000</v>
          </cell>
          <cell r="AB47">
            <v>617596000</v>
          </cell>
          <cell r="AL47">
            <v>392916337</v>
          </cell>
          <cell r="AM47">
            <v>392916337</v>
          </cell>
        </row>
        <row r="49">
          <cell r="AL49">
            <v>494973071</v>
          </cell>
          <cell r="AM49">
            <v>549302071</v>
          </cell>
        </row>
        <row r="52">
          <cell r="AB52">
            <v>10</v>
          </cell>
          <cell r="AL52">
            <v>0</v>
          </cell>
          <cell r="AM52">
            <v>0</v>
          </cell>
        </row>
        <row r="53">
          <cell r="AB53">
            <v>204873300</v>
          </cell>
          <cell r="AL53">
            <v>195099000</v>
          </cell>
          <cell r="AM53">
            <v>201670300</v>
          </cell>
        </row>
        <row r="55">
          <cell r="AL55">
            <v>105762633</v>
          </cell>
        </row>
        <row r="58">
          <cell r="AB58">
            <v>100</v>
          </cell>
          <cell r="AM58">
            <v>55</v>
          </cell>
        </row>
        <row r="59">
          <cell r="AB59">
            <v>787051125</v>
          </cell>
          <cell r="AM59">
            <v>472230675</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
  <sheetViews>
    <sheetView zoomScale="64" zoomScaleNormal="64" zoomScaleSheetLayoutView="70" workbookViewId="0">
      <selection activeCell="A18" sqref="A18:K20"/>
    </sheetView>
  </sheetViews>
  <sheetFormatPr baseColWidth="10" defaultRowHeight="15" x14ac:dyDescent="0.25"/>
  <cols>
    <col min="1" max="1" width="11.42578125" style="1"/>
    <col min="2" max="2" width="8.85546875" style="1" customWidth="1"/>
    <col min="3" max="3" width="17.7109375" style="1" customWidth="1"/>
    <col min="4" max="4" width="8.85546875" style="1" customWidth="1"/>
    <col min="5" max="5" width="24.7109375" style="1" customWidth="1"/>
    <col min="6" max="6" width="7.5703125" style="1" customWidth="1"/>
    <col min="7" max="7" width="16" style="1" customWidth="1"/>
    <col min="8" max="8" width="12.85546875" style="1" customWidth="1"/>
    <col min="9" max="9" width="11.7109375" style="1" customWidth="1"/>
    <col min="10" max="10" width="13.5703125" style="9" bestFit="1" customWidth="1"/>
    <col min="11" max="11" width="24.7109375" style="13" customWidth="1"/>
    <col min="12" max="12" width="12.7109375" style="12" customWidth="1"/>
    <col min="13" max="13" width="12.7109375" style="9" customWidth="1"/>
    <col min="14" max="14" width="19" style="13" bestFit="1" customWidth="1"/>
    <col min="15" max="15" width="19" style="13" customWidth="1"/>
    <col min="16" max="16" width="12.7109375" style="12" customWidth="1"/>
    <col min="17" max="17" width="14.28515625" style="12" customWidth="1"/>
    <col min="18" max="19" width="12.7109375" style="12" customWidth="1"/>
    <col min="20" max="21" width="12.7109375" style="13" customWidth="1"/>
    <col min="22" max="22" width="9" style="12" bestFit="1" customWidth="1"/>
    <col min="23" max="25" width="12.7109375" style="12" customWidth="1"/>
    <col min="26" max="27" width="12.7109375" style="13" customWidth="1"/>
    <col min="28" max="31" width="12.7109375" style="12" customWidth="1"/>
    <col min="32" max="38" width="12.7109375" style="13" customWidth="1"/>
    <col min="39" max="39" width="12.85546875" style="1" customWidth="1"/>
    <col min="40" max="40" width="16.5703125" style="1" customWidth="1"/>
    <col min="41" max="41" width="12.85546875" style="1" customWidth="1"/>
    <col min="42" max="42" width="14.28515625" style="1" customWidth="1"/>
    <col min="43" max="43" width="13.140625" style="1" customWidth="1"/>
    <col min="44" max="44" width="12.28515625" style="1" customWidth="1"/>
    <col min="45" max="45" width="97.5703125" style="1" customWidth="1"/>
    <col min="46" max="46" width="18" style="1" customWidth="1"/>
    <col min="47" max="47" width="20.140625" style="1" customWidth="1"/>
    <col min="48" max="48" width="21.5703125" style="1" customWidth="1"/>
    <col min="49" max="49" width="16.7109375" style="1" customWidth="1"/>
    <col min="50" max="50" width="11.42578125" style="1"/>
    <col min="51" max="51" width="56.5703125" style="1" customWidth="1"/>
    <col min="52" max="16384" width="11.42578125" style="1"/>
  </cols>
  <sheetData>
    <row r="1" spans="1:50" ht="21" customHeight="1" thickBot="1" x14ac:dyDescent="0.3">
      <c r="B1" s="4"/>
      <c r="C1" s="4"/>
      <c r="D1" s="4"/>
      <c r="E1" s="4"/>
      <c r="F1" s="4"/>
      <c r="G1" s="4"/>
      <c r="H1" s="4"/>
      <c r="I1" s="4"/>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4"/>
      <c r="AN1" s="4"/>
      <c r="AO1" s="4"/>
      <c r="AP1" s="4"/>
      <c r="AQ1" s="4"/>
      <c r="AR1" s="4"/>
      <c r="AS1" s="4"/>
      <c r="AT1" s="4"/>
      <c r="AU1" s="4"/>
      <c r="AV1" s="4"/>
      <c r="AW1" s="4"/>
    </row>
    <row r="2" spans="1:50" s="25" customFormat="1" ht="56.25" customHeight="1" x14ac:dyDescent="0.5">
      <c r="A2" s="414"/>
      <c r="B2" s="415"/>
      <c r="C2" s="415"/>
      <c r="D2" s="415"/>
      <c r="E2" s="415"/>
      <c r="F2" s="415"/>
      <c r="G2" s="416"/>
      <c r="H2" s="395" t="s">
        <v>140</v>
      </c>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7"/>
    </row>
    <row r="3" spans="1:50" s="25" customFormat="1" ht="84.75" customHeight="1" x14ac:dyDescent="0.5">
      <c r="A3" s="417"/>
      <c r="B3" s="418"/>
      <c r="C3" s="418"/>
      <c r="D3" s="418"/>
      <c r="E3" s="418"/>
      <c r="F3" s="418"/>
      <c r="G3" s="419"/>
      <c r="H3" s="423" t="s">
        <v>135</v>
      </c>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5"/>
    </row>
    <row r="4" spans="1:50" s="24" customFormat="1" ht="63" customHeight="1" thickBot="1" x14ac:dyDescent="0.45">
      <c r="A4" s="420"/>
      <c r="B4" s="421"/>
      <c r="C4" s="421"/>
      <c r="D4" s="421"/>
      <c r="E4" s="421"/>
      <c r="F4" s="421"/>
      <c r="G4" s="422"/>
      <c r="H4" s="404" t="s">
        <v>128</v>
      </c>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6"/>
      <c r="AM4" s="404" t="s">
        <v>129</v>
      </c>
      <c r="AN4" s="405"/>
      <c r="AO4" s="405"/>
      <c r="AP4" s="405"/>
      <c r="AQ4" s="405"/>
      <c r="AR4" s="405"/>
      <c r="AS4" s="405"/>
      <c r="AT4" s="405"/>
      <c r="AU4" s="405"/>
      <c r="AV4" s="405"/>
      <c r="AW4" s="407"/>
    </row>
    <row r="5" spans="1:50" ht="41.25" customHeight="1" x14ac:dyDescent="0.25">
      <c r="A5" s="408" t="s">
        <v>0</v>
      </c>
      <c r="B5" s="409"/>
      <c r="C5" s="409"/>
      <c r="D5" s="409"/>
      <c r="E5" s="409"/>
      <c r="F5" s="409"/>
      <c r="G5" s="409"/>
      <c r="H5" s="409"/>
      <c r="I5" s="409"/>
      <c r="J5" s="409"/>
      <c r="K5" s="409"/>
      <c r="L5" s="409"/>
      <c r="M5" s="409"/>
      <c r="N5" s="409"/>
      <c r="O5" s="409"/>
      <c r="P5" s="409"/>
      <c r="Q5" s="409"/>
      <c r="R5" s="410"/>
      <c r="S5" s="398" t="s">
        <v>142</v>
      </c>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400"/>
    </row>
    <row r="6" spans="1:50" ht="26.25" customHeight="1" x14ac:dyDescent="0.25">
      <c r="A6" s="411" t="s">
        <v>2</v>
      </c>
      <c r="B6" s="412"/>
      <c r="C6" s="412"/>
      <c r="D6" s="412"/>
      <c r="E6" s="412"/>
      <c r="F6" s="412"/>
      <c r="G6" s="412"/>
      <c r="H6" s="412"/>
      <c r="I6" s="412"/>
      <c r="J6" s="412"/>
      <c r="K6" s="412"/>
      <c r="L6" s="412"/>
      <c r="M6" s="412"/>
      <c r="N6" s="412"/>
      <c r="O6" s="412"/>
      <c r="P6" s="412"/>
      <c r="Q6" s="412"/>
      <c r="R6" s="413"/>
      <c r="S6" s="401" t="s">
        <v>143</v>
      </c>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3"/>
    </row>
    <row r="7" spans="1:50" ht="30" customHeight="1" x14ac:dyDescent="0.25">
      <c r="A7" s="393" t="s">
        <v>3</v>
      </c>
      <c r="B7" s="394"/>
      <c r="C7" s="394"/>
      <c r="D7" s="394"/>
      <c r="E7" s="394"/>
      <c r="F7" s="394"/>
      <c r="G7" s="394"/>
      <c r="H7" s="394"/>
      <c r="I7" s="394"/>
      <c r="J7" s="394"/>
      <c r="K7" s="394"/>
      <c r="L7" s="394"/>
      <c r="M7" s="394"/>
      <c r="N7" s="394"/>
      <c r="O7" s="394"/>
      <c r="P7" s="394"/>
      <c r="Q7" s="394"/>
      <c r="R7" s="394"/>
      <c r="S7" s="401" t="s">
        <v>144</v>
      </c>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3"/>
    </row>
    <row r="8" spans="1:50" ht="30" customHeight="1" x14ac:dyDescent="0.25">
      <c r="A8" s="393" t="s">
        <v>1</v>
      </c>
      <c r="B8" s="394"/>
      <c r="C8" s="394"/>
      <c r="D8" s="394"/>
      <c r="E8" s="394"/>
      <c r="F8" s="394"/>
      <c r="G8" s="394"/>
      <c r="H8" s="394"/>
      <c r="I8" s="394"/>
      <c r="J8" s="394"/>
      <c r="K8" s="394"/>
      <c r="L8" s="394"/>
      <c r="M8" s="394"/>
      <c r="N8" s="394"/>
      <c r="O8" s="394"/>
      <c r="P8" s="394"/>
      <c r="Q8" s="394"/>
      <c r="R8" s="394"/>
      <c r="S8" s="401" t="s">
        <v>145</v>
      </c>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3"/>
    </row>
    <row r="9" spans="1:50" ht="36" customHeight="1" thickBot="1" x14ac:dyDescent="0.3">
      <c r="A9" s="428"/>
      <c r="B9" s="429"/>
      <c r="C9" s="429"/>
      <c r="D9" s="429"/>
      <c r="E9" s="429"/>
      <c r="F9" s="429"/>
      <c r="G9" s="429"/>
      <c r="H9" s="429"/>
      <c r="I9" s="429"/>
      <c r="J9" s="429"/>
      <c r="K9" s="429"/>
      <c r="L9" s="429"/>
      <c r="M9" s="429"/>
      <c r="N9" s="429"/>
      <c r="O9" s="429"/>
      <c r="P9" s="429"/>
      <c r="Q9" s="429"/>
      <c r="R9" s="15"/>
      <c r="S9" s="15"/>
      <c r="T9" s="15"/>
      <c r="U9" s="15"/>
      <c r="V9" s="15"/>
      <c r="W9" s="15"/>
      <c r="X9" s="15"/>
      <c r="Y9" s="15"/>
      <c r="Z9" s="15"/>
      <c r="AA9" s="15"/>
      <c r="AB9" s="15"/>
      <c r="AC9" s="15"/>
      <c r="AD9" s="15"/>
      <c r="AE9" s="15"/>
      <c r="AF9" s="15"/>
      <c r="AG9" s="15"/>
      <c r="AH9" s="15"/>
      <c r="AI9" s="15"/>
      <c r="AJ9" s="15"/>
      <c r="AK9" s="15"/>
      <c r="AL9" s="15"/>
      <c r="AM9" s="16"/>
      <c r="AN9" s="16"/>
      <c r="AO9" s="16"/>
      <c r="AP9" s="16"/>
      <c r="AQ9" s="16"/>
      <c r="AR9" s="16"/>
      <c r="AS9" s="16"/>
      <c r="AT9" s="16"/>
      <c r="AU9" s="16"/>
      <c r="AV9" s="16"/>
      <c r="AW9" s="17"/>
    </row>
    <row r="10" spans="1:50" s="2" customFormat="1" ht="70.5" customHeight="1" x14ac:dyDescent="0.25">
      <c r="A10" s="432" t="s">
        <v>117</v>
      </c>
      <c r="B10" s="392"/>
      <c r="C10" s="392"/>
      <c r="D10" s="392" t="s">
        <v>85</v>
      </c>
      <c r="E10" s="392"/>
      <c r="F10" s="392" t="s">
        <v>87</v>
      </c>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t="s">
        <v>95</v>
      </c>
      <c r="AR10" s="392" t="s">
        <v>96</v>
      </c>
      <c r="AS10" s="380" t="s">
        <v>97</v>
      </c>
      <c r="AT10" s="380" t="s">
        <v>98</v>
      </c>
      <c r="AU10" s="380" t="s">
        <v>99</v>
      </c>
      <c r="AV10" s="380" t="s">
        <v>100</v>
      </c>
      <c r="AW10" s="387" t="s">
        <v>101</v>
      </c>
    </row>
    <row r="11" spans="1:50" s="3" customFormat="1" ht="45.75" customHeight="1" x14ac:dyDescent="0.2">
      <c r="A11" s="430" t="s">
        <v>116</v>
      </c>
      <c r="B11" s="433" t="s">
        <v>84</v>
      </c>
      <c r="C11" s="390" t="s">
        <v>118</v>
      </c>
      <c r="D11" s="390" t="s">
        <v>69</v>
      </c>
      <c r="E11" s="390" t="s">
        <v>86</v>
      </c>
      <c r="F11" s="390" t="s">
        <v>88</v>
      </c>
      <c r="G11" s="390" t="s">
        <v>89</v>
      </c>
      <c r="H11" s="390" t="s">
        <v>90</v>
      </c>
      <c r="I11" s="390" t="s">
        <v>91</v>
      </c>
      <c r="J11" s="390" t="s">
        <v>92</v>
      </c>
      <c r="K11" s="26"/>
      <c r="L11" s="384" t="s">
        <v>93</v>
      </c>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6"/>
      <c r="AM11" s="383" t="s">
        <v>94</v>
      </c>
      <c r="AN11" s="383"/>
      <c r="AO11" s="383"/>
      <c r="AP11" s="383"/>
      <c r="AQ11" s="390"/>
      <c r="AR11" s="390"/>
      <c r="AS11" s="381"/>
      <c r="AT11" s="381"/>
      <c r="AU11" s="381"/>
      <c r="AV11" s="381"/>
      <c r="AW11" s="388"/>
    </row>
    <row r="12" spans="1:50" s="3" customFormat="1" ht="51" customHeight="1" x14ac:dyDescent="0.2">
      <c r="A12" s="430"/>
      <c r="B12" s="433"/>
      <c r="C12" s="390"/>
      <c r="D12" s="390"/>
      <c r="E12" s="390"/>
      <c r="F12" s="390"/>
      <c r="G12" s="390"/>
      <c r="H12" s="390"/>
      <c r="I12" s="390"/>
      <c r="J12" s="390"/>
      <c r="K12" s="27"/>
      <c r="L12" s="383">
        <v>2016</v>
      </c>
      <c r="M12" s="383"/>
      <c r="N12" s="383"/>
      <c r="O12" s="384">
        <v>2017</v>
      </c>
      <c r="P12" s="385"/>
      <c r="Q12" s="385"/>
      <c r="R12" s="385"/>
      <c r="S12" s="385"/>
      <c r="T12" s="386"/>
      <c r="U12" s="384">
        <v>2018</v>
      </c>
      <c r="V12" s="385"/>
      <c r="W12" s="385"/>
      <c r="X12" s="385"/>
      <c r="Y12" s="385"/>
      <c r="Z12" s="386"/>
      <c r="AA12" s="384">
        <v>2019</v>
      </c>
      <c r="AB12" s="385"/>
      <c r="AC12" s="385"/>
      <c r="AD12" s="385"/>
      <c r="AE12" s="385"/>
      <c r="AF12" s="386"/>
      <c r="AG12" s="384">
        <v>2020</v>
      </c>
      <c r="AH12" s="385"/>
      <c r="AI12" s="385"/>
      <c r="AJ12" s="385"/>
      <c r="AK12" s="385"/>
      <c r="AL12" s="386"/>
      <c r="AM12" s="390" t="s">
        <v>4</v>
      </c>
      <c r="AN12" s="390" t="s">
        <v>5</v>
      </c>
      <c r="AO12" s="390" t="s">
        <v>6</v>
      </c>
      <c r="AP12" s="390" t="s">
        <v>7</v>
      </c>
      <c r="AQ12" s="390"/>
      <c r="AR12" s="390"/>
      <c r="AS12" s="381"/>
      <c r="AT12" s="381"/>
      <c r="AU12" s="381"/>
      <c r="AV12" s="381"/>
      <c r="AW12" s="388"/>
    </row>
    <row r="13" spans="1:50" s="3" customFormat="1" ht="92.25" customHeight="1" thickBot="1" x14ac:dyDescent="0.25">
      <c r="A13" s="431"/>
      <c r="B13" s="434"/>
      <c r="C13" s="391"/>
      <c r="D13" s="391"/>
      <c r="E13" s="391"/>
      <c r="F13" s="391"/>
      <c r="G13" s="391"/>
      <c r="H13" s="391"/>
      <c r="I13" s="391"/>
      <c r="J13" s="391"/>
      <c r="K13" s="28" t="s">
        <v>119</v>
      </c>
      <c r="L13" s="28" t="s">
        <v>123</v>
      </c>
      <c r="M13" s="28" t="s">
        <v>127</v>
      </c>
      <c r="N13" s="28" t="s">
        <v>31</v>
      </c>
      <c r="O13" s="28" t="s">
        <v>122</v>
      </c>
      <c r="P13" s="28" t="s">
        <v>125</v>
      </c>
      <c r="Q13" s="28" t="s">
        <v>126</v>
      </c>
      <c r="R13" s="28" t="s">
        <v>123</v>
      </c>
      <c r="S13" s="28" t="s">
        <v>127</v>
      </c>
      <c r="T13" s="28" t="s">
        <v>31</v>
      </c>
      <c r="U13" s="28" t="s">
        <v>122</v>
      </c>
      <c r="V13" s="28" t="s">
        <v>125</v>
      </c>
      <c r="W13" s="28" t="s">
        <v>126</v>
      </c>
      <c r="X13" s="28" t="s">
        <v>123</v>
      </c>
      <c r="Y13" s="28" t="s">
        <v>127</v>
      </c>
      <c r="Z13" s="28" t="s">
        <v>31</v>
      </c>
      <c r="AA13" s="28" t="s">
        <v>122</v>
      </c>
      <c r="AB13" s="28" t="s">
        <v>125</v>
      </c>
      <c r="AC13" s="28" t="s">
        <v>126</v>
      </c>
      <c r="AD13" s="28" t="s">
        <v>123</v>
      </c>
      <c r="AE13" s="28" t="s">
        <v>127</v>
      </c>
      <c r="AF13" s="28" t="s">
        <v>31</v>
      </c>
      <c r="AG13" s="28" t="s">
        <v>122</v>
      </c>
      <c r="AH13" s="28" t="s">
        <v>125</v>
      </c>
      <c r="AI13" s="28" t="s">
        <v>126</v>
      </c>
      <c r="AJ13" s="28" t="s">
        <v>123</v>
      </c>
      <c r="AK13" s="28" t="s">
        <v>127</v>
      </c>
      <c r="AL13" s="28" t="s">
        <v>31</v>
      </c>
      <c r="AM13" s="391"/>
      <c r="AN13" s="391"/>
      <c r="AO13" s="391"/>
      <c r="AP13" s="391"/>
      <c r="AQ13" s="391"/>
      <c r="AR13" s="391"/>
      <c r="AS13" s="382"/>
      <c r="AT13" s="382"/>
      <c r="AU13" s="382"/>
      <c r="AV13" s="382"/>
      <c r="AW13" s="389"/>
    </row>
    <row r="14" spans="1:50" s="3" customFormat="1" ht="167.25" customHeight="1" x14ac:dyDescent="0.2">
      <c r="A14" s="437">
        <v>39</v>
      </c>
      <c r="B14" s="438">
        <v>179</v>
      </c>
      <c r="C14" s="439" t="s">
        <v>146</v>
      </c>
      <c r="D14" s="441">
        <v>466</v>
      </c>
      <c r="E14" s="441" t="s">
        <v>147</v>
      </c>
      <c r="F14" s="441">
        <v>365</v>
      </c>
      <c r="G14" s="441" t="s">
        <v>148</v>
      </c>
      <c r="H14" s="441" t="s">
        <v>149</v>
      </c>
      <c r="I14" s="442" t="s">
        <v>150</v>
      </c>
      <c r="J14" s="443">
        <v>0.4</v>
      </c>
      <c r="K14" s="444">
        <v>0.05</v>
      </c>
      <c r="L14" s="443">
        <v>0.05</v>
      </c>
      <c r="M14" s="446">
        <v>3.5000000000000003E-2</v>
      </c>
      <c r="N14" s="446">
        <v>3.8899999999999997E-2</v>
      </c>
      <c r="O14" s="446">
        <v>3.8899999999999997E-2</v>
      </c>
      <c r="P14" s="447"/>
      <c r="Q14" s="447"/>
      <c r="R14" s="449"/>
      <c r="S14" s="450"/>
      <c r="T14" s="450"/>
      <c r="U14" s="450">
        <v>0</v>
      </c>
      <c r="V14" s="450"/>
      <c r="W14" s="451"/>
      <c r="X14" s="453"/>
      <c r="Y14" s="453"/>
      <c r="Z14" s="453"/>
      <c r="AA14" s="453">
        <v>0</v>
      </c>
      <c r="AB14" s="453"/>
      <c r="AC14" s="454"/>
      <c r="AD14" s="453"/>
      <c r="AE14" s="453"/>
      <c r="AF14" s="453"/>
      <c r="AG14" s="453"/>
      <c r="AH14" s="453"/>
      <c r="AI14" s="454"/>
      <c r="AJ14" s="453"/>
      <c r="AK14" s="453"/>
      <c r="AL14" s="453"/>
      <c r="AM14" s="453"/>
      <c r="AN14" s="453"/>
      <c r="AO14" s="449"/>
      <c r="AP14" s="451"/>
      <c r="AQ14" s="451"/>
      <c r="AR14" s="450"/>
      <c r="AS14" s="449" t="s">
        <v>151</v>
      </c>
      <c r="AT14" s="449"/>
      <c r="AU14" s="449"/>
      <c r="AV14" s="449"/>
      <c r="AW14" s="456"/>
    </row>
    <row r="15" spans="1:50" s="10" customFormat="1" ht="42.75" customHeight="1" x14ac:dyDescent="0.25">
      <c r="A15" s="437"/>
      <c r="B15" s="438"/>
      <c r="C15" s="440"/>
      <c r="D15" s="441"/>
      <c r="E15" s="441"/>
      <c r="F15" s="441"/>
      <c r="G15" s="441"/>
      <c r="H15" s="441"/>
      <c r="I15" s="442"/>
      <c r="J15" s="441"/>
      <c r="K15" s="445"/>
      <c r="L15" s="441"/>
      <c r="M15" s="446"/>
      <c r="N15" s="446"/>
      <c r="O15" s="446"/>
      <c r="P15" s="448"/>
      <c r="Q15" s="448"/>
      <c r="R15" s="449"/>
      <c r="S15" s="450"/>
      <c r="T15" s="450"/>
      <c r="U15" s="450"/>
      <c r="V15" s="450"/>
      <c r="W15" s="452"/>
      <c r="X15" s="453"/>
      <c r="Y15" s="453"/>
      <c r="Z15" s="453"/>
      <c r="AA15" s="453"/>
      <c r="AB15" s="453"/>
      <c r="AC15" s="455"/>
      <c r="AD15" s="453"/>
      <c r="AE15" s="453"/>
      <c r="AF15" s="453"/>
      <c r="AG15" s="453"/>
      <c r="AH15" s="453"/>
      <c r="AI15" s="455"/>
      <c r="AJ15" s="453"/>
      <c r="AK15" s="453"/>
      <c r="AL15" s="453"/>
      <c r="AM15" s="453"/>
      <c r="AN15" s="453"/>
      <c r="AO15" s="449"/>
      <c r="AP15" s="452"/>
      <c r="AQ15" s="452"/>
      <c r="AR15" s="453"/>
      <c r="AS15" s="449"/>
      <c r="AT15" s="449"/>
      <c r="AU15" s="449"/>
      <c r="AV15" s="449"/>
      <c r="AW15" s="456"/>
      <c r="AX15" s="10">
        <f>LEN(AS15)</f>
        <v>0</v>
      </c>
    </row>
    <row r="16" spans="1:50" ht="409.5" x14ac:dyDescent="0.25">
      <c r="A16" s="61">
        <v>39</v>
      </c>
      <c r="B16" s="62">
        <v>180</v>
      </c>
      <c r="C16" s="63" t="s">
        <v>152</v>
      </c>
      <c r="D16" s="64">
        <v>535</v>
      </c>
      <c r="E16" s="64" t="s">
        <v>147</v>
      </c>
      <c r="F16" s="64">
        <v>543</v>
      </c>
      <c r="G16" s="64" t="s">
        <v>153</v>
      </c>
      <c r="H16" s="64" t="s">
        <v>149</v>
      </c>
      <c r="I16" s="64" t="s">
        <v>150</v>
      </c>
      <c r="J16" s="65">
        <v>0.4</v>
      </c>
      <c r="K16" s="66">
        <v>0</v>
      </c>
      <c r="L16" s="67"/>
      <c r="M16" s="68"/>
      <c r="N16" s="68"/>
      <c r="O16" s="68"/>
      <c r="P16" s="69">
        <v>0.15</v>
      </c>
      <c r="Q16" s="70">
        <v>0.15</v>
      </c>
      <c r="R16" s="70">
        <v>0.1</v>
      </c>
      <c r="S16" s="69">
        <v>0.1</v>
      </c>
      <c r="T16" s="70">
        <v>9.11E-2</v>
      </c>
      <c r="U16" s="70">
        <v>0.25</v>
      </c>
      <c r="V16" s="70">
        <v>0.25</v>
      </c>
      <c r="W16" s="70">
        <v>0.25</v>
      </c>
      <c r="X16" s="70">
        <v>0.25</v>
      </c>
      <c r="Y16" s="70">
        <v>0.25</v>
      </c>
      <c r="Z16" s="70">
        <v>0.1895</v>
      </c>
      <c r="AA16" s="69">
        <v>0.35</v>
      </c>
      <c r="AB16" s="64">
        <v>35</v>
      </c>
      <c r="AC16" s="64">
        <v>35</v>
      </c>
      <c r="AD16" s="63">
        <v>35</v>
      </c>
      <c r="AE16" s="63"/>
      <c r="AF16" s="70">
        <f>+AO16</f>
        <v>0.32810000000000006</v>
      </c>
      <c r="AG16" s="69">
        <v>0.4</v>
      </c>
      <c r="AH16" s="63">
        <v>40</v>
      </c>
      <c r="AI16" s="63">
        <v>40</v>
      </c>
      <c r="AJ16" s="63">
        <v>40</v>
      </c>
      <c r="AK16" s="63">
        <v>40</v>
      </c>
      <c r="AL16" s="63">
        <v>0</v>
      </c>
      <c r="AM16" s="361">
        <v>0.23860000000000001</v>
      </c>
      <c r="AN16" s="361">
        <v>0.3256</v>
      </c>
      <c r="AO16" s="361">
        <v>0.32810000000000006</v>
      </c>
      <c r="AP16" s="361">
        <v>0</v>
      </c>
      <c r="AQ16" s="361">
        <f>+AO16/35%</f>
        <v>0.93742857142857161</v>
      </c>
      <c r="AR16" s="361">
        <f>+AO16/AG16</f>
        <v>0.82025000000000015</v>
      </c>
      <c r="AS16" s="362" t="s">
        <v>158</v>
      </c>
      <c r="AT16" s="282" t="s">
        <v>159</v>
      </c>
      <c r="AU16" s="282" t="s">
        <v>157</v>
      </c>
      <c r="AV16" s="282" t="s">
        <v>154</v>
      </c>
      <c r="AW16" s="71" t="s">
        <v>155</v>
      </c>
    </row>
    <row r="17" spans="1:49" x14ac:dyDescent="0.25">
      <c r="A17" s="4"/>
      <c r="B17" s="4"/>
      <c r="C17" s="4"/>
      <c r="D17" s="4"/>
      <c r="E17" s="4"/>
      <c r="F17" s="4"/>
      <c r="G17" s="4"/>
      <c r="H17" s="4"/>
      <c r="I17" s="4"/>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4"/>
      <c r="AN17" s="4"/>
      <c r="AO17" s="4"/>
      <c r="AP17" s="4"/>
      <c r="AQ17" s="4"/>
      <c r="AR17" s="4"/>
      <c r="AS17" s="4"/>
      <c r="AT17" s="4"/>
      <c r="AU17" s="4"/>
      <c r="AV17" s="4"/>
      <c r="AW17" s="4"/>
    </row>
    <row r="18" spans="1:49" x14ac:dyDescent="0.25">
      <c r="A18" s="58" t="s">
        <v>130</v>
      </c>
      <c r="B18" s="4"/>
      <c r="C18" s="4"/>
      <c r="D18" s="4"/>
      <c r="E18" s="4"/>
      <c r="F18" s="4"/>
      <c r="G18" s="4"/>
      <c r="H18" s="4"/>
      <c r="I18" s="4"/>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4"/>
      <c r="AN18" s="4"/>
      <c r="AO18" s="4"/>
      <c r="AP18" s="4"/>
      <c r="AQ18" s="4"/>
      <c r="AR18" s="4"/>
      <c r="AS18" s="4"/>
      <c r="AT18" s="4"/>
      <c r="AU18" s="4"/>
      <c r="AV18" s="4"/>
      <c r="AW18" s="4"/>
    </row>
    <row r="19" spans="1:49" ht="25.5" customHeight="1" x14ac:dyDescent="0.25">
      <c r="A19" s="56" t="s">
        <v>131</v>
      </c>
      <c r="B19" s="435" t="s">
        <v>132</v>
      </c>
      <c r="C19" s="435"/>
      <c r="D19" s="435"/>
      <c r="E19" s="435"/>
      <c r="F19" s="435"/>
      <c r="G19" s="435"/>
      <c r="H19" s="426" t="s">
        <v>133</v>
      </c>
      <c r="I19" s="426"/>
      <c r="J19" s="426"/>
      <c r="K19" s="426"/>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4"/>
      <c r="AN19" s="4"/>
      <c r="AO19" s="4"/>
      <c r="AP19" s="4"/>
      <c r="AQ19" s="4"/>
      <c r="AR19" s="4"/>
      <c r="AS19" s="4"/>
      <c r="AT19" s="4"/>
      <c r="AU19" s="4"/>
      <c r="AV19" s="4"/>
      <c r="AW19" s="4"/>
    </row>
    <row r="20" spans="1:49" ht="25.5" customHeight="1" x14ac:dyDescent="0.25">
      <c r="A20" s="57">
        <v>11</v>
      </c>
      <c r="B20" s="436" t="s">
        <v>134</v>
      </c>
      <c r="C20" s="436"/>
      <c r="D20" s="436"/>
      <c r="E20" s="436"/>
      <c r="F20" s="436"/>
      <c r="G20" s="436"/>
      <c r="H20" s="427" t="s">
        <v>136</v>
      </c>
      <c r="I20" s="427"/>
      <c r="J20" s="427"/>
      <c r="K20" s="427"/>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4"/>
      <c r="AN20" s="4"/>
      <c r="AO20" s="4"/>
      <c r="AP20" s="4"/>
      <c r="AQ20" s="4"/>
      <c r="AR20" s="4"/>
      <c r="AS20" s="4"/>
      <c r="AT20" s="4"/>
      <c r="AU20" s="4"/>
      <c r="AV20" s="4"/>
      <c r="AW20" s="4"/>
    </row>
  </sheetData>
  <mergeCells count="98">
    <mergeCell ref="AW14:AW15"/>
    <mergeCell ref="AR14:AR15"/>
    <mergeCell ref="AS14:AS15"/>
    <mergeCell ref="AT14:AT15"/>
    <mergeCell ref="AU14:AU15"/>
    <mergeCell ref="AV14:AV15"/>
    <mergeCell ref="AM14:AM15"/>
    <mergeCell ref="AN14:AN15"/>
    <mergeCell ref="AO14:AO15"/>
    <mergeCell ref="AP14:AP15"/>
    <mergeCell ref="AQ14:AQ15"/>
    <mergeCell ref="AH14:AH15"/>
    <mergeCell ref="AI14:AI15"/>
    <mergeCell ref="AJ14:AJ15"/>
    <mergeCell ref="AK14:AK15"/>
    <mergeCell ref="AL14:AL15"/>
    <mergeCell ref="AC14:AC15"/>
    <mergeCell ref="AD14:AD15"/>
    <mergeCell ref="AE14:AE15"/>
    <mergeCell ref="AF14:AF15"/>
    <mergeCell ref="AG14:AG15"/>
    <mergeCell ref="X14:X15"/>
    <mergeCell ref="Y14:Y15"/>
    <mergeCell ref="Z14:Z15"/>
    <mergeCell ref="AA14:AA15"/>
    <mergeCell ref="AB14:AB15"/>
    <mergeCell ref="S14:S15"/>
    <mergeCell ref="T14:T15"/>
    <mergeCell ref="U14:U15"/>
    <mergeCell ref="V14:V15"/>
    <mergeCell ref="W14:W15"/>
    <mergeCell ref="N14:N15"/>
    <mergeCell ref="O14:O15"/>
    <mergeCell ref="P14:P15"/>
    <mergeCell ref="Q14:Q15"/>
    <mergeCell ref="R14:R15"/>
    <mergeCell ref="I14:I15"/>
    <mergeCell ref="J14:J15"/>
    <mergeCell ref="K14:K15"/>
    <mergeCell ref="L14:L15"/>
    <mergeCell ref="M14:M15"/>
    <mergeCell ref="D14:D15"/>
    <mergeCell ref="E14:E15"/>
    <mergeCell ref="F14:F15"/>
    <mergeCell ref="G14:G15"/>
    <mergeCell ref="H14:H15"/>
    <mergeCell ref="H19:K19"/>
    <mergeCell ref="H20:K20"/>
    <mergeCell ref="A9:Q9"/>
    <mergeCell ref="A11:A13"/>
    <mergeCell ref="A10:C10"/>
    <mergeCell ref="D10:E10"/>
    <mergeCell ref="J11:J13"/>
    <mergeCell ref="B11:B13"/>
    <mergeCell ref="C11:C13"/>
    <mergeCell ref="D11:D13"/>
    <mergeCell ref="E11:E13"/>
    <mergeCell ref="B19:G19"/>
    <mergeCell ref="B20:G20"/>
    <mergeCell ref="A14:A15"/>
    <mergeCell ref="B14:B15"/>
    <mergeCell ref="C14:C15"/>
    <mergeCell ref="A7:R7"/>
    <mergeCell ref="A8:R8"/>
    <mergeCell ref="H2:AW2"/>
    <mergeCell ref="S5:AW5"/>
    <mergeCell ref="S7:AW7"/>
    <mergeCell ref="S8:AW8"/>
    <mergeCell ref="S6:AW6"/>
    <mergeCell ref="H4:AL4"/>
    <mergeCell ref="AM4:AW4"/>
    <mergeCell ref="A5:R5"/>
    <mergeCell ref="A6:R6"/>
    <mergeCell ref="A2:G4"/>
    <mergeCell ref="H3:AW3"/>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F11:F13"/>
    <mergeCell ref="AU10:AU13"/>
    <mergeCell ref="L12:N12"/>
    <mergeCell ref="AM11:AP11"/>
    <mergeCell ref="O12:T12"/>
    <mergeCell ref="U12:Z12"/>
    <mergeCell ref="AA12:AF12"/>
    <mergeCell ref="AG12:AL12"/>
  </mergeCells>
  <phoneticPr fontId="7" type="noConversion"/>
  <dataValidations count="1">
    <dataValidation type="list" allowBlank="1" showInputMessage="1" showErrorMessage="1" sqref="I14:I16" xr:uid="{00000000-0002-0000-0000-000000000000}">
      <formula1>#REF!</formula1>
    </dataValidation>
  </dataValidations>
  <printOptions horizontalCentered="1" verticalCentered="1"/>
  <pageMargins left="0" right="0" top="0.55118110236220474" bottom="0" header="0.31496062992125984" footer="0.31496062992125984"/>
  <pageSetup scale="2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71"/>
  <sheetViews>
    <sheetView tabSelected="1" zoomScale="62" zoomScaleNormal="62" zoomScaleSheetLayoutView="40" workbookViewId="0">
      <selection activeCell="H10" sqref="H10"/>
    </sheetView>
  </sheetViews>
  <sheetFormatPr baseColWidth="10" defaultRowHeight="15.75" x14ac:dyDescent="0.25"/>
  <cols>
    <col min="1" max="1" width="11.140625" style="81" customWidth="1"/>
    <col min="2" max="2" width="6.85546875" style="81" customWidth="1"/>
    <col min="3" max="3" width="19.28515625" style="81" customWidth="1"/>
    <col min="4" max="4" width="10.28515625" style="136" customWidth="1"/>
    <col min="5" max="5" width="10.7109375" style="136" customWidth="1"/>
    <col min="6" max="6" width="10.28515625" style="136" customWidth="1"/>
    <col min="7" max="7" width="13.85546875" style="137" customWidth="1"/>
    <col min="8" max="8" width="17.42578125" style="138" customWidth="1"/>
    <col min="9" max="9" width="16.28515625" style="138" customWidth="1"/>
    <col min="10" max="10" width="15.7109375" style="138" customWidth="1"/>
    <col min="11" max="11" width="19.85546875" style="138" customWidth="1"/>
    <col min="12" max="12" width="20.5703125" style="138" customWidth="1"/>
    <col min="13" max="13" width="18.28515625" style="138" customWidth="1"/>
    <col min="14" max="14" width="16.85546875" style="138" customWidth="1"/>
    <col min="15" max="16" width="17.140625" style="138" customWidth="1"/>
    <col min="17" max="17" width="18.7109375" style="138" customWidth="1"/>
    <col min="18" max="18" width="19.5703125" style="138" customWidth="1"/>
    <col min="19" max="19" width="18.28515625" style="138" customWidth="1"/>
    <col min="20" max="20" width="17.140625" style="138" customWidth="1"/>
    <col min="21" max="21" width="18.140625" style="138" customWidth="1"/>
    <col min="22" max="22" width="17.42578125" style="138" customWidth="1"/>
    <col min="23" max="23" width="17.7109375" style="138" customWidth="1"/>
    <col min="24" max="24" width="18.7109375" style="138" customWidth="1"/>
    <col min="25" max="25" width="18.28515625" style="138" customWidth="1"/>
    <col min="26" max="26" width="17.5703125" style="138" customWidth="1"/>
    <col min="27" max="27" width="21.5703125" style="138" customWidth="1"/>
    <col min="28" max="28" width="23" style="138" customWidth="1"/>
    <col min="29" max="29" width="16.28515625" style="138" customWidth="1"/>
    <col min="30" max="30" width="16.140625" style="138" customWidth="1"/>
    <col min="31" max="31" width="18.28515625" style="138" customWidth="1"/>
    <col min="32" max="34" width="16.28515625" style="138" customWidth="1"/>
    <col min="35" max="35" width="15.5703125" style="138" customWidth="1"/>
    <col min="36" max="36" width="15.140625" style="138" customWidth="1"/>
    <col min="37" max="38" width="20.5703125" style="81" customWidth="1"/>
    <col min="39" max="39" width="20.5703125" style="139" customWidth="1"/>
    <col min="40" max="40" width="10.28515625" style="139" customWidth="1"/>
    <col min="41" max="41" width="11.28515625" style="81" customWidth="1"/>
    <col min="42" max="42" width="9.7109375" style="81" customWidth="1"/>
    <col min="43" max="43" width="78.7109375" style="81" customWidth="1"/>
    <col min="44" max="47" width="42" style="81" customWidth="1"/>
    <col min="48" max="16384" width="11.42578125" style="81"/>
  </cols>
  <sheetData>
    <row r="1" spans="1:60" s="79" customFormat="1" ht="56.25" customHeight="1" x14ac:dyDescent="0.5">
      <c r="A1" s="457"/>
      <c r="B1" s="458"/>
      <c r="C1" s="458"/>
      <c r="D1" s="458"/>
      <c r="E1" s="459"/>
      <c r="F1" s="395" t="s">
        <v>140</v>
      </c>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row>
    <row r="2" spans="1:60" s="79" customFormat="1" ht="72.75" customHeight="1" x14ac:dyDescent="0.5">
      <c r="A2" s="460"/>
      <c r="B2" s="461"/>
      <c r="C2" s="461"/>
      <c r="D2" s="461"/>
      <c r="E2" s="462"/>
      <c r="F2" s="478" t="s">
        <v>137</v>
      </c>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row>
    <row r="3" spans="1:60" s="80" customFormat="1" ht="42" customHeight="1" thickBot="1" x14ac:dyDescent="0.45">
      <c r="A3" s="463"/>
      <c r="B3" s="464"/>
      <c r="C3" s="464"/>
      <c r="D3" s="464"/>
      <c r="E3" s="465"/>
      <c r="F3" s="404" t="s">
        <v>128</v>
      </c>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6"/>
      <c r="AM3" s="404" t="s">
        <v>129</v>
      </c>
      <c r="AN3" s="405"/>
      <c r="AO3" s="405"/>
      <c r="AP3" s="405"/>
      <c r="AQ3" s="405"/>
      <c r="AR3" s="405"/>
      <c r="AS3" s="405"/>
      <c r="AT3" s="405"/>
      <c r="AU3" s="405"/>
    </row>
    <row r="4" spans="1:60" ht="35.25" customHeight="1" x14ac:dyDescent="0.25">
      <c r="A4" s="466" t="s">
        <v>0</v>
      </c>
      <c r="B4" s="467"/>
      <c r="C4" s="467"/>
      <c r="D4" s="467"/>
      <c r="E4" s="467"/>
      <c r="F4" s="467"/>
      <c r="G4" s="467"/>
      <c r="H4" s="467"/>
      <c r="I4" s="467"/>
      <c r="J4" s="467"/>
      <c r="K4" s="467"/>
      <c r="L4" s="467"/>
      <c r="M4" s="467"/>
      <c r="N4" s="467"/>
      <c r="O4" s="467"/>
      <c r="P4" s="468"/>
      <c r="Q4" s="472" t="s">
        <v>160</v>
      </c>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4"/>
    </row>
    <row r="5" spans="1:60" ht="36" customHeight="1" thickBot="1" x14ac:dyDescent="0.3">
      <c r="A5" s="469" t="s">
        <v>2</v>
      </c>
      <c r="B5" s="470"/>
      <c r="C5" s="470"/>
      <c r="D5" s="470"/>
      <c r="E5" s="470"/>
      <c r="F5" s="470"/>
      <c r="G5" s="470"/>
      <c r="H5" s="470"/>
      <c r="I5" s="470"/>
      <c r="J5" s="470"/>
      <c r="K5" s="470"/>
      <c r="L5" s="470"/>
      <c r="M5" s="470"/>
      <c r="N5" s="470"/>
      <c r="O5" s="470"/>
      <c r="P5" s="471"/>
      <c r="Q5" s="475" t="s">
        <v>143</v>
      </c>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7"/>
    </row>
    <row r="6" spans="1:60" ht="14.25" customHeight="1" thickBot="1" x14ac:dyDescent="0.3">
      <c r="A6" s="82"/>
      <c r="B6" s="82"/>
      <c r="C6" s="82"/>
      <c r="D6" s="83"/>
      <c r="E6" s="83"/>
      <c r="F6" s="83"/>
      <c r="G6" s="84"/>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2"/>
      <c r="AL6" s="82"/>
      <c r="AM6" s="86"/>
      <c r="AN6" s="87"/>
      <c r="AO6" s="82"/>
      <c r="AP6" s="82"/>
      <c r="AQ6" s="82"/>
      <c r="AR6" s="82"/>
      <c r="AS6" s="82"/>
      <c r="AT6" s="82"/>
      <c r="AU6" s="82"/>
    </row>
    <row r="7" spans="1:60" s="88" customFormat="1" ht="53.25" customHeight="1" x14ac:dyDescent="0.25">
      <c r="A7" s="432" t="s">
        <v>58</v>
      </c>
      <c r="B7" s="392" t="s">
        <v>68</v>
      </c>
      <c r="C7" s="392"/>
      <c r="D7" s="392"/>
      <c r="E7" s="392" t="s">
        <v>72</v>
      </c>
      <c r="F7" s="392" t="s">
        <v>115</v>
      </c>
      <c r="G7" s="392" t="s">
        <v>73</v>
      </c>
      <c r="H7" s="392" t="s">
        <v>120</v>
      </c>
      <c r="I7" s="553" t="s">
        <v>74</v>
      </c>
      <c r="J7" s="554"/>
      <c r="K7" s="554"/>
      <c r="L7" s="554"/>
      <c r="M7" s="554"/>
      <c r="N7" s="554"/>
      <c r="O7" s="554"/>
      <c r="P7" s="554"/>
      <c r="Q7" s="554"/>
      <c r="R7" s="554"/>
      <c r="S7" s="554"/>
      <c r="T7" s="554"/>
      <c r="U7" s="554"/>
      <c r="V7" s="554"/>
      <c r="W7" s="554"/>
      <c r="X7" s="554"/>
      <c r="Y7" s="554"/>
      <c r="Z7" s="554"/>
      <c r="AA7" s="554"/>
      <c r="AB7" s="554"/>
      <c r="AC7" s="554"/>
      <c r="AD7" s="554"/>
      <c r="AE7" s="554"/>
      <c r="AF7" s="554"/>
      <c r="AG7" s="554"/>
      <c r="AH7" s="554"/>
      <c r="AI7" s="554"/>
      <c r="AJ7" s="555"/>
      <c r="AK7" s="392" t="s">
        <v>75</v>
      </c>
      <c r="AL7" s="392"/>
      <c r="AM7" s="392"/>
      <c r="AN7" s="392"/>
      <c r="AO7" s="392" t="s">
        <v>77</v>
      </c>
      <c r="AP7" s="392" t="s">
        <v>78</v>
      </c>
      <c r="AQ7" s="392" t="s">
        <v>79</v>
      </c>
      <c r="AR7" s="392" t="s">
        <v>80</v>
      </c>
      <c r="AS7" s="392" t="s">
        <v>81</v>
      </c>
      <c r="AT7" s="392" t="s">
        <v>82</v>
      </c>
      <c r="AU7" s="504" t="s">
        <v>83</v>
      </c>
    </row>
    <row r="8" spans="1:60" s="88" customFormat="1" ht="53.25" customHeight="1" x14ac:dyDescent="0.25">
      <c r="A8" s="430"/>
      <c r="B8" s="390"/>
      <c r="C8" s="390"/>
      <c r="D8" s="390"/>
      <c r="E8" s="390"/>
      <c r="F8" s="390"/>
      <c r="G8" s="390"/>
      <c r="H8" s="390"/>
      <c r="I8" s="496">
        <v>2016</v>
      </c>
      <c r="J8" s="497"/>
      <c r="K8" s="497"/>
      <c r="L8" s="433"/>
      <c r="M8" s="496">
        <v>2017</v>
      </c>
      <c r="N8" s="497"/>
      <c r="O8" s="497"/>
      <c r="P8" s="497"/>
      <c r="Q8" s="497"/>
      <c r="R8" s="433"/>
      <c r="S8" s="496">
        <v>2018</v>
      </c>
      <c r="T8" s="497"/>
      <c r="U8" s="497"/>
      <c r="V8" s="497"/>
      <c r="W8" s="497"/>
      <c r="X8" s="433"/>
      <c r="Y8" s="496">
        <v>2019</v>
      </c>
      <c r="Z8" s="497"/>
      <c r="AA8" s="497"/>
      <c r="AB8" s="497"/>
      <c r="AC8" s="497"/>
      <c r="AD8" s="433"/>
      <c r="AE8" s="496">
        <v>2020</v>
      </c>
      <c r="AF8" s="497"/>
      <c r="AG8" s="497"/>
      <c r="AH8" s="497"/>
      <c r="AI8" s="497"/>
      <c r="AJ8" s="433"/>
      <c r="AK8" s="390" t="s">
        <v>76</v>
      </c>
      <c r="AL8" s="390"/>
      <c r="AM8" s="390"/>
      <c r="AN8" s="390"/>
      <c r="AO8" s="390"/>
      <c r="AP8" s="390"/>
      <c r="AQ8" s="390"/>
      <c r="AR8" s="390"/>
      <c r="AS8" s="390"/>
      <c r="AT8" s="390"/>
      <c r="AU8" s="505"/>
    </row>
    <row r="9" spans="1:60" s="88" customFormat="1" ht="64.5" customHeight="1" thickBot="1" x14ac:dyDescent="0.3">
      <c r="A9" s="431"/>
      <c r="B9" s="60" t="s">
        <v>69</v>
      </c>
      <c r="C9" s="60" t="s">
        <v>70</v>
      </c>
      <c r="D9" s="60" t="s">
        <v>71</v>
      </c>
      <c r="E9" s="391"/>
      <c r="F9" s="391"/>
      <c r="G9" s="391"/>
      <c r="H9" s="495"/>
      <c r="I9" s="60" t="s">
        <v>121</v>
      </c>
      <c r="J9" s="60" t="s">
        <v>123</v>
      </c>
      <c r="K9" s="60" t="s">
        <v>124</v>
      </c>
      <c r="L9" s="60" t="s">
        <v>31</v>
      </c>
      <c r="M9" s="60" t="s">
        <v>122</v>
      </c>
      <c r="N9" s="60" t="s">
        <v>125</v>
      </c>
      <c r="O9" s="60" t="s">
        <v>126</v>
      </c>
      <c r="P9" s="60" t="s">
        <v>123</v>
      </c>
      <c r="Q9" s="60" t="s">
        <v>127</v>
      </c>
      <c r="R9" s="60" t="s">
        <v>31</v>
      </c>
      <c r="S9" s="60" t="s">
        <v>122</v>
      </c>
      <c r="T9" s="60" t="s">
        <v>125</v>
      </c>
      <c r="U9" s="60" t="s">
        <v>126</v>
      </c>
      <c r="V9" s="60" t="s">
        <v>123</v>
      </c>
      <c r="W9" s="60" t="s">
        <v>127</v>
      </c>
      <c r="X9" s="60" t="s">
        <v>31</v>
      </c>
      <c r="Y9" s="60" t="s">
        <v>122</v>
      </c>
      <c r="Z9" s="60" t="s">
        <v>125</v>
      </c>
      <c r="AA9" s="60" t="s">
        <v>126</v>
      </c>
      <c r="AB9" s="60" t="s">
        <v>123</v>
      </c>
      <c r="AC9" s="60" t="s">
        <v>127</v>
      </c>
      <c r="AD9" s="60" t="s">
        <v>31</v>
      </c>
      <c r="AE9" s="60" t="s">
        <v>122</v>
      </c>
      <c r="AF9" s="60" t="s">
        <v>125</v>
      </c>
      <c r="AG9" s="60" t="s">
        <v>126</v>
      </c>
      <c r="AH9" s="60" t="s">
        <v>123</v>
      </c>
      <c r="AI9" s="60" t="s">
        <v>127</v>
      </c>
      <c r="AJ9" s="60" t="s">
        <v>31</v>
      </c>
      <c r="AK9" s="60" t="s">
        <v>4</v>
      </c>
      <c r="AL9" s="60" t="s">
        <v>5</v>
      </c>
      <c r="AM9" s="60" t="s">
        <v>6</v>
      </c>
      <c r="AN9" s="60" t="s">
        <v>7</v>
      </c>
      <c r="AO9" s="391"/>
      <c r="AP9" s="391"/>
      <c r="AQ9" s="391"/>
      <c r="AR9" s="391"/>
      <c r="AS9" s="391"/>
      <c r="AT9" s="391"/>
      <c r="AU9" s="506"/>
    </row>
    <row r="10" spans="1:60" s="93" customFormat="1" ht="61.5" customHeight="1" x14ac:dyDescent="0.25">
      <c r="A10" s="524" t="s">
        <v>161</v>
      </c>
      <c r="B10" s="486">
        <v>1</v>
      </c>
      <c r="C10" s="480" t="s">
        <v>162</v>
      </c>
      <c r="D10" s="483" t="s">
        <v>150</v>
      </c>
      <c r="E10" s="483">
        <v>535</v>
      </c>
      <c r="F10" s="510">
        <v>180</v>
      </c>
      <c r="G10" s="31" t="s">
        <v>8</v>
      </c>
      <c r="H10" s="321">
        <v>100</v>
      </c>
      <c r="I10" s="321">
        <v>20</v>
      </c>
      <c r="J10" s="321">
        <v>20</v>
      </c>
      <c r="K10" s="321">
        <v>20</v>
      </c>
      <c r="L10" s="322">
        <v>20</v>
      </c>
      <c r="M10" s="322">
        <v>0.5</v>
      </c>
      <c r="N10" s="322">
        <v>0.5</v>
      </c>
      <c r="O10" s="322">
        <v>0.5</v>
      </c>
      <c r="P10" s="322">
        <v>0.5</v>
      </c>
      <c r="Q10" s="322">
        <v>50</v>
      </c>
      <c r="R10" s="322">
        <v>42</v>
      </c>
      <c r="S10" s="322">
        <v>70</v>
      </c>
      <c r="T10" s="322">
        <v>70</v>
      </c>
      <c r="U10" s="322">
        <v>70</v>
      </c>
      <c r="V10" s="322">
        <v>70</v>
      </c>
      <c r="W10" s="322">
        <v>70</v>
      </c>
      <c r="X10" s="322">
        <v>70</v>
      </c>
      <c r="Y10" s="322">
        <v>95</v>
      </c>
      <c r="Z10" s="322">
        <v>95</v>
      </c>
      <c r="AA10" s="322">
        <v>95</v>
      </c>
      <c r="AB10" s="322">
        <v>95</v>
      </c>
      <c r="AC10" s="322"/>
      <c r="AD10" s="323"/>
      <c r="AE10" s="322">
        <v>100</v>
      </c>
      <c r="AF10" s="322"/>
      <c r="AG10" s="322"/>
      <c r="AH10" s="322"/>
      <c r="AI10" s="322"/>
      <c r="AJ10" s="324"/>
      <c r="AK10" s="325">
        <v>70</v>
      </c>
      <c r="AL10" s="326">
        <v>80</v>
      </c>
      <c r="AM10" s="326">
        <v>80</v>
      </c>
      <c r="AN10" s="89"/>
      <c r="AO10" s="90">
        <f t="shared" ref="AO10:AO28" si="0">AM10/AB10</f>
        <v>0.84210526315789469</v>
      </c>
      <c r="AP10" s="91">
        <f>AM10/H10</f>
        <v>0.8</v>
      </c>
      <c r="AQ10" s="489" t="s">
        <v>163</v>
      </c>
      <c r="AR10" s="498" t="s">
        <v>164</v>
      </c>
      <c r="AS10" s="498" t="s">
        <v>165</v>
      </c>
      <c r="AT10" s="498" t="s">
        <v>166</v>
      </c>
      <c r="AU10" s="501" t="s">
        <v>167</v>
      </c>
      <c r="AV10" s="92"/>
      <c r="AW10" s="92"/>
      <c r="AX10" s="92"/>
      <c r="AY10" s="92"/>
      <c r="AZ10" s="92"/>
      <c r="BA10" s="92"/>
      <c r="BB10" s="92"/>
      <c r="BC10" s="92"/>
      <c r="BD10" s="92"/>
      <c r="BE10" s="92"/>
      <c r="BF10" s="92"/>
      <c r="BG10" s="92"/>
      <c r="BH10" s="92"/>
    </row>
    <row r="11" spans="1:60" s="93" customFormat="1" ht="61.5" customHeight="1" x14ac:dyDescent="0.25">
      <c r="A11" s="525"/>
      <c r="B11" s="487"/>
      <c r="C11" s="481"/>
      <c r="D11" s="484"/>
      <c r="E11" s="484"/>
      <c r="F11" s="511"/>
      <c r="G11" s="33" t="s">
        <v>9</v>
      </c>
      <c r="H11" s="289">
        <f>+L11+R11+X11+Y11+AE11</f>
        <v>711311185</v>
      </c>
      <c r="I11" s="289">
        <v>181587528</v>
      </c>
      <c r="J11" s="289">
        <v>181587528</v>
      </c>
      <c r="K11" s="289">
        <v>181587528</v>
      </c>
      <c r="L11" s="289">
        <v>163460185</v>
      </c>
      <c r="M11" s="289">
        <v>110296389</v>
      </c>
      <c r="N11" s="289">
        <v>110296389</v>
      </c>
      <c r="O11" s="289">
        <v>110296389</v>
      </c>
      <c r="P11" s="289">
        <v>87196389</v>
      </c>
      <c r="Q11" s="289">
        <v>120283000</v>
      </c>
      <c r="R11" s="289">
        <v>120283000</v>
      </c>
      <c r="S11" s="289">
        <v>91225000</v>
      </c>
      <c r="T11" s="289">
        <v>91225000</v>
      </c>
      <c r="U11" s="289">
        <v>97757500</v>
      </c>
      <c r="V11" s="289">
        <v>97757500</v>
      </c>
      <c r="W11" s="289">
        <v>97757500</v>
      </c>
      <c r="X11" s="289">
        <v>80090000</v>
      </c>
      <c r="Y11" s="289">
        <v>162018000</v>
      </c>
      <c r="Z11" s="289">
        <v>162018000</v>
      </c>
      <c r="AA11" s="289">
        <v>162018000</v>
      </c>
      <c r="AB11" s="289">
        <v>159576500</v>
      </c>
      <c r="AC11" s="289"/>
      <c r="AD11" s="327"/>
      <c r="AE11" s="289">
        <v>185460000</v>
      </c>
      <c r="AF11" s="289"/>
      <c r="AG11" s="289"/>
      <c r="AH11" s="289"/>
      <c r="AI11" s="289"/>
      <c r="AJ11" s="290"/>
      <c r="AK11" s="328">
        <v>84304000</v>
      </c>
      <c r="AL11" s="152">
        <v>134939500</v>
      </c>
      <c r="AM11" s="152">
        <v>134939500</v>
      </c>
      <c r="AN11" s="94"/>
      <c r="AO11" s="95">
        <f t="shared" si="0"/>
        <v>0.84561009923140307</v>
      </c>
      <c r="AP11" s="96">
        <f>(L11+R11+X11+AM11)/H11</f>
        <v>0.70120180241507102</v>
      </c>
      <c r="AQ11" s="490"/>
      <c r="AR11" s="499"/>
      <c r="AS11" s="499"/>
      <c r="AT11" s="499"/>
      <c r="AU11" s="502"/>
      <c r="AV11" s="92"/>
      <c r="AW11" s="92"/>
      <c r="AX11" s="92"/>
      <c r="AY11" s="92"/>
      <c r="AZ11" s="92"/>
      <c r="BA11" s="92"/>
      <c r="BB11" s="92"/>
      <c r="BC11" s="92"/>
      <c r="BD11" s="92"/>
      <c r="BE11" s="92"/>
      <c r="BF11" s="92"/>
      <c r="BG11" s="92"/>
      <c r="BH11" s="92"/>
    </row>
    <row r="12" spans="1:60" s="93" customFormat="1" ht="46.5" customHeight="1" x14ac:dyDescent="0.25">
      <c r="A12" s="525"/>
      <c r="B12" s="487"/>
      <c r="C12" s="481"/>
      <c r="D12" s="484"/>
      <c r="E12" s="484"/>
      <c r="F12" s="511"/>
      <c r="G12" s="30" t="s">
        <v>10</v>
      </c>
      <c r="H12" s="291"/>
      <c r="I12" s="291"/>
      <c r="J12" s="291"/>
      <c r="K12" s="291"/>
      <c r="L12" s="291"/>
      <c r="M12" s="291"/>
      <c r="N12" s="291"/>
      <c r="O12" s="291"/>
      <c r="P12" s="291"/>
      <c r="Q12" s="291"/>
      <c r="R12" s="291">
        <v>0</v>
      </c>
      <c r="S12" s="295">
        <v>0</v>
      </c>
      <c r="T12" s="291">
        <v>0</v>
      </c>
      <c r="U12" s="291">
        <v>0</v>
      </c>
      <c r="V12" s="291">
        <v>0</v>
      </c>
      <c r="W12" s="291">
        <v>0</v>
      </c>
      <c r="X12" s="291">
        <v>0</v>
      </c>
      <c r="Y12" s="291">
        <v>0</v>
      </c>
      <c r="Z12" s="291">
        <v>0</v>
      </c>
      <c r="AA12" s="291">
        <v>0</v>
      </c>
      <c r="AB12" s="291">
        <v>0</v>
      </c>
      <c r="AC12" s="291"/>
      <c r="AD12" s="329"/>
      <c r="AE12" s="291"/>
      <c r="AF12" s="291"/>
      <c r="AG12" s="291"/>
      <c r="AH12" s="291"/>
      <c r="AI12" s="291"/>
      <c r="AJ12" s="292"/>
      <c r="AK12" s="330">
        <v>0</v>
      </c>
      <c r="AL12" s="302">
        <v>0</v>
      </c>
      <c r="AM12" s="302">
        <v>0</v>
      </c>
      <c r="AN12" s="75"/>
      <c r="AO12" s="95"/>
      <c r="AP12" s="96"/>
      <c r="AQ12" s="490"/>
      <c r="AR12" s="499"/>
      <c r="AS12" s="499"/>
      <c r="AT12" s="499"/>
      <c r="AU12" s="502"/>
      <c r="AV12" s="92"/>
      <c r="AW12" s="92"/>
      <c r="AX12" s="92"/>
      <c r="AY12" s="92"/>
      <c r="AZ12" s="92"/>
      <c r="BA12" s="92"/>
      <c r="BB12" s="92"/>
      <c r="BC12" s="92"/>
      <c r="BD12" s="92"/>
      <c r="BE12" s="92"/>
      <c r="BF12" s="92"/>
      <c r="BG12" s="92"/>
      <c r="BH12" s="92"/>
    </row>
    <row r="13" spans="1:60" s="93" customFormat="1" ht="52.5" customHeight="1" x14ac:dyDescent="0.25">
      <c r="A13" s="525"/>
      <c r="B13" s="487"/>
      <c r="C13" s="481"/>
      <c r="D13" s="484"/>
      <c r="E13" s="484"/>
      <c r="F13" s="511"/>
      <c r="G13" s="33" t="s">
        <v>11</v>
      </c>
      <c r="H13" s="289">
        <f>R13+X13+AM13</f>
        <v>199742997</v>
      </c>
      <c r="I13" s="289"/>
      <c r="J13" s="289"/>
      <c r="K13" s="289"/>
      <c r="L13" s="289"/>
      <c r="M13" s="289">
        <v>130710202</v>
      </c>
      <c r="N13" s="289">
        <v>130710202</v>
      </c>
      <c r="O13" s="289">
        <v>130710202</v>
      </c>
      <c r="P13" s="289">
        <v>130710202</v>
      </c>
      <c r="Q13" s="289">
        <v>130710202</v>
      </c>
      <c r="R13" s="289">
        <v>130710202</v>
      </c>
      <c r="S13" s="289">
        <v>48599000</v>
      </c>
      <c r="T13" s="289">
        <v>48599000</v>
      </c>
      <c r="U13" s="289">
        <v>48599000</v>
      </c>
      <c r="V13" s="289">
        <v>48599000</v>
      </c>
      <c r="W13" s="289">
        <v>48599000</v>
      </c>
      <c r="X13" s="289">
        <v>45312300</v>
      </c>
      <c r="Y13" s="289">
        <v>30192400</v>
      </c>
      <c r="Z13" s="289">
        <v>30192400</v>
      </c>
      <c r="AA13" s="289">
        <v>30192400</v>
      </c>
      <c r="AB13" s="289">
        <v>30192400</v>
      </c>
      <c r="AC13" s="289"/>
      <c r="AD13" s="331"/>
      <c r="AE13" s="289"/>
      <c r="AF13" s="289"/>
      <c r="AG13" s="289"/>
      <c r="AH13" s="289"/>
      <c r="AI13" s="289"/>
      <c r="AJ13" s="290"/>
      <c r="AK13" s="332">
        <v>20192400</v>
      </c>
      <c r="AL13" s="152">
        <v>20192400</v>
      </c>
      <c r="AM13" s="152">
        <v>23720495</v>
      </c>
      <c r="AN13" s="94"/>
      <c r="AO13" s="95">
        <f t="shared" si="0"/>
        <v>0.78564456618221801</v>
      </c>
      <c r="AP13" s="97">
        <f>(L13+R13+X13+AM13)/H13</f>
        <v>1</v>
      </c>
      <c r="AQ13" s="490"/>
      <c r="AR13" s="499"/>
      <c r="AS13" s="499"/>
      <c r="AT13" s="499"/>
      <c r="AU13" s="502"/>
      <c r="AV13" s="92"/>
      <c r="AW13" s="92"/>
      <c r="AX13" s="92"/>
      <c r="AY13" s="92"/>
      <c r="AZ13" s="92"/>
      <c r="BA13" s="92"/>
      <c r="BB13" s="92"/>
      <c r="BC13" s="92"/>
      <c r="BD13" s="92"/>
      <c r="BE13" s="92"/>
      <c r="BF13" s="92"/>
      <c r="BG13" s="92"/>
      <c r="BH13" s="92"/>
    </row>
    <row r="14" spans="1:60" s="93" customFormat="1" ht="61.5" customHeight="1" x14ac:dyDescent="0.25">
      <c r="A14" s="525"/>
      <c r="B14" s="487"/>
      <c r="C14" s="481"/>
      <c r="D14" s="484"/>
      <c r="E14" s="484"/>
      <c r="F14" s="511"/>
      <c r="G14" s="30" t="s">
        <v>12</v>
      </c>
      <c r="H14" s="333">
        <f>+H10+H12</f>
        <v>100</v>
      </c>
      <c r="I14" s="333">
        <f>+I10+I12</f>
        <v>20</v>
      </c>
      <c r="J14" s="333">
        <f>+J10+J12</f>
        <v>20</v>
      </c>
      <c r="K14" s="333">
        <v>20</v>
      </c>
      <c r="L14" s="283">
        <v>0.2</v>
      </c>
      <c r="M14" s="283">
        <v>0.5</v>
      </c>
      <c r="N14" s="283">
        <v>0.5</v>
      </c>
      <c r="O14" s="283">
        <v>0.5</v>
      </c>
      <c r="P14" s="283">
        <v>0.5</v>
      </c>
      <c r="Q14" s="283">
        <v>0.5</v>
      </c>
      <c r="R14" s="283">
        <v>0.42</v>
      </c>
      <c r="S14" s="283">
        <f>+S10</f>
        <v>70</v>
      </c>
      <c r="T14" s="283">
        <v>70</v>
      </c>
      <c r="U14" s="283">
        <v>70</v>
      </c>
      <c r="V14" s="283">
        <v>70</v>
      </c>
      <c r="W14" s="283">
        <v>70</v>
      </c>
      <c r="X14" s="283">
        <v>70</v>
      </c>
      <c r="Y14" s="283">
        <v>95</v>
      </c>
      <c r="Z14" s="283">
        <v>95</v>
      </c>
      <c r="AA14" s="283">
        <v>95</v>
      </c>
      <c r="AB14" s="283">
        <v>95</v>
      </c>
      <c r="AC14" s="283">
        <f>+AC13+AC10</f>
        <v>0</v>
      </c>
      <c r="AD14" s="334"/>
      <c r="AE14" s="283">
        <f>+AE10</f>
        <v>100</v>
      </c>
      <c r="AF14" s="283"/>
      <c r="AG14" s="283"/>
      <c r="AH14" s="283"/>
      <c r="AI14" s="283"/>
      <c r="AJ14" s="284"/>
      <c r="AK14" s="335">
        <f t="shared" ref="AK14:AM15" si="1">+AK12+AK10</f>
        <v>70</v>
      </c>
      <c r="AL14" s="336">
        <f t="shared" si="1"/>
        <v>80</v>
      </c>
      <c r="AM14" s="336">
        <f t="shared" si="1"/>
        <v>80</v>
      </c>
      <c r="AN14" s="98"/>
      <c r="AO14" s="95">
        <f t="shared" si="0"/>
        <v>0.84210526315789469</v>
      </c>
      <c r="AP14" s="96">
        <f>+AM14/H14</f>
        <v>0.8</v>
      </c>
      <c r="AQ14" s="490"/>
      <c r="AR14" s="499"/>
      <c r="AS14" s="499"/>
      <c r="AT14" s="499"/>
      <c r="AU14" s="502"/>
      <c r="AV14" s="92"/>
      <c r="AW14" s="92"/>
      <c r="AX14" s="92"/>
      <c r="AY14" s="92"/>
      <c r="AZ14" s="92"/>
      <c r="BA14" s="92"/>
      <c r="BB14" s="92"/>
      <c r="BC14" s="92"/>
      <c r="BD14" s="92"/>
      <c r="BE14" s="92"/>
      <c r="BF14" s="92"/>
      <c r="BG14" s="92"/>
      <c r="BH14" s="92"/>
    </row>
    <row r="15" spans="1:60" s="93" customFormat="1" ht="61.5" customHeight="1" thickBot="1" x14ac:dyDescent="0.3">
      <c r="A15" s="525"/>
      <c r="B15" s="488"/>
      <c r="C15" s="482"/>
      <c r="D15" s="485"/>
      <c r="E15" s="485"/>
      <c r="F15" s="512"/>
      <c r="G15" s="34" t="s">
        <v>13</v>
      </c>
      <c r="H15" s="285">
        <f>H11+H13</f>
        <v>911054182</v>
      </c>
      <c r="I15" s="285">
        <f>I11+I13</f>
        <v>181587528</v>
      </c>
      <c r="J15" s="285">
        <f>J11+J13</f>
        <v>181587528</v>
      </c>
      <c r="K15" s="285">
        <v>181587528</v>
      </c>
      <c r="L15" s="285">
        <f>L11+L13</f>
        <v>163460185</v>
      </c>
      <c r="M15" s="285">
        <v>241006591</v>
      </c>
      <c r="N15" s="285">
        <v>241006591</v>
      </c>
      <c r="O15" s="285">
        <v>241006591</v>
      </c>
      <c r="P15" s="285">
        <v>217906591</v>
      </c>
      <c r="Q15" s="285">
        <v>250993202</v>
      </c>
      <c r="R15" s="285">
        <v>250993202</v>
      </c>
      <c r="S15" s="285">
        <f>+S11+S13</f>
        <v>139824000</v>
      </c>
      <c r="T15" s="285">
        <v>139824000</v>
      </c>
      <c r="U15" s="285">
        <v>139824000</v>
      </c>
      <c r="V15" s="285">
        <v>139824000</v>
      </c>
      <c r="W15" s="285">
        <v>139824000</v>
      </c>
      <c r="X15" s="285">
        <v>125402300</v>
      </c>
      <c r="Y15" s="285">
        <v>162018000</v>
      </c>
      <c r="Z15" s="285">
        <f>Z11+Z13</f>
        <v>192210400</v>
      </c>
      <c r="AA15" s="285">
        <f>AA11+AA13</f>
        <v>192210400</v>
      </c>
      <c r="AB15" s="285">
        <f>AB11+AB13</f>
        <v>189768900</v>
      </c>
      <c r="AC15" s="285">
        <f>AC11+AC13</f>
        <v>0</v>
      </c>
      <c r="AD15" s="337"/>
      <c r="AE15" s="285">
        <f t="shared" ref="AE15" si="2">AE11+AE13</f>
        <v>185460000</v>
      </c>
      <c r="AF15" s="285"/>
      <c r="AG15" s="285"/>
      <c r="AH15" s="285"/>
      <c r="AI15" s="285"/>
      <c r="AJ15" s="286"/>
      <c r="AK15" s="338">
        <f t="shared" si="1"/>
        <v>104496400</v>
      </c>
      <c r="AL15" s="311">
        <f t="shared" si="1"/>
        <v>155131900</v>
      </c>
      <c r="AM15" s="311">
        <f t="shared" si="1"/>
        <v>158659995</v>
      </c>
      <c r="AN15" s="99"/>
      <c r="AO15" s="100">
        <f t="shared" si="0"/>
        <v>0.83606952983339211</v>
      </c>
      <c r="AP15" s="101">
        <f>(L15+R15+X15+AM15)/H15</f>
        <v>0.76671145997768986</v>
      </c>
      <c r="AQ15" s="491"/>
      <c r="AR15" s="500"/>
      <c r="AS15" s="500"/>
      <c r="AT15" s="500"/>
      <c r="AU15" s="503"/>
      <c r="AV15" s="92"/>
      <c r="AW15" s="92"/>
      <c r="AX15" s="92"/>
      <c r="AY15" s="92"/>
      <c r="AZ15" s="92"/>
      <c r="BA15" s="92"/>
      <c r="BB15" s="92"/>
      <c r="BC15" s="92"/>
      <c r="BD15" s="92"/>
      <c r="BE15" s="92"/>
      <c r="BF15" s="92"/>
      <c r="BG15" s="92"/>
      <c r="BH15" s="92"/>
    </row>
    <row r="16" spans="1:60" s="93" customFormat="1" ht="45" customHeight="1" x14ac:dyDescent="0.25">
      <c r="A16" s="525"/>
      <c r="B16" s="486">
        <v>2</v>
      </c>
      <c r="C16" s="480" t="s">
        <v>168</v>
      </c>
      <c r="D16" s="483" t="s">
        <v>169</v>
      </c>
      <c r="E16" s="483">
        <v>535</v>
      </c>
      <c r="F16" s="510">
        <v>180</v>
      </c>
      <c r="G16" s="31" t="s">
        <v>8</v>
      </c>
      <c r="H16" s="321">
        <v>25</v>
      </c>
      <c r="I16" s="321">
        <v>0</v>
      </c>
      <c r="J16" s="321">
        <v>0</v>
      </c>
      <c r="K16" s="321">
        <v>0</v>
      </c>
      <c r="L16" s="321">
        <v>0</v>
      </c>
      <c r="M16" s="321">
        <v>10</v>
      </c>
      <c r="N16" s="321">
        <v>10</v>
      </c>
      <c r="O16" s="321">
        <v>10</v>
      </c>
      <c r="P16" s="321">
        <v>0</v>
      </c>
      <c r="Q16" s="321">
        <v>0</v>
      </c>
      <c r="R16" s="321">
        <v>0</v>
      </c>
      <c r="S16" s="321">
        <v>10</v>
      </c>
      <c r="T16" s="321">
        <v>10</v>
      </c>
      <c r="U16" s="321">
        <v>10</v>
      </c>
      <c r="V16" s="339">
        <v>10</v>
      </c>
      <c r="W16" s="339">
        <v>10</v>
      </c>
      <c r="X16" s="321">
        <v>0</v>
      </c>
      <c r="Y16" s="322">
        <v>25</v>
      </c>
      <c r="Z16" s="287">
        <v>25</v>
      </c>
      <c r="AA16" s="287">
        <v>25</v>
      </c>
      <c r="AB16" s="287">
        <v>25</v>
      </c>
      <c r="AC16" s="287"/>
      <c r="AD16" s="340"/>
      <c r="AE16" s="322">
        <v>0</v>
      </c>
      <c r="AF16" s="287"/>
      <c r="AG16" s="287"/>
      <c r="AH16" s="287"/>
      <c r="AI16" s="287"/>
      <c r="AJ16" s="288"/>
      <c r="AK16" s="341">
        <v>0</v>
      </c>
      <c r="AL16" s="297">
        <v>0</v>
      </c>
      <c r="AM16" s="297">
        <v>0</v>
      </c>
      <c r="AN16" s="72"/>
      <c r="AO16" s="102">
        <f t="shared" si="0"/>
        <v>0</v>
      </c>
      <c r="AP16" s="103">
        <f>(L16+R16+X16+AM16)/H16</f>
        <v>0</v>
      </c>
      <c r="AQ16" s="492" t="s">
        <v>170</v>
      </c>
      <c r="AR16" s="498" t="s">
        <v>171</v>
      </c>
      <c r="AS16" s="498" t="s">
        <v>172</v>
      </c>
      <c r="AT16" s="498" t="s">
        <v>173</v>
      </c>
      <c r="AU16" s="501" t="s">
        <v>174</v>
      </c>
      <c r="AV16" s="92"/>
      <c r="AW16" s="92"/>
      <c r="AX16" s="92"/>
      <c r="AY16" s="92"/>
      <c r="AZ16" s="92"/>
      <c r="BA16" s="92"/>
      <c r="BB16" s="92"/>
      <c r="BC16" s="92"/>
      <c r="BD16" s="92"/>
      <c r="BE16" s="92"/>
      <c r="BF16" s="92"/>
      <c r="BG16" s="92"/>
      <c r="BH16" s="92"/>
    </row>
    <row r="17" spans="1:60" s="93" customFormat="1" ht="36" customHeight="1" x14ac:dyDescent="0.25">
      <c r="A17" s="525"/>
      <c r="B17" s="487"/>
      <c r="C17" s="481"/>
      <c r="D17" s="484"/>
      <c r="E17" s="484"/>
      <c r="F17" s="511"/>
      <c r="G17" s="33" t="s">
        <v>9</v>
      </c>
      <c r="H17" s="289">
        <f>+L17+R17+S17+Y17+AK17</f>
        <v>5274301543</v>
      </c>
      <c r="I17" s="289">
        <v>0</v>
      </c>
      <c r="J17" s="289">
        <v>0</v>
      </c>
      <c r="K17" s="289">
        <v>0</v>
      </c>
      <c r="L17" s="289">
        <v>0</v>
      </c>
      <c r="M17" s="289">
        <v>1080000000</v>
      </c>
      <c r="N17" s="289">
        <v>1080000000</v>
      </c>
      <c r="O17" s="289">
        <v>1080000000</v>
      </c>
      <c r="P17" s="289">
        <v>80000000</v>
      </c>
      <c r="Q17" s="289">
        <v>80000000</v>
      </c>
      <c r="R17" s="289">
        <v>79301543</v>
      </c>
      <c r="S17" s="289">
        <v>1000000000</v>
      </c>
      <c r="T17" s="289">
        <v>1000000000</v>
      </c>
      <c r="U17" s="289">
        <v>1000000000</v>
      </c>
      <c r="V17" s="289">
        <v>1000000000</v>
      </c>
      <c r="W17" s="289">
        <v>1000000000</v>
      </c>
      <c r="X17" s="289">
        <v>0</v>
      </c>
      <c r="Y17" s="289">
        <v>4195000000</v>
      </c>
      <c r="Z17" s="289">
        <v>4195000000</v>
      </c>
      <c r="AA17" s="289">
        <v>4195000000</v>
      </c>
      <c r="AB17" s="289">
        <v>4195000000</v>
      </c>
      <c r="AC17" s="289"/>
      <c r="AD17" s="327"/>
      <c r="AE17" s="289">
        <v>0</v>
      </c>
      <c r="AF17" s="289"/>
      <c r="AG17" s="289"/>
      <c r="AH17" s="289"/>
      <c r="AI17" s="289"/>
      <c r="AJ17" s="290"/>
      <c r="AK17" s="328">
        <v>0</v>
      </c>
      <c r="AL17" s="152">
        <v>0</v>
      </c>
      <c r="AM17" s="152">
        <v>0</v>
      </c>
      <c r="AN17" s="94"/>
      <c r="AO17" s="104">
        <f t="shared" si="0"/>
        <v>0</v>
      </c>
      <c r="AP17" s="105">
        <f>(L17+R17+X17+AM17)/H17</f>
        <v>1.5035458695995152E-2</v>
      </c>
      <c r="AQ17" s="493"/>
      <c r="AR17" s="499"/>
      <c r="AS17" s="499"/>
      <c r="AT17" s="499"/>
      <c r="AU17" s="502"/>
      <c r="AV17" s="92"/>
      <c r="AW17" s="92"/>
      <c r="AX17" s="92"/>
      <c r="AY17" s="92"/>
      <c r="AZ17" s="92"/>
      <c r="BA17" s="92"/>
      <c r="BB17" s="92"/>
      <c r="BC17" s="92"/>
      <c r="BD17" s="92"/>
      <c r="BE17" s="92"/>
      <c r="BF17" s="92"/>
      <c r="BG17" s="92"/>
      <c r="BH17" s="92"/>
    </row>
    <row r="18" spans="1:60" s="93" customFormat="1" ht="40.5" customHeight="1" x14ac:dyDescent="0.25">
      <c r="A18" s="525"/>
      <c r="B18" s="487"/>
      <c r="C18" s="481"/>
      <c r="D18" s="484"/>
      <c r="E18" s="484"/>
      <c r="F18" s="511"/>
      <c r="G18" s="30" t="s">
        <v>10</v>
      </c>
      <c r="H18" s="291"/>
      <c r="I18" s="291"/>
      <c r="J18" s="291"/>
      <c r="K18" s="291"/>
      <c r="L18" s="291"/>
      <c r="M18" s="291"/>
      <c r="N18" s="291"/>
      <c r="O18" s="291"/>
      <c r="P18" s="291"/>
      <c r="Q18" s="291"/>
      <c r="R18" s="291">
        <v>0</v>
      </c>
      <c r="S18" s="291">
        <v>0</v>
      </c>
      <c r="T18" s="291">
        <v>0</v>
      </c>
      <c r="U18" s="291">
        <v>0</v>
      </c>
      <c r="V18" s="291">
        <v>0</v>
      </c>
      <c r="W18" s="291">
        <v>0</v>
      </c>
      <c r="X18" s="291">
        <v>0</v>
      </c>
      <c r="Y18" s="291">
        <v>0</v>
      </c>
      <c r="Z18" s="291">
        <v>0</v>
      </c>
      <c r="AA18" s="291">
        <v>0</v>
      </c>
      <c r="AB18" s="291">
        <v>0</v>
      </c>
      <c r="AC18" s="291"/>
      <c r="AD18" s="329"/>
      <c r="AE18" s="291">
        <v>0</v>
      </c>
      <c r="AF18" s="291"/>
      <c r="AG18" s="291"/>
      <c r="AH18" s="291"/>
      <c r="AI18" s="291"/>
      <c r="AJ18" s="292"/>
      <c r="AK18" s="332">
        <v>0</v>
      </c>
      <c r="AL18" s="291">
        <v>0</v>
      </c>
      <c r="AM18" s="152">
        <v>0</v>
      </c>
      <c r="AN18" s="94"/>
      <c r="AO18" s="95"/>
      <c r="AP18" s="106"/>
      <c r="AQ18" s="493"/>
      <c r="AR18" s="499"/>
      <c r="AS18" s="499"/>
      <c r="AT18" s="499"/>
      <c r="AU18" s="502"/>
      <c r="AV18" s="92"/>
      <c r="AW18" s="92"/>
      <c r="AX18" s="92"/>
      <c r="AY18" s="92"/>
      <c r="AZ18" s="92"/>
      <c r="BA18" s="92"/>
      <c r="BB18" s="92"/>
      <c r="BC18" s="92"/>
      <c r="BD18" s="92"/>
      <c r="BE18" s="92"/>
      <c r="BF18" s="92"/>
      <c r="BG18" s="92"/>
      <c r="BH18" s="92"/>
    </row>
    <row r="19" spans="1:60" s="93" customFormat="1" ht="33" customHeight="1" x14ac:dyDescent="0.25">
      <c r="A19" s="525"/>
      <c r="B19" s="487"/>
      <c r="C19" s="481"/>
      <c r="D19" s="484"/>
      <c r="E19" s="484"/>
      <c r="F19" s="511"/>
      <c r="G19" s="33" t="s">
        <v>11</v>
      </c>
      <c r="H19" s="293"/>
      <c r="I19" s="293"/>
      <c r="J19" s="293"/>
      <c r="K19" s="293"/>
      <c r="L19" s="293"/>
      <c r="M19" s="293"/>
      <c r="N19" s="293"/>
      <c r="O19" s="293"/>
      <c r="P19" s="293"/>
      <c r="Q19" s="293"/>
      <c r="R19" s="293">
        <v>0</v>
      </c>
      <c r="S19" s="289">
        <v>79301543</v>
      </c>
      <c r="T19" s="293">
        <v>79301543</v>
      </c>
      <c r="U19" s="293">
        <v>70899362</v>
      </c>
      <c r="V19" s="293">
        <v>70899362</v>
      </c>
      <c r="W19" s="293">
        <v>70899362</v>
      </c>
      <c r="X19" s="293">
        <v>70899362</v>
      </c>
      <c r="Y19" s="293">
        <v>0</v>
      </c>
      <c r="Z19" s="293">
        <v>0</v>
      </c>
      <c r="AA19" s="293">
        <v>0</v>
      </c>
      <c r="AB19" s="293">
        <v>0</v>
      </c>
      <c r="AC19" s="293"/>
      <c r="AD19" s="331"/>
      <c r="AE19" s="293">
        <v>0</v>
      </c>
      <c r="AF19" s="293"/>
      <c r="AG19" s="293"/>
      <c r="AH19" s="293"/>
      <c r="AI19" s="293"/>
      <c r="AJ19" s="294"/>
      <c r="AK19" s="335">
        <v>0</v>
      </c>
      <c r="AL19" s="336">
        <v>0</v>
      </c>
      <c r="AM19" s="336">
        <v>0</v>
      </c>
      <c r="AN19" s="98"/>
      <c r="AO19" s="95"/>
      <c r="AP19" s="106"/>
      <c r="AQ19" s="493"/>
      <c r="AR19" s="499"/>
      <c r="AS19" s="499"/>
      <c r="AT19" s="499"/>
      <c r="AU19" s="502"/>
      <c r="AV19" s="92"/>
      <c r="AW19" s="92"/>
      <c r="AX19" s="92"/>
      <c r="AY19" s="92"/>
      <c r="AZ19" s="92"/>
      <c r="BA19" s="92"/>
      <c r="BB19" s="92"/>
      <c r="BC19" s="92"/>
      <c r="BD19" s="92"/>
      <c r="BE19" s="92"/>
      <c r="BF19" s="92"/>
      <c r="BG19" s="92"/>
      <c r="BH19" s="92"/>
    </row>
    <row r="20" spans="1:60" s="93" customFormat="1" ht="36" customHeight="1" x14ac:dyDescent="0.25">
      <c r="A20" s="525"/>
      <c r="B20" s="487"/>
      <c r="C20" s="481"/>
      <c r="D20" s="484"/>
      <c r="E20" s="484"/>
      <c r="F20" s="511"/>
      <c r="G20" s="30" t="s">
        <v>12</v>
      </c>
      <c r="H20" s="342">
        <f>+H16+H18</f>
        <v>25</v>
      </c>
      <c r="I20" s="295">
        <f>+I16</f>
        <v>0</v>
      </c>
      <c r="J20" s="295">
        <f>+J16</f>
        <v>0</v>
      </c>
      <c r="K20" s="295">
        <v>10</v>
      </c>
      <c r="L20" s="295">
        <v>10</v>
      </c>
      <c r="M20" s="295">
        <v>10</v>
      </c>
      <c r="N20" s="295">
        <v>10</v>
      </c>
      <c r="O20" s="295">
        <v>10</v>
      </c>
      <c r="P20" s="295">
        <v>0</v>
      </c>
      <c r="Q20" s="295">
        <v>0</v>
      </c>
      <c r="R20" s="295">
        <v>0</v>
      </c>
      <c r="S20" s="333">
        <f>+S16</f>
        <v>10</v>
      </c>
      <c r="T20" s="333">
        <v>10</v>
      </c>
      <c r="U20" s="333">
        <v>10</v>
      </c>
      <c r="V20" s="295">
        <v>10</v>
      </c>
      <c r="W20" s="295">
        <v>10</v>
      </c>
      <c r="X20" s="295">
        <v>0</v>
      </c>
      <c r="Y20" s="295">
        <v>25</v>
      </c>
      <c r="Z20" s="295">
        <v>25</v>
      </c>
      <c r="AA20" s="295">
        <v>25</v>
      </c>
      <c r="AB20" s="295">
        <v>25</v>
      </c>
      <c r="AC20" s="295">
        <f>+AC19+AC16</f>
        <v>0</v>
      </c>
      <c r="AD20" s="331"/>
      <c r="AE20" s="295">
        <f>+AE18+AE16</f>
        <v>0</v>
      </c>
      <c r="AF20" s="295"/>
      <c r="AG20" s="295"/>
      <c r="AH20" s="295"/>
      <c r="AI20" s="295"/>
      <c r="AJ20" s="296"/>
      <c r="AK20" s="328">
        <f t="shared" ref="AK20:AM21" si="3">+AK18+AK16</f>
        <v>0</v>
      </c>
      <c r="AL20" s="152">
        <f t="shared" si="3"/>
        <v>0</v>
      </c>
      <c r="AM20" s="152">
        <f t="shared" si="3"/>
        <v>0</v>
      </c>
      <c r="AN20" s="94"/>
      <c r="AO20" s="95">
        <f t="shared" si="0"/>
        <v>0</v>
      </c>
      <c r="AP20" s="96">
        <f>(L20+R20+X20+AD20+AM20)/H20</f>
        <v>0.4</v>
      </c>
      <c r="AQ20" s="493"/>
      <c r="AR20" s="499"/>
      <c r="AS20" s="499"/>
      <c r="AT20" s="499"/>
      <c r="AU20" s="502"/>
      <c r="AV20" s="92"/>
      <c r="AW20" s="92"/>
      <c r="AX20" s="92"/>
      <c r="AY20" s="92"/>
      <c r="AZ20" s="92"/>
      <c r="BA20" s="92"/>
      <c r="BB20" s="92"/>
      <c r="BC20" s="92"/>
      <c r="BD20" s="92"/>
      <c r="BE20" s="92"/>
      <c r="BF20" s="92"/>
      <c r="BG20" s="92"/>
      <c r="BH20" s="92"/>
    </row>
    <row r="21" spans="1:60" s="93" customFormat="1" ht="49.5" customHeight="1" thickBot="1" x14ac:dyDescent="0.3">
      <c r="A21" s="525"/>
      <c r="B21" s="488"/>
      <c r="C21" s="482"/>
      <c r="D21" s="485"/>
      <c r="E21" s="485"/>
      <c r="F21" s="512"/>
      <c r="G21" s="34" t="s">
        <v>13</v>
      </c>
      <c r="H21" s="285">
        <f>H17+H19</f>
        <v>5274301543</v>
      </c>
      <c r="I21" s="289">
        <f>+I19+I17</f>
        <v>0</v>
      </c>
      <c r="J21" s="289">
        <f>+J19+J17</f>
        <v>0</v>
      </c>
      <c r="K21" s="289">
        <v>1080000000</v>
      </c>
      <c r="L21" s="289">
        <v>1080000000</v>
      </c>
      <c r="M21" s="289">
        <v>1080000000</v>
      </c>
      <c r="N21" s="289">
        <v>1080000000</v>
      </c>
      <c r="O21" s="289">
        <v>1080000000</v>
      </c>
      <c r="P21" s="289">
        <v>80000000</v>
      </c>
      <c r="Q21" s="289">
        <v>80000000</v>
      </c>
      <c r="R21" s="289">
        <v>79301543</v>
      </c>
      <c r="S21" s="289">
        <f>+S19+S17</f>
        <v>1079301543</v>
      </c>
      <c r="T21" s="289">
        <v>1079301543</v>
      </c>
      <c r="U21" s="289">
        <v>1079301543</v>
      </c>
      <c r="V21" s="289">
        <v>1079301543</v>
      </c>
      <c r="W21" s="289">
        <v>1079301543</v>
      </c>
      <c r="X21" s="289">
        <v>70899362</v>
      </c>
      <c r="Y21" s="289">
        <v>4195000000</v>
      </c>
      <c r="Z21" s="289">
        <v>4195000000</v>
      </c>
      <c r="AA21" s="289">
        <v>4195000000</v>
      </c>
      <c r="AB21" s="289">
        <v>4195000000</v>
      </c>
      <c r="AC21" s="289">
        <f>AC17+AC19</f>
        <v>0</v>
      </c>
      <c r="AD21" s="327"/>
      <c r="AE21" s="289">
        <f>+AE19+AE17</f>
        <v>0</v>
      </c>
      <c r="AF21" s="289"/>
      <c r="AG21" s="289"/>
      <c r="AH21" s="289"/>
      <c r="AI21" s="289"/>
      <c r="AJ21" s="290"/>
      <c r="AK21" s="343">
        <f t="shared" si="3"/>
        <v>0</v>
      </c>
      <c r="AL21" s="344">
        <f t="shared" si="3"/>
        <v>0</v>
      </c>
      <c r="AM21" s="344">
        <f t="shared" si="3"/>
        <v>0</v>
      </c>
      <c r="AN21" s="107"/>
      <c r="AO21" s="108">
        <f t="shared" si="0"/>
        <v>0</v>
      </c>
      <c r="AP21" s="109">
        <f t="shared" ref="AP21:AP27" si="4">(L21+R21+X21+AM21)/H21</f>
        <v>0.23324432533303111</v>
      </c>
      <c r="AQ21" s="494"/>
      <c r="AR21" s="500"/>
      <c r="AS21" s="500"/>
      <c r="AT21" s="500"/>
      <c r="AU21" s="503"/>
      <c r="AV21" s="92"/>
      <c r="AW21" s="92"/>
      <c r="AX21" s="92"/>
      <c r="AY21" s="92"/>
      <c r="AZ21" s="92"/>
      <c r="BA21" s="92"/>
      <c r="BB21" s="92"/>
      <c r="BC21" s="92"/>
      <c r="BD21" s="92"/>
      <c r="BE21" s="92"/>
      <c r="BF21" s="92"/>
      <c r="BG21" s="92"/>
      <c r="BH21" s="92"/>
    </row>
    <row r="22" spans="1:60" s="93" customFormat="1" ht="63.75" customHeight="1" x14ac:dyDescent="0.25">
      <c r="A22" s="525"/>
      <c r="B22" s="486">
        <v>3</v>
      </c>
      <c r="C22" s="480" t="s">
        <v>175</v>
      </c>
      <c r="D22" s="483" t="s">
        <v>169</v>
      </c>
      <c r="E22" s="483">
        <v>535</v>
      </c>
      <c r="F22" s="510">
        <v>180</v>
      </c>
      <c r="G22" s="31" t="s">
        <v>8</v>
      </c>
      <c r="H22" s="321">
        <f>0.16+1.2+1.64+1</f>
        <v>4</v>
      </c>
      <c r="I22" s="345">
        <v>0.16</v>
      </c>
      <c r="J22" s="345">
        <v>0.16</v>
      </c>
      <c r="K22" s="345">
        <v>0.16</v>
      </c>
      <c r="L22" s="345">
        <v>0.16</v>
      </c>
      <c r="M22" s="321">
        <v>1.2</v>
      </c>
      <c r="N22" s="321">
        <v>1.2</v>
      </c>
      <c r="O22" s="321">
        <v>1.2</v>
      </c>
      <c r="P22" s="321">
        <v>1.2</v>
      </c>
      <c r="Q22" s="321">
        <v>1.2</v>
      </c>
      <c r="R22" s="321">
        <v>0</v>
      </c>
      <c r="S22" s="321">
        <v>1.64</v>
      </c>
      <c r="T22" s="321">
        <v>1.64</v>
      </c>
      <c r="U22" s="321">
        <v>1.64</v>
      </c>
      <c r="V22" s="321">
        <v>1.64</v>
      </c>
      <c r="W22" s="321">
        <v>1.64</v>
      </c>
      <c r="X22" s="321">
        <v>0</v>
      </c>
      <c r="Y22" s="321">
        <v>0.86</v>
      </c>
      <c r="Z22" s="346">
        <v>0.86</v>
      </c>
      <c r="AA22" s="346">
        <v>0.86</v>
      </c>
      <c r="AB22" s="321">
        <v>0.86</v>
      </c>
      <c r="AC22" s="321"/>
      <c r="AD22" s="340"/>
      <c r="AE22" s="321">
        <v>0.14000000000000001</v>
      </c>
      <c r="AF22" s="287"/>
      <c r="AG22" s="287"/>
      <c r="AH22" s="287"/>
      <c r="AI22" s="287"/>
      <c r="AJ22" s="288"/>
      <c r="AK22" s="341">
        <v>0</v>
      </c>
      <c r="AL22" s="312">
        <v>0</v>
      </c>
      <c r="AM22" s="297">
        <v>0</v>
      </c>
      <c r="AN22" s="72"/>
      <c r="AO22" s="90">
        <f t="shared" si="0"/>
        <v>0</v>
      </c>
      <c r="AP22" s="91">
        <f t="shared" si="4"/>
        <v>0.04</v>
      </c>
      <c r="AQ22" s="489" t="s">
        <v>176</v>
      </c>
      <c r="AR22" s="507" t="s">
        <v>177</v>
      </c>
      <c r="AS22" s="507" t="s">
        <v>178</v>
      </c>
      <c r="AT22" s="513" t="s">
        <v>179</v>
      </c>
      <c r="AU22" s="514" t="s">
        <v>180</v>
      </c>
      <c r="AV22" s="92"/>
      <c r="AW22" s="92"/>
      <c r="AX22" s="92"/>
      <c r="AY22" s="92"/>
      <c r="AZ22" s="92"/>
      <c r="BA22" s="92"/>
      <c r="BB22" s="92"/>
      <c r="BC22" s="92"/>
      <c r="BD22" s="92"/>
      <c r="BE22" s="92"/>
      <c r="BF22" s="92"/>
      <c r="BG22" s="92"/>
      <c r="BH22" s="92"/>
    </row>
    <row r="23" spans="1:60" s="93" customFormat="1" ht="66.75" customHeight="1" x14ac:dyDescent="0.25">
      <c r="A23" s="525"/>
      <c r="B23" s="487"/>
      <c r="C23" s="481"/>
      <c r="D23" s="484"/>
      <c r="E23" s="484"/>
      <c r="F23" s="511"/>
      <c r="G23" s="33" t="s">
        <v>9</v>
      </c>
      <c r="H23" s="289">
        <f>+L23+R23+S23+Y23+AE23</f>
        <v>9767461697</v>
      </c>
      <c r="I23" s="289">
        <v>211877645</v>
      </c>
      <c r="J23" s="289">
        <v>211877645</v>
      </c>
      <c r="K23" s="289">
        <v>107547645</v>
      </c>
      <c r="L23" s="289">
        <v>65502409</v>
      </c>
      <c r="M23" s="289">
        <v>3979227588</v>
      </c>
      <c r="N23" s="289">
        <v>3979227588</v>
      </c>
      <c r="O23" s="289">
        <v>3979227588</v>
      </c>
      <c r="P23" s="289">
        <v>3845387588</v>
      </c>
      <c r="Q23" s="289">
        <v>3845387588</v>
      </c>
      <c r="R23" s="289">
        <v>3812245288</v>
      </c>
      <c r="S23" s="289">
        <v>3027021000</v>
      </c>
      <c r="T23" s="289">
        <v>3027021000</v>
      </c>
      <c r="U23" s="289">
        <v>2942453515</v>
      </c>
      <c r="V23" s="289">
        <v>2826802238</v>
      </c>
      <c r="W23" s="289">
        <v>2855281738</v>
      </c>
      <c r="X23" s="289">
        <v>2850281738</v>
      </c>
      <c r="Y23" s="289">
        <v>1683873000</v>
      </c>
      <c r="Z23" s="289">
        <v>1683873000</v>
      </c>
      <c r="AA23" s="289">
        <v>1683873000</v>
      </c>
      <c r="AB23" s="289">
        <v>1390035575</v>
      </c>
      <c r="AC23" s="289"/>
      <c r="AD23" s="331"/>
      <c r="AE23" s="289">
        <v>1178820000</v>
      </c>
      <c r="AF23" s="289"/>
      <c r="AG23" s="289"/>
      <c r="AH23" s="289"/>
      <c r="AI23" s="289"/>
      <c r="AJ23" s="290"/>
      <c r="AK23" s="332">
        <v>29889000</v>
      </c>
      <c r="AL23" s="152">
        <v>185020000</v>
      </c>
      <c r="AM23" s="152">
        <v>243828200</v>
      </c>
      <c r="AN23" s="94"/>
      <c r="AO23" s="95">
        <f t="shared" si="0"/>
        <v>0.17541148182484467</v>
      </c>
      <c r="AP23" s="96">
        <f t="shared" si="4"/>
        <v>0.71378397492373602</v>
      </c>
      <c r="AQ23" s="490"/>
      <c r="AR23" s="508"/>
      <c r="AS23" s="508"/>
      <c r="AT23" s="484"/>
      <c r="AU23" s="515"/>
      <c r="AV23" s="92"/>
      <c r="AW23" s="92"/>
      <c r="AX23" s="92"/>
      <c r="AY23" s="92"/>
      <c r="AZ23" s="92"/>
      <c r="BA23" s="92"/>
      <c r="BB23" s="92"/>
      <c r="BC23" s="92"/>
      <c r="BD23" s="92"/>
      <c r="BE23" s="92"/>
      <c r="BF23" s="92"/>
      <c r="BG23" s="92"/>
      <c r="BH23" s="92"/>
    </row>
    <row r="24" spans="1:60" s="93" customFormat="1" ht="53.25" customHeight="1" x14ac:dyDescent="0.25">
      <c r="A24" s="525"/>
      <c r="B24" s="487"/>
      <c r="C24" s="481"/>
      <c r="D24" s="484"/>
      <c r="E24" s="484"/>
      <c r="F24" s="511"/>
      <c r="G24" s="30" t="s">
        <v>10</v>
      </c>
      <c r="H24" s="291"/>
      <c r="I24" s="291"/>
      <c r="J24" s="291"/>
      <c r="K24" s="291"/>
      <c r="L24" s="291"/>
      <c r="M24" s="291"/>
      <c r="N24" s="291"/>
      <c r="O24" s="291"/>
      <c r="P24" s="291"/>
      <c r="Q24" s="291"/>
      <c r="R24" s="291">
        <v>0</v>
      </c>
      <c r="S24" s="291">
        <v>1.2</v>
      </c>
      <c r="T24" s="291">
        <v>1.2</v>
      </c>
      <c r="U24" s="291">
        <v>1.2</v>
      </c>
      <c r="V24" s="291">
        <v>1.2</v>
      </c>
      <c r="W24" s="291">
        <v>1.2</v>
      </c>
      <c r="X24" s="291">
        <v>0</v>
      </c>
      <c r="Y24" s="291">
        <v>2.84</v>
      </c>
      <c r="Z24" s="291">
        <v>2.84</v>
      </c>
      <c r="AA24" s="291">
        <v>2.84</v>
      </c>
      <c r="AB24" s="291">
        <v>2.84</v>
      </c>
      <c r="AC24" s="291"/>
      <c r="AD24" s="329"/>
      <c r="AE24" s="291"/>
      <c r="AF24" s="291"/>
      <c r="AG24" s="291"/>
      <c r="AH24" s="291"/>
      <c r="AI24" s="291"/>
      <c r="AJ24" s="292"/>
      <c r="AK24" s="330">
        <v>0</v>
      </c>
      <c r="AL24" s="302">
        <v>0</v>
      </c>
      <c r="AM24" s="302">
        <v>0</v>
      </c>
      <c r="AN24" s="75"/>
      <c r="AO24" s="110">
        <f t="shared" si="0"/>
        <v>0</v>
      </c>
      <c r="AP24" s="111"/>
      <c r="AQ24" s="490"/>
      <c r="AR24" s="508"/>
      <c r="AS24" s="508"/>
      <c r="AT24" s="484"/>
      <c r="AU24" s="515"/>
      <c r="AV24" s="92"/>
      <c r="AW24" s="92"/>
      <c r="AX24" s="92"/>
      <c r="AY24" s="92"/>
      <c r="AZ24" s="92"/>
      <c r="BA24" s="92"/>
      <c r="BB24" s="92"/>
      <c r="BC24" s="92"/>
      <c r="BD24" s="92"/>
      <c r="BE24" s="92"/>
      <c r="BF24" s="92"/>
      <c r="BG24" s="92"/>
      <c r="BH24" s="92"/>
    </row>
    <row r="25" spans="1:60" s="93" customFormat="1" ht="62.25" customHeight="1" x14ac:dyDescent="0.25">
      <c r="A25" s="525"/>
      <c r="B25" s="487"/>
      <c r="C25" s="481"/>
      <c r="D25" s="484"/>
      <c r="E25" s="484"/>
      <c r="F25" s="511"/>
      <c r="G25" s="33" t="s">
        <v>11</v>
      </c>
      <c r="H25" s="293">
        <f>R25+X25+Y25+AK25</f>
        <v>8182469286</v>
      </c>
      <c r="I25" s="293"/>
      <c r="J25" s="293"/>
      <c r="K25" s="293"/>
      <c r="L25" s="293"/>
      <c r="M25" s="293">
        <v>65502409</v>
      </c>
      <c r="N25" s="293">
        <v>65502409</v>
      </c>
      <c r="O25" s="293">
        <v>65502409</v>
      </c>
      <c r="P25" s="293">
        <v>65502409</v>
      </c>
      <c r="Q25" s="293">
        <v>65502409</v>
      </c>
      <c r="R25" s="293">
        <v>65502409</v>
      </c>
      <c r="S25" s="293">
        <v>3655716488</v>
      </c>
      <c r="T25" s="293">
        <v>3655716488</v>
      </c>
      <c r="U25" s="293">
        <v>3655716488</v>
      </c>
      <c r="V25" s="293">
        <v>3655716488</v>
      </c>
      <c r="W25" s="293">
        <v>3655716488</v>
      </c>
      <c r="X25" s="293">
        <v>2820500935</v>
      </c>
      <c r="Y25" s="293">
        <v>2672413971</v>
      </c>
      <c r="Z25" s="293">
        <v>2672413971</v>
      </c>
      <c r="AA25" s="293">
        <v>2672413971</v>
      </c>
      <c r="AB25" s="293">
        <v>2672413971</v>
      </c>
      <c r="AC25" s="293"/>
      <c r="AD25" s="331"/>
      <c r="AE25" s="293"/>
      <c r="AF25" s="293"/>
      <c r="AG25" s="293"/>
      <c r="AH25" s="293"/>
      <c r="AI25" s="293"/>
      <c r="AJ25" s="294"/>
      <c r="AK25" s="332">
        <v>2624051971</v>
      </c>
      <c r="AL25" s="305">
        <v>2646928171</v>
      </c>
      <c r="AM25" s="305">
        <v>2665729171</v>
      </c>
      <c r="AN25" s="112"/>
      <c r="AO25" s="96">
        <f t="shared" si="0"/>
        <v>0.9974985911342551</v>
      </c>
      <c r="AP25" s="96">
        <f t="shared" si="4"/>
        <v>0.67849109125271945</v>
      </c>
      <c r="AQ25" s="490"/>
      <c r="AR25" s="508"/>
      <c r="AS25" s="508"/>
      <c r="AT25" s="484"/>
      <c r="AU25" s="515"/>
      <c r="AV25" s="92"/>
      <c r="AW25" s="92"/>
      <c r="AX25" s="92"/>
      <c r="AY25" s="92"/>
      <c r="AZ25" s="92"/>
      <c r="BA25" s="92"/>
      <c r="BB25" s="92"/>
      <c r="BC25" s="92"/>
      <c r="BD25" s="92"/>
      <c r="BE25" s="92"/>
      <c r="BF25" s="92"/>
      <c r="BG25" s="92"/>
      <c r="BH25" s="92"/>
    </row>
    <row r="26" spans="1:60" s="93" customFormat="1" ht="54.75" customHeight="1" x14ac:dyDescent="0.25">
      <c r="A26" s="525"/>
      <c r="B26" s="487"/>
      <c r="C26" s="481"/>
      <c r="D26" s="484"/>
      <c r="E26" s="484"/>
      <c r="F26" s="511"/>
      <c r="G26" s="30" t="s">
        <v>12</v>
      </c>
      <c r="H26" s="342">
        <f>+H22+H24</f>
        <v>4</v>
      </c>
      <c r="I26" s="333">
        <f>+I22+I24</f>
        <v>0.16</v>
      </c>
      <c r="J26" s="333">
        <f>+J22+J24</f>
        <v>0.16</v>
      </c>
      <c r="K26" s="333">
        <v>0.16</v>
      </c>
      <c r="L26" s="333">
        <f>+L22+L24</f>
        <v>0.16</v>
      </c>
      <c r="M26" s="291">
        <v>1.2</v>
      </c>
      <c r="N26" s="291">
        <v>1.2</v>
      </c>
      <c r="O26" s="291">
        <v>1.2</v>
      </c>
      <c r="P26" s="291">
        <v>1.2</v>
      </c>
      <c r="Q26" s="291">
        <v>1.2</v>
      </c>
      <c r="R26" s="291">
        <v>0</v>
      </c>
      <c r="S26" s="342">
        <f>+S24+S22</f>
        <v>2.84</v>
      </c>
      <c r="T26" s="342">
        <v>2.84</v>
      </c>
      <c r="U26" s="342">
        <v>2.84</v>
      </c>
      <c r="V26" s="342">
        <v>2.84</v>
      </c>
      <c r="W26" s="342">
        <v>2.84</v>
      </c>
      <c r="X26" s="342">
        <v>0</v>
      </c>
      <c r="Y26" s="291">
        <v>3.6999999999999997</v>
      </c>
      <c r="Z26" s="347">
        <v>3.6999999999999997</v>
      </c>
      <c r="AA26" s="347">
        <v>3.7</v>
      </c>
      <c r="AB26" s="342">
        <v>3.6999999999999997</v>
      </c>
      <c r="AC26" s="342">
        <f>+AC25+AC22</f>
        <v>0</v>
      </c>
      <c r="AD26" s="329"/>
      <c r="AE26" s="291">
        <f>+AE22+AE24</f>
        <v>0.14000000000000001</v>
      </c>
      <c r="AF26" s="291"/>
      <c r="AG26" s="291"/>
      <c r="AH26" s="291"/>
      <c r="AI26" s="291"/>
      <c r="AJ26" s="292"/>
      <c r="AK26" s="330">
        <f t="shared" ref="AK26:AM27" si="5">+AK24+AK22</f>
        <v>0</v>
      </c>
      <c r="AL26" s="302">
        <f t="shared" si="5"/>
        <v>0</v>
      </c>
      <c r="AM26" s="302">
        <f t="shared" si="5"/>
        <v>0</v>
      </c>
      <c r="AN26" s="73"/>
      <c r="AO26" s="96">
        <f t="shared" si="0"/>
        <v>0</v>
      </c>
      <c r="AP26" s="96">
        <f t="shared" si="4"/>
        <v>0.04</v>
      </c>
      <c r="AQ26" s="490"/>
      <c r="AR26" s="508"/>
      <c r="AS26" s="508"/>
      <c r="AT26" s="484"/>
      <c r="AU26" s="515"/>
      <c r="AV26" s="92"/>
      <c r="AW26" s="92"/>
      <c r="AX26" s="92"/>
      <c r="AY26" s="92"/>
      <c r="AZ26" s="92"/>
      <c r="BA26" s="92"/>
      <c r="BB26" s="92"/>
      <c r="BC26" s="92"/>
      <c r="BD26" s="92"/>
      <c r="BE26" s="92"/>
      <c r="BF26" s="92"/>
      <c r="BG26" s="92"/>
      <c r="BH26" s="92"/>
    </row>
    <row r="27" spans="1:60" s="93" customFormat="1" ht="63.75" customHeight="1" thickBot="1" x14ac:dyDescent="0.3">
      <c r="A27" s="525"/>
      <c r="B27" s="488"/>
      <c r="C27" s="482"/>
      <c r="D27" s="485"/>
      <c r="E27" s="485"/>
      <c r="F27" s="512"/>
      <c r="G27" s="34" t="s">
        <v>13</v>
      </c>
      <c r="H27" s="285">
        <f>H23+H25</f>
        <v>17949930983</v>
      </c>
      <c r="I27" s="289">
        <f>+I23</f>
        <v>211877645</v>
      </c>
      <c r="J27" s="289">
        <f>+J23</f>
        <v>211877645</v>
      </c>
      <c r="K27" s="289">
        <v>107547645</v>
      </c>
      <c r="L27" s="289">
        <f>+L23</f>
        <v>65502409</v>
      </c>
      <c r="M27" s="289">
        <v>4044729997</v>
      </c>
      <c r="N27" s="289">
        <v>4044729997</v>
      </c>
      <c r="O27" s="289">
        <v>4044729997</v>
      </c>
      <c r="P27" s="289">
        <v>3910889997</v>
      </c>
      <c r="Q27" s="289">
        <v>3845387588</v>
      </c>
      <c r="R27" s="289">
        <v>3877747697</v>
      </c>
      <c r="S27" s="289">
        <f>+S25+S23</f>
        <v>6682737488</v>
      </c>
      <c r="T27" s="289">
        <v>6682737488</v>
      </c>
      <c r="U27" s="289">
        <v>6682737488</v>
      </c>
      <c r="V27" s="289">
        <v>6682737488</v>
      </c>
      <c r="W27" s="289">
        <v>6682737488</v>
      </c>
      <c r="X27" s="289">
        <v>5670782673</v>
      </c>
      <c r="Y27" s="289">
        <v>1683873000</v>
      </c>
      <c r="Z27" s="289">
        <f>Z23+Z25</f>
        <v>4356286971</v>
      </c>
      <c r="AA27" s="289">
        <f>AA23+AA25</f>
        <v>4356286971</v>
      </c>
      <c r="AB27" s="289">
        <f>AB23+AB25</f>
        <v>4062449546</v>
      </c>
      <c r="AC27" s="289">
        <f>AC23+AC25</f>
        <v>0</v>
      </c>
      <c r="AD27" s="327"/>
      <c r="AE27" s="289">
        <f>+AE23</f>
        <v>1178820000</v>
      </c>
      <c r="AF27" s="289"/>
      <c r="AG27" s="289"/>
      <c r="AH27" s="289"/>
      <c r="AI27" s="289"/>
      <c r="AJ27" s="290"/>
      <c r="AK27" s="328">
        <f t="shared" si="5"/>
        <v>2653940971</v>
      </c>
      <c r="AL27" s="311">
        <f t="shared" si="5"/>
        <v>2831948171</v>
      </c>
      <c r="AM27" s="152">
        <f t="shared" si="5"/>
        <v>2909557371</v>
      </c>
      <c r="AN27" s="94"/>
      <c r="AO27" s="108">
        <f t="shared" si="0"/>
        <v>0.71620763237904839</v>
      </c>
      <c r="AP27" s="113">
        <f t="shared" si="4"/>
        <v>0.6976957271791645</v>
      </c>
      <c r="AQ27" s="491"/>
      <c r="AR27" s="509"/>
      <c r="AS27" s="509"/>
      <c r="AT27" s="485"/>
      <c r="AU27" s="516"/>
      <c r="AV27" s="92"/>
      <c r="AW27" s="92"/>
      <c r="AX27" s="92"/>
      <c r="AY27" s="92"/>
      <c r="AZ27" s="92"/>
      <c r="BA27" s="92"/>
      <c r="BB27" s="92"/>
      <c r="BC27" s="92"/>
      <c r="BD27" s="92"/>
      <c r="BE27" s="92"/>
      <c r="BF27" s="92"/>
      <c r="BG27" s="92"/>
      <c r="BH27" s="92"/>
    </row>
    <row r="28" spans="1:60" ht="31.5" customHeight="1" x14ac:dyDescent="0.25">
      <c r="A28" s="526"/>
      <c r="B28" s="486">
        <v>4</v>
      </c>
      <c r="C28" s="480" t="s">
        <v>181</v>
      </c>
      <c r="D28" s="483" t="s">
        <v>150</v>
      </c>
      <c r="E28" s="483">
        <v>535</v>
      </c>
      <c r="F28" s="510">
        <v>180</v>
      </c>
      <c r="G28" s="31" t="s">
        <v>8</v>
      </c>
      <c r="H28" s="321">
        <v>5</v>
      </c>
      <c r="I28" s="321">
        <v>0</v>
      </c>
      <c r="J28" s="321">
        <v>0</v>
      </c>
      <c r="K28" s="321">
        <v>0</v>
      </c>
      <c r="L28" s="321">
        <v>0</v>
      </c>
      <c r="M28" s="321">
        <v>1</v>
      </c>
      <c r="N28" s="321">
        <v>1</v>
      </c>
      <c r="O28" s="321">
        <v>1</v>
      </c>
      <c r="P28" s="321">
        <v>1</v>
      </c>
      <c r="Q28" s="321">
        <v>1</v>
      </c>
      <c r="R28" s="321">
        <v>0</v>
      </c>
      <c r="S28" s="321">
        <v>3</v>
      </c>
      <c r="T28" s="321">
        <v>3</v>
      </c>
      <c r="U28" s="321">
        <v>3</v>
      </c>
      <c r="V28" s="321">
        <v>3</v>
      </c>
      <c r="W28" s="321">
        <v>3</v>
      </c>
      <c r="X28" s="321">
        <v>0</v>
      </c>
      <c r="Y28" s="321">
        <v>5</v>
      </c>
      <c r="Z28" s="321">
        <v>5</v>
      </c>
      <c r="AA28" s="321">
        <v>5</v>
      </c>
      <c r="AB28" s="321">
        <v>5</v>
      </c>
      <c r="AC28" s="321"/>
      <c r="AD28" s="341"/>
      <c r="AE28" s="312">
        <v>0</v>
      </c>
      <c r="AF28" s="297"/>
      <c r="AG28" s="298"/>
      <c r="AH28" s="297"/>
      <c r="AI28" s="297"/>
      <c r="AJ28" s="299"/>
      <c r="AK28" s="341">
        <v>1</v>
      </c>
      <c r="AL28" s="298">
        <v>3</v>
      </c>
      <c r="AM28" s="297">
        <v>3</v>
      </c>
      <c r="AN28" s="72"/>
      <c r="AO28" s="90">
        <f t="shared" si="0"/>
        <v>0.6</v>
      </c>
      <c r="AP28" s="91">
        <f>+AM28/H28</f>
        <v>0.6</v>
      </c>
      <c r="AQ28" s="521" t="s">
        <v>182</v>
      </c>
      <c r="AR28" s="483" t="s">
        <v>183</v>
      </c>
      <c r="AS28" s="483" t="s">
        <v>184</v>
      </c>
      <c r="AT28" s="483" t="s">
        <v>185</v>
      </c>
      <c r="AU28" s="517" t="s">
        <v>186</v>
      </c>
      <c r="AV28" s="92"/>
      <c r="AW28" s="92"/>
      <c r="AX28" s="92"/>
      <c r="AY28" s="92"/>
      <c r="AZ28" s="92"/>
      <c r="BA28" s="92"/>
      <c r="BB28" s="92"/>
      <c r="BC28" s="92"/>
      <c r="BD28" s="92"/>
      <c r="BE28" s="92"/>
      <c r="BF28" s="92"/>
      <c r="BG28" s="92"/>
      <c r="BH28" s="92"/>
    </row>
    <row r="29" spans="1:60" ht="28.5" customHeight="1" x14ac:dyDescent="0.25">
      <c r="A29" s="526"/>
      <c r="B29" s="487"/>
      <c r="C29" s="481"/>
      <c r="D29" s="484"/>
      <c r="E29" s="484"/>
      <c r="F29" s="511"/>
      <c r="G29" s="33" t="s">
        <v>9</v>
      </c>
      <c r="H29" s="289">
        <f>+L29+R29+W29+Y29+AE29</f>
        <v>468596985</v>
      </c>
      <c r="I29" s="289">
        <v>0</v>
      </c>
      <c r="J29" s="289">
        <v>0</v>
      </c>
      <c r="K29" s="289">
        <v>0</v>
      </c>
      <c r="L29" s="289">
        <v>0</v>
      </c>
      <c r="M29" s="289">
        <v>97000000</v>
      </c>
      <c r="N29" s="289">
        <v>97000000</v>
      </c>
      <c r="O29" s="289">
        <v>97000000</v>
      </c>
      <c r="P29" s="289">
        <v>90000000</v>
      </c>
      <c r="Q29" s="289">
        <v>90000000</v>
      </c>
      <c r="R29" s="289">
        <v>90000000</v>
      </c>
      <c r="S29" s="289">
        <v>126560000</v>
      </c>
      <c r="T29" s="289">
        <v>126560000</v>
      </c>
      <c r="U29" s="289">
        <v>184661985</v>
      </c>
      <c r="V29" s="289">
        <v>184661985</v>
      </c>
      <c r="W29" s="289">
        <v>184661985</v>
      </c>
      <c r="X29" s="289">
        <v>184661985</v>
      </c>
      <c r="Y29" s="289">
        <v>193935000</v>
      </c>
      <c r="Z29" s="289">
        <v>193935000</v>
      </c>
      <c r="AA29" s="289">
        <v>193935000</v>
      </c>
      <c r="AB29" s="289">
        <v>193935000</v>
      </c>
      <c r="AC29" s="289"/>
      <c r="AD29" s="328"/>
      <c r="AE29" s="152">
        <v>0</v>
      </c>
      <c r="AF29" s="152"/>
      <c r="AG29" s="300"/>
      <c r="AH29" s="152"/>
      <c r="AI29" s="152"/>
      <c r="AJ29" s="301"/>
      <c r="AK29" s="328">
        <v>0</v>
      </c>
      <c r="AL29" s="300">
        <v>193935000</v>
      </c>
      <c r="AM29" s="152">
        <v>193935000</v>
      </c>
      <c r="AN29" s="94"/>
      <c r="AO29" s="95">
        <f>+AM29/AB29</f>
        <v>1</v>
      </c>
      <c r="AP29" s="96">
        <f t="shared" ref="AP29:AP63" si="6">(L29+R29+X29+AM29)/H29</f>
        <v>1</v>
      </c>
      <c r="AQ29" s="522"/>
      <c r="AR29" s="484"/>
      <c r="AS29" s="484"/>
      <c r="AT29" s="484"/>
      <c r="AU29" s="515"/>
      <c r="AV29" s="92"/>
      <c r="AW29" s="92"/>
      <c r="AX29" s="92"/>
      <c r="AY29" s="92"/>
      <c r="AZ29" s="92"/>
      <c r="BA29" s="92"/>
      <c r="BB29" s="92"/>
      <c r="BC29" s="92"/>
      <c r="BD29" s="92"/>
      <c r="BE29" s="92"/>
      <c r="BF29" s="92"/>
      <c r="BG29" s="92"/>
      <c r="BH29" s="92"/>
    </row>
    <row r="30" spans="1:60" ht="35.25" customHeight="1" x14ac:dyDescent="0.25">
      <c r="A30" s="526"/>
      <c r="B30" s="487"/>
      <c r="C30" s="481"/>
      <c r="D30" s="484"/>
      <c r="E30" s="484"/>
      <c r="F30" s="511"/>
      <c r="G30" s="30" t="s">
        <v>10</v>
      </c>
      <c r="H30" s="291"/>
      <c r="I30" s="291"/>
      <c r="J30" s="291"/>
      <c r="K30" s="291"/>
      <c r="L30" s="291"/>
      <c r="M30" s="291"/>
      <c r="N30" s="291"/>
      <c r="O30" s="291"/>
      <c r="P30" s="291"/>
      <c r="Q30" s="291"/>
      <c r="R30" s="291">
        <v>0</v>
      </c>
      <c r="S30" s="291">
        <v>0</v>
      </c>
      <c r="T30" s="291">
        <v>0</v>
      </c>
      <c r="U30" s="291">
        <v>0</v>
      </c>
      <c r="V30" s="291">
        <v>0</v>
      </c>
      <c r="W30" s="291">
        <v>0</v>
      </c>
      <c r="X30" s="291">
        <v>0</v>
      </c>
      <c r="Y30" s="291">
        <v>0</v>
      </c>
      <c r="Z30" s="291">
        <v>0</v>
      </c>
      <c r="AA30" s="291">
        <v>0</v>
      </c>
      <c r="AB30" s="291">
        <v>0</v>
      </c>
      <c r="AC30" s="291"/>
      <c r="AD30" s="330"/>
      <c r="AE30" s="302"/>
      <c r="AF30" s="302"/>
      <c r="AG30" s="303"/>
      <c r="AH30" s="302"/>
      <c r="AI30" s="302"/>
      <c r="AJ30" s="304"/>
      <c r="AK30" s="330">
        <v>0</v>
      </c>
      <c r="AL30" s="303">
        <v>0</v>
      </c>
      <c r="AM30" s="302">
        <v>0</v>
      </c>
      <c r="AN30" s="75"/>
      <c r="AO30" s="95"/>
      <c r="AP30" s="96"/>
      <c r="AQ30" s="522"/>
      <c r="AR30" s="484"/>
      <c r="AS30" s="484"/>
      <c r="AT30" s="484"/>
      <c r="AU30" s="515"/>
      <c r="AV30" s="92"/>
      <c r="AW30" s="92"/>
      <c r="AX30" s="92"/>
      <c r="AY30" s="92"/>
      <c r="AZ30" s="92"/>
      <c r="BA30" s="92"/>
      <c r="BB30" s="92"/>
      <c r="BC30" s="92"/>
      <c r="BD30" s="92"/>
      <c r="BE30" s="92"/>
      <c r="BF30" s="92"/>
      <c r="BG30" s="92"/>
      <c r="BH30" s="92"/>
    </row>
    <row r="31" spans="1:60" ht="18" x14ac:dyDescent="0.25">
      <c r="A31" s="526"/>
      <c r="B31" s="487"/>
      <c r="C31" s="481"/>
      <c r="D31" s="484"/>
      <c r="E31" s="484"/>
      <c r="F31" s="511"/>
      <c r="G31" s="33" t="s">
        <v>11</v>
      </c>
      <c r="H31" s="293">
        <f>L31+R31+X31+AK31</f>
        <v>274661985</v>
      </c>
      <c r="I31" s="293"/>
      <c r="J31" s="293"/>
      <c r="K31" s="293"/>
      <c r="L31" s="293"/>
      <c r="M31" s="293"/>
      <c r="N31" s="293"/>
      <c r="O31" s="293"/>
      <c r="P31" s="293"/>
      <c r="Q31" s="293"/>
      <c r="R31" s="293">
        <v>0</v>
      </c>
      <c r="S31" s="293">
        <v>90000000</v>
      </c>
      <c r="T31" s="293">
        <v>90000000</v>
      </c>
      <c r="U31" s="293">
        <v>90000000</v>
      </c>
      <c r="V31" s="293">
        <v>90000000</v>
      </c>
      <c r="W31" s="293">
        <v>90000000</v>
      </c>
      <c r="X31" s="293">
        <v>90000000</v>
      </c>
      <c r="Y31" s="293">
        <v>184661985</v>
      </c>
      <c r="Z31" s="293">
        <v>184661985</v>
      </c>
      <c r="AA31" s="293">
        <v>184661985</v>
      </c>
      <c r="AB31" s="293">
        <v>184661985</v>
      </c>
      <c r="AC31" s="293"/>
      <c r="AD31" s="348"/>
      <c r="AE31" s="305"/>
      <c r="AF31" s="305"/>
      <c r="AG31" s="306"/>
      <c r="AH31" s="305"/>
      <c r="AI31" s="305"/>
      <c r="AJ31" s="307"/>
      <c r="AK31" s="348">
        <v>184661985</v>
      </c>
      <c r="AL31" s="306">
        <v>184661985</v>
      </c>
      <c r="AM31" s="305">
        <v>184661985</v>
      </c>
      <c r="AN31" s="114"/>
      <c r="AO31" s="95">
        <f>+AM31/AB31</f>
        <v>1</v>
      </c>
      <c r="AP31" s="96">
        <f t="shared" si="6"/>
        <v>1</v>
      </c>
      <c r="AQ31" s="522"/>
      <c r="AR31" s="484"/>
      <c r="AS31" s="484"/>
      <c r="AT31" s="484"/>
      <c r="AU31" s="515"/>
      <c r="AV31" s="92"/>
      <c r="AW31" s="92"/>
      <c r="AX31" s="92"/>
      <c r="AY31" s="92"/>
      <c r="AZ31" s="92"/>
      <c r="BA31" s="92"/>
      <c r="BB31" s="92"/>
      <c r="BC31" s="92"/>
      <c r="BD31" s="92"/>
      <c r="BE31" s="92"/>
      <c r="BF31" s="92"/>
      <c r="BG31" s="92"/>
      <c r="BH31" s="92"/>
    </row>
    <row r="32" spans="1:60" ht="18" x14ac:dyDescent="0.25">
      <c r="A32" s="526"/>
      <c r="B32" s="487"/>
      <c r="C32" s="481"/>
      <c r="D32" s="484"/>
      <c r="E32" s="484"/>
      <c r="F32" s="511"/>
      <c r="G32" s="30" t="s">
        <v>12</v>
      </c>
      <c r="H32" s="342">
        <v>5</v>
      </c>
      <c r="I32" s="291">
        <f>+I28</f>
        <v>0</v>
      </c>
      <c r="J32" s="291">
        <f>+J28</f>
        <v>0</v>
      </c>
      <c r="K32" s="291">
        <f>+K28</f>
        <v>0</v>
      </c>
      <c r="L32" s="291">
        <f>+L28</f>
        <v>0</v>
      </c>
      <c r="M32" s="291">
        <v>1</v>
      </c>
      <c r="N32" s="291">
        <v>1</v>
      </c>
      <c r="O32" s="291">
        <v>1</v>
      </c>
      <c r="P32" s="291">
        <v>1</v>
      </c>
      <c r="Q32" s="291">
        <v>1</v>
      </c>
      <c r="R32" s="291">
        <v>0</v>
      </c>
      <c r="S32" s="342">
        <f>+S30+S28</f>
        <v>3</v>
      </c>
      <c r="T32" s="342">
        <v>3</v>
      </c>
      <c r="U32" s="342">
        <v>3</v>
      </c>
      <c r="V32" s="291">
        <v>3</v>
      </c>
      <c r="W32" s="291">
        <v>3</v>
      </c>
      <c r="X32" s="291">
        <v>0</v>
      </c>
      <c r="Y32" s="291">
        <v>5</v>
      </c>
      <c r="Z32" s="291">
        <v>5</v>
      </c>
      <c r="AA32" s="291">
        <v>5</v>
      </c>
      <c r="AB32" s="291">
        <v>5</v>
      </c>
      <c r="AC32" s="291">
        <f>+AC31+AC28</f>
        <v>0</v>
      </c>
      <c r="AD32" s="330"/>
      <c r="AE32" s="302"/>
      <c r="AF32" s="302"/>
      <c r="AG32" s="308"/>
      <c r="AH32" s="309"/>
      <c r="AI32" s="309"/>
      <c r="AJ32" s="310"/>
      <c r="AK32" s="330">
        <f t="shared" ref="AK32:AM33" si="7">+AK30+AK28</f>
        <v>1</v>
      </c>
      <c r="AL32" s="308">
        <f t="shared" si="7"/>
        <v>3</v>
      </c>
      <c r="AM32" s="309">
        <f t="shared" si="7"/>
        <v>3</v>
      </c>
      <c r="AN32" s="74"/>
      <c r="AO32" s="95">
        <f>+AM32/AB32</f>
        <v>0.6</v>
      </c>
      <c r="AP32" s="96">
        <f t="shared" si="6"/>
        <v>0.6</v>
      </c>
      <c r="AQ32" s="522"/>
      <c r="AR32" s="484"/>
      <c r="AS32" s="484"/>
      <c r="AT32" s="484"/>
      <c r="AU32" s="515"/>
      <c r="AV32" s="92"/>
      <c r="AW32" s="92"/>
      <c r="AX32" s="92"/>
      <c r="AY32" s="92"/>
      <c r="AZ32" s="92"/>
      <c r="BA32" s="92"/>
      <c r="BB32" s="92"/>
      <c r="BC32" s="92"/>
      <c r="BD32" s="92"/>
      <c r="BE32" s="92"/>
      <c r="BF32" s="92"/>
      <c r="BG32" s="92"/>
      <c r="BH32" s="92"/>
    </row>
    <row r="33" spans="1:60" ht="18.75" thickBot="1" x14ac:dyDescent="0.3">
      <c r="A33" s="526"/>
      <c r="B33" s="488"/>
      <c r="C33" s="482"/>
      <c r="D33" s="485"/>
      <c r="E33" s="485"/>
      <c r="F33" s="512"/>
      <c r="G33" s="34" t="s">
        <v>13</v>
      </c>
      <c r="H33" s="285">
        <f>H29+H31</f>
        <v>743258970</v>
      </c>
      <c r="I33" s="289">
        <f>+I31+I29</f>
        <v>0</v>
      </c>
      <c r="J33" s="289">
        <f>+J31+J29</f>
        <v>0</v>
      </c>
      <c r="K33" s="289">
        <f>+K31+K29</f>
        <v>0</v>
      </c>
      <c r="L33" s="289">
        <f>+L31+L29</f>
        <v>0</v>
      </c>
      <c r="M33" s="289">
        <v>97000000</v>
      </c>
      <c r="N33" s="289">
        <v>97000000</v>
      </c>
      <c r="O33" s="289">
        <v>97000000</v>
      </c>
      <c r="P33" s="289">
        <v>90000000</v>
      </c>
      <c r="Q33" s="289">
        <v>90000000</v>
      </c>
      <c r="R33" s="289">
        <v>90000000</v>
      </c>
      <c r="S33" s="289">
        <f>+S31+S29</f>
        <v>216560000</v>
      </c>
      <c r="T33" s="289">
        <v>216560000</v>
      </c>
      <c r="U33" s="285">
        <f>+U31+U29</f>
        <v>274661985</v>
      </c>
      <c r="V33" s="289">
        <v>274661985</v>
      </c>
      <c r="W33" s="289">
        <v>274661985</v>
      </c>
      <c r="X33" s="289">
        <v>274661985</v>
      </c>
      <c r="Y33" s="289">
        <v>193935000</v>
      </c>
      <c r="Z33" s="289">
        <f>Z29+Z31</f>
        <v>378596985</v>
      </c>
      <c r="AA33" s="289">
        <f>AA29+AA31</f>
        <v>378596985</v>
      </c>
      <c r="AB33" s="289">
        <f>AB29+AB31</f>
        <v>378596985</v>
      </c>
      <c r="AC33" s="289">
        <f>AC29+AC31</f>
        <v>0</v>
      </c>
      <c r="AD33" s="338"/>
      <c r="AE33" s="311">
        <f t="shared" ref="AE33" si="8">AE29+AE31</f>
        <v>0</v>
      </c>
      <c r="AF33" s="311"/>
      <c r="AG33" s="300"/>
      <c r="AH33" s="152"/>
      <c r="AI33" s="152"/>
      <c r="AJ33" s="301"/>
      <c r="AK33" s="338">
        <f t="shared" si="7"/>
        <v>184661985</v>
      </c>
      <c r="AL33" s="311">
        <f t="shared" si="7"/>
        <v>378596985</v>
      </c>
      <c r="AM33" s="311">
        <f t="shared" si="7"/>
        <v>378596985</v>
      </c>
      <c r="AN33" s="99"/>
      <c r="AO33" s="115">
        <f>+AM33/AB33</f>
        <v>1</v>
      </c>
      <c r="AP33" s="116">
        <f t="shared" si="6"/>
        <v>1</v>
      </c>
      <c r="AQ33" s="523"/>
      <c r="AR33" s="485"/>
      <c r="AS33" s="485"/>
      <c r="AT33" s="485"/>
      <c r="AU33" s="516"/>
      <c r="AV33" s="92"/>
      <c r="AW33" s="92"/>
      <c r="AX33" s="92"/>
      <c r="AY33" s="92"/>
      <c r="AZ33" s="92"/>
      <c r="BA33" s="92"/>
      <c r="BB33" s="92"/>
      <c r="BC33" s="92"/>
      <c r="BD33" s="92"/>
      <c r="BE33" s="92"/>
      <c r="BF33" s="92"/>
      <c r="BG33" s="92"/>
      <c r="BH33" s="92"/>
    </row>
    <row r="34" spans="1:60" ht="15.75" customHeight="1" thickBot="1" x14ac:dyDescent="0.3">
      <c r="A34" s="518" t="s">
        <v>187</v>
      </c>
      <c r="B34" s="486">
        <v>5</v>
      </c>
      <c r="C34" s="480" t="s">
        <v>188</v>
      </c>
      <c r="D34" s="483" t="s">
        <v>169</v>
      </c>
      <c r="E34" s="483">
        <v>535</v>
      </c>
      <c r="F34" s="510">
        <v>180</v>
      </c>
      <c r="G34" s="31" t="s">
        <v>8</v>
      </c>
      <c r="H34" s="287">
        <v>10</v>
      </c>
      <c r="I34" s="345">
        <v>1</v>
      </c>
      <c r="J34" s="345">
        <v>1</v>
      </c>
      <c r="K34" s="345">
        <v>1</v>
      </c>
      <c r="L34" s="345">
        <v>0.5</v>
      </c>
      <c r="M34" s="321">
        <v>2</v>
      </c>
      <c r="N34" s="321">
        <v>2</v>
      </c>
      <c r="O34" s="321">
        <v>2</v>
      </c>
      <c r="P34" s="321">
        <v>2</v>
      </c>
      <c r="Q34" s="321">
        <v>2</v>
      </c>
      <c r="R34" s="321">
        <v>2</v>
      </c>
      <c r="S34" s="321">
        <v>1</v>
      </c>
      <c r="T34" s="321">
        <v>1</v>
      </c>
      <c r="U34" s="321">
        <v>1</v>
      </c>
      <c r="V34" s="321">
        <v>1</v>
      </c>
      <c r="W34" s="321">
        <v>1</v>
      </c>
      <c r="X34" s="321">
        <v>1</v>
      </c>
      <c r="Y34" s="321">
        <v>3</v>
      </c>
      <c r="Z34" s="346">
        <v>3</v>
      </c>
      <c r="AA34" s="346">
        <v>3</v>
      </c>
      <c r="AB34" s="321">
        <v>3</v>
      </c>
      <c r="AC34" s="321"/>
      <c r="AD34" s="341"/>
      <c r="AE34" s="312">
        <v>3</v>
      </c>
      <c r="AF34" s="297"/>
      <c r="AG34" s="297"/>
      <c r="AH34" s="297"/>
      <c r="AI34" s="297"/>
      <c r="AJ34" s="299"/>
      <c r="AK34" s="341">
        <v>0</v>
      </c>
      <c r="AL34" s="297">
        <v>3</v>
      </c>
      <c r="AM34" s="297">
        <v>3</v>
      </c>
      <c r="AN34" s="72"/>
      <c r="AO34" s="90">
        <f>AM34/AB34</f>
        <v>1</v>
      </c>
      <c r="AP34" s="91">
        <f t="shared" si="6"/>
        <v>0.65</v>
      </c>
      <c r="AQ34" s="489" t="s">
        <v>189</v>
      </c>
      <c r="AR34" s="498" t="s">
        <v>164</v>
      </c>
      <c r="AS34" s="498" t="s">
        <v>165</v>
      </c>
      <c r="AT34" s="498" t="s">
        <v>190</v>
      </c>
      <c r="AU34" s="501" t="s">
        <v>191</v>
      </c>
      <c r="AV34" s="92"/>
      <c r="AW34" s="92"/>
      <c r="AX34" s="92"/>
      <c r="AY34" s="92"/>
      <c r="AZ34" s="92"/>
      <c r="BA34" s="92"/>
      <c r="BB34" s="92"/>
      <c r="BC34" s="92"/>
      <c r="BD34" s="92"/>
      <c r="BE34" s="92"/>
      <c r="BF34" s="92"/>
      <c r="BG34" s="92"/>
      <c r="BH34" s="92"/>
    </row>
    <row r="35" spans="1:60" ht="18" x14ac:dyDescent="0.25">
      <c r="A35" s="519"/>
      <c r="B35" s="487"/>
      <c r="C35" s="481"/>
      <c r="D35" s="484"/>
      <c r="E35" s="484"/>
      <c r="F35" s="511"/>
      <c r="G35" s="33" t="s">
        <v>9</v>
      </c>
      <c r="H35" s="289">
        <f>+L35+R35+S35+Y35+AE35</f>
        <v>1283681374</v>
      </c>
      <c r="I35" s="289">
        <v>97471587</v>
      </c>
      <c r="J35" s="289">
        <v>97471587</v>
      </c>
      <c r="K35" s="289">
        <v>48971587</v>
      </c>
      <c r="L35" s="289">
        <v>25436478</v>
      </c>
      <c r="M35" s="289">
        <v>449112690</v>
      </c>
      <c r="N35" s="289">
        <v>449112690</v>
      </c>
      <c r="O35" s="289">
        <v>449112690</v>
      </c>
      <c r="P35" s="289">
        <v>581166481</v>
      </c>
      <c r="Q35" s="289">
        <v>581166481</v>
      </c>
      <c r="R35" s="289">
        <v>406254896</v>
      </c>
      <c r="S35" s="289">
        <v>254125000</v>
      </c>
      <c r="T35" s="289">
        <v>254125000</v>
      </c>
      <c r="U35" s="289">
        <v>298166500</v>
      </c>
      <c r="V35" s="289">
        <v>298166500</v>
      </c>
      <c r="W35" s="289">
        <v>264946500</v>
      </c>
      <c r="X35" s="289">
        <v>217788325</v>
      </c>
      <c r="Y35" s="289">
        <v>239525000</v>
      </c>
      <c r="Z35" s="289">
        <v>239525000</v>
      </c>
      <c r="AA35" s="289">
        <v>239525000</v>
      </c>
      <c r="AB35" s="289">
        <v>244244000</v>
      </c>
      <c r="AC35" s="289"/>
      <c r="AD35" s="328"/>
      <c r="AE35" s="152">
        <v>358340000</v>
      </c>
      <c r="AF35" s="152"/>
      <c r="AG35" s="152"/>
      <c r="AH35" s="152"/>
      <c r="AI35" s="152"/>
      <c r="AJ35" s="301"/>
      <c r="AK35" s="328">
        <v>94380000</v>
      </c>
      <c r="AL35" s="152">
        <v>163033500</v>
      </c>
      <c r="AM35" s="152">
        <v>172576000</v>
      </c>
      <c r="AN35" s="94"/>
      <c r="AO35" s="95">
        <f>AM35/AB35</f>
        <v>0.70657211640818196</v>
      </c>
      <c r="AP35" s="91">
        <f t="shared" si="6"/>
        <v>0.64038920845166047</v>
      </c>
      <c r="AQ35" s="490"/>
      <c r="AR35" s="499"/>
      <c r="AS35" s="499"/>
      <c r="AT35" s="499"/>
      <c r="AU35" s="502"/>
      <c r="AV35" s="92"/>
      <c r="AW35" s="92"/>
      <c r="AX35" s="92"/>
      <c r="AY35" s="92"/>
      <c r="AZ35" s="92"/>
      <c r="BA35" s="92"/>
      <c r="BB35" s="92"/>
      <c r="BC35" s="92"/>
      <c r="BD35" s="92"/>
      <c r="BE35" s="92"/>
      <c r="BF35" s="92"/>
      <c r="BG35" s="92"/>
      <c r="BH35" s="92"/>
    </row>
    <row r="36" spans="1:60" ht="18" x14ac:dyDescent="0.25">
      <c r="A36" s="519"/>
      <c r="B36" s="487"/>
      <c r="C36" s="481"/>
      <c r="D36" s="484"/>
      <c r="E36" s="484"/>
      <c r="F36" s="511"/>
      <c r="G36" s="30" t="s">
        <v>10</v>
      </c>
      <c r="H36" s="291"/>
      <c r="I36" s="291"/>
      <c r="J36" s="291"/>
      <c r="K36" s="291"/>
      <c r="L36" s="291"/>
      <c r="M36" s="291">
        <v>0.5</v>
      </c>
      <c r="N36" s="291">
        <v>0.5</v>
      </c>
      <c r="O36" s="291">
        <v>0.5</v>
      </c>
      <c r="P36" s="291">
        <v>0.5</v>
      </c>
      <c r="Q36" s="291">
        <v>0.5</v>
      </c>
      <c r="R36" s="291">
        <v>0.5</v>
      </c>
      <c r="S36" s="291">
        <v>0</v>
      </c>
      <c r="T36" s="291">
        <v>0</v>
      </c>
      <c r="U36" s="291">
        <v>0</v>
      </c>
      <c r="V36" s="291">
        <v>0</v>
      </c>
      <c r="W36" s="291">
        <v>0</v>
      </c>
      <c r="X36" s="291">
        <v>0</v>
      </c>
      <c r="Y36" s="291">
        <v>0</v>
      </c>
      <c r="Z36" s="291">
        <v>0</v>
      </c>
      <c r="AA36" s="291">
        <v>0</v>
      </c>
      <c r="AB36" s="291">
        <v>0</v>
      </c>
      <c r="AC36" s="291"/>
      <c r="AD36" s="330"/>
      <c r="AE36" s="302"/>
      <c r="AF36" s="302"/>
      <c r="AG36" s="302"/>
      <c r="AH36" s="302"/>
      <c r="AI36" s="302"/>
      <c r="AJ36" s="304"/>
      <c r="AK36" s="330">
        <v>0</v>
      </c>
      <c r="AL36" s="302">
        <v>0</v>
      </c>
      <c r="AM36" s="302">
        <v>0</v>
      </c>
      <c r="AN36" s="75"/>
      <c r="AO36" s="110"/>
      <c r="AP36" s="111"/>
      <c r="AQ36" s="490"/>
      <c r="AR36" s="499"/>
      <c r="AS36" s="499"/>
      <c r="AT36" s="499"/>
      <c r="AU36" s="502"/>
      <c r="AV36" s="92"/>
      <c r="AW36" s="92"/>
      <c r="AX36" s="92"/>
      <c r="AY36" s="92"/>
      <c r="AZ36" s="92"/>
      <c r="BA36" s="92"/>
      <c r="BB36" s="92"/>
      <c r="BC36" s="92"/>
      <c r="BD36" s="92"/>
      <c r="BE36" s="92"/>
      <c r="BF36" s="92"/>
      <c r="BG36" s="92"/>
      <c r="BH36" s="92"/>
    </row>
    <row r="37" spans="1:60" ht="18" x14ac:dyDescent="0.25">
      <c r="A37" s="519"/>
      <c r="B37" s="487"/>
      <c r="C37" s="481"/>
      <c r="D37" s="484"/>
      <c r="E37" s="484"/>
      <c r="F37" s="511"/>
      <c r="G37" s="33" t="s">
        <v>11</v>
      </c>
      <c r="H37" s="289">
        <f>L37+R37+X37+AA37</f>
        <v>249075594</v>
      </c>
      <c r="I37" s="289"/>
      <c r="J37" s="289"/>
      <c r="K37" s="289"/>
      <c r="L37" s="289"/>
      <c r="M37" s="289">
        <v>15008539</v>
      </c>
      <c r="N37" s="289">
        <v>15008539</v>
      </c>
      <c r="O37" s="289">
        <v>15008539</v>
      </c>
      <c r="P37" s="289">
        <v>15008539</v>
      </c>
      <c r="Q37" s="289">
        <v>15008539</v>
      </c>
      <c r="R37" s="289">
        <v>15008539</v>
      </c>
      <c r="S37" s="289">
        <v>190281230</v>
      </c>
      <c r="T37" s="289">
        <v>190281230</v>
      </c>
      <c r="U37" s="289">
        <v>190281230</v>
      </c>
      <c r="V37" s="289">
        <v>190281230</v>
      </c>
      <c r="W37" s="289">
        <v>190281230</v>
      </c>
      <c r="X37" s="289">
        <v>190281230</v>
      </c>
      <c r="Y37" s="289">
        <v>43785825</v>
      </c>
      <c r="Z37" s="289">
        <v>43785825</v>
      </c>
      <c r="AA37" s="289">
        <v>43785825</v>
      </c>
      <c r="AB37" s="289">
        <v>43785825</v>
      </c>
      <c r="AC37" s="289"/>
      <c r="AD37" s="348"/>
      <c r="AE37" s="152"/>
      <c r="AF37" s="152"/>
      <c r="AG37" s="152"/>
      <c r="AH37" s="152"/>
      <c r="AI37" s="152"/>
      <c r="AJ37" s="301"/>
      <c r="AK37" s="348">
        <v>27203500</v>
      </c>
      <c r="AL37" s="152">
        <v>36967500</v>
      </c>
      <c r="AM37" s="152">
        <v>36967500</v>
      </c>
      <c r="AN37" s="94"/>
      <c r="AO37" s="96">
        <f>AM37/AB37</f>
        <v>0.84428008379424158</v>
      </c>
      <c r="AP37" s="96">
        <f t="shared" si="6"/>
        <v>0.97262547931532783</v>
      </c>
      <c r="AQ37" s="490"/>
      <c r="AR37" s="499"/>
      <c r="AS37" s="499"/>
      <c r="AT37" s="499"/>
      <c r="AU37" s="502"/>
      <c r="AV37" s="92"/>
      <c r="AW37" s="92"/>
      <c r="AX37" s="92"/>
      <c r="AY37" s="92"/>
      <c r="AZ37" s="92"/>
      <c r="BA37" s="92"/>
      <c r="BB37" s="92"/>
      <c r="BC37" s="92"/>
      <c r="BD37" s="92"/>
      <c r="BE37" s="92"/>
      <c r="BF37" s="92"/>
      <c r="BG37" s="92"/>
      <c r="BH37" s="92"/>
    </row>
    <row r="38" spans="1:60" ht="18" x14ac:dyDescent="0.25">
      <c r="A38" s="519"/>
      <c r="B38" s="487"/>
      <c r="C38" s="481"/>
      <c r="D38" s="484"/>
      <c r="E38" s="484"/>
      <c r="F38" s="511"/>
      <c r="G38" s="30" t="s">
        <v>12</v>
      </c>
      <c r="H38" s="342">
        <v>10</v>
      </c>
      <c r="I38" s="333">
        <v>1</v>
      </c>
      <c r="J38" s="333">
        <v>1</v>
      </c>
      <c r="K38" s="333">
        <v>1</v>
      </c>
      <c r="L38" s="333">
        <f>+L34</f>
        <v>0.5</v>
      </c>
      <c r="M38" s="342">
        <v>2.5</v>
      </c>
      <c r="N38" s="342">
        <v>2.5</v>
      </c>
      <c r="O38" s="342">
        <v>2.5</v>
      </c>
      <c r="P38" s="342">
        <v>2.5</v>
      </c>
      <c r="Q38" s="342">
        <v>2.5</v>
      </c>
      <c r="R38" s="342">
        <v>2.5</v>
      </c>
      <c r="S38" s="342">
        <f>+S36+S34</f>
        <v>1</v>
      </c>
      <c r="T38" s="342">
        <v>1</v>
      </c>
      <c r="U38" s="342">
        <v>1</v>
      </c>
      <c r="V38" s="342">
        <v>1</v>
      </c>
      <c r="W38" s="342">
        <v>1</v>
      </c>
      <c r="X38" s="342">
        <v>1</v>
      </c>
      <c r="Y38" s="342">
        <v>0</v>
      </c>
      <c r="Z38" s="347">
        <v>0</v>
      </c>
      <c r="AA38" s="347">
        <v>0</v>
      </c>
      <c r="AB38" s="342">
        <v>0</v>
      </c>
      <c r="AC38" s="342">
        <f>+AC37+AC34</f>
        <v>0</v>
      </c>
      <c r="AD38" s="330"/>
      <c r="AE38" s="349">
        <v>3</v>
      </c>
      <c r="AF38" s="302"/>
      <c r="AG38" s="302"/>
      <c r="AH38" s="302"/>
      <c r="AI38" s="302"/>
      <c r="AJ38" s="304"/>
      <c r="AK38" s="330">
        <f t="shared" ref="AK38:AM39" si="9">+AK36+AK34</f>
        <v>0</v>
      </c>
      <c r="AL38" s="302">
        <f t="shared" si="9"/>
        <v>3</v>
      </c>
      <c r="AM38" s="302">
        <f t="shared" si="9"/>
        <v>3</v>
      </c>
      <c r="AN38" s="75"/>
      <c r="AO38" s="96"/>
      <c r="AP38" s="96">
        <f t="shared" si="6"/>
        <v>0.7</v>
      </c>
      <c r="AQ38" s="490"/>
      <c r="AR38" s="499"/>
      <c r="AS38" s="499"/>
      <c r="AT38" s="499"/>
      <c r="AU38" s="502"/>
      <c r="AV38" s="92"/>
      <c r="AW38" s="92"/>
      <c r="AX38" s="92"/>
      <c r="AY38" s="92"/>
      <c r="AZ38" s="92"/>
      <c r="BA38" s="92"/>
      <c r="BB38" s="92"/>
      <c r="BC38" s="92"/>
      <c r="BD38" s="92"/>
      <c r="BE38" s="92"/>
      <c r="BF38" s="92"/>
      <c r="BG38" s="92"/>
      <c r="BH38" s="92"/>
    </row>
    <row r="39" spans="1:60" ht="18.75" thickBot="1" x14ac:dyDescent="0.3">
      <c r="A39" s="520"/>
      <c r="B39" s="488"/>
      <c r="C39" s="482"/>
      <c r="D39" s="485"/>
      <c r="E39" s="485"/>
      <c r="F39" s="512"/>
      <c r="G39" s="34" t="s">
        <v>13</v>
      </c>
      <c r="H39" s="285">
        <f>H35+H37</f>
        <v>1532756968</v>
      </c>
      <c r="I39" s="289">
        <f>I35+I37</f>
        <v>97471587</v>
      </c>
      <c r="J39" s="289">
        <f>J35+J37</f>
        <v>97471587</v>
      </c>
      <c r="K39" s="289">
        <v>48971587</v>
      </c>
      <c r="L39" s="289">
        <f>L35+L37</f>
        <v>25436478</v>
      </c>
      <c r="M39" s="289">
        <v>464121229</v>
      </c>
      <c r="N39" s="289">
        <v>464121229</v>
      </c>
      <c r="O39" s="289">
        <v>464121229</v>
      </c>
      <c r="P39" s="289">
        <v>596175020</v>
      </c>
      <c r="Q39" s="289">
        <v>596175020</v>
      </c>
      <c r="R39" s="289">
        <v>421263435</v>
      </c>
      <c r="S39" s="289">
        <f>+S37+S35</f>
        <v>444406230</v>
      </c>
      <c r="T39" s="289">
        <v>444406230</v>
      </c>
      <c r="U39" s="289">
        <v>444406230</v>
      </c>
      <c r="V39" s="289">
        <v>444406230</v>
      </c>
      <c r="W39" s="289">
        <v>444406230</v>
      </c>
      <c r="X39" s="289">
        <v>408069555</v>
      </c>
      <c r="Y39" s="289">
        <v>239525000</v>
      </c>
      <c r="Z39" s="289">
        <f>Z35+Z37</f>
        <v>283310825</v>
      </c>
      <c r="AA39" s="289">
        <f>AA35+AA37</f>
        <v>283310825</v>
      </c>
      <c r="AB39" s="289">
        <f>AB35+AB37</f>
        <v>288029825</v>
      </c>
      <c r="AC39" s="289">
        <f>AC35+AC37</f>
        <v>0</v>
      </c>
      <c r="AD39" s="328"/>
      <c r="AE39" s="152">
        <f t="shared" ref="AE39" si="10">AE35+AE37</f>
        <v>358340000</v>
      </c>
      <c r="AF39" s="152"/>
      <c r="AG39" s="152"/>
      <c r="AH39" s="152"/>
      <c r="AI39" s="152"/>
      <c r="AJ39" s="301"/>
      <c r="AK39" s="338">
        <f t="shared" si="9"/>
        <v>121583500</v>
      </c>
      <c r="AL39" s="311">
        <f t="shared" si="9"/>
        <v>200001000</v>
      </c>
      <c r="AM39" s="311">
        <f t="shared" si="9"/>
        <v>209543500</v>
      </c>
      <c r="AN39" s="99"/>
      <c r="AO39" s="115">
        <f t="shared" ref="AO39:AO63" si="11">AM39/AB39</f>
        <v>0.72750625738150554</v>
      </c>
      <c r="AP39" s="116">
        <f t="shared" si="6"/>
        <v>0.69437816315312939</v>
      </c>
      <c r="AQ39" s="491"/>
      <c r="AR39" s="500"/>
      <c r="AS39" s="500"/>
      <c r="AT39" s="500"/>
      <c r="AU39" s="503"/>
      <c r="AV39" s="92"/>
      <c r="AW39" s="92"/>
      <c r="AX39" s="92"/>
      <c r="AY39" s="92"/>
      <c r="AZ39" s="92"/>
      <c r="BA39" s="92"/>
      <c r="BB39" s="92"/>
      <c r="BC39" s="92"/>
      <c r="BD39" s="92"/>
      <c r="BE39" s="92"/>
      <c r="BF39" s="92"/>
      <c r="BG39" s="92"/>
      <c r="BH39" s="92"/>
    </row>
    <row r="40" spans="1:60" ht="15" x14ac:dyDescent="0.25">
      <c r="A40" s="527" t="s">
        <v>192</v>
      </c>
      <c r="B40" s="486">
        <v>6</v>
      </c>
      <c r="C40" s="480" t="s">
        <v>193</v>
      </c>
      <c r="D40" s="483" t="s">
        <v>169</v>
      </c>
      <c r="E40" s="483">
        <v>535</v>
      </c>
      <c r="F40" s="510">
        <v>180</v>
      </c>
      <c r="G40" s="31" t="s">
        <v>8</v>
      </c>
      <c r="H40" s="321">
        <v>80</v>
      </c>
      <c r="I40" s="345">
        <v>1</v>
      </c>
      <c r="J40" s="345">
        <v>1</v>
      </c>
      <c r="K40" s="345">
        <v>1</v>
      </c>
      <c r="L40" s="345">
        <v>0.6</v>
      </c>
      <c r="M40" s="321">
        <v>9</v>
      </c>
      <c r="N40" s="321">
        <v>9</v>
      </c>
      <c r="O40" s="321">
        <v>9</v>
      </c>
      <c r="P40" s="321">
        <v>9</v>
      </c>
      <c r="Q40" s="321">
        <v>9</v>
      </c>
      <c r="R40" s="321">
        <v>0</v>
      </c>
      <c r="S40" s="321">
        <v>40</v>
      </c>
      <c r="T40" s="321">
        <v>40</v>
      </c>
      <c r="U40" s="321">
        <v>40</v>
      </c>
      <c r="V40" s="321">
        <v>40</v>
      </c>
      <c r="W40" s="321">
        <v>40</v>
      </c>
      <c r="X40" s="321">
        <v>0</v>
      </c>
      <c r="Y40" s="321">
        <v>20</v>
      </c>
      <c r="Z40" s="346">
        <v>20</v>
      </c>
      <c r="AA40" s="346">
        <v>20</v>
      </c>
      <c r="AB40" s="321">
        <v>20</v>
      </c>
      <c r="AC40" s="321"/>
      <c r="AD40" s="350"/>
      <c r="AE40" s="312">
        <v>9.4</v>
      </c>
      <c r="AF40" s="312"/>
      <c r="AG40" s="312"/>
      <c r="AH40" s="312"/>
      <c r="AI40" s="312"/>
      <c r="AJ40" s="313"/>
      <c r="AK40" s="351">
        <v>0</v>
      </c>
      <c r="AL40" s="312">
        <v>0</v>
      </c>
      <c r="AM40" s="312">
        <v>0</v>
      </c>
      <c r="AN40" s="76"/>
      <c r="AO40" s="90">
        <f t="shared" si="11"/>
        <v>0</v>
      </c>
      <c r="AP40" s="91">
        <f t="shared" si="6"/>
        <v>7.4999999999999997E-3</v>
      </c>
      <c r="AQ40" s="489" t="s">
        <v>194</v>
      </c>
      <c r="AR40" s="483" t="s">
        <v>195</v>
      </c>
      <c r="AS40" s="483" t="s">
        <v>196</v>
      </c>
      <c r="AT40" s="498" t="s">
        <v>197</v>
      </c>
      <c r="AU40" s="517" t="s">
        <v>198</v>
      </c>
      <c r="AV40" s="92"/>
      <c r="AW40" s="92"/>
      <c r="AX40" s="92"/>
      <c r="AY40" s="92"/>
      <c r="AZ40" s="92"/>
      <c r="BA40" s="92"/>
      <c r="BB40" s="92"/>
      <c r="BC40" s="92"/>
      <c r="BD40" s="92"/>
      <c r="BE40" s="92"/>
      <c r="BF40" s="92"/>
      <c r="BG40" s="92"/>
      <c r="BH40" s="92"/>
    </row>
    <row r="41" spans="1:60" ht="18" x14ac:dyDescent="0.25">
      <c r="A41" s="528"/>
      <c r="B41" s="487"/>
      <c r="C41" s="481"/>
      <c r="D41" s="484"/>
      <c r="E41" s="484"/>
      <c r="F41" s="511"/>
      <c r="G41" s="33" t="s">
        <v>9</v>
      </c>
      <c r="H41" s="289">
        <f>+L41+R41+S41+Y41+AE41</f>
        <v>5575380807</v>
      </c>
      <c r="I41" s="289">
        <v>176451330</v>
      </c>
      <c r="J41" s="289">
        <v>176451330</v>
      </c>
      <c r="K41" s="289">
        <v>136451330</v>
      </c>
      <c r="L41" s="289">
        <v>117519395</v>
      </c>
      <c r="M41" s="289">
        <v>1194445933</v>
      </c>
      <c r="N41" s="289">
        <v>1194445933</v>
      </c>
      <c r="O41" s="289">
        <v>1194445933</v>
      </c>
      <c r="P41" s="289">
        <v>1180445933</v>
      </c>
      <c r="Q41" s="289">
        <v>1083458667</v>
      </c>
      <c r="R41" s="289">
        <v>942912412</v>
      </c>
      <c r="S41" s="289">
        <v>1912006000</v>
      </c>
      <c r="T41" s="289">
        <v>1912006000</v>
      </c>
      <c r="U41" s="289">
        <v>1925388000</v>
      </c>
      <c r="V41" s="289">
        <v>2041039277</v>
      </c>
      <c r="W41" s="289">
        <v>2046301277</v>
      </c>
      <c r="X41" s="289">
        <v>2046301277</v>
      </c>
      <c r="Y41" s="289">
        <v>1539316000</v>
      </c>
      <c r="Z41" s="289">
        <v>1539316000</v>
      </c>
      <c r="AA41" s="289">
        <v>1539316000</v>
      </c>
      <c r="AB41" s="289">
        <v>1355559500</v>
      </c>
      <c r="AC41" s="289">
        <v>1539315550</v>
      </c>
      <c r="AD41" s="348"/>
      <c r="AE41" s="152">
        <v>1063627000</v>
      </c>
      <c r="AF41" s="152"/>
      <c r="AG41" s="152"/>
      <c r="AH41" s="152"/>
      <c r="AI41" s="152"/>
      <c r="AJ41" s="301"/>
      <c r="AK41" s="348">
        <v>194684000</v>
      </c>
      <c r="AL41" s="152">
        <v>1327980500</v>
      </c>
      <c r="AM41" s="152">
        <v>1327980500</v>
      </c>
      <c r="AN41" s="94"/>
      <c r="AO41" s="95">
        <f t="shared" si="11"/>
        <v>0.9796548952664933</v>
      </c>
      <c r="AP41" s="96">
        <f t="shared" si="6"/>
        <v>0.79540998857551215</v>
      </c>
      <c r="AQ41" s="490"/>
      <c r="AR41" s="484"/>
      <c r="AS41" s="484"/>
      <c r="AT41" s="499"/>
      <c r="AU41" s="515"/>
      <c r="AV41" s="92"/>
      <c r="AW41" s="92"/>
      <c r="AX41" s="92"/>
      <c r="AY41" s="92"/>
      <c r="AZ41" s="92"/>
      <c r="BA41" s="92"/>
      <c r="BB41" s="92"/>
      <c r="BC41" s="92"/>
      <c r="BD41" s="92"/>
      <c r="BE41" s="92"/>
      <c r="BF41" s="92"/>
      <c r="BG41" s="92"/>
      <c r="BH41" s="92"/>
    </row>
    <row r="42" spans="1:60" ht="18" x14ac:dyDescent="0.25">
      <c r="A42" s="528"/>
      <c r="B42" s="487"/>
      <c r="C42" s="481"/>
      <c r="D42" s="484"/>
      <c r="E42" s="484"/>
      <c r="F42" s="511"/>
      <c r="G42" s="30" t="s">
        <v>10</v>
      </c>
      <c r="H42" s="291"/>
      <c r="I42" s="291"/>
      <c r="J42" s="291"/>
      <c r="K42" s="291"/>
      <c r="L42" s="291"/>
      <c r="M42" s="291">
        <v>0.4</v>
      </c>
      <c r="N42" s="291">
        <v>0.4</v>
      </c>
      <c r="O42" s="291">
        <v>0.4</v>
      </c>
      <c r="P42" s="291">
        <v>0.4</v>
      </c>
      <c r="Q42" s="291">
        <v>0.4</v>
      </c>
      <c r="R42" s="291">
        <v>0</v>
      </c>
      <c r="S42" s="291">
        <v>9.4</v>
      </c>
      <c r="T42" s="291">
        <v>9.4</v>
      </c>
      <c r="U42" s="291">
        <v>9.4</v>
      </c>
      <c r="V42" s="291">
        <v>9.4</v>
      </c>
      <c r="W42" s="291">
        <v>9.4</v>
      </c>
      <c r="X42" s="291">
        <v>0</v>
      </c>
      <c r="Y42" s="291">
        <v>49.4</v>
      </c>
      <c r="Z42" s="291">
        <v>49.4</v>
      </c>
      <c r="AA42" s="291">
        <v>49.4</v>
      </c>
      <c r="AB42" s="291">
        <v>50</v>
      </c>
      <c r="AC42" s="291"/>
      <c r="AD42" s="330"/>
      <c r="AE42" s="302">
        <v>0</v>
      </c>
      <c r="AF42" s="302"/>
      <c r="AG42" s="302"/>
      <c r="AH42" s="302"/>
      <c r="AI42" s="302"/>
      <c r="AJ42" s="304"/>
      <c r="AK42" s="352">
        <v>15</v>
      </c>
      <c r="AL42" s="302">
        <v>49.4</v>
      </c>
      <c r="AM42" s="302">
        <v>50</v>
      </c>
      <c r="AN42" s="75"/>
      <c r="AO42" s="95">
        <f t="shared" si="11"/>
        <v>1</v>
      </c>
      <c r="AP42" s="96"/>
      <c r="AQ42" s="490"/>
      <c r="AR42" s="484"/>
      <c r="AS42" s="484"/>
      <c r="AT42" s="499"/>
      <c r="AU42" s="515"/>
      <c r="AV42" s="92"/>
      <c r="AW42" s="92"/>
      <c r="AX42" s="92"/>
      <c r="AY42" s="92"/>
      <c r="AZ42" s="92"/>
      <c r="BA42" s="92"/>
      <c r="BB42" s="92"/>
      <c r="BC42" s="92"/>
      <c r="BD42" s="92"/>
      <c r="BE42" s="92"/>
      <c r="BF42" s="92"/>
      <c r="BG42" s="92"/>
      <c r="BH42" s="92"/>
    </row>
    <row r="43" spans="1:60" ht="18" x14ac:dyDescent="0.25">
      <c r="A43" s="528"/>
      <c r="B43" s="487"/>
      <c r="C43" s="481"/>
      <c r="D43" s="484"/>
      <c r="E43" s="484"/>
      <c r="F43" s="511"/>
      <c r="G43" s="33" t="s">
        <v>11</v>
      </c>
      <c r="H43" s="289">
        <f>L43+R43+X43+AK43</f>
        <v>2529074402</v>
      </c>
      <c r="I43" s="289"/>
      <c r="J43" s="289"/>
      <c r="K43" s="289"/>
      <c r="L43" s="289"/>
      <c r="M43" s="289">
        <v>69871194</v>
      </c>
      <c r="N43" s="289">
        <v>69871194</v>
      </c>
      <c r="O43" s="289">
        <v>69871193</v>
      </c>
      <c r="P43" s="289">
        <v>69871193</v>
      </c>
      <c r="Q43" s="289">
        <v>69871193</v>
      </c>
      <c r="R43" s="289">
        <v>69871193</v>
      </c>
      <c r="S43" s="289">
        <v>827947812</v>
      </c>
      <c r="T43" s="289">
        <v>827947812</v>
      </c>
      <c r="U43" s="289">
        <v>827947812</v>
      </c>
      <c r="V43" s="289">
        <v>827947812</v>
      </c>
      <c r="W43" s="289">
        <v>827947812</v>
      </c>
      <c r="X43" s="289">
        <v>613761865</v>
      </c>
      <c r="Y43" s="289">
        <v>1853482344</v>
      </c>
      <c r="Z43" s="289">
        <v>1853482344</v>
      </c>
      <c r="AA43" s="289">
        <v>1853482344</v>
      </c>
      <c r="AB43" s="289">
        <v>1853482344</v>
      </c>
      <c r="AC43" s="289"/>
      <c r="AD43" s="348"/>
      <c r="AE43" s="152"/>
      <c r="AF43" s="152"/>
      <c r="AG43" s="152"/>
      <c r="AH43" s="152"/>
      <c r="AI43" s="152"/>
      <c r="AJ43" s="301"/>
      <c r="AK43" s="348">
        <v>1845441344</v>
      </c>
      <c r="AL43" s="152">
        <v>1853482344</v>
      </c>
      <c r="AM43" s="152">
        <v>1853482344</v>
      </c>
      <c r="AN43" s="94"/>
      <c r="AO43" s="95">
        <f t="shared" si="11"/>
        <v>1</v>
      </c>
      <c r="AP43" s="96">
        <f t="shared" si="6"/>
        <v>1.0031794240587153</v>
      </c>
      <c r="AQ43" s="490"/>
      <c r="AR43" s="484"/>
      <c r="AS43" s="484"/>
      <c r="AT43" s="499"/>
      <c r="AU43" s="515"/>
      <c r="AV43" s="92"/>
      <c r="AW43" s="92"/>
      <c r="AX43" s="92"/>
      <c r="AY43" s="92"/>
      <c r="AZ43" s="92"/>
      <c r="BA43" s="92"/>
      <c r="BB43" s="92"/>
      <c r="BC43" s="92"/>
      <c r="BD43" s="92"/>
      <c r="BE43" s="92"/>
      <c r="BF43" s="92"/>
      <c r="BG43" s="92"/>
      <c r="BH43" s="92"/>
    </row>
    <row r="44" spans="1:60" ht="18" x14ac:dyDescent="0.25">
      <c r="A44" s="528"/>
      <c r="B44" s="487"/>
      <c r="C44" s="481"/>
      <c r="D44" s="484"/>
      <c r="E44" s="484"/>
      <c r="F44" s="511"/>
      <c r="G44" s="30" t="s">
        <v>12</v>
      </c>
      <c r="H44" s="342">
        <f>+H40+H42</f>
        <v>80</v>
      </c>
      <c r="I44" s="333">
        <f>+I40+I42</f>
        <v>1</v>
      </c>
      <c r="J44" s="333">
        <f>+J40+J42</f>
        <v>1</v>
      </c>
      <c r="K44" s="333">
        <v>1</v>
      </c>
      <c r="L44" s="333">
        <f>+L40+L42</f>
        <v>0.6</v>
      </c>
      <c r="M44" s="342">
        <v>9.4</v>
      </c>
      <c r="N44" s="342">
        <v>9.4</v>
      </c>
      <c r="O44" s="342">
        <v>9.4</v>
      </c>
      <c r="P44" s="342">
        <v>9.4</v>
      </c>
      <c r="Q44" s="342">
        <v>9.4</v>
      </c>
      <c r="R44" s="342">
        <v>0</v>
      </c>
      <c r="S44" s="342">
        <f>+S42+S40</f>
        <v>49.4</v>
      </c>
      <c r="T44" s="342">
        <v>49.4</v>
      </c>
      <c r="U44" s="342">
        <v>49.4</v>
      </c>
      <c r="V44" s="342">
        <v>49.4</v>
      </c>
      <c r="W44" s="342">
        <v>49.4</v>
      </c>
      <c r="X44" s="342">
        <v>0</v>
      </c>
      <c r="Y44" s="342">
        <v>69.400000000000006</v>
      </c>
      <c r="Z44" s="342">
        <v>69.400000000000006</v>
      </c>
      <c r="AA44" s="347">
        <v>69.400000000000006</v>
      </c>
      <c r="AB44" s="342">
        <f>+AB42+AB40</f>
        <v>70</v>
      </c>
      <c r="AC44" s="342">
        <f>+AC43+AC40</f>
        <v>0</v>
      </c>
      <c r="AD44" s="330"/>
      <c r="AE44" s="302">
        <f>AE42+AE40</f>
        <v>9.4</v>
      </c>
      <c r="AF44" s="302"/>
      <c r="AG44" s="302"/>
      <c r="AH44" s="302"/>
      <c r="AI44" s="302"/>
      <c r="AJ44" s="304"/>
      <c r="AK44" s="330">
        <f>+AK42+AK40</f>
        <v>15</v>
      </c>
      <c r="AL44" s="302">
        <f>+AL42+AL40</f>
        <v>49.4</v>
      </c>
      <c r="AM44" s="302">
        <f>+AM42+AM40</f>
        <v>50</v>
      </c>
      <c r="AN44" s="75"/>
      <c r="AO44" s="95">
        <f t="shared" si="11"/>
        <v>0.7142857142857143</v>
      </c>
      <c r="AP44" s="96">
        <f t="shared" si="6"/>
        <v>0.63250000000000006</v>
      </c>
      <c r="AQ44" s="490"/>
      <c r="AR44" s="484"/>
      <c r="AS44" s="484"/>
      <c r="AT44" s="499"/>
      <c r="AU44" s="515"/>
      <c r="AV44" s="92"/>
      <c r="AW44" s="92"/>
      <c r="AX44" s="92"/>
      <c r="AY44" s="92"/>
      <c r="AZ44" s="92"/>
      <c r="BA44" s="92"/>
      <c r="BB44" s="92"/>
      <c r="BC44" s="92"/>
      <c r="BD44" s="92"/>
      <c r="BE44" s="92"/>
      <c r="BF44" s="92"/>
      <c r="BG44" s="92"/>
      <c r="BH44" s="92"/>
    </row>
    <row r="45" spans="1:60" ht="18.75" thickBot="1" x14ac:dyDescent="0.3">
      <c r="A45" s="528"/>
      <c r="B45" s="488"/>
      <c r="C45" s="482"/>
      <c r="D45" s="485"/>
      <c r="E45" s="485"/>
      <c r="F45" s="512"/>
      <c r="G45" s="34" t="s">
        <v>13</v>
      </c>
      <c r="H45" s="285">
        <f>H41+H43</f>
        <v>8104455209</v>
      </c>
      <c r="I45" s="289">
        <f>I41+I43</f>
        <v>176451330</v>
      </c>
      <c r="J45" s="289">
        <f>J41+J43</f>
        <v>176451330</v>
      </c>
      <c r="K45" s="289">
        <v>136451330</v>
      </c>
      <c r="L45" s="289">
        <f>L41+L43</f>
        <v>117519395</v>
      </c>
      <c r="M45" s="289">
        <v>1264317127</v>
      </c>
      <c r="N45" s="289">
        <v>1264317127</v>
      </c>
      <c r="O45" s="289">
        <v>1264317126</v>
      </c>
      <c r="P45" s="289">
        <v>1250317126</v>
      </c>
      <c r="Q45" s="289">
        <v>1153329860</v>
      </c>
      <c r="R45" s="289">
        <v>1012783605</v>
      </c>
      <c r="S45" s="289">
        <f>+S43+S41</f>
        <v>2739953812</v>
      </c>
      <c r="T45" s="289">
        <v>2739953812</v>
      </c>
      <c r="U45" s="289">
        <v>2739953812</v>
      </c>
      <c r="V45" s="289">
        <v>2739953812</v>
      </c>
      <c r="W45" s="289">
        <v>2739953812</v>
      </c>
      <c r="X45" s="289">
        <v>2660063142</v>
      </c>
      <c r="Y45" s="289">
        <v>1539316000</v>
      </c>
      <c r="Z45" s="289">
        <f>Z41+Z43</f>
        <v>3392798344</v>
      </c>
      <c r="AA45" s="289">
        <f>AA41+AA43</f>
        <v>3392798344</v>
      </c>
      <c r="AB45" s="289">
        <f>AB41+AB43</f>
        <v>3209041844</v>
      </c>
      <c r="AC45" s="289">
        <f>AC41+AC43</f>
        <v>1539315550</v>
      </c>
      <c r="AD45" s="328"/>
      <c r="AE45" s="152">
        <f t="shared" ref="AE45" si="12">AE41+AE43</f>
        <v>1063627000</v>
      </c>
      <c r="AF45" s="152"/>
      <c r="AG45" s="152"/>
      <c r="AH45" s="152"/>
      <c r="AI45" s="152"/>
      <c r="AJ45" s="301"/>
      <c r="AK45" s="338">
        <f>+AK41+AK43</f>
        <v>2040125344</v>
      </c>
      <c r="AL45" s="311">
        <f>+AL41+AL43</f>
        <v>3181462844</v>
      </c>
      <c r="AM45" s="311">
        <f>+AM41+AM43</f>
        <v>3181462844</v>
      </c>
      <c r="AN45" s="99"/>
      <c r="AO45" s="100">
        <f t="shared" si="11"/>
        <v>0.9914058459376075</v>
      </c>
      <c r="AP45" s="101">
        <f t="shared" si="6"/>
        <v>0.86024647014617117</v>
      </c>
      <c r="AQ45" s="491"/>
      <c r="AR45" s="485"/>
      <c r="AS45" s="485"/>
      <c r="AT45" s="500"/>
      <c r="AU45" s="516"/>
      <c r="AV45" s="92"/>
      <c r="AW45" s="92"/>
      <c r="AX45" s="92"/>
      <c r="AY45" s="92"/>
      <c r="AZ45" s="92"/>
      <c r="BA45" s="92"/>
      <c r="BB45" s="92"/>
      <c r="BC45" s="92"/>
      <c r="BD45" s="92"/>
      <c r="BE45" s="92"/>
      <c r="BF45" s="92"/>
      <c r="BG45" s="92"/>
      <c r="BH45" s="92"/>
    </row>
    <row r="46" spans="1:60" ht="15" x14ac:dyDescent="0.25">
      <c r="A46" s="528"/>
      <c r="B46" s="486">
        <v>7</v>
      </c>
      <c r="C46" s="480" t="s">
        <v>215</v>
      </c>
      <c r="D46" s="483" t="s">
        <v>169</v>
      </c>
      <c r="E46" s="483">
        <v>535</v>
      </c>
      <c r="F46" s="510">
        <v>180</v>
      </c>
      <c r="G46" s="31" t="s">
        <v>8</v>
      </c>
      <c r="H46" s="321">
        <f>L46+R50+X50+AB50+AE46</f>
        <v>89</v>
      </c>
      <c r="I46" s="345">
        <v>30</v>
      </c>
      <c r="J46" s="345">
        <v>30</v>
      </c>
      <c r="K46" s="345">
        <v>30</v>
      </c>
      <c r="L46" s="345">
        <v>1</v>
      </c>
      <c r="M46" s="321">
        <v>20</v>
      </c>
      <c r="N46" s="321">
        <v>20</v>
      </c>
      <c r="O46" s="321">
        <v>20</v>
      </c>
      <c r="P46" s="321">
        <v>30</v>
      </c>
      <c r="Q46" s="321">
        <f>30</f>
        <v>30</v>
      </c>
      <c r="R46" s="321">
        <f>17.13</f>
        <v>17.13</v>
      </c>
      <c r="S46" s="321">
        <v>8</v>
      </c>
      <c r="T46" s="321">
        <v>8</v>
      </c>
      <c r="U46" s="321">
        <v>8</v>
      </c>
      <c r="V46" s="321">
        <v>8</v>
      </c>
      <c r="W46" s="321">
        <v>8</v>
      </c>
      <c r="X46" s="321">
        <v>1.1000000000000001</v>
      </c>
      <c r="Y46" s="321">
        <v>2.25</v>
      </c>
      <c r="Z46" s="321">
        <v>2.2000000000000002</v>
      </c>
      <c r="AA46" s="321">
        <f>2.25+6</f>
        <v>8.25</v>
      </c>
      <c r="AB46" s="321">
        <f>2.25+6</f>
        <v>8.25</v>
      </c>
      <c r="AC46" s="321"/>
      <c r="AD46" s="350"/>
      <c r="AE46" s="312">
        <v>3</v>
      </c>
      <c r="AF46" s="312"/>
      <c r="AG46" s="312"/>
      <c r="AH46" s="312"/>
      <c r="AI46" s="312"/>
      <c r="AJ46" s="313"/>
      <c r="AK46" s="350">
        <v>0</v>
      </c>
      <c r="AL46" s="312">
        <v>0</v>
      </c>
      <c r="AM46" s="312">
        <v>0</v>
      </c>
      <c r="AN46" s="76"/>
      <c r="AO46" s="90">
        <f t="shared" si="11"/>
        <v>0</v>
      </c>
      <c r="AP46" s="91">
        <f t="shared" si="6"/>
        <v>0.21606741573033708</v>
      </c>
      <c r="AQ46" s="532" t="s">
        <v>199</v>
      </c>
      <c r="AR46" s="498" t="s">
        <v>164</v>
      </c>
      <c r="AS46" s="498" t="s">
        <v>165</v>
      </c>
      <c r="AT46" s="535" t="s">
        <v>200</v>
      </c>
      <c r="AU46" s="538" t="s">
        <v>201</v>
      </c>
      <c r="AV46" s="92"/>
      <c r="AW46" s="92"/>
      <c r="AX46" s="92"/>
      <c r="AY46" s="92"/>
      <c r="AZ46" s="92"/>
      <c r="BA46" s="92"/>
      <c r="BB46" s="92"/>
      <c r="BC46" s="92"/>
      <c r="BD46" s="92"/>
      <c r="BE46" s="92"/>
      <c r="BF46" s="92"/>
      <c r="BG46" s="92"/>
      <c r="BH46" s="92"/>
    </row>
    <row r="47" spans="1:60" ht="18" x14ac:dyDescent="0.25">
      <c r="A47" s="528"/>
      <c r="B47" s="487"/>
      <c r="C47" s="481"/>
      <c r="D47" s="484"/>
      <c r="E47" s="484"/>
      <c r="F47" s="511"/>
      <c r="G47" s="33" t="s">
        <v>9</v>
      </c>
      <c r="H47" s="289">
        <f>+L47+R47+S47+Y47+AE47</f>
        <v>4033445928.6666665</v>
      </c>
      <c r="I47" s="289">
        <v>526558414</v>
      </c>
      <c r="J47" s="289">
        <v>526558414</v>
      </c>
      <c r="K47" s="289">
        <v>509388414</v>
      </c>
      <c r="L47" s="289">
        <v>438170282</v>
      </c>
      <c r="M47" s="289">
        <v>1705086345</v>
      </c>
      <c r="N47" s="289">
        <v>1705086345</v>
      </c>
      <c r="O47" s="289">
        <v>1705086345</v>
      </c>
      <c r="P47" s="289">
        <v>1705086345</v>
      </c>
      <c r="Q47" s="289">
        <v>1722248000</v>
      </c>
      <c r="R47" s="289">
        <v>1719388646.6666665</v>
      </c>
      <c r="S47" s="289">
        <v>837143000</v>
      </c>
      <c r="T47" s="289">
        <v>837143000</v>
      </c>
      <c r="U47" s="289">
        <v>792939500</v>
      </c>
      <c r="V47" s="289">
        <v>792939500</v>
      </c>
      <c r="W47" s="289">
        <v>792939500</v>
      </c>
      <c r="X47" s="289">
        <v>785309500</v>
      </c>
      <c r="Y47" s="289">
        <v>617596000</v>
      </c>
      <c r="Z47" s="289">
        <v>617596000</v>
      </c>
      <c r="AA47" s="289">
        <v>617596000</v>
      </c>
      <c r="AB47" s="289">
        <v>617596000</v>
      </c>
      <c r="AC47" s="289"/>
      <c r="AD47" s="328"/>
      <c r="AE47" s="152">
        <v>421148000</v>
      </c>
      <c r="AF47" s="152"/>
      <c r="AG47" s="152"/>
      <c r="AH47" s="152"/>
      <c r="AI47" s="152"/>
      <c r="AJ47" s="301"/>
      <c r="AK47" s="328">
        <v>58740000</v>
      </c>
      <c r="AL47" s="152">
        <v>392916337</v>
      </c>
      <c r="AM47" s="152">
        <v>392916337</v>
      </c>
      <c r="AN47" s="94"/>
      <c r="AO47" s="95">
        <f t="shared" si="11"/>
        <v>0.6362028526739163</v>
      </c>
      <c r="AP47" s="96">
        <f t="shared" si="6"/>
        <v>0.82703098657117102</v>
      </c>
      <c r="AQ47" s="533"/>
      <c r="AR47" s="499"/>
      <c r="AS47" s="499"/>
      <c r="AT47" s="536"/>
      <c r="AU47" s="539"/>
      <c r="AV47" s="92"/>
      <c r="AW47" s="92"/>
      <c r="AX47" s="92"/>
      <c r="AY47" s="92"/>
      <c r="AZ47" s="92"/>
      <c r="BA47" s="92"/>
      <c r="BB47" s="92"/>
      <c r="BC47" s="92"/>
      <c r="BD47" s="92"/>
      <c r="BE47" s="92"/>
      <c r="BF47" s="92"/>
      <c r="BG47" s="92"/>
      <c r="BH47" s="92"/>
    </row>
    <row r="48" spans="1:60" ht="18" x14ac:dyDescent="0.25">
      <c r="A48" s="528"/>
      <c r="B48" s="487"/>
      <c r="C48" s="481"/>
      <c r="D48" s="484"/>
      <c r="E48" s="484"/>
      <c r="F48" s="511"/>
      <c r="G48" s="30" t="s">
        <v>10</v>
      </c>
      <c r="H48" s="291"/>
      <c r="I48" s="291"/>
      <c r="J48" s="291"/>
      <c r="K48" s="291"/>
      <c r="L48" s="291"/>
      <c r="M48" s="291">
        <v>29</v>
      </c>
      <c r="N48" s="291">
        <v>29</v>
      </c>
      <c r="O48" s="291">
        <v>29</v>
      </c>
      <c r="P48" s="291">
        <v>29</v>
      </c>
      <c r="Q48" s="291">
        <v>29</v>
      </c>
      <c r="R48" s="291">
        <v>43.62</v>
      </c>
      <c r="S48" s="291">
        <v>0</v>
      </c>
      <c r="T48" s="291">
        <v>8</v>
      </c>
      <c r="U48" s="291">
        <v>8</v>
      </c>
      <c r="V48" s="291">
        <v>8</v>
      </c>
      <c r="W48" s="291">
        <v>8</v>
      </c>
      <c r="X48" s="302">
        <v>8</v>
      </c>
      <c r="Y48" s="291">
        <v>6.9</v>
      </c>
      <c r="Z48" s="291">
        <v>6.9</v>
      </c>
      <c r="AA48" s="291">
        <v>6.9</v>
      </c>
      <c r="AB48" s="291">
        <v>6.9</v>
      </c>
      <c r="AC48" s="291"/>
      <c r="AD48" s="330"/>
      <c r="AE48" s="302"/>
      <c r="AF48" s="302"/>
      <c r="AG48" s="302"/>
      <c r="AH48" s="302"/>
      <c r="AI48" s="302"/>
      <c r="AJ48" s="304"/>
      <c r="AK48" s="330">
        <v>0.94</v>
      </c>
      <c r="AL48" s="302">
        <v>6.9</v>
      </c>
      <c r="AM48" s="302">
        <v>6.9</v>
      </c>
      <c r="AN48" s="75"/>
      <c r="AO48" s="95">
        <f t="shared" si="11"/>
        <v>1</v>
      </c>
      <c r="AP48" s="96"/>
      <c r="AQ48" s="533"/>
      <c r="AR48" s="499"/>
      <c r="AS48" s="499"/>
      <c r="AT48" s="536"/>
      <c r="AU48" s="539"/>
      <c r="AV48" s="92"/>
      <c r="AW48" s="92"/>
      <c r="AX48" s="92"/>
      <c r="AY48" s="92"/>
      <c r="AZ48" s="92"/>
      <c r="BA48" s="92"/>
      <c r="BB48" s="92"/>
      <c r="BC48" s="92"/>
      <c r="BD48" s="92"/>
      <c r="BE48" s="92"/>
      <c r="BF48" s="92"/>
      <c r="BG48" s="92"/>
      <c r="BH48" s="92"/>
    </row>
    <row r="49" spans="1:60" ht="18" x14ac:dyDescent="0.25">
      <c r="A49" s="528"/>
      <c r="B49" s="487"/>
      <c r="C49" s="481"/>
      <c r="D49" s="484"/>
      <c r="E49" s="484"/>
      <c r="F49" s="511"/>
      <c r="G49" s="33" t="s">
        <v>11</v>
      </c>
      <c r="H49" s="289">
        <f>L49+R49+X49+AK49</f>
        <v>1337346821</v>
      </c>
      <c r="I49" s="289"/>
      <c r="J49" s="289"/>
      <c r="K49" s="289"/>
      <c r="L49" s="289"/>
      <c r="M49" s="289">
        <v>431339501</v>
      </c>
      <c r="N49" s="289">
        <v>431339501</v>
      </c>
      <c r="O49" s="289">
        <v>431339501</v>
      </c>
      <c r="P49" s="289">
        <v>431339501</v>
      </c>
      <c r="Q49" s="289">
        <v>431339501</v>
      </c>
      <c r="R49" s="289">
        <v>431339501</v>
      </c>
      <c r="S49" s="289">
        <v>853553076</v>
      </c>
      <c r="T49" s="289">
        <v>853553076</v>
      </c>
      <c r="U49" s="289">
        <v>853553076</v>
      </c>
      <c r="V49" s="289">
        <v>853553076</v>
      </c>
      <c r="W49" s="289">
        <v>853553076</v>
      </c>
      <c r="X49" s="289">
        <v>661790932</v>
      </c>
      <c r="Y49" s="289">
        <v>648697927</v>
      </c>
      <c r="Z49" s="289">
        <v>648697927</v>
      </c>
      <c r="AA49" s="289">
        <v>648697927</v>
      </c>
      <c r="AB49" s="289">
        <v>648686071</v>
      </c>
      <c r="AC49" s="289"/>
      <c r="AD49" s="348"/>
      <c r="AE49" s="152"/>
      <c r="AF49" s="152"/>
      <c r="AG49" s="152"/>
      <c r="AH49" s="152"/>
      <c r="AI49" s="152"/>
      <c r="AJ49" s="301"/>
      <c r="AK49" s="348">
        <v>244216388</v>
      </c>
      <c r="AL49" s="152">
        <v>494973071</v>
      </c>
      <c r="AM49" s="152">
        <v>549302071</v>
      </c>
      <c r="AN49" s="94"/>
      <c r="AO49" s="95">
        <f t="shared" si="11"/>
        <v>0.84679183900651378</v>
      </c>
      <c r="AP49" s="96">
        <f t="shared" si="6"/>
        <v>1.2281275718529561</v>
      </c>
      <c r="AQ49" s="533"/>
      <c r="AR49" s="499"/>
      <c r="AS49" s="499"/>
      <c r="AT49" s="536"/>
      <c r="AU49" s="539"/>
      <c r="AV49" s="92"/>
      <c r="AW49" s="92"/>
      <c r="AX49" s="92"/>
      <c r="AY49" s="92"/>
      <c r="AZ49" s="92"/>
      <c r="BA49" s="92"/>
      <c r="BB49" s="92"/>
      <c r="BC49" s="92"/>
      <c r="BD49" s="92"/>
      <c r="BE49" s="92"/>
      <c r="BF49" s="92"/>
      <c r="BG49" s="92"/>
      <c r="BH49" s="92"/>
    </row>
    <row r="50" spans="1:60" ht="18" x14ac:dyDescent="0.25">
      <c r="A50" s="528"/>
      <c r="B50" s="487"/>
      <c r="C50" s="481"/>
      <c r="D50" s="484"/>
      <c r="E50" s="484"/>
      <c r="F50" s="511"/>
      <c r="G50" s="30" t="s">
        <v>12</v>
      </c>
      <c r="H50" s="353">
        <f>+H46+H48</f>
        <v>89</v>
      </c>
      <c r="I50" s="354">
        <f>+I46+I48</f>
        <v>30</v>
      </c>
      <c r="J50" s="354">
        <f>+J46+J48</f>
        <v>30</v>
      </c>
      <c r="K50" s="354">
        <v>30</v>
      </c>
      <c r="L50" s="354">
        <f>+L46+L48</f>
        <v>1</v>
      </c>
      <c r="M50" s="353">
        <v>49</v>
      </c>
      <c r="N50" s="353">
        <v>49</v>
      </c>
      <c r="O50" s="353">
        <v>49</v>
      </c>
      <c r="P50" s="353">
        <v>59</v>
      </c>
      <c r="Q50" s="353">
        <f>+Q48+Q46</f>
        <v>59</v>
      </c>
      <c r="R50" s="353">
        <f>+R48+R46</f>
        <v>60.75</v>
      </c>
      <c r="S50" s="353">
        <f>S46</f>
        <v>8</v>
      </c>
      <c r="T50" s="353">
        <v>16</v>
      </c>
      <c r="U50" s="353">
        <v>16</v>
      </c>
      <c r="V50" s="353">
        <v>16</v>
      </c>
      <c r="W50" s="353">
        <v>16</v>
      </c>
      <c r="X50" s="353">
        <v>9.1</v>
      </c>
      <c r="Y50" s="353">
        <v>9.15</v>
      </c>
      <c r="Z50" s="353">
        <f t="shared" ref="Z50:AB51" si="13">Z46+Z48</f>
        <v>9.1000000000000014</v>
      </c>
      <c r="AA50" s="353">
        <f t="shared" si="13"/>
        <v>15.15</v>
      </c>
      <c r="AB50" s="353">
        <f t="shared" si="13"/>
        <v>15.15</v>
      </c>
      <c r="AC50" s="353">
        <f>+AC49+AC46</f>
        <v>0</v>
      </c>
      <c r="AD50" s="355"/>
      <c r="AE50" s="314">
        <f>+AE46+AE48</f>
        <v>3</v>
      </c>
      <c r="AF50" s="314"/>
      <c r="AG50" s="314"/>
      <c r="AH50" s="314"/>
      <c r="AI50" s="314"/>
      <c r="AJ50" s="315"/>
      <c r="AK50" s="355">
        <f t="shared" ref="AK50:AM51" si="14">+AK48+AK46</f>
        <v>0.94</v>
      </c>
      <c r="AL50" s="314">
        <f t="shared" si="14"/>
        <v>6.9</v>
      </c>
      <c r="AM50" s="314">
        <f t="shared" si="14"/>
        <v>6.9</v>
      </c>
      <c r="AN50" s="77"/>
      <c r="AO50" s="95">
        <f t="shared" si="11"/>
        <v>0.45544554455445546</v>
      </c>
      <c r="AP50" s="96">
        <f t="shared" si="6"/>
        <v>0.8735955056179775</v>
      </c>
      <c r="AQ50" s="533"/>
      <c r="AR50" s="499"/>
      <c r="AS50" s="499"/>
      <c r="AT50" s="536"/>
      <c r="AU50" s="539"/>
      <c r="AV50" s="92"/>
      <c r="AW50" s="92"/>
      <c r="AX50" s="92"/>
      <c r="AY50" s="92"/>
      <c r="AZ50" s="92"/>
      <c r="BA50" s="92"/>
      <c r="BB50" s="92"/>
      <c r="BC50" s="92"/>
      <c r="BD50" s="92"/>
      <c r="BE50" s="92"/>
      <c r="BF50" s="92"/>
      <c r="BG50" s="92"/>
      <c r="BH50" s="92"/>
    </row>
    <row r="51" spans="1:60" ht="18.75" thickBot="1" x14ac:dyDescent="0.3">
      <c r="A51" s="528"/>
      <c r="B51" s="488"/>
      <c r="C51" s="482"/>
      <c r="D51" s="485"/>
      <c r="E51" s="485"/>
      <c r="F51" s="512"/>
      <c r="G51" s="34" t="s">
        <v>13</v>
      </c>
      <c r="H51" s="285">
        <f>H47+H49</f>
        <v>5370792749.666666</v>
      </c>
      <c r="I51" s="285">
        <f>I47+I49</f>
        <v>526558414</v>
      </c>
      <c r="J51" s="285">
        <f>J47+J49</f>
        <v>526558414</v>
      </c>
      <c r="K51" s="285">
        <v>509388414</v>
      </c>
      <c r="L51" s="285">
        <f>L47+L49</f>
        <v>438170282</v>
      </c>
      <c r="M51" s="285">
        <v>2136425846</v>
      </c>
      <c r="N51" s="285">
        <v>2136425846</v>
      </c>
      <c r="O51" s="285">
        <v>2136425846</v>
      </c>
      <c r="P51" s="285">
        <v>2136425846</v>
      </c>
      <c r="Q51" s="285">
        <v>2153587501</v>
      </c>
      <c r="R51" s="285">
        <v>2150728147.6666698</v>
      </c>
      <c r="S51" s="285">
        <f>+S49+S47</f>
        <v>1690696076</v>
      </c>
      <c r="T51" s="285">
        <v>1690696076</v>
      </c>
      <c r="U51" s="285">
        <v>1690696076</v>
      </c>
      <c r="V51" s="285">
        <v>1690696076</v>
      </c>
      <c r="W51" s="285">
        <v>1690696076</v>
      </c>
      <c r="X51" s="285">
        <v>1447100432</v>
      </c>
      <c r="Y51" s="285">
        <f>+Y49+Y47</f>
        <v>1266293927</v>
      </c>
      <c r="Z51" s="285">
        <f t="shared" si="13"/>
        <v>1266293927</v>
      </c>
      <c r="AA51" s="285">
        <f t="shared" si="13"/>
        <v>1266293927</v>
      </c>
      <c r="AB51" s="285">
        <f t="shared" si="13"/>
        <v>1266282071</v>
      </c>
      <c r="AC51" s="285">
        <f>AC47+AC49</f>
        <v>0</v>
      </c>
      <c r="AD51" s="338"/>
      <c r="AE51" s="311">
        <f t="shared" ref="AE51" si="15">AE47+AE49</f>
        <v>421148000</v>
      </c>
      <c r="AF51" s="311"/>
      <c r="AG51" s="311"/>
      <c r="AH51" s="311"/>
      <c r="AI51" s="311"/>
      <c r="AJ51" s="316"/>
      <c r="AK51" s="338">
        <f t="shared" si="14"/>
        <v>302956388</v>
      </c>
      <c r="AL51" s="311">
        <f t="shared" si="14"/>
        <v>887889408</v>
      </c>
      <c r="AM51" s="311">
        <f t="shared" si="14"/>
        <v>942218408</v>
      </c>
      <c r="AN51" s="99"/>
      <c r="AO51" s="100">
        <f t="shared" si="11"/>
        <v>0.7440825623124534</v>
      </c>
      <c r="AP51" s="101">
        <f t="shared" si="6"/>
        <v>0.92690548708580101</v>
      </c>
      <c r="AQ51" s="534"/>
      <c r="AR51" s="500"/>
      <c r="AS51" s="500"/>
      <c r="AT51" s="537"/>
      <c r="AU51" s="540"/>
      <c r="AV51" s="92"/>
      <c r="AW51" s="92"/>
      <c r="AX51" s="92"/>
      <c r="AY51" s="92"/>
      <c r="AZ51" s="92"/>
      <c r="BA51" s="92"/>
      <c r="BB51" s="92"/>
      <c r="BC51" s="92"/>
      <c r="BD51" s="92"/>
      <c r="BE51" s="92"/>
      <c r="BF51" s="92"/>
      <c r="BG51" s="92"/>
      <c r="BH51" s="92"/>
    </row>
    <row r="52" spans="1:60" ht="15" x14ac:dyDescent="0.25">
      <c r="A52" s="528"/>
      <c r="B52" s="486">
        <v>8</v>
      </c>
      <c r="C52" s="529" t="s">
        <v>202</v>
      </c>
      <c r="D52" s="513" t="s">
        <v>169</v>
      </c>
      <c r="E52" s="513">
        <v>535</v>
      </c>
      <c r="F52" s="560">
        <v>180</v>
      </c>
      <c r="G52" s="31" t="s">
        <v>8</v>
      </c>
      <c r="H52" s="353">
        <f>2+8+15+10+5</f>
        <v>40</v>
      </c>
      <c r="I52" s="354">
        <v>2</v>
      </c>
      <c r="J52" s="354">
        <v>2</v>
      </c>
      <c r="K52" s="354">
        <v>2</v>
      </c>
      <c r="L52" s="354">
        <v>2</v>
      </c>
      <c r="M52" s="353">
        <v>8</v>
      </c>
      <c r="N52" s="353">
        <v>8</v>
      </c>
      <c r="O52" s="353">
        <v>8</v>
      </c>
      <c r="P52" s="353">
        <v>8</v>
      </c>
      <c r="Q52" s="353">
        <v>8</v>
      </c>
      <c r="R52" s="353">
        <v>0</v>
      </c>
      <c r="S52" s="353">
        <v>15</v>
      </c>
      <c r="T52" s="353">
        <v>15</v>
      </c>
      <c r="U52" s="353">
        <v>15</v>
      </c>
      <c r="V52" s="353">
        <v>15</v>
      </c>
      <c r="W52" s="353">
        <v>15</v>
      </c>
      <c r="X52" s="353">
        <v>0</v>
      </c>
      <c r="Y52" s="353">
        <v>10</v>
      </c>
      <c r="Z52" s="353">
        <v>10</v>
      </c>
      <c r="AA52" s="353">
        <v>10</v>
      </c>
      <c r="AB52" s="353">
        <v>10</v>
      </c>
      <c r="AC52" s="353"/>
      <c r="AD52" s="355"/>
      <c r="AE52" s="314">
        <v>5</v>
      </c>
      <c r="AF52" s="314"/>
      <c r="AG52" s="314"/>
      <c r="AH52" s="314"/>
      <c r="AI52" s="314"/>
      <c r="AJ52" s="315"/>
      <c r="AK52" s="355">
        <v>0</v>
      </c>
      <c r="AL52" s="314">
        <v>0</v>
      </c>
      <c r="AM52" s="314">
        <v>0</v>
      </c>
      <c r="AN52" s="77"/>
      <c r="AO52" s="108">
        <f t="shared" si="11"/>
        <v>0</v>
      </c>
      <c r="AP52" s="113">
        <f t="shared" si="6"/>
        <v>0.05</v>
      </c>
      <c r="AQ52" s="562" t="s">
        <v>203</v>
      </c>
      <c r="AR52" s="499" t="s">
        <v>156</v>
      </c>
      <c r="AS52" s="499" t="s">
        <v>204</v>
      </c>
      <c r="AT52" s="499" t="s">
        <v>205</v>
      </c>
      <c r="AU52" s="539" t="s">
        <v>206</v>
      </c>
      <c r="AV52" s="92"/>
      <c r="AW52" s="92"/>
      <c r="AX52" s="92"/>
      <c r="AY52" s="92"/>
      <c r="AZ52" s="92"/>
      <c r="BA52" s="92"/>
      <c r="BB52" s="92"/>
      <c r="BC52" s="92"/>
      <c r="BD52" s="92"/>
      <c r="BE52" s="92"/>
      <c r="BF52" s="92"/>
      <c r="BG52" s="92"/>
      <c r="BH52" s="92"/>
    </row>
    <row r="53" spans="1:60" ht="18" x14ac:dyDescent="0.25">
      <c r="A53" s="528"/>
      <c r="B53" s="487"/>
      <c r="C53" s="481"/>
      <c r="D53" s="484"/>
      <c r="E53" s="484"/>
      <c r="F53" s="511"/>
      <c r="G53" s="33" t="s">
        <v>9</v>
      </c>
      <c r="H53" s="289">
        <f>+L53+R53+S53+Y53+AE53</f>
        <v>921502503</v>
      </c>
      <c r="I53" s="289">
        <v>67600549</v>
      </c>
      <c r="J53" s="289">
        <v>67600549</v>
      </c>
      <c r="K53" s="289">
        <v>67600549</v>
      </c>
      <c r="L53" s="289">
        <v>57654260</v>
      </c>
      <c r="M53" s="289">
        <v>180131055</v>
      </c>
      <c r="N53" s="289">
        <v>180131055</v>
      </c>
      <c r="O53" s="289">
        <v>180131055</v>
      </c>
      <c r="P53" s="289">
        <v>143137264</v>
      </c>
      <c r="Q53" s="289">
        <v>189876264</v>
      </c>
      <c r="R53" s="289">
        <v>185776243</v>
      </c>
      <c r="S53" s="289">
        <v>220809000</v>
      </c>
      <c r="T53" s="289">
        <v>220809000</v>
      </c>
      <c r="U53" s="289">
        <v>227522000</v>
      </c>
      <c r="V53" s="289">
        <v>227522000</v>
      </c>
      <c r="W53" s="289">
        <v>227000500</v>
      </c>
      <c r="X53" s="289">
        <v>227000500</v>
      </c>
      <c r="Y53" s="289">
        <v>201788000</v>
      </c>
      <c r="Z53" s="289">
        <v>201788000</v>
      </c>
      <c r="AA53" s="289">
        <v>201788000</v>
      </c>
      <c r="AB53" s="289">
        <v>204873300</v>
      </c>
      <c r="AC53" s="289"/>
      <c r="AD53" s="328"/>
      <c r="AE53" s="152">
        <v>255475000</v>
      </c>
      <c r="AF53" s="152"/>
      <c r="AG53" s="152"/>
      <c r="AH53" s="152"/>
      <c r="AI53" s="152"/>
      <c r="AJ53" s="301"/>
      <c r="AK53" s="328">
        <v>136099000</v>
      </c>
      <c r="AL53" s="152">
        <v>195099000</v>
      </c>
      <c r="AM53" s="152">
        <v>201670300</v>
      </c>
      <c r="AN53" s="94"/>
      <c r="AO53" s="95">
        <f t="shared" si="11"/>
        <v>0.98436594714879877</v>
      </c>
      <c r="AP53" s="96">
        <f t="shared" si="6"/>
        <v>0.72935374653019258</v>
      </c>
      <c r="AQ53" s="522"/>
      <c r="AR53" s="499"/>
      <c r="AS53" s="499"/>
      <c r="AT53" s="499"/>
      <c r="AU53" s="539"/>
      <c r="AV53" s="92"/>
      <c r="AW53" s="92"/>
      <c r="AX53" s="92"/>
      <c r="AY53" s="92"/>
      <c r="AZ53" s="92"/>
      <c r="BA53" s="92"/>
      <c r="BB53" s="92"/>
      <c r="BC53" s="92"/>
      <c r="BD53" s="92"/>
      <c r="BE53" s="92"/>
      <c r="BF53" s="92"/>
      <c r="BG53" s="92"/>
      <c r="BH53" s="92"/>
    </row>
    <row r="54" spans="1:60" ht="18" x14ac:dyDescent="0.25">
      <c r="A54" s="528"/>
      <c r="B54" s="487"/>
      <c r="C54" s="481"/>
      <c r="D54" s="484"/>
      <c r="E54" s="484"/>
      <c r="F54" s="511"/>
      <c r="G54" s="30" t="s">
        <v>10</v>
      </c>
      <c r="H54" s="291"/>
      <c r="I54" s="291"/>
      <c r="J54" s="291"/>
      <c r="K54" s="291"/>
      <c r="L54" s="291"/>
      <c r="M54" s="291"/>
      <c r="N54" s="291"/>
      <c r="O54" s="291"/>
      <c r="P54" s="291"/>
      <c r="Q54" s="291"/>
      <c r="R54" s="291">
        <v>0</v>
      </c>
      <c r="S54" s="291">
        <v>8</v>
      </c>
      <c r="T54" s="291">
        <v>8</v>
      </c>
      <c r="U54" s="291">
        <v>8</v>
      </c>
      <c r="V54" s="291">
        <v>8</v>
      </c>
      <c r="W54" s="291">
        <v>8</v>
      </c>
      <c r="X54" s="291">
        <v>8</v>
      </c>
      <c r="Y54" s="291">
        <v>15</v>
      </c>
      <c r="Z54" s="291">
        <v>15</v>
      </c>
      <c r="AA54" s="291">
        <v>15</v>
      </c>
      <c r="AB54" s="291">
        <v>15</v>
      </c>
      <c r="AC54" s="291"/>
      <c r="AD54" s="330"/>
      <c r="AE54" s="302"/>
      <c r="AF54" s="302"/>
      <c r="AG54" s="302"/>
      <c r="AH54" s="302"/>
      <c r="AI54" s="302"/>
      <c r="AJ54" s="304"/>
      <c r="AK54" s="330">
        <v>0.1</v>
      </c>
      <c r="AL54" s="302">
        <v>5</v>
      </c>
      <c r="AM54" s="302">
        <v>6</v>
      </c>
      <c r="AN54" s="75"/>
      <c r="AO54" s="95">
        <f t="shared" si="11"/>
        <v>0.4</v>
      </c>
      <c r="AP54" s="96"/>
      <c r="AQ54" s="522"/>
      <c r="AR54" s="499"/>
      <c r="AS54" s="499"/>
      <c r="AT54" s="499"/>
      <c r="AU54" s="539"/>
      <c r="AV54" s="92"/>
      <c r="AW54" s="92"/>
      <c r="AX54" s="92"/>
      <c r="AY54" s="92"/>
      <c r="AZ54" s="92"/>
      <c r="BA54" s="92"/>
      <c r="BB54" s="92"/>
      <c r="BC54" s="92"/>
      <c r="BD54" s="92"/>
      <c r="BE54" s="92"/>
      <c r="BF54" s="92"/>
      <c r="BG54" s="92"/>
      <c r="BH54" s="92"/>
    </row>
    <row r="55" spans="1:60" ht="18" x14ac:dyDescent="0.25">
      <c r="A55" s="528"/>
      <c r="B55" s="487"/>
      <c r="C55" s="481"/>
      <c r="D55" s="484"/>
      <c r="E55" s="484"/>
      <c r="F55" s="511"/>
      <c r="G55" s="33" t="s">
        <v>11</v>
      </c>
      <c r="H55" s="289">
        <f>L55+R55+X55+AA55</f>
        <v>231969116</v>
      </c>
      <c r="I55" s="289"/>
      <c r="J55" s="289"/>
      <c r="K55" s="289"/>
      <c r="L55" s="289"/>
      <c r="M55" s="289">
        <v>17781040</v>
      </c>
      <c r="N55" s="289">
        <v>17781040</v>
      </c>
      <c r="O55" s="289">
        <v>17781040</v>
      </c>
      <c r="P55" s="289">
        <v>17781040</v>
      </c>
      <c r="Q55" s="289">
        <v>17781040</v>
      </c>
      <c r="R55" s="289">
        <v>17781040</v>
      </c>
      <c r="S55" s="289">
        <v>108425443</v>
      </c>
      <c r="T55" s="289">
        <v>108425443</v>
      </c>
      <c r="U55" s="289">
        <v>108425443</v>
      </c>
      <c r="V55" s="289">
        <v>108425443</v>
      </c>
      <c r="W55" s="289">
        <v>108425443</v>
      </c>
      <c r="X55" s="289">
        <v>108425443</v>
      </c>
      <c r="Y55" s="289">
        <v>105762633</v>
      </c>
      <c r="Z55" s="289">
        <v>105762633</v>
      </c>
      <c r="AA55" s="289">
        <v>105762633</v>
      </c>
      <c r="AB55" s="289">
        <v>105762633</v>
      </c>
      <c r="AC55" s="289"/>
      <c r="AD55" s="348"/>
      <c r="AE55" s="152"/>
      <c r="AF55" s="152"/>
      <c r="AG55" s="152"/>
      <c r="AH55" s="152"/>
      <c r="AI55" s="152"/>
      <c r="AJ55" s="301"/>
      <c r="AK55" s="348">
        <v>95762633</v>
      </c>
      <c r="AL55" s="152">
        <v>105762633</v>
      </c>
      <c r="AM55" s="152">
        <v>105762633</v>
      </c>
      <c r="AN55" s="94"/>
      <c r="AO55" s="95">
        <f t="shared" si="11"/>
        <v>1</v>
      </c>
      <c r="AP55" s="96">
        <f t="shared" si="6"/>
        <v>1</v>
      </c>
      <c r="AQ55" s="522"/>
      <c r="AR55" s="499"/>
      <c r="AS55" s="499"/>
      <c r="AT55" s="499"/>
      <c r="AU55" s="539"/>
      <c r="AV55" s="92"/>
      <c r="AW55" s="92"/>
      <c r="AX55" s="92"/>
      <c r="AY55" s="92"/>
      <c r="AZ55" s="92"/>
      <c r="BA55" s="92"/>
      <c r="BB55" s="92"/>
      <c r="BC55" s="92"/>
      <c r="BD55" s="92"/>
      <c r="BE55" s="92"/>
      <c r="BF55" s="92"/>
      <c r="BG55" s="92"/>
      <c r="BH55" s="92"/>
    </row>
    <row r="56" spans="1:60" ht="18" x14ac:dyDescent="0.25">
      <c r="A56" s="528"/>
      <c r="B56" s="487"/>
      <c r="C56" s="481"/>
      <c r="D56" s="484"/>
      <c r="E56" s="484"/>
      <c r="F56" s="511"/>
      <c r="G56" s="30" t="s">
        <v>12</v>
      </c>
      <c r="H56" s="342">
        <f>+H52+H54</f>
        <v>40</v>
      </c>
      <c r="I56" s="333">
        <f>+I52+I54</f>
        <v>2</v>
      </c>
      <c r="J56" s="333">
        <f>+J52+J54</f>
        <v>2</v>
      </c>
      <c r="K56" s="333">
        <v>2</v>
      </c>
      <c r="L56" s="314">
        <f>+L52+L54</f>
        <v>2</v>
      </c>
      <c r="M56" s="353">
        <v>8</v>
      </c>
      <c r="N56" s="353">
        <v>8</v>
      </c>
      <c r="O56" s="353">
        <v>8</v>
      </c>
      <c r="P56" s="353">
        <v>8</v>
      </c>
      <c r="Q56" s="353">
        <v>8</v>
      </c>
      <c r="R56" s="353">
        <v>0</v>
      </c>
      <c r="S56" s="353">
        <f>+S54+S52</f>
        <v>23</v>
      </c>
      <c r="T56" s="353">
        <v>23</v>
      </c>
      <c r="U56" s="353">
        <v>23</v>
      </c>
      <c r="V56" s="353">
        <v>23</v>
      </c>
      <c r="W56" s="353">
        <v>23</v>
      </c>
      <c r="X56" s="353">
        <v>8</v>
      </c>
      <c r="Y56" s="353">
        <f>Y52+Y54</f>
        <v>25</v>
      </c>
      <c r="Z56" s="353">
        <f>Z52+Z54</f>
        <v>25</v>
      </c>
      <c r="AA56" s="353">
        <f>AA52+AA54</f>
        <v>25</v>
      </c>
      <c r="AB56" s="353">
        <f>AB52+AB54</f>
        <v>25</v>
      </c>
      <c r="AC56" s="353">
        <f>+AC55+AC52</f>
        <v>0</v>
      </c>
      <c r="AD56" s="355"/>
      <c r="AE56" s="314">
        <f>+AE52+AE54</f>
        <v>5</v>
      </c>
      <c r="AF56" s="314"/>
      <c r="AG56" s="314"/>
      <c r="AH56" s="314"/>
      <c r="AI56" s="314"/>
      <c r="AJ56" s="315"/>
      <c r="AK56" s="355">
        <f t="shared" ref="AK56:AM57" si="16">+AK54+AK52</f>
        <v>0.1</v>
      </c>
      <c r="AL56" s="314">
        <f t="shared" si="16"/>
        <v>5</v>
      </c>
      <c r="AM56" s="314">
        <f t="shared" si="16"/>
        <v>6</v>
      </c>
      <c r="AN56" s="77"/>
      <c r="AO56" s="95">
        <f t="shared" si="11"/>
        <v>0.24</v>
      </c>
      <c r="AP56" s="96">
        <f t="shared" si="6"/>
        <v>0.4</v>
      </c>
      <c r="AQ56" s="522"/>
      <c r="AR56" s="499"/>
      <c r="AS56" s="499"/>
      <c r="AT56" s="499"/>
      <c r="AU56" s="539"/>
      <c r="AV56" s="92"/>
      <c r="AW56" s="92"/>
      <c r="AX56" s="92"/>
      <c r="AY56" s="92"/>
      <c r="AZ56" s="92"/>
      <c r="BA56" s="92"/>
      <c r="BB56" s="92"/>
      <c r="BC56" s="92"/>
      <c r="BD56" s="92"/>
      <c r="BE56" s="92"/>
      <c r="BF56" s="92"/>
      <c r="BG56" s="92"/>
      <c r="BH56" s="92"/>
    </row>
    <row r="57" spans="1:60" ht="18.75" thickBot="1" x14ac:dyDescent="0.3">
      <c r="A57" s="528"/>
      <c r="B57" s="487"/>
      <c r="C57" s="530"/>
      <c r="D57" s="531"/>
      <c r="E57" s="531"/>
      <c r="F57" s="561"/>
      <c r="G57" s="34" t="s">
        <v>13</v>
      </c>
      <c r="H57" s="356">
        <f>H53+H55</f>
        <v>1153471619</v>
      </c>
      <c r="I57" s="356">
        <f>I53+I55</f>
        <v>67600549</v>
      </c>
      <c r="J57" s="356">
        <f>J53+J55</f>
        <v>67600549</v>
      </c>
      <c r="K57" s="356">
        <v>67600549</v>
      </c>
      <c r="L57" s="356">
        <f>L53+L55</f>
        <v>57654260</v>
      </c>
      <c r="M57" s="356">
        <v>197912095</v>
      </c>
      <c r="N57" s="356">
        <v>197912095</v>
      </c>
      <c r="O57" s="356">
        <v>197912095</v>
      </c>
      <c r="P57" s="356">
        <v>160918304</v>
      </c>
      <c r="Q57" s="356">
        <v>207657304</v>
      </c>
      <c r="R57" s="356">
        <v>203557283</v>
      </c>
      <c r="S57" s="356">
        <f>+S55+S53</f>
        <v>329234443</v>
      </c>
      <c r="T57" s="356">
        <v>329234443</v>
      </c>
      <c r="U57" s="356">
        <v>329234443</v>
      </c>
      <c r="V57" s="356">
        <v>329234443</v>
      </c>
      <c r="W57" s="356">
        <v>329234443</v>
      </c>
      <c r="X57" s="356">
        <v>335425943</v>
      </c>
      <c r="Y57" s="356">
        <v>201788000</v>
      </c>
      <c r="Z57" s="356">
        <f>Z53+Z55</f>
        <v>307550633</v>
      </c>
      <c r="AA57" s="356">
        <f>AA53+AA55</f>
        <v>307550633</v>
      </c>
      <c r="AB57" s="356">
        <f>AB53+AB55</f>
        <v>310635933</v>
      </c>
      <c r="AC57" s="356">
        <f>AC53+AC55</f>
        <v>0</v>
      </c>
      <c r="AD57" s="357"/>
      <c r="AE57" s="317">
        <f t="shared" ref="AE57" si="17">AE53+AE55</f>
        <v>255475000</v>
      </c>
      <c r="AF57" s="317"/>
      <c r="AG57" s="317"/>
      <c r="AH57" s="317"/>
      <c r="AI57" s="317"/>
      <c r="AJ57" s="318"/>
      <c r="AK57" s="357">
        <f t="shared" si="16"/>
        <v>231861633</v>
      </c>
      <c r="AL57" s="317">
        <f t="shared" si="16"/>
        <v>300861633</v>
      </c>
      <c r="AM57" s="317">
        <f t="shared" si="16"/>
        <v>307432933</v>
      </c>
      <c r="AN57" s="117"/>
      <c r="AO57" s="95">
        <f t="shared" si="11"/>
        <v>0.9896888941048555</v>
      </c>
      <c r="AP57" s="96">
        <f t="shared" si="6"/>
        <v>0.78378210968361939</v>
      </c>
      <c r="AQ57" s="563"/>
      <c r="AR57" s="500"/>
      <c r="AS57" s="499"/>
      <c r="AT57" s="499"/>
      <c r="AU57" s="539"/>
      <c r="AV57" s="92"/>
      <c r="AW57" s="92"/>
      <c r="AX57" s="92"/>
      <c r="AY57" s="92"/>
      <c r="AZ57" s="92"/>
      <c r="BA57" s="92"/>
      <c r="BB57" s="92"/>
      <c r="BC57" s="92"/>
      <c r="BD57" s="92"/>
      <c r="BE57" s="92"/>
      <c r="BF57" s="92"/>
      <c r="BG57" s="92"/>
      <c r="BH57" s="92"/>
    </row>
    <row r="58" spans="1:60" ht="15" x14ac:dyDescent="0.25">
      <c r="A58" s="527" t="s">
        <v>207</v>
      </c>
      <c r="B58" s="486">
        <v>9</v>
      </c>
      <c r="C58" s="480" t="s">
        <v>208</v>
      </c>
      <c r="D58" s="483" t="s">
        <v>209</v>
      </c>
      <c r="E58" s="483">
        <v>535</v>
      </c>
      <c r="F58" s="510">
        <v>180</v>
      </c>
      <c r="G58" s="31" t="s">
        <v>8</v>
      </c>
      <c r="H58" s="321">
        <v>100</v>
      </c>
      <c r="I58" s="345">
        <v>0</v>
      </c>
      <c r="J58" s="345">
        <v>0</v>
      </c>
      <c r="K58" s="345">
        <v>0</v>
      </c>
      <c r="L58" s="345">
        <v>0</v>
      </c>
      <c r="M58" s="321">
        <v>0</v>
      </c>
      <c r="N58" s="321">
        <v>0</v>
      </c>
      <c r="O58" s="321">
        <v>0</v>
      </c>
      <c r="P58" s="321">
        <v>0</v>
      </c>
      <c r="Q58" s="321">
        <v>0</v>
      </c>
      <c r="R58" s="321">
        <v>0</v>
      </c>
      <c r="S58" s="321">
        <v>0</v>
      </c>
      <c r="T58" s="321">
        <v>0</v>
      </c>
      <c r="U58" s="321">
        <v>0</v>
      </c>
      <c r="V58" s="321">
        <v>0</v>
      </c>
      <c r="W58" s="321">
        <v>0</v>
      </c>
      <c r="X58" s="321">
        <v>0</v>
      </c>
      <c r="Y58" s="358">
        <v>1</v>
      </c>
      <c r="Z58" s="321">
        <v>100</v>
      </c>
      <c r="AA58" s="321">
        <v>100</v>
      </c>
      <c r="AB58" s="321">
        <v>100</v>
      </c>
      <c r="AC58" s="321"/>
      <c r="AD58" s="350"/>
      <c r="AE58" s="312">
        <v>100</v>
      </c>
      <c r="AF58" s="312"/>
      <c r="AG58" s="312"/>
      <c r="AH58" s="312"/>
      <c r="AI58" s="312"/>
      <c r="AJ58" s="313"/>
      <c r="AK58" s="350">
        <v>0</v>
      </c>
      <c r="AL58" s="312">
        <v>50</v>
      </c>
      <c r="AM58" s="312">
        <v>55</v>
      </c>
      <c r="AN58" s="76"/>
      <c r="AO58" s="118">
        <f t="shared" si="11"/>
        <v>0.55000000000000004</v>
      </c>
      <c r="AP58" s="119">
        <f t="shared" si="6"/>
        <v>0.55000000000000004</v>
      </c>
      <c r="AQ58" s="557" t="s">
        <v>210</v>
      </c>
      <c r="AR58" s="498" t="s">
        <v>211</v>
      </c>
      <c r="AS58" s="498" t="s">
        <v>212</v>
      </c>
      <c r="AT58" s="498" t="s">
        <v>213</v>
      </c>
      <c r="AU58" s="501" t="s">
        <v>214</v>
      </c>
      <c r="AV58" s="92"/>
      <c r="AW58" s="92"/>
      <c r="AX58" s="92"/>
      <c r="AY58" s="92"/>
      <c r="AZ58" s="92"/>
      <c r="BA58" s="92"/>
      <c r="BB58" s="92"/>
      <c r="BC58" s="92"/>
      <c r="BD58" s="92"/>
      <c r="BE58" s="92"/>
      <c r="BF58" s="92"/>
      <c r="BG58" s="92"/>
      <c r="BH58" s="92"/>
    </row>
    <row r="59" spans="1:60" ht="18" x14ac:dyDescent="0.25">
      <c r="A59" s="528"/>
      <c r="B59" s="487"/>
      <c r="C59" s="481"/>
      <c r="D59" s="484"/>
      <c r="E59" s="484"/>
      <c r="F59" s="511"/>
      <c r="G59" s="33" t="s">
        <v>9</v>
      </c>
      <c r="H59" s="289">
        <f>+L59+R59+AB59</f>
        <v>787051125</v>
      </c>
      <c r="I59" s="289">
        <v>0</v>
      </c>
      <c r="J59" s="289">
        <v>0</v>
      </c>
      <c r="K59" s="289">
        <v>0</v>
      </c>
      <c r="L59" s="289">
        <v>0</v>
      </c>
      <c r="M59" s="289">
        <v>0</v>
      </c>
      <c r="N59" s="289">
        <v>0</v>
      </c>
      <c r="O59" s="289">
        <v>0</v>
      </c>
      <c r="P59" s="289">
        <v>0</v>
      </c>
      <c r="Q59" s="289">
        <v>0</v>
      </c>
      <c r="R59" s="289">
        <v>0</v>
      </c>
      <c r="S59" s="289">
        <v>0</v>
      </c>
      <c r="T59" s="289">
        <v>0</v>
      </c>
      <c r="U59" s="289">
        <v>0</v>
      </c>
      <c r="V59" s="289">
        <v>0</v>
      </c>
      <c r="W59" s="289">
        <v>0</v>
      </c>
      <c r="X59" s="289">
        <v>0</v>
      </c>
      <c r="Y59" s="289">
        <v>314820000</v>
      </c>
      <c r="Z59" s="289">
        <v>314820000</v>
      </c>
      <c r="AA59" s="289">
        <v>314820000</v>
      </c>
      <c r="AB59" s="289">
        <v>787051125</v>
      </c>
      <c r="AC59" s="289"/>
      <c r="AD59" s="328"/>
      <c r="AE59" s="152">
        <v>0</v>
      </c>
      <c r="AF59" s="152"/>
      <c r="AG59" s="152"/>
      <c r="AH59" s="152"/>
      <c r="AI59" s="152"/>
      <c r="AJ59" s="301"/>
      <c r="AK59" s="328">
        <v>0</v>
      </c>
      <c r="AL59" s="152">
        <v>157410225</v>
      </c>
      <c r="AM59" s="152">
        <v>472230675</v>
      </c>
      <c r="AN59" s="94"/>
      <c r="AO59" s="95">
        <f t="shared" si="11"/>
        <v>0.6</v>
      </c>
      <c r="AP59" s="120">
        <f t="shared" si="6"/>
        <v>0.6</v>
      </c>
      <c r="AQ59" s="558"/>
      <c r="AR59" s="499"/>
      <c r="AS59" s="499"/>
      <c r="AT59" s="499"/>
      <c r="AU59" s="502"/>
      <c r="AV59" s="92"/>
      <c r="AW59" s="92"/>
      <c r="AX59" s="92"/>
      <c r="AY59" s="92"/>
      <c r="AZ59" s="92"/>
      <c r="BA59" s="92"/>
      <c r="BB59" s="92"/>
      <c r="BC59" s="92"/>
      <c r="BD59" s="92"/>
      <c r="BE59" s="92"/>
      <c r="BF59" s="92"/>
      <c r="BG59" s="92"/>
      <c r="BH59" s="92"/>
    </row>
    <row r="60" spans="1:60" ht="18" x14ac:dyDescent="0.25">
      <c r="A60" s="528"/>
      <c r="B60" s="487"/>
      <c r="C60" s="481"/>
      <c r="D60" s="484"/>
      <c r="E60" s="484"/>
      <c r="F60" s="511"/>
      <c r="G60" s="30" t="s">
        <v>10</v>
      </c>
      <c r="H60" s="291">
        <v>0</v>
      </c>
      <c r="I60" s="291">
        <v>0</v>
      </c>
      <c r="J60" s="291">
        <v>0</v>
      </c>
      <c r="K60" s="291">
        <v>0</v>
      </c>
      <c r="L60" s="291">
        <v>0</v>
      </c>
      <c r="M60" s="291">
        <v>0</v>
      </c>
      <c r="N60" s="291">
        <v>0</v>
      </c>
      <c r="O60" s="291">
        <v>0</v>
      </c>
      <c r="P60" s="291">
        <v>0</v>
      </c>
      <c r="Q60" s="291">
        <v>0</v>
      </c>
      <c r="R60" s="291">
        <v>0</v>
      </c>
      <c r="S60" s="291">
        <v>0</v>
      </c>
      <c r="T60" s="291">
        <v>0</v>
      </c>
      <c r="U60" s="291">
        <v>0</v>
      </c>
      <c r="V60" s="291">
        <v>0</v>
      </c>
      <c r="W60" s="291">
        <v>0</v>
      </c>
      <c r="X60" s="291">
        <v>0</v>
      </c>
      <c r="Y60" s="291">
        <v>0</v>
      </c>
      <c r="Z60" s="291">
        <v>0</v>
      </c>
      <c r="AA60" s="291">
        <v>0</v>
      </c>
      <c r="AB60" s="291">
        <v>0</v>
      </c>
      <c r="AC60" s="291"/>
      <c r="AD60" s="330"/>
      <c r="AE60" s="302">
        <v>0</v>
      </c>
      <c r="AF60" s="302"/>
      <c r="AG60" s="302"/>
      <c r="AH60" s="302"/>
      <c r="AI60" s="302"/>
      <c r="AJ60" s="304"/>
      <c r="AK60" s="330">
        <v>0</v>
      </c>
      <c r="AL60" s="302">
        <v>0</v>
      </c>
      <c r="AM60" s="302">
        <v>0</v>
      </c>
      <c r="AN60" s="75"/>
      <c r="AO60" s="95"/>
      <c r="AP60" s="121"/>
      <c r="AQ60" s="558"/>
      <c r="AR60" s="499"/>
      <c r="AS60" s="499"/>
      <c r="AT60" s="499"/>
      <c r="AU60" s="502"/>
      <c r="AV60" s="92"/>
      <c r="AW60" s="92"/>
      <c r="AX60" s="92"/>
      <c r="AY60" s="92"/>
      <c r="AZ60" s="92"/>
      <c r="BA60" s="92"/>
      <c r="BB60" s="92"/>
      <c r="BC60" s="92"/>
      <c r="BD60" s="92"/>
      <c r="BE60" s="92"/>
      <c r="BF60" s="92"/>
      <c r="BG60" s="92"/>
      <c r="BH60" s="92"/>
    </row>
    <row r="61" spans="1:60" ht="18" x14ac:dyDescent="0.25">
      <c r="A61" s="528"/>
      <c r="B61" s="487"/>
      <c r="C61" s="481"/>
      <c r="D61" s="484"/>
      <c r="E61" s="484"/>
      <c r="F61" s="511"/>
      <c r="G61" s="33" t="s">
        <v>11</v>
      </c>
      <c r="H61" s="289">
        <v>0</v>
      </c>
      <c r="I61" s="289">
        <v>0</v>
      </c>
      <c r="J61" s="289">
        <v>0</v>
      </c>
      <c r="K61" s="289">
        <v>0</v>
      </c>
      <c r="L61" s="289">
        <v>0</v>
      </c>
      <c r="M61" s="289">
        <v>0</v>
      </c>
      <c r="N61" s="289">
        <v>0</v>
      </c>
      <c r="O61" s="289">
        <v>0</v>
      </c>
      <c r="P61" s="289">
        <v>0</v>
      </c>
      <c r="Q61" s="289">
        <v>0</v>
      </c>
      <c r="R61" s="289">
        <v>0</v>
      </c>
      <c r="S61" s="289">
        <v>0</v>
      </c>
      <c r="T61" s="289">
        <v>0</v>
      </c>
      <c r="U61" s="289">
        <v>0</v>
      </c>
      <c r="V61" s="289">
        <v>0</v>
      </c>
      <c r="W61" s="289">
        <v>0</v>
      </c>
      <c r="X61" s="289">
        <v>0</v>
      </c>
      <c r="Y61" s="289">
        <v>0</v>
      </c>
      <c r="Z61" s="289">
        <v>0</v>
      </c>
      <c r="AA61" s="289">
        <v>0</v>
      </c>
      <c r="AB61" s="289">
        <v>0</v>
      </c>
      <c r="AC61" s="289"/>
      <c r="AD61" s="348"/>
      <c r="AE61" s="152">
        <v>0</v>
      </c>
      <c r="AF61" s="152"/>
      <c r="AG61" s="152"/>
      <c r="AH61" s="152"/>
      <c r="AI61" s="152"/>
      <c r="AJ61" s="301"/>
      <c r="AK61" s="348">
        <v>0</v>
      </c>
      <c r="AL61" s="152">
        <v>0</v>
      </c>
      <c r="AM61" s="152">
        <v>0</v>
      </c>
      <c r="AN61" s="94"/>
      <c r="AO61" s="95"/>
      <c r="AP61" s="122"/>
      <c r="AQ61" s="558"/>
      <c r="AR61" s="499"/>
      <c r="AS61" s="499"/>
      <c r="AT61" s="499"/>
      <c r="AU61" s="502"/>
      <c r="AV61" s="92"/>
      <c r="AW61" s="92"/>
      <c r="AX61" s="92"/>
      <c r="AY61" s="92"/>
      <c r="AZ61" s="92"/>
      <c r="BA61" s="92"/>
      <c r="BB61" s="92"/>
      <c r="BC61" s="92"/>
      <c r="BD61" s="92"/>
      <c r="BE61" s="92"/>
      <c r="BF61" s="92"/>
      <c r="BG61" s="92"/>
      <c r="BH61" s="92"/>
    </row>
    <row r="62" spans="1:60" ht="18" x14ac:dyDescent="0.25">
      <c r="A62" s="528"/>
      <c r="B62" s="487"/>
      <c r="C62" s="481"/>
      <c r="D62" s="484"/>
      <c r="E62" s="484"/>
      <c r="F62" s="511"/>
      <c r="G62" s="30" t="s">
        <v>12</v>
      </c>
      <c r="H62" s="342">
        <f>+H58</f>
        <v>100</v>
      </c>
      <c r="I62" s="333">
        <v>0</v>
      </c>
      <c r="J62" s="333">
        <v>0</v>
      </c>
      <c r="K62" s="333">
        <v>0</v>
      </c>
      <c r="L62" s="314">
        <v>0</v>
      </c>
      <c r="M62" s="353">
        <v>0</v>
      </c>
      <c r="N62" s="353">
        <v>0</v>
      </c>
      <c r="O62" s="353">
        <v>0</v>
      </c>
      <c r="P62" s="353">
        <v>0</v>
      </c>
      <c r="Q62" s="353">
        <v>0</v>
      </c>
      <c r="R62" s="353">
        <v>0</v>
      </c>
      <c r="S62" s="353">
        <v>0</v>
      </c>
      <c r="T62" s="353">
        <v>0</v>
      </c>
      <c r="U62" s="353">
        <v>0</v>
      </c>
      <c r="V62" s="353">
        <v>0</v>
      </c>
      <c r="W62" s="353">
        <v>0</v>
      </c>
      <c r="X62" s="353">
        <v>0</v>
      </c>
      <c r="Y62" s="283">
        <v>0</v>
      </c>
      <c r="Z62" s="353">
        <f>Z58+Z60</f>
        <v>100</v>
      </c>
      <c r="AA62" s="353">
        <f>AA58+AA60</f>
        <v>100</v>
      </c>
      <c r="AB62" s="353">
        <f>AB58+AB60</f>
        <v>100</v>
      </c>
      <c r="AC62" s="353"/>
      <c r="AD62" s="355"/>
      <c r="AE62" s="314">
        <v>0</v>
      </c>
      <c r="AF62" s="314"/>
      <c r="AG62" s="314"/>
      <c r="AH62" s="314"/>
      <c r="AI62" s="314"/>
      <c r="AJ62" s="315"/>
      <c r="AK62" s="355">
        <f>+AK58+AK60</f>
        <v>0</v>
      </c>
      <c r="AL62" s="314">
        <f>+AL58+AL60</f>
        <v>50</v>
      </c>
      <c r="AM62" s="314">
        <f>+AM58+AM60</f>
        <v>55</v>
      </c>
      <c r="AN62" s="77"/>
      <c r="AO62" s="108">
        <f t="shared" si="11"/>
        <v>0.55000000000000004</v>
      </c>
      <c r="AP62" s="123">
        <f t="shared" si="6"/>
        <v>0.55000000000000004</v>
      </c>
      <c r="AQ62" s="558"/>
      <c r="AR62" s="499"/>
      <c r="AS62" s="499"/>
      <c r="AT62" s="499"/>
      <c r="AU62" s="502"/>
      <c r="AV62" s="92"/>
      <c r="AW62" s="92"/>
      <c r="AX62" s="92"/>
      <c r="AY62" s="92"/>
      <c r="AZ62" s="92"/>
      <c r="BA62" s="92"/>
      <c r="BB62" s="92"/>
      <c r="BC62" s="92"/>
      <c r="BD62" s="92"/>
      <c r="BE62" s="92"/>
      <c r="BF62" s="92"/>
      <c r="BG62" s="92"/>
      <c r="BH62" s="92"/>
    </row>
    <row r="63" spans="1:60" ht="18.75" thickBot="1" x14ac:dyDescent="0.3">
      <c r="A63" s="556"/>
      <c r="B63" s="488"/>
      <c r="C63" s="482"/>
      <c r="D63" s="485"/>
      <c r="E63" s="485"/>
      <c r="F63" s="512"/>
      <c r="G63" s="35" t="s">
        <v>13</v>
      </c>
      <c r="H63" s="285">
        <f>+H59</f>
        <v>787051125</v>
      </c>
      <c r="I63" s="285">
        <v>0</v>
      </c>
      <c r="J63" s="285">
        <v>0</v>
      </c>
      <c r="K63" s="285">
        <v>0</v>
      </c>
      <c r="L63" s="285">
        <v>0</v>
      </c>
      <c r="M63" s="285">
        <v>0</v>
      </c>
      <c r="N63" s="285">
        <v>0</v>
      </c>
      <c r="O63" s="285">
        <v>0</v>
      </c>
      <c r="P63" s="285">
        <v>0</v>
      </c>
      <c r="Q63" s="285">
        <v>0</v>
      </c>
      <c r="R63" s="285">
        <v>0</v>
      </c>
      <c r="S63" s="285">
        <v>0</v>
      </c>
      <c r="T63" s="285">
        <v>0</v>
      </c>
      <c r="U63" s="285">
        <v>0</v>
      </c>
      <c r="V63" s="285">
        <v>0</v>
      </c>
      <c r="W63" s="285">
        <v>0</v>
      </c>
      <c r="X63" s="285">
        <v>0</v>
      </c>
      <c r="Y63" s="285">
        <v>314820000</v>
      </c>
      <c r="Z63" s="285">
        <v>314820000</v>
      </c>
      <c r="AA63" s="285">
        <v>314820000</v>
      </c>
      <c r="AB63" s="285">
        <f>AB59</f>
        <v>787051125</v>
      </c>
      <c r="AC63" s="285"/>
      <c r="AD63" s="338"/>
      <c r="AE63" s="311">
        <v>0</v>
      </c>
      <c r="AF63" s="311"/>
      <c r="AG63" s="311"/>
      <c r="AH63" s="311"/>
      <c r="AI63" s="311"/>
      <c r="AJ63" s="316"/>
      <c r="AK63" s="338">
        <f>+AK61+AK59</f>
        <v>0</v>
      </c>
      <c r="AL63" s="311">
        <f>+AL61+AL59</f>
        <v>157410225</v>
      </c>
      <c r="AM63" s="311">
        <f>+AM61+AM59</f>
        <v>472230675</v>
      </c>
      <c r="AN63" s="99"/>
      <c r="AO63" s="100">
        <f t="shared" si="11"/>
        <v>0.6</v>
      </c>
      <c r="AP63" s="124">
        <f t="shared" si="6"/>
        <v>0.6</v>
      </c>
      <c r="AQ63" s="559"/>
      <c r="AR63" s="500"/>
      <c r="AS63" s="500"/>
      <c r="AT63" s="500"/>
      <c r="AU63" s="503"/>
      <c r="AV63" s="92"/>
      <c r="AW63" s="92"/>
      <c r="AX63" s="92"/>
      <c r="AY63" s="92"/>
      <c r="AZ63" s="92"/>
      <c r="BA63" s="92"/>
      <c r="BB63" s="92"/>
      <c r="BC63" s="92"/>
      <c r="BD63" s="92"/>
      <c r="BE63" s="92"/>
      <c r="BF63" s="92"/>
      <c r="BG63" s="92"/>
      <c r="BH63" s="92"/>
    </row>
    <row r="64" spans="1:60" ht="18" x14ac:dyDescent="0.25">
      <c r="A64" s="541" t="s">
        <v>14</v>
      </c>
      <c r="B64" s="542"/>
      <c r="C64" s="542"/>
      <c r="D64" s="542"/>
      <c r="E64" s="542"/>
      <c r="F64" s="543"/>
      <c r="G64" s="29" t="s">
        <v>9</v>
      </c>
      <c r="H64" s="319">
        <f t="shared" ref="H64:N64" si="18">+H11+H17+H23+H29+H35+H41+H47+H53</f>
        <v>28035682022.666668</v>
      </c>
      <c r="I64" s="319">
        <f t="shared" si="18"/>
        <v>1261547053</v>
      </c>
      <c r="J64" s="319">
        <f t="shared" si="18"/>
        <v>1261547053</v>
      </c>
      <c r="K64" s="319">
        <f t="shared" si="18"/>
        <v>1051547053</v>
      </c>
      <c r="L64" s="319">
        <f t="shared" si="18"/>
        <v>867743009</v>
      </c>
      <c r="M64" s="319">
        <f t="shared" si="18"/>
        <v>8795300000</v>
      </c>
      <c r="N64" s="319">
        <f t="shared" si="18"/>
        <v>8795300000</v>
      </c>
      <c r="O64" s="319">
        <f>+O11+O17+O23+O29+O35+O41+O47+O53</f>
        <v>8795300000</v>
      </c>
      <c r="P64" s="319">
        <f>+P11+P17+P23+P29+P35+P41+P47+P53</f>
        <v>7712420000</v>
      </c>
      <c r="Q64" s="319">
        <f>+Q11+Q17+Q23+Q29+Q35+Q41+Q47+Q53</f>
        <v>7712420000</v>
      </c>
      <c r="R64" s="319">
        <f>+R11+R17+R23+R29+R35+R41+R47+R53</f>
        <v>7356162028.666666</v>
      </c>
      <c r="S64" s="319">
        <f t="shared" ref="S64:X64" si="19">+S11+S17+S23+S29+S35+S41+S47+S53</f>
        <v>7468889000</v>
      </c>
      <c r="T64" s="319">
        <f t="shared" si="19"/>
        <v>7468889000</v>
      </c>
      <c r="U64" s="319">
        <f t="shared" si="19"/>
        <v>7468889000</v>
      </c>
      <c r="V64" s="319">
        <f t="shared" si="19"/>
        <v>7468889000</v>
      </c>
      <c r="W64" s="319">
        <f t="shared" si="19"/>
        <v>7468889000</v>
      </c>
      <c r="X64" s="319">
        <f t="shared" si="19"/>
        <v>6391433325</v>
      </c>
      <c r="Y64" s="319">
        <f>+Y11+Y17+Y23+Y29+Y35+Y41+Y47+Y53+Y59</f>
        <v>9147871000</v>
      </c>
      <c r="Z64" s="319">
        <f t="shared" ref="Z64:AK64" si="20">+Z11+Z17+Z23+Z29+Z35+Z41+Z47+Z53+Z59</f>
        <v>9147871000</v>
      </c>
      <c r="AA64" s="319">
        <f t="shared" si="20"/>
        <v>9147871000</v>
      </c>
      <c r="AB64" s="319">
        <f t="shared" si="20"/>
        <v>9147871000</v>
      </c>
      <c r="AC64" s="319">
        <f t="shared" si="20"/>
        <v>1539315550</v>
      </c>
      <c r="AD64" s="319"/>
      <c r="AE64" s="319">
        <f>+AE11+AE17+AE23+AE29+AE35+AE41+AE47+AE53+AE59</f>
        <v>3462870000</v>
      </c>
      <c r="AF64" s="319"/>
      <c r="AG64" s="319"/>
      <c r="AH64" s="319"/>
      <c r="AI64" s="319"/>
      <c r="AJ64" s="320"/>
      <c r="AK64" s="359">
        <f t="shared" si="20"/>
        <v>598096000</v>
      </c>
      <c r="AL64" s="319">
        <f>+AL11+AL17+AL23+AL29+AL35+AL41+AL47+AL53+AL59</f>
        <v>2750334062</v>
      </c>
      <c r="AM64" s="319">
        <f>+AM11+AM17+AM23+AM29+AM35+AM41+AM47+AM53+AM59</f>
        <v>3140076512</v>
      </c>
      <c r="AN64" s="125"/>
      <c r="AO64" s="126">
        <f>+AM64/AB64</f>
        <v>0.34325762923416825</v>
      </c>
      <c r="AP64" s="127">
        <f>+(AM64+X64+R64+L64)/H64</f>
        <v>0.63331488994316332</v>
      </c>
      <c r="AQ64" s="547"/>
      <c r="AR64" s="547"/>
      <c r="AS64" s="547"/>
      <c r="AT64" s="547"/>
      <c r="AU64" s="548"/>
      <c r="AV64" s="92"/>
      <c r="AW64" s="128"/>
      <c r="AX64" s="128"/>
      <c r="AY64" s="128"/>
      <c r="AZ64" s="128"/>
      <c r="BA64" s="128"/>
      <c r="BB64" s="128"/>
      <c r="BC64" s="128"/>
      <c r="BD64" s="128"/>
      <c r="BE64" s="128"/>
      <c r="BF64" s="128"/>
      <c r="BG64" s="128"/>
      <c r="BH64" s="128"/>
    </row>
    <row r="65" spans="1:60" ht="18" x14ac:dyDescent="0.25">
      <c r="A65" s="541"/>
      <c r="B65" s="542"/>
      <c r="C65" s="542"/>
      <c r="D65" s="542"/>
      <c r="E65" s="542"/>
      <c r="F65" s="543"/>
      <c r="G65" s="33" t="s">
        <v>11</v>
      </c>
      <c r="H65" s="289">
        <f t="shared" ref="H65:N65" si="21">H13+H19+H25+H31+H37+H43+H49+H55</f>
        <v>13004340201</v>
      </c>
      <c r="I65" s="289">
        <f t="shared" si="21"/>
        <v>0</v>
      </c>
      <c r="J65" s="289">
        <f t="shared" si="21"/>
        <v>0</v>
      </c>
      <c r="K65" s="289">
        <f t="shared" si="21"/>
        <v>0</v>
      </c>
      <c r="L65" s="289">
        <f t="shared" si="21"/>
        <v>0</v>
      </c>
      <c r="M65" s="289">
        <f t="shared" si="21"/>
        <v>730212885</v>
      </c>
      <c r="N65" s="289">
        <f t="shared" si="21"/>
        <v>730212885</v>
      </c>
      <c r="O65" s="289">
        <f>O13+O19+O25+O31+O37+O43+O49+O55</f>
        <v>730212884</v>
      </c>
      <c r="P65" s="289">
        <f>P13+P19+P25+P31+P37+P43+P49+P55</f>
        <v>730212884</v>
      </c>
      <c r="Q65" s="289">
        <f>Q13+Q19+Q25+Q31+Q37+Q43+Q49+Q55</f>
        <v>730212884</v>
      </c>
      <c r="R65" s="289">
        <f>R13+R19+R25+R31+R37+R43+R49+R55</f>
        <v>730212884</v>
      </c>
      <c r="S65" s="289">
        <f t="shared" ref="S65:X65" si="22">S13+S19+S25+S31+S37+S43+S49+S55</f>
        <v>5853824592</v>
      </c>
      <c r="T65" s="289">
        <f t="shared" si="22"/>
        <v>5853824592</v>
      </c>
      <c r="U65" s="289">
        <f t="shared" si="22"/>
        <v>5845422411</v>
      </c>
      <c r="V65" s="289">
        <f t="shared" si="22"/>
        <v>5845422411</v>
      </c>
      <c r="W65" s="289">
        <f t="shared" si="22"/>
        <v>5845422411</v>
      </c>
      <c r="X65" s="289">
        <f t="shared" si="22"/>
        <v>4600972067</v>
      </c>
      <c r="Y65" s="289">
        <f>Y13+Y19+Y25+Y31+Y37+Y43+Y49+Y55+Y61</f>
        <v>5538997085</v>
      </c>
      <c r="Z65" s="289">
        <f t="shared" ref="Z65:AK65" si="23">Z13+Z19+Z25+Z31+Z37+Z43+Z49+Z55+Z61</f>
        <v>5538997085</v>
      </c>
      <c r="AA65" s="289">
        <f t="shared" si="23"/>
        <v>5538997085</v>
      </c>
      <c r="AB65" s="289">
        <f t="shared" si="23"/>
        <v>5538985229</v>
      </c>
      <c r="AC65" s="289">
        <f t="shared" si="23"/>
        <v>0</v>
      </c>
      <c r="AD65" s="360"/>
      <c r="AE65" s="289">
        <f t="shared" si="23"/>
        <v>0</v>
      </c>
      <c r="AF65" s="289"/>
      <c r="AG65" s="289"/>
      <c r="AH65" s="289"/>
      <c r="AI65" s="289"/>
      <c r="AJ65" s="290"/>
      <c r="AK65" s="327">
        <f t="shared" si="23"/>
        <v>5041530221</v>
      </c>
      <c r="AL65" s="289">
        <f>AL13+AL19+AL25+AL31+AL37+AL43+AL49+AL55</f>
        <v>5342968104</v>
      </c>
      <c r="AM65" s="289">
        <f>AM13+AM19+AM25+AM31+AM37+AM43+AM49+AM55</f>
        <v>5419626199</v>
      </c>
      <c r="AN65" s="129"/>
      <c r="AO65" s="130">
        <f>+AM65/AB65</f>
        <v>0.97845110158895499</v>
      </c>
      <c r="AP65" s="131">
        <f>+(AM65+X65+R65+L65)/H65</f>
        <v>0.82670946651897725</v>
      </c>
      <c r="AQ65" s="549"/>
      <c r="AR65" s="549"/>
      <c r="AS65" s="549"/>
      <c r="AT65" s="549"/>
      <c r="AU65" s="550"/>
      <c r="AV65" s="92"/>
      <c r="AW65" s="128"/>
      <c r="AX65" s="128"/>
      <c r="AY65" s="128"/>
      <c r="AZ65" s="128"/>
      <c r="BA65" s="128"/>
      <c r="BB65" s="128"/>
      <c r="BC65" s="128"/>
      <c r="BD65" s="128"/>
      <c r="BE65" s="128"/>
      <c r="BF65" s="128"/>
      <c r="BG65" s="128"/>
      <c r="BH65" s="128"/>
    </row>
    <row r="66" spans="1:60" thickBot="1" x14ac:dyDescent="0.3">
      <c r="A66" s="544"/>
      <c r="B66" s="545"/>
      <c r="C66" s="545"/>
      <c r="D66" s="545"/>
      <c r="E66" s="545"/>
      <c r="F66" s="546"/>
      <c r="G66" s="32" t="s">
        <v>14</v>
      </c>
      <c r="H66" s="285">
        <f t="shared" ref="H66:N66" si="24">+H65+H64</f>
        <v>41040022223.666672</v>
      </c>
      <c r="I66" s="285">
        <f t="shared" si="24"/>
        <v>1261547053</v>
      </c>
      <c r="J66" s="285">
        <f t="shared" si="24"/>
        <v>1261547053</v>
      </c>
      <c r="K66" s="285">
        <f t="shared" si="24"/>
        <v>1051547053</v>
      </c>
      <c r="L66" s="285">
        <f t="shared" si="24"/>
        <v>867743009</v>
      </c>
      <c r="M66" s="285">
        <f t="shared" si="24"/>
        <v>9525512885</v>
      </c>
      <c r="N66" s="285">
        <f t="shared" si="24"/>
        <v>9525512885</v>
      </c>
      <c r="O66" s="285">
        <f>+O65+O64</f>
        <v>9525512884</v>
      </c>
      <c r="P66" s="285">
        <f>+P65+P64</f>
        <v>8442632884</v>
      </c>
      <c r="Q66" s="285">
        <f>+Q65+Q64</f>
        <v>8442632884</v>
      </c>
      <c r="R66" s="285">
        <f>+R65+R64</f>
        <v>8086374912.666666</v>
      </c>
      <c r="S66" s="285">
        <f t="shared" ref="S66:AK66" si="25">+S65+S64</f>
        <v>13322713592</v>
      </c>
      <c r="T66" s="285">
        <f t="shared" si="25"/>
        <v>13322713592</v>
      </c>
      <c r="U66" s="285">
        <f t="shared" si="25"/>
        <v>13314311411</v>
      </c>
      <c r="V66" s="285">
        <f t="shared" si="25"/>
        <v>13314311411</v>
      </c>
      <c r="W66" s="285">
        <f t="shared" si="25"/>
        <v>13314311411</v>
      </c>
      <c r="X66" s="285">
        <f t="shared" si="25"/>
        <v>10992405392</v>
      </c>
      <c r="Y66" s="285">
        <f t="shared" si="25"/>
        <v>14686868085</v>
      </c>
      <c r="Z66" s="285">
        <f t="shared" si="25"/>
        <v>14686868085</v>
      </c>
      <c r="AA66" s="285">
        <f t="shared" si="25"/>
        <v>14686868085</v>
      </c>
      <c r="AB66" s="285">
        <f t="shared" si="25"/>
        <v>14686856229</v>
      </c>
      <c r="AC66" s="285">
        <f t="shared" si="25"/>
        <v>1539315550</v>
      </c>
      <c r="AD66" s="285"/>
      <c r="AE66" s="285">
        <f t="shared" si="25"/>
        <v>3462870000</v>
      </c>
      <c r="AF66" s="285"/>
      <c r="AG66" s="285"/>
      <c r="AH66" s="285"/>
      <c r="AI66" s="285"/>
      <c r="AJ66" s="286"/>
      <c r="AK66" s="337">
        <f t="shared" si="25"/>
        <v>5639626221</v>
      </c>
      <c r="AL66" s="285">
        <f>+AL64+AL65</f>
        <v>8093302166</v>
      </c>
      <c r="AM66" s="285">
        <f>+AM64+AM65</f>
        <v>8559702711</v>
      </c>
      <c r="AN66" s="132"/>
      <c r="AO66" s="133">
        <f>+AM66/AB66</f>
        <v>0.58281381512392005</v>
      </c>
      <c r="AP66" s="134">
        <f>+(AM66+X66+R66+L66)/H66</f>
        <v>0.69459577456631816</v>
      </c>
      <c r="AQ66" s="551"/>
      <c r="AR66" s="551"/>
      <c r="AS66" s="551"/>
      <c r="AT66" s="551"/>
      <c r="AU66" s="552"/>
      <c r="AV66" s="92"/>
      <c r="AW66" s="135"/>
      <c r="AX66" s="128"/>
      <c r="AY66" s="128"/>
      <c r="AZ66" s="128"/>
      <c r="BA66" s="128"/>
      <c r="BB66" s="128"/>
      <c r="BC66" s="128"/>
      <c r="BD66" s="128"/>
      <c r="BE66" s="128"/>
      <c r="BF66" s="128"/>
      <c r="BG66" s="128"/>
      <c r="BH66" s="128"/>
    </row>
    <row r="69" spans="1:60" x14ac:dyDescent="0.25">
      <c r="F69" s="58" t="s">
        <v>130</v>
      </c>
      <c r="G69" s="4"/>
      <c r="H69" s="4"/>
      <c r="I69" s="4"/>
      <c r="J69" s="4"/>
      <c r="K69" s="4"/>
      <c r="L69" s="4"/>
      <c r="M69" s="4"/>
      <c r="N69" s="4"/>
      <c r="O69" s="8"/>
      <c r="P69" s="8"/>
    </row>
    <row r="70" spans="1:60" x14ac:dyDescent="0.25">
      <c r="F70" s="281" t="s">
        <v>131</v>
      </c>
      <c r="G70" s="435" t="s">
        <v>132</v>
      </c>
      <c r="H70" s="435"/>
      <c r="I70" s="435"/>
      <c r="J70" s="435"/>
      <c r="K70" s="435"/>
      <c r="L70" s="435"/>
      <c r="M70" s="426" t="s">
        <v>133</v>
      </c>
      <c r="N70" s="426"/>
      <c r="O70" s="426"/>
      <c r="P70" s="426"/>
    </row>
    <row r="71" spans="1:60" x14ac:dyDescent="0.25">
      <c r="F71" s="57">
        <v>11</v>
      </c>
      <c r="G71" s="436" t="s">
        <v>134</v>
      </c>
      <c r="H71" s="436"/>
      <c r="I71" s="436"/>
      <c r="J71" s="436"/>
      <c r="K71" s="436"/>
      <c r="L71" s="436"/>
      <c r="M71" s="427" t="s">
        <v>136</v>
      </c>
      <c r="N71" s="427"/>
      <c r="O71" s="427"/>
      <c r="P71" s="427"/>
    </row>
  </sheetData>
  <mergeCells count="130">
    <mergeCell ref="A64:F66"/>
    <mergeCell ref="AQ64:AU66"/>
    <mergeCell ref="I7:AJ7"/>
    <mergeCell ref="AU52:AU57"/>
    <mergeCell ref="A58:A63"/>
    <mergeCell ref="B58:B63"/>
    <mergeCell ref="C58:C63"/>
    <mergeCell ref="D58:D63"/>
    <mergeCell ref="E58:E63"/>
    <mergeCell ref="F58:F63"/>
    <mergeCell ref="AQ58:AQ63"/>
    <mergeCell ref="AR58:AR63"/>
    <mergeCell ref="AS58:AS63"/>
    <mergeCell ref="AT58:AT63"/>
    <mergeCell ref="AU58:AU63"/>
    <mergeCell ref="F52:F57"/>
    <mergeCell ref="AQ52:AQ57"/>
    <mergeCell ref="AR52:AR57"/>
    <mergeCell ref="AS52:AS57"/>
    <mergeCell ref="AT52:AT57"/>
    <mergeCell ref="AU40:AU45"/>
    <mergeCell ref="B46:B51"/>
    <mergeCell ref="C46:C51"/>
    <mergeCell ref="D46:D51"/>
    <mergeCell ref="F46:F51"/>
    <mergeCell ref="AQ46:AQ51"/>
    <mergeCell ref="AR46:AR51"/>
    <mergeCell ref="AS46:AS51"/>
    <mergeCell ref="AT46:AT51"/>
    <mergeCell ref="AU46:AU51"/>
    <mergeCell ref="F40:F45"/>
    <mergeCell ref="AQ40:AQ45"/>
    <mergeCell ref="AR40:AR45"/>
    <mergeCell ref="AS40:AS45"/>
    <mergeCell ref="AT40:AT45"/>
    <mergeCell ref="A40:A57"/>
    <mergeCell ref="B40:B45"/>
    <mergeCell ref="C40:C45"/>
    <mergeCell ref="D40:D45"/>
    <mergeCell ref="E40:E45"/>
    <mergeCell ref="B52:B57"/>
    <mergeCell ref="C52:C57"/>
    <mergeCell ref="D52:D57"/>
    <mergeCell ref="E52:E57"/>
    <mergeCell ref="E46:E51"/>
    <mergeCell ref="AU28:AU33"/>
    <mergeCell ref="A34:A39"/>
    <mergeCell ref="B34:B39"/>
    <mergeCell ref="C34:C39"/>
    <mergeCell ref="D34:D39"/>
    <mergeCell ref="E34:E39"/>
    <mergeCell ref="F34:F39"/>
    <mergeCell ref="AQ34:AQ39"/>
    <mergeCell ref="AR34:AR39"/>
    <mergeCell ref="AS34:AS39"/>
    <mergeCell ref="AT34:AT39"/>
    <mergeCell ref="AU34:AU39"/>
    <mergeCell ref="F28:F33"/>
    <mergeCell ref="AQ28:AQ33"/>
    <mergeCell ref="AR28:AR33"/>
    <mergeCell ref="AS28:AS33"/>
    <mergeCell ref="AT28:AT33"/>
    <mergeCell ref="A10:A33"/>
    <mergeCell ref="B28:B33"/>
    <mergeCell ref="C28:C33"/>
    <mergeCell ref="D28:D33"/>
    <mergeCell ref="E28:E33"/>
    <mergeCell ref="F22:F27"/>
    <mergeCell ref="F10:F15"/>
    <mergeCell ref="A7:A9"/>
    <mergeCell ref="AS7:AS9"/>
    <mergeCell ref="AT7:AT9"/>
    <mergeCell ref="AP7:AP9"/>
    <mergeCell ref="B7:D8"/>
    <mergeCell ref="I8:L8"/>
    <mergeCell ref="M8:R8"/>
    <mergeCell ref="S8:X8"/>
    <mergeCell ref="Y8:AD8"/>
    <mergeCell ref="AK8:AN8"/>
    <mergeCell ref="F7:F9"/>
    <mergeCell ref="AK7:AN7"/>
    <mergeCell ref="AR7:AR9"/>
    <mergeCell ref="AO7:AO9"/>
    <mergeCell ref="H7:H9"/>
    <mergeCell ref="AE8:AJ8"/>
    <mergeCell ref="B22:B27"/>
    <mergeCell ref="C22:C27"/>
    <mergeCell ref="D22:D27"/>
    <mergeCell ref="E22:E27"/>
    <mergeCell ref="AT16:AT21"/>
    <mergeCell ref="AU16:AU21"/>
    <mergeCell ref="AS10:AS15"/>
    <mergeCell ref="AT10:AT15"/>
    <mergeCell ref="AU7:AU9"/>
    <mergeCell ref="B10:B15"/>
    <mergeCell ref="AS16:AS21"/>
    <mergeCell ref="D16:D21"/>
    <mergeCell ref="AR22:AR27"/>
    <mergeCell ref="AS22:AS27"/>
    <mergeCell ref="AQ22:AQ27"/>
    <mergeCell ref="F16:F21"/>
    <mergeCell ref="AU10:AU15"/>
    <mergeCell ref="AR10:AR15"/>
    <mergeCell ref="AT22:AT27"/>
    <mergeCell ref="AU22:AU27"/>
    <mergeCell ref="AR16:AR21"/>
    <mergeCell ref="G70:L70"/>
    <mergeCell ref="M70:P70"/>
    <mergeCell ref="G71:L71"/>
    <mergeCell ref="M71:P71"/>
    <mergeCell ref="A1:E3"/>
    <mergeCell ref="A4:P4"/>
    <mergeCell ref="A5:P5"/>
    <mergeCell ref="AM3:AU3"/>
    <mergeCell ref="F1:AU1"/>
    <mergeCell ref="F3:AL3"/>
    <mergeCell ref="Q4:AU4"/>
    <mergeCell ref="Q5:AU5"/>
    <mergeCell ref="F2:AU2"/>
    <mergeCell ref="C10:C15"/>
    <mergeCell ref="D10:D15"/>
    <mergeCell ref="B16:B21"/>
    <mergeCell ref="C16:C21"/>
    <mergeCell ref="E10:E15"/>
    <mergeCell ref="AQ10:AQ15"/>
    <mergeCell ref="AQ7:AQ9"/>
    <mergeCell ref="E16:E21"/>
    <mergeCell ref="AQ16:AQ21"/>
    <mergeCell ref="E7:E9"/>
    <mergeCell ref="G7:G9"/>
  </mergeCells>
  <printOptions horizontalCentered="1" verticalCentered="1"/>
  <pageMargins left="0" right="0" top="0.74803149606299213" bottom="0" header="0.31496062992125984" footer="0"/>
  <pageSetup scale="20" fitToHeight="0" orientation="landscape" r:id="rId1"/>
  <headerFooter>
    <oddFooter>&amp;C&amp;G</oddFooter>
  </headerFooter>
  <drawing r:id="rId2"/>
  <legacyDrawing r:id="rId3"/>
  <legacyDrawingHF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'http://172.22.1.31/Documents and Settings/DIANA.OVIEDO/Escritorio/AJUSTES PROCEDIMIENTOS JUNIO 3/Procedimiento 02/Documents and Settings/Andre/My Documents/Downloads/Territorializacion/Formatos de Territorializacion a 31_12_2009/[285_V2.xls]GESTIÓN'!#REF!</xm:f>
          </x14:formula1>
          <xm:sqref>D16:D27 D34:D57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18"/>
  <sheetViews>
    <sheetView zoomScale="80" zoomScaleNormal="80" workbookViewId="0">
      <selection activeCell="N13" sqref="N13"/>
    </sheetView>
  </sheetViews>
  <sheetFormatPr baseColWidth="10" defaultRowHeight="15" x14ac:dyDescent="0.25"/>
  <cols>
    <col min="1" max="1" width="8" style="269" customWidth="1"/>
    <col min="2" max="2" width="16.28515625" style="269" customWidth="1"/>
    <col min="3" max="3" width="32.5703125" style="271" customWidth="1"/>
    <col min="4" max="4" width="6.140625" style="269" customWidth="1"/>
    <col min="5" max="5" width="7.85546875" style="269" customWidth="1"/>
    <col min="6" max="6" width="11.7109375" style="269" customWidth="1"/>
    <col min="7" max="7" width="7" style="269" customWidth="1"/>
    <col min="8" max="8" width="6.7109375" style="269" customWidth="1"/>
    <col min="9" max="13" width="7" style="269" customWidth="1"/>
    <col min="14" max="14" width="7" style="272" customWidth="1"/>
    <col min="15" max="18" width="9.5703125" style="272" customWidth="1"/>
    <col min="19" max="19" width="11.7109375" style="272" customWidth="1"/>
    <col min="20" max="20" width="11.140625" style="272" customWidth="1"/>
    <col min="21" max="21" width="13.28515625" style="272" customWidth="1"/>
    <col min="22" max="22" width="70.28515625" style="269" customWidth="1"/>
    <col min="23" max="23" width="11.42578125" style="269" customWidth="1"/>
    <col min="26" max="48" width="11.42578125" style="269"/>
    <col min="49" max="50" width="11.42578125" style="269" customWidth="1"/>
    <col min="51" max="16384" width="11.42578125" style="269"/>
  </cols>
  <sheetData>
    <row r="1" spans="1:50" s="268" customFormat="1" ht="43.5" customHeight="1" x14ac:dyDescent="0.25">
      <c r="A1" s="571"/>
      <c r="B1" s="572"/>
      <c r="C1" s="572"/>
      <c r="D1" s="575" t="s">
        <v>140</v>
      </c>
      <c r="E1" s="576"/>
      <c r="F1" s="576"/>
      <c r="G1" s="576"/>
      <c r="H1" s="576"/>
      <c r="I1" s="576"/>
      <c r="J1" s="576"/>
      <c r="K1" s="576"/>
      <c r="L1" s="576"/>
      <c r="M1" s="576"/>
      <c r="N1" s="576"/>
      <c r="O1" s="576"/>
      <c r="P1" s="576"/>
      <c r="Q1" s="576"/>
      <c r="R1" s="576"/>
      <c r="S1" s="576"/>
      <c r="T1" s="576"/>
      <c r="U1" s="576"/>
      <c r="V1" s="577"/>
      <c r="AW1" s="5"/>
      <c r="AX1" s="5"/>
    </row>
    <row r="2" spans="1:50" s="268" customFormat="1" ht="64.5" customHeight="1" x14ac:dyDescent="0.25">
      <c r="A2" s="428"/>
      <c r="B2" s="429"/>
      <c r="C2" s="429"/>
      <c r="D2" s="578" t="s">
        <v>138</v>
      </c>
      <c r="E2" s="579"/>
      <c r="F2" s="579"/>
      <c r="G2" s="579"/>
      <c r="H2" s="579"/>
      <c r="I2" s="579"/>
      <c r="J2" s="579"/>
      <c r="K2" s="579"/>
      <c r="L2" s="579"/>
      <c r="M2" s="579"/>
      <c r="N2" s="579"/>
      <c r="O2" s="579"/>
      <c r="P2" s="579"/>
      <c r="Q2" s="579"/>
      <c r="R2" s="579"/>
      <c r="S2" s="579"/>
      <c r="T2" s="579"/>
      <c r="U2" s="579"/>
      <c r="V2" s="580"/>
      <c r="AW2" s="5"/>
      <c r="AX2" s="5"/>
    </row>
    <row r="3" spans="1:50" s="268" customFormat="1" ht="43.5" customHeight="1" thickBot="1" x14ac:dyDescent="0.3">
      <c r="A3" s="573"/>
      <c r="B3" s="574"/>
      <c r="C3" s="574"/>
      <c r="D3" s="564" t="s">
        <v>128</v>
      </c>
      <c r="E3" s="405"/>
      <c r="F3" s="405"/>
      <c r="G3" s="405"/>
      <c r="H3" s="405"/>
      <c r="I3" s="405"/>
      <c r="J3" s="405"/>
      <c r="K3" s="405"/>
      <c r="L3" s="405"/>
      <c r="M3" s="405"/>
      <c r="N3" s="405"/>
      <c r="O3" s="405"/>
      <c r="P3" s="405"/>
      <c r="Q3" s="405"/>
      <c r="R3" s="405"/>
      <c r="S3" s="405"/>
      <c r="T3" s="405"/>
      <c r="U3" s="406"/>
      <c r="V3" s="59" t="s">
        <v>129</v>
      </c>
      <c r="AW3" s="5"/>
      <c r="AX3" s="5"/>
    </row>
    <row r="4" spans="1:50" s="268" customFormat="1" ht="43.5" customHeight="1" thickBot="1" x14ac:dyDescent="0.3">
      <c r="A4" s="408" t="s">
        <v>0</v>
      </c>
      <c r="B4" s="409"/>
      <c r="C4" s="587"/>
      <c r="D4" s="586" t="s">
        <v>160</v>
      </c>
      <c r="E4" s="586"/>
      <c r="F4" s="586"/>
      <c r="G4" s="586"/>
      <c r="H4" s="586"/>
      <c r="I4" s="586"/>
      <c r="J4" s="586"/>
      <c r="K4" s="586"/>
      <c r="L4" s="586"/>
      <c r="M4" s="586"/>
      <c r="N4" s="586"/>
      <c r="O4" s="586"/>
      <c r="P4" s="586"/>
      <c r="Q4" s="586"/>
      <c r="R4" s="586"/>
      <c r="S4" s="586"/>
      <c r="T4" s="586"/>
      <c r="U4" s="586"/>
      <c r="V4" s="586"/>
      <c r="AW4" s="5"/>
      <c r="AX4" s="5"/>
    </row>
    <row r="5" spans="1:50" s="268" customFormat="1" ht="43.5" customHeight="1" thickBot="1" x14ac:dyDescent="0.3">
      <c r="A5" s="469" t="s">
        <v>2</v>
      </c>
      <c r="B5" s="470"/>
      <c r="C5" s="585"/>
      <c r="D5" s="586" t="s">
        <v>143</v>
      </c>
      <c r="E5" s="586"/>
      <c r="F5" s="586"/>
      <c r="G5" s="586"/>
      <c r="H5" s="586"/>
      <c r="I5" s="586"/>
      <c r="J5" s="586"/>
      <c r="K5" s="586"/>
      <c r="L5" s="586"/>
      <c r="M5" s="586"/>
      <c r="N5" s="586"/>
      <c r="O5" s="586"/>
      <c r="P5" s="586"/>
      <c r="Q5" s="586"/>
      <c r="R5" s="586"/>
      <c r="S5" s="586"/>
      <c r="T5" s="586"/>
      <c r="U5" s="586"/>
      <c r="V5" s="586"/>
      <c r="AW5" s="5"/>
      <c r="AX5" s="5"/>
    </row>
    <row r="6" spans="1:50" s="268" customFormat="1" ht="42.75" customHeight="1" x14ac:dyDescent="0.25">
      <c r="A6" s="588" t="s">
        <v>58</v>
      </c>
      <c r="B6" s="568" t="s">
        <v>59</v>
      </c>
      <c r="C6" s="581" t="s">
        <v>60</v>
      </c>
      <c r="D6" s="583" t="s">
        <v>61</v>
      </c>
      <c r="E6" s="584"/>
      <c r="F6" s="568" t="s">
        <v>293</v>
      </c>
      <c r="G6" s="568"/>
      <c r="H6" s="568"/>
      <c r="I6" s="568"/>
      <c r="J6" s="568"/>
      <c r="K6" s="568"/>
      <c r="L6" s="568"/>
      <c r="M6" s="568"/>
      <c r="N6" s="568"/>
      <c r="O6" s="568"/>
      <c r="P6" s="568"/>
      <c r="Q6" s="568"/>
      <c r="R6" s="568"/>
      <c r="S6" s="568"/>
      <c r="T6" s="568" t="s">
        <v>65</v>
      </c>
      <c r="U6" s="568"/>
      <c r="V6" s="569" t="s">
        <v>377</v>
      </c>
      <c r="AW6" s="6"/>
      <c r="AX6" s="6"/>
    </row>
    <row r="7" spans="1:50" s="268" customFormat="1" ht="59.25" customHeight="1" thickBot="1" x14ac:dyDescent="0.3">
      <c r="A7" s="589"/>
      <c r="B7" s="590"/>
      <c r="C7" s="582"/>
      <c r="D7" s="38" t="s">
        <v>62</v>
      </c>
      <c r="E7" s="38" t="s">
        <v>63</v>
      </c>
      <c r="F7" s="38" t="s">
        <v>64</v>
      </c>
      <c r="G7" s="36" t="s">
        <v>15</v>
      </c>
      <c r="H7" s="36" t="s">
        <v>16</v>
      </c>
      <c r="I7" s="36" t="s">
        <v>17</v>
      </c>
      <c r="J7" s="36" t="s">
        <v>18</v>
      </c>
      <c r="K7" s="36" t="s">
        <v>19</v>
      </c>
      <c r="L7" s="36" t="s">
        <v>20</v>
      </c>
      <c r="M7" s="36" t="s">
        <v>21</v>
      </c>
      <c r="N7" s="36" t="s">
        <v>22</v>
      </c>
      <c r="O7" s="36" t="s">
        <v>23</v>
      </c>
      <c r="P7" s="36" t="s">
        <v>24</v>
      </c>
      <c r="Q7" s="36" t="s">
        <v>25</v>
      </c>
      <c r="R7" s="36" t="s">
        <v>26</v>
      </c>
      <c r="S7" s="37" t="s">
        <v>27</v>
      </c>
      <c r="T7" s="37" t="s">
        <v>66</v>
      </c>
      <c r="U7" s="37" t="s">
        <v>67</v>
      </c>
      <c r="V7" s="570"/>
      <c r="AW7" s="6"/>
      <c r="AX7" s="6"/>
    </row>
    <row r="8" spans="1:50" ht="30" customHeight="1" x14ac:dyDescent="0.25">
      <c r="A8" s="591" t="s">
        <v>161</v>
      </c>
      <c r="B8" s="593" t="s">
        <v>162</v>
      </c>
      <c r="C8" s="596" t="s">
        <v>216</v>
      </c>
      <c r="D8" s="598"/>
      <c r="E8" s="600" t="s">
        <v>217</v>
      </c>
      <c r="F8" s="40" t="s">
        <v>28</v>
      </c>
      <c r="G8" s="363">
        <v>0.05</v>
      </c>
      <c r="H8" s="363">
        <v>0.1</v>
      </c>
      <c r="I8" s="363">
        <v>0.1</v>
      </c>
      <c r="J8" s="363">
        <v>0.1</v>
      </c>
      <c r="K8" s="363">
        <v>0.15</v>
      </c>
      <c r="L8" s="363">
        <v>0.2</v>
      </c>
      <c r="M8" s="363">
        <v>0.1</v>
      </c>
      <c r="N8" s="363">
        <v>0.2</v>
      </c>
      <c r="O8" s="363">
        <v>0</v>
      </c>
      <c r="P8" s="363">
        <v>0</v>
      </c>
      <c r="Q8" s="363">
        <v>0</v>
      </c>
      <c r="R8" s="364">
        <v>0</v>
      </c>
      <c r="S8" s="378">
        <f>SUM(G8:R8)</f>
        <v>1</v>
      </c>
      <c r="T8" s="602">
        <v>0.13333333333333333</v>
      </c>
      <c r="U8" s="605">
        <f>+T8/2</f>
        <v>6.6666666666666666E-2</v>
      </c>
      <c r="V8" s="607" t="s">
        <v>276</v>
      </c>
      <c r="W8" s="279"/>
      <c r="AW8" s="609">
        <f>+S9*U8</f>
        <v>6.6666666666666666E-2</v>
      </c>
      <c r="AX8" s="140">
        <f t="shared" ref="AX8:AX39" si="0">LEN(V8)</f>
        <v>140</v>
      </c>
    </row>
    <row r="9" spans="1:50" ht="23.25" customHeight="1" thickBot="1" x14ac:dyDescent="0.3">
      <c r="A9" s="591"/>
      <c r="B9" s="594"/>
      <c r="C9" s="597"/>
      <c r="D9" s="599"/>
      <c r="E9" s="601"/>
      <c r="F9" s="41" t="s">
        <v>29</v>
      </c>
      <c r="G9" s="365">
        <v>0.05</v>
      </c>
      <c r="H9" s="365">
        <v>0</v>
      </c>
      <c r="I9" s="365">
        <v>0</v>
      </c>
      <c r="J9" s="366">
        <v>0.05</v>
      </c>
      <c r="K9" s="366">
        <v>0.1</v>
      </c>
      <c r="L9" s="365">
        <v>0.3</v>
      </c>
      <c r="M9" s="365">
        <v>0.5</v>
      </c>
      <c r="N9" s="366">
        <v>0</v>
      </c>
      <c r="O9" s="366">
        <v>0</v>
      </c>
      <c r="P9" s="366">
        <v>0</v>
      </c>
      <c r="Q9" s="365">
        <v>0</v>
      </c>
      <c r="R9" s="367">
        <v>0</v>
      </c>
      <c r="S9" s="379">
        <f>SUM(G9:R9)</f>
        <v>1</v>
      </c>
      <c r="T9" s="603"/>
      <c r="U9" s="606"/>
      <c r="V9" s="608"/>
      <c r="W9" s="279"/>
      <c r="AW9" s="609"/>
      <c r="AX9" s="140">
        <f t="shared" si="0"/>
        <v>0</v>
      </c>
    </row>
    <row r="10" spans="1:50" ht="27" customHeight="1" x14ac:dyDescent="0.25">
      <c r="A10" s="591"/>
      <c r="B10" s="594"/>
      <c r="C10" s="610" t="s">
        <v>218</v>
      </c>
      <c r="D10" s="612" t="s">
        <v>217</v>
      </c>
      <c r="E10" s="614"/>
      <c r="F10" s="40" t="s">
        <v>28</v>
      </c>
      <c r="G10" s="363">
        <v>0.05</v>
      </c>
      <c r="H10" s="363">
        <v>0.05</v>
      </c>
      <c r="I10" s="363">
        <v>0.05</v>
      </c>
      <c r="J10" s="363">
        <v>0.05</v>
      </c>
      <c r="K10" s="363">
        <v>0.05</v>
      </c>
      <c r="L10" s="363">
        <v>0.05</v>
      </c>
      <c r="M10" s="363">
        <v>0.1</v>
      </c>
      <c r="N10" s="363">
        <v>0.1</v>
      </c>
      <c r="O10" s="363">
        <v>0.1</v>
      </c>
      <c r="P10" s="363">
        <v>0.1</v>
      </c>
      <c r="Q10" s="363">
        <v>0.15</v>
      </c>
      <c r="R10" s="364">
        <v>0.15</v>
      </c>
      <c r="S10" s="378">
        <f t="shared" ref="S10:S75" si="1">SUM(G10:R10)</f>
        <v>1</v>
      </c>
      <c r="T10" s="603"/>
      <c r="U10" s="616">
        <f>+T8/2</f>
        <v>6.6666666666666666E-2</v>
      </c>
      <c r="V10" s="618" t="s">
        <v>277</v>
      </c>
      <c r="W10" s="279"/>
      <c r="AW10" s="609">
        <f>+S11*U10</f>
        <v>3.3333333333333333E-2</v>
      </c>
      <c r="AX10" s="140">
        <f t="shared" si="0"/>
        <v>213</v>
      </c>
    </row>
    <row r="11" spans="1:50" ht="27" customHeight="1" thickBot="1" x14ac:dyDescent="0.3">
      <c r="A11" s="591"/>
      <c r="B11" s="595"/>
      <c r="C11" s="611"/>
      <c r="D11" s="613"/>
      <c r="E11" s="615"/>
      <c r="F11" s="41" t="s">
        <v>29</v>
      </c>
      <c r="G11" s="365">
        <v>0.05</v>
      </c>
      <c r="H11" s="365">
        <v>0</v>
      </c>
      <c r="I11" s="365">
        <v>0</v>
      </c>
      <c r="J11" s="366">
        <v>0.05</v>
      </c>
      <c r="K11" s="366">
        <v>0.05</v>
      </c>
      <c r="L11" s="365">
        <v>0.05</v>
      </c>
      <c r="M11" s="365">
        <v>0.1</v>
      </c>
      <c r="N11" s="366">
        <v>0.1</v>
      </c>
      <c r="O11" s="366">
        <v>0.1</v>
      </c>
      <c r="P11" s="366"/>
      <c r="Q11" s="365"/>
      <c r="R11" s="367"/>
      <c r="S11" s="379">
        <f>SUM(G11:R11)</f>
        <v>0.5</v>
      </c>
      <c r="T11" s="604"/>
      <c r="U11" s="617"/>
      <c r="V11" s="619"/>
      <c r="W11" s="279"/>
      <c r="AW11" s="609"/>
      <c r="AX11" s="140">
        <f t="shared" si="0"/>
        <v>0</v>
      </c>
    </row>
    <row r="12" spans="1:50" ht="26.25" customHeight="1" x14ac:dyDescent="0.25">
      <c r="A12" s="591"/>
      <c r="B12" s="593" t="s">
        <v>219</v>
      </c>
      <c r="C12" s="620" t="s">
        <v>220</v>
      </c>
      <c r="D12" s="621"/>
      <c r="E12" s="622" t="s">
        <v>217</v>
      </c>
      <c r="F12" s="40" t="s">
        <v>28</v>
      </c>
      <c r="G12" s="363">
        <v>0.05</v>
      </c>
      <c r="H12" s="363">
        <v>0.05</v>
      </c>
      <c r="I12" s="363">
        <v>0.1</v>
      </c>
      <c r="J12" s="363">
        <v>0.1</v>
      </c>
      <c r="K12" s="363">
        <v>0.1</v>
      </c>
      <c r="L12" s="363">
        <v>0.1</v>
      </c>
      <c r="M12" s="363">
        <v>0.2</v>
      </c>
      <c r="N12" s="363">
        <v>0.3</v>
      </c>
      <c r="O12" s="363">
        <v>0</v>
      </c>
      <c r="P12" s="363">
        <v>0</v>
      </c>
      <c r="Q12" s="363">
        <v>0</v>
      </c>
      <c r="R12" s="364">
        <v>0</v>
      </c>
      <c r="S12" s="378">
        <f t="shared" si="1"/>
        <v>1</v>
      </c>
      <c r="T12" s="602">
        <v>0.11</v>
      </c>
      <c r="U12" s="623">
        <v>0.03</v>
      </c>
      <c r="V12" s="625" t="s">
        <v>275</v>
      </c>
      <c r="W12" s="279"/>
      <c r="AW12" s="609">
        <f>+S13*U12</f>
        <v>0.03</v>
      </c>
      <c r="AX12" s="140">
        <f t="shared" si="0"/>
        <v>76</v>
      </c>
    </row>
    <row r="13" spans="1:50" ht="26.25" customHeight="1" thickBot="1" x14ac:dyDescent="0.3">
      <c r="A13" s="591"/>
      <c r="B13" s="594"/>
      <c r="C13" s="610"/>
      <c r="D13" s="612"/>
      <c r="E13" s="614"/>
      <c r="F13" s="41" t="s">
        <v>29</v>
      </c>
      <c r="G13" s="365">
        <v>0.05</v>
      </c>
      <c r="H13" s="365">
        <v>0</v>
      </c>
      <c r="I13" s="365">
        <v>0</v>
      </c>
      <c r="J13" s="366">
        <v>0</v>
      </c>
      <c r="K13" s="366">
        <v>0.05</v>
      </c>
      <c r="L13" s="365">
        <v>0.1</v>
      </c>
      <c r="M13" s="365">
        <v>0.8</v>
      </c>
      <c r="N13" s="366">
        <v>0</v>
      </c>
      <c r="O13" s="366">
        <v>0</v>
      </c>
      <c r="P13" s="366">
        <v>0</v>
      </c>
      <c r="Q13" s="365">
        <v>0</v>
      </c>
      <c r="R13" s="367">
        <v>0</v>
      </c>
      <c r="S13" s="379">
        <f t="shared" si="1"/>
        <v>1</v>
      </c>
      <c r="T13" s="603"/>
      <c r="U13" s="624"/>
      <c r="V13" s="626"/>
      <c r="W13" s="279"/>
      <c r="AW13" s="609"/>
      <c r="AX13" s="140">
        <f t="shared" si="0"/>
        <v>0</v>
      </c>
    </row>
    <row r="14" spans="1:50" ht="33" customHeight="1" x14ac:dyDescent="0.25">
      <c r="A14" s="591"/>
      <c r="B14" s="594"/>
      <c r="C14" s="627" t="s">
        <v>221</v>
      </c>
      <c r="D14" s="628" t="s">
        <v>217</v>
      </c>
      <c r="E14" s="629"/>
      <c r="F14" s="40" t="s">
        <v>28</v>
      </c>
      <c r="G14" s="363">
        <v>0</v>
      </c>
      <c r="H14" s="363">
        <v>0</v>
      </c>
      <c r="I14" s="363">
        <v>0.2</v>
      </c>
      <c r="J14" s="363">
        <v>0</v>
      </c>
      <c r="K14" s="363">
        <v>0</v>
      </c>
      <c r="L14" s="363">
        <v>0.2</v>
      </c>
      <c r="M14" s="363">
        <v>0</v>
      </c>
      <c r="N14" s="363">
        <v>0</v>
      </c>
      <c r="O14" s="363">
        <v>0.6</v>
      </c>
      <c r="P14" s="363">
        <v>0</v>
      </c>
      <c r="Q14" s="363">
        <v>0</v>
      </c>
      <c r="R14" s="364">
        <v>0</v>
      </c>
      <c r="S14" s="378">
        <f t="shared" si="1"/>
        <v>1</v>
      </c>
      <c r="T14" s="603"/>
      <c r="U14" s="616">
        <v>0.03</v>
      </c>
      <c r="V14" s="630" t="s">
        <v>278</v>
      </c>
      <c r="W14" s="279"/>
      <c r="AW14" s="609">
        <f>+S15*U14</f>
        <v>2.9999999999999995E-2</v>
      </c>
      <c r="AX14" s="140">
        <f t="shared" si="0"/>
        <v>151</v>
      </c>
    </row>
    <row r="15" spans="1:50" ht="33" customHeight="1" thickBot="1" x14ac:dyDescent="0.3">
      <c r="A15" s="591"/>
      <c r="B15" s="594"/>
      <c r="C15" s="597"/>
      <c r="D15" s="599"/>
      <c r="E15" s="601"/>
      <c r="F15" s="41" t="s">
        <v>29</v>
      </c>
      <c r="G15" s="365">
        <v>0</v>
      </c>
      <c r="H15" s="365">
        <v>0</v>
      </c>
      <c r="I15" s="365">
        <v>0</v>
      </c>
      <c r="J15" s="366">
        <v>0</v>
      </c>
      <c r="K15" s="366">
        <v>0</v>
      </c>
      <c r="L15" s="365">
        <v>0</v>
      </c>
      <c r="M15" s="365">
        <v>0.2</v>
      </c>
      <c r="N15" s="366">
        <v>0.7</v>
      </c>
      <c r="O15" s="366">
        <v>0.1</v>
      </c>
      <c r="P15" s="366">
        <v>0</v>
      </c>
      <c r="Q15" s="365">
        <v>0</v>
      </c>
      <c r="R15" s="367">
        <v>0</v>
      </c>
      <c r="S15" s="379">
        <f t="shared" si="1"/>
        <v>0.99999999999999989</v>
      </c>
      <c r="T15" s="603"/>
      <c r="U15" s="624"/>
      <c r="V15" s="626"/>
      <c r="W15" s="279"/>
      <c r="AW15" s="609"/>
      <c r="AX15" s="140">
        <f t="shared" si="0"/>
        <v>0</v>
      </c>
    </row>
    <row r="16" spans="1:50" ht="25.5" customHeight="1" x14ac:dyDescent="0.25">
      <c r="A16" s="591"/>
      <c r="B16" s="594"/>
      <c r="C16" s="631" t="s">
        <v>222</v>
      </c>
      <c r="D16" s="632" t="s">
        <v>217</v>
      </c>
      <c r="E16" s="633"/>
      <c r="F16" s="40" t="s">
        <v>28</v>
      </c>
      <c r="G16" s="363">
        <v>0</v>
      </c>
      <c r="H16" s="363">
        <v>0</v>
      </c>
      <c r="I16" s="363">
        <v>0.2</v>
      </c>
      <c r="J16" s="363">
        <v>0</v>
      </c>
      <c r="K16" s="363">
        <v>0</v>
      </c>
      <c r="L16" s="363">
        <v>0.2</v>
      </c>
      <c r="M16" s="363">
        <v>0</v>
      </c>
      <c r="N16" s="363">
        <v>0</v>
      </c>
      <c r="O16" s="363">
        <v>0.6</v>
      </c>
      <c r="P16" s="363">
        <v>0</v>
      </c>
      <c r="Q16" s="363">
        <v>0</v>
      </c>
      <c r="R16" s="364">
        <v>0</v>
      </c>
      <c r="S16" s="378">
        <f t="shared" si="1"/>
        <v>1</v>
      </c>
      <c r="T16" s="603"/>
      <c r="U16" s="634">
        <v>0.03</v>
      </c>
      <c r="V16" s="635" t="s">
        <v>279</v>
      </c>
      <c r="W16" s="279"/>
      <c r="AW16" s="609">
        <f>+S17*U16</f>
        <v>1.8000000000000002E-2</v>
      </c>
      <c r="AX16" s="140">
        <f t="shared" si="0"/>
        <v>190</v>
      </c>
    </row>
    <row r="17" spans="1:50" ht="25.5" customHeight="1" thickBot="1" x14ac:dyDescent="0.3">
      <c r="A17" s="591"/>
      <c r="B17" s="594"/>
      <c r="C17" s="597"/>
      <c r="D17" s="599"/>
      <c r="E17" s="601"/>
      <c r="F17" s="41" t="s">
        <v>29</v>
      </c>
      <c r="G17" s="365">
        <v>0</v>
      </c>
      <c r="H17" s="365">
        <v>0</v>
      </c>
      <c r="I17" s="365">
        <v>0</v>
      </c>
      <c r="J17" s="366">
        <v>0</v>
      </c>
      <c r="K17" s="366">
        <v>0</v>
      </c>
      <c r="L17" s="365">
        <v>0</v>
      </c>
      <c r="M17" s="365">
        <v>0.2</v>
      </c>
      <c r="N17" s="366">
        <v>0.2</v>
      </c>
      <c r="O17" s="366">
        <v>0.2</v>
      </c>
      <c r="P17" s="366"/>
      <c r="Q17" s="365"/>
      <c r="R17" s="367"/>
      <c r="S17" s="379">
        <f t="shared" si="1"/>
        <v>0.60000000000000009</v>
      </c>
      <c r="T17" s="603"/>
      <c r="U17" s="624"/>
      <c r="V17" s="626"/>
      <c r="W17" s="279"/>
      <c r="AW17" s="609"/>
      <c r="AX17" s="140">
        <f t="shared" si="0"/>
        <v>0</v>
      </c>
    </row>
    <row r="18" spans="1:50" ht="24.75" customHeight="1" x14ac:dyDescent="0.25">
      <c r="A18" s="591"/>
      <c r="B18" s="594"/>
      <c r="C18" s="610" t="s">
        <v>223</v>
      </c>
      <c r="D18" s="612" t="s">
        <v>217</v>
      </c>
      <c r="E18" s="614"/>
      <c r="F18" s="40" t="s">
        <v>28</v>
      </c>
      <c r="G18" s="363">
        <v>0.05</v>
      </c>
      <c r="H18" s="363">
        <v>0.05</v>
      </c>
      <c r="I18" s="363">
        <v>0.05</v>
      </c>
      <c r="J18" s="363">
        <v>0.05</v>
      </c>
      <c r="K18" s="363">
        <v>0.05</v>
      </c>
      <c r="L18" s="363">
        <v>7.0000000000000007E-2</v>
      </c>
      <c r="M18" s="363">
        <v>7.0000000000000007E-2</v>
      </c>
      <c r="N18" s="363">
        <v>7.0000000000000007E-2</v>
      </c>
      <c r="O18" s="363">
        <v>7.0000000000000007E-2</v>
      </c>
      <c r="P18" s="363">
        <v>7.0000000000000007E-2</v>
      </c>
      <c r="Q18" s="363">
        <v>0.2</v>
      </c>
      <c r="R18" s="364">
        <v>0.2</v>
      </c>
      <c r="S18" s="378">
        <f t="shared" si="1"/>
        <v>1</v>
      </c>
      <c r="T18" s="603"/>
      <c r="U18" s="616">
        <v>0.02</v>
      </c>
      <c r="V18" s="636" t="s">
        <v>280</v>
      </c>
      <c r="W18" s="279"/>
      <c r="AW18" s="609">
        <f>+S19*U18</f>
        <v>4.2000000000000006E-3</v>
      </c>
      <c r="AX18" s="140">
        <f t="shared" si="0"/>
        <v>75</v>
      </c>
    </row>
    <row r="19" spans="1:50" ht="24.75" customHeight="1" thickBot="1" x14ac:dyDescent="0.3">
      <c r="A19" s="591"/>
      <c r="B19" s="595"/>
      <c r="C19" s="611"/>
      <c r="D19" s="613"/>
      <c r="E19" s="615"/>
      <c r="F19" s="41" t="s">
        <v>29</v>
      </c>
      <c r="G19" s="365">
        <v>0</v>
      </c>
      <c r="H19" s="365">
        <v>0</v>
      </c>
      <c r="I19" s="365">
        <v>0</v>
      </c>
      <c r="J19" s="366">
        <v>0</v>
      </c>
      <c r="K19" s="366">
        <v>0</v>
      </c>
      <c r="L19" s="365">
        <v>0</v>
      </c>
      <c r="M19" s="365">
        <v>7.0000000000000007E-2</v>
      </c>
      <c r="N19" s="366">
        <v>7.0000000000000007E-2</v>
      </c>
      <c r="O19" s="366">
        <v>7.0000000000000007E-2</v>
      </c>
      <c r="P19" s="366"/>
      <c r="Q19" s="365"/>
      <c r="R19" s="367"/>
      <c r="S19" s="379">
        <f t="shared" si="1"/>
        <v>0.21000000000000002</v>
      </c>
      <c r="T19" s="604"/>
      <c r="U19" s="617"/>
      <c r="V19" s="618"/>
      <c r="W19" s="279"/>
      <c r="AW19" s="609"/>
      <c r="AX19" s="140">
        <f t="shared" si="0"/>
        <v>0</v>
      </c>
    </row>
    <row r="20" spans="1:50" ht="31.5" customHeight="1" x14ac:dyDescent="0.25">
      <c r="A20" s="591"/>
      <c r="B20" s="593" t="s">
        <v>224</v>
      </c>
      <c r="C20" s="596" t="s">
        <v>225</v>
      </c>
      <c r="D20" s="621"/>
      <c r="E20" s="622" t="s">
        <v>217</v>
      </c>
      <c r="F20" s="40" t="s">
        <v>28</v>
      </c>
      <c r="G20" s="363">
        <v>0.3</v>
      </c>
      <c r="H20" s="363">
        <v>0.3</v>
      </c>
      <c r="I20" s="363">
        <v>0.3</v>
      </c>
      <c r="J20" s="363">
        <v>0.1</v>
      </c>
      <c r="K20" s="363">
        <v>0</v>
      </c>
      <c r="L20" s="363">
        <v>0</v>
      </c>
      <c r="M20" s="363">
        <v>0</v>
      </c>
      <c r="N20" s="363">
        <v>0</v>
      </c>
      <c r="O20" s="363">
        <v>0</v>
      </c>
      <c r="P20" s="363">
        <v>0</v>
      </c>
      <c r="Q20" s="363">
        <v>0</v>
      </c>
      <c r="R20" s="364">
        <v>0</v>
      </c>
      <c r="S20" s="378">
        <f t="shared" si="1"/>
        <v>0.99999999999999989</v>
      </c>
      <c r="T20" s="602">
        <v>0.08</v>
      </c>
      <c r="U20" s="623">
        <v>0.02</v>
      </c>
      <c r="V20" s="637" t="s">
        <v>281</v>
      </c>
      <c r="W20" s="279"/>
      <c r="AW20" s="609">
        <f>+S21*U20</f>
        <v>0.02</v>
      </c>
      <c r="AX20" s="140">
        <f t="shared" si="0"/>
        <v>306</v>
      </c>
    </row>
    <row r="21" spans="1:50" ht="31.5" customHeight="1" thickBot="1" x14ac:dyDescent="0.3">
      <c r="A21" s="591"/>
      <c r="B21" s="594"/>
      <c r="C21" s="597"/>
      <c r="D21" s="612"/>
      <c r="E21" s="614"/>
      <c r="F21" s="41" t="s">
        <v>29</v>
      </c>
      <c r="G21" s="365">
        <v>0.1</v>
      </c>
      <c r="H21" s="365">
        <v>0</v>
      </c>
      <c r="I21" s="365">
        <v>0</v>
      </c>
      <c r="J21" s="366">
        <v>0.1</v>
      </c>
      <c r="K21" s="366">
        <v>0.2</v>
      </c>
      <c r="L21" s="365">
        <v>0.1</v>
      </c>
      <c r="M21" s="365">
        <v>0.5</v>
      </c>
      <c r="N21" s="366">
        <v>0</v>
      </c>
      <c r="O21" s="366">
        <v>0</v>
      </c>
      <c r="P21" s="366">
        <v>0</v>
      </c>
      <c r="Q21" s="365">
        <v>0</v>
      </c>
      <c r="R21" s="367">
        <v>0</v>
      </c>
      <c r="S21" s="379">
        <f t="shared" si="1"/>
        <v>1</v>
      </c>
      <c r="T21" s="603"/>
      <c r="U21" s="624"/>
      <c r="V21" s="618"/>
      <c r="W21" s="279"/>
      <c r="AW21" s="609"/>
      <c r="AX21" s="140">
        <f t="shared" si="0"/>
        <v>0</v>
      </c>
    </row>
    <row r="22" spans="1:50" ht="27.75" customHeight="1" x14ac:dyDescent="0.25">
      <c r="A22" s="591"/>
      <c r="B22" s="594"/>
      <c r="C22" s="627" t="s">
        <v>226</v>
      </c>
      <c r="D22" s="612"/>
      <c r="E22" s="614" t="s">
        <v>217</v>
      </c>
      <c r="F22" s="40" t="s">
        <v>28</v>
      </c>
      <c r="G22" s="363">
        <v>0</v>
      </c>
      <c r="H22" s="363">
        <v>0</v>
      </c>
      <c r="I22" s="363">
        <v>0</v>
      </c>
      <c r="J22" s="363">
        <v>0</v>
      </c>
      <c r="K22" s="363">
        <v>0.1</v>
      </c>
      <c r="L22" s="363">
        <v>0.1</v>
      </c>
      <c r="M22" s="363">
        <v>0.1</v>
      </c>
      <c r="N22" s="363">
        <v>0.15</v>
      </c>
      <c r="O22" s="363">
        <v>0.15</v>
      </c>
      <c r="P22" s="363">
        <v>0.15</v>
      </c>
      <c r="Q22" s="363">
        <v>0.15</v>
      </c>
      <c r="R22" s="364">
        <v>0.1</v>
      </c>
      <c r="S22" s="378">
        <f t="shared" si="1"/>
        <v>1.0000000000000002</v>
      </c>
      <c r="T22" s="603"/>
      <c r="U22" s="634">
        <v>0.02</v>
      </c>
      <c r="V22" s="638" t="s">
        <v>227</v>
      </c>
      <c r="W22" s="279"/>
      <c r="AW22" s="609">
        <f>+S23*U22</f>
        <v>0</v>
      </c>
      <c r="AX22" s="140">
        <f t="shared" si="0"/>
        <v>205</v>
      </c>
    </row>
    <row r="23" spans="1:50" ht="27.75" customHeight="1" thickBot="1" x14ac:dyDescent="0.3">
      <c r="A23" s="591"/>
      <c r="B23" s="594"/>
      <c r="C23" s="597"/>
      <c r="D23" s="612"/>
      <c r="E23" s="614"/>
      <c r="F23" s="41" t="s">
        <v>29</v>
      </c>
      <c r="G23" s="365">
        <v>0</v>
      </c>
      <c r="H23" s="365">
        <v>0</v>
      </c>
      <c r="I23" s="365">
        <v>0</v>
      </c>
      <c r="J23" s="366">
        <v>0</v>
      </c>
      <c r="K23" s="366">
        <v>0</v>
      </c>
      <c r="L23" s="365">
        <v>0</v>
      </c>
      <c r="M23" s="365">
        <v>0</v>
      </c>
      <c r="N23" s="366">
        <v>0</v>
      </c>
      <c r="O23" s="366">
        <v>0</v>
      </c>
      <c r="P23" s="366"/>
      <c r="Q23" s="365"/>
      <c r="R23" s="367"/>
      <c r="S23" s="379">
        <f t="shared" si="1"/>
        <v>0</v>
      </c>
      <c r="T23" s="603"/>
      <c r="U23" s="624"/>
      <c r="V23" s="618"/>
      <c r="W23" s="279"/>
      <c r="AW23" s="609"/>
      <c r="AX23" s="140">
        <f t="shared" si="0"/>
        <v>0</v>
      </c>
    </row>
    <row r="24" spans="1:50" ht="45" customHeight="1" x14ac:dyDescent="0.25">
      <c r="A24" s="591"/>
      <c r="B24" s="594"/>
      <c r="C24" s="631" t="s">
        <v>228</v>
      </c>
      <c r="D24" s="632" t="s">
        <v>217</v>
      </c>
      <c r="E24" s="633"/>
      <c r="F24" s="40" t="s">
        <v>28</v>
      </c>
      <c r="G24" s="363">
        <v>0.2</v>
      </c>
      <c r="H24" s="363">
        <v>0.2</v>
      </c>
      <c r="I24" s="363">
        <v>0.2</v>
      </c>
      <c r="J24" s="363">
        <v>0.2</v>
      </c>
      <c r="K24" s="363">
        <v>0.2</v>
      </c>
      <c r="L24" s="363">
        <v>0</v>
      </c>
      <c r="M24" s="363">
        <v>0</v>
      </c>
      <c r="N24" s="363">
        <v>0</v>
      </c>
      <c r="O24" s="363">
        <v>0</v>
      </c>
      <c r="P24" s="363">
        <v>0</v>
      </c>
      <c r="Q24" s="363">
        <v>0</v>
      </c>
      <c r="R24" s="364">
        <v>0</v>
      </c>
      <c r="S24" s="378">
        <f t="shared" si="1"/>
        <v>1</v>
      </c>
      <c r="T24" s="603"/>
      <c r="U24" s="634">
        <v>0.02</v>
      </c>
      <c r="V24" s="638" t="s">
        <v>229</v>
      </c>
      <c r="W24" s="279"/>
      <c r="AW24" s="609">
        <f>+S25*U24</f>
        <v>0.02</v>
      </c>
      <c r="AX24" s="140">
        <f t="shared" si="0"/>
        <v>193</v>
      </c>
    </row>
    <row r="25" spans="1:50" ht="45" customHeight="1" thickBot="1" x14ac:dyDescent="0.3">
      <c r="A25" s="591"/>
      <c r="B25" s="594"/>
      <c r="C25" s="597"/>
      <c r="D25" s="599"/>
      <c r="E25" s="601"/>
      <c r="F25" s="41" t="s">
        <v>29</v>
      </c>
      <c r="G25" s="365">
        <v>0.05</v>
      </c>
      <c r="H25" s="365">
        <v>0</v>
      </c>
      <c r="I25" s="365">
        <v>0</v>
      </c>
      <c r="J25" s="366">
        <v>0.1</v>
      </c>
      <c r="K25" s="366">
        <v>0.1</v>
      </c>
      <c r="L25" s="365">
        <v>0.2</v>
      </c>
      <c r="M25" s="365">
        <v>0.1</v>
      </c>
      <c r="N25" s="366">
        <v>0.35</v>
      </c>
      <c r="O25" s="366">
        <v>0.1</v>
      </c>
      <c r="P25" s="366"/>
      <c r="Q25" s="365"/>
      <c r="R25" s="367"/>
      <c r="S25" s="379">
        <f t="shared" si="1"/>
        <v>1</v>
      </c>
      <c r="T25" s="603"/>
      <c r="U25" s="624"/>
      <c r="V25" s="618"/>
      <c r="W25" s="279"/>
      <c r="AW25" s="609"/>
      <c r="AX25" s="140">
        <f t="shared" si="0"/>
        <v>0</v>
      </c>
    </row>
    <row r="26" spans="1:50" ht="23.25" customHeight="1" x14ac:dyDescent="0.25">
      <c r="A26" s="591"/>
      <c r="B26" s="594"/>
      <c r="C26" s="610" t="s">
        <v>230</v>
      </c>
      <c r="D26" s="612" t="s">
        <v>217</v>
      </c>
      <c r="E26" s="614"/>
      <c r="F26" s="40" t="s">
        <v>28</v>
      </c>
      <c r="G26" s="363">
        <v>0</v>
      </c>
      <c r="H26" s="363">
        <v>0</v>
      </c>
      <c r="I26" s="363">
        <v>0</v>
      </c>
      <c r="J26" s="363">
        <v>0</v>
      </c>
      <c r="K26" s="363">
        <v>0</v>
      </c>
      <c r="L26" s="363">
        <v>0.1</v>
      </c>
      <c r="M26" s="363">
        <v>0.15</v>
      </c>
      <c r="N26" s="363">
        <v>0.15</v>
      </c>
      <c r="O26" s="363">
        <v>0.15</v>
      </c>
      <c r="P26" s="363">
        <v>0.15</v>
      </c>
      <c r="Q26" s="363">
        <v>0.15</v>
      </c>
      <c r="R26" s="364">
        <v>0.15</v>
      </c>
      <c r="S26" s="378">
        <f t="shared" si="1"/>
        <v>1</v>
      </c>
      <c r="T26" s="603"/>
      <c r="U26" s="616">
        <v>0.02</v>
      </c>
      <c r="V26" s="638" t="s">
        <v>282</v>
      </c>
      <c r="W26" s="279"/>
      <c r="AW26" s="609">
        <f>+S27*U26</f>
        <v>0</v>
      </c>
      <c r="AX26" s="140">
        <f t="shared" si="0"/>
        <v>245</v>
      </c>
    </row>
    <row r="27" spans="1:50" ht="23.25" customHeight="1" thickBot="1" x14ac:dyDescent="0.3">
      <c r="A27" s="591"/>
      <c r="B27" s="595"/>
      <c r="C27" s="611"/>
      <c r="D27" s="613"/>
      <c r="E27" s="615"/>
      <c r="F27" s="41" t="s">
        <v>29</v>
      </c>
      <c r="G27" s="365">
        <v>0</v>
      </c>
      <c r="H27" s="365">
        <v>0</v>
      </c>
      <c r="I27" s="365">
        <v>0</v>
      </c>
      <c r="J27" s="366">
        <v>0</v>
      </c>
      <c r="K27" s="366">
        <v>0</v>
      </c>
      <c r="L27" s="366">
        <v>0</v>
      </c>
      <c r="M27" s="365">
        <v>0</v>
      </c>
      <c r="N27" s="365">
        <v>0</v>
      </c>
      <c r="O27" s="366">
        <v>0</v>
      </c>
      <c r="P27" s="366"/>
      <c r="Q27" s="366"/>
      <c r="R27" s="367"/>
      <c r="S27" s="379">
        <f t="shared" si="1"/>
        <v>0</v>
      </c>
      <c r="T27" s="604"/>
      <c r="U27" s="617"/>
      <c r="V27" s="639"/>
      <c r="W27" s="279"/>
      <c r="AW27" s="609"/>
      <c r="AX27" s="140">
        <f t="shared" si="0"/>
        <v>0</v>
      </c>
    </row>
    <row r="28" spans="1:50" s="268" customFormat="1" ht="46.5" customHeight="1" x14ac:dyDescent="0.25">
      <c r="A28" s="591"/>
      <c r="B28" s="593" t="s">
        <v>181</v>
      </c>
      <c r="C28" s="640" t="s">
        <v>231</v>
      </c>
      <c r="D28" s="598"/>
      <c r="E28" s="600" t="s">
        <v>217</v>
      </c>
      <c r="F28" s="40" t="s">
        <v>28</v>
      </c>
      <c r="G28" s="363">
        <v>0.25</v>
      </c>
      <c r="H28" s="363">
        <v>0.25</v>
      </c>
      <c r="I28" s="363">
        <v>0.25</v>
      </c>
      <c r="J28" s="363">
        <v>0.25</v>
      </c>
      <c r="K28" s="363">
        <v>0</v>
      </c>
      <c r="L28" s="363">
        <v>0</v>
      </c>
      <c r="M28" s="363">
        <v>0</v>
      </c>
      <c r="N28" s="363">
        <v>0</v>
      </c>
      <c r="O28" s="363">
        <v>0</v>
      </c>
      <c r="P28" s="363">
        <v>0</v>
      </c>
      <c r="Q28" s="363">
        <v>0</v>
      </c>
      <c r="R28" s="364">
        <v>0</v>
      </c>
      <c r="S28" s="378">
        <f t="shared" si="1"/>
        <v>1</v>
      </c>
      <c r="T28" s="602">
        <v>0.1333</v>
      </c>
      <c r="U28" s="623">
        <f>+T28/4</f>
        <v>3.3325E-2</v>
      </c>
      <c r="V28" s="637" t="s">
        <v>283</v>
      </c>
      <c r="W28" s="279"/>
      <c r="AW28" s="609">
        <f>+S29*U28</f>
        <v>3.3325E-2</v>
      </c>
      <c r="AX28" s="140">
        <f t="shared" si="0"/>
        <v>329</v>
      </c>
    </row>
    <row r="29" spans="1:50" s="268" customFormat="1" ht="39" customHeight="1" thickBot="1" x14ac:dyDescent="0.3">
      <c r="A29" s="591"/>
      <c r="B29" s="594"/>
      <c r="C29" s="641"/>
      <c r="D29" s="599"/>
      <c r="E29" s="601"/>
      <c r="F29" s="41" t="s">
        <v>29</v>
      </c>
      <c r="G29" s="365">
        <v>0.05</v>
      </c>
      <c r="H29" s="365">
        <v>0.05</v>
      </c>
      <c r="I29" s="368">
        <v>0.2</v>
      </c>
      <c r="J29" s="366">
        <v>0.2</v>
      </c>
      <c r="K29" s="366">
        <v>0.4</v>
      </c>
      <c r="L29" s="365">
        <v>0.05</v>
      </c>
      <c r="M29" s="365">
        <v>0</v>
      </c>
      <c r="N29" s="366">
        <v>0</v>
      </c>
      <c r="O29" s="366">
        <v>0.05</v>
      </c>
      <c r="P29" s="366"/>
      <c r="Q29" s="365"/>
      <c r="R29" s="367"/>
      <c r="S29" s="379">
        <f>SUM(G29:R29)</f>
        <v>1</v>
      </c>
      <c r="T29" s="603"/>
      <c r="U29" s="624"/>
      <c r="V29" s="618"/>
      <c r="W29" s="279"/>
      <c r="AW29" s="609"/>
      <c r="AX29" s="140">
        <f t="shared" si="0"/>
        <v>0</v>
      </c>
    </row>
    <row r="30" spans="1:50" s="268" customFormat="1" ht="50.25" customHeight="1" x14ac:dyDescent="0.25">
      <c r="A30" s="591"/>
      <c r="B30" s="594"/>
      <c r="C30" s="610" t="s">
        <v>232</v>
      </c>
      <c r="D30" s="612"/>
      <c r="E30" s="614" t="s">
        <v>217</v>
      </c>
      <c r="F30" s="40" t="s">
        <v>28</v>
      </c>
      <c r="G30" s="363">
        <v>0.05</v>
      </c>
      <c r="H30" s="363">
        <v>0.1</v>
      </c>
      <c r="I30" s="363">
        <v>0.1</v>
      </c>
      <c r="J30" s="363">
        <v>0.1</v>
      </c>
      <c r="K30" s="363">
        <v>0.1</v>
      </c>
      <c r="L30" s="363">
        <v>0.2</v>
      </c>
      <c r="M30" s="363">
        <v>0.25</v>
      </c>
      <c r="N30" s="363">
        <v>0.05</v>
      </c>
      <c r="O30" s="363">
        <v>0.05</v>
      </c>
      <c r="P30" s="363">
        <v>0</v>
      </c>
      <c r="Q30" s="363">
        <v>0</v>
      </c>
      <c r="R30" s="364">
        <v>0</v>
      </c>
      <c r="S30" s="378">
        <f t="shared" si="1"/>
        <v>1</v>
      </c>
      <c r="T30" s="603"/>
      <c r="U30" s="616">
        <f>+U28</f>
        <v>3.3325E-2</v>
      </c>
      <c r="V30" s="638" t="s">
        <v>292</v>
      </c>
      <c r="W30" s="279"/>
      <c r="AW30" s="609">
        <f>+S31*U30</f>
        <v>3.3325E-2</v>
      </c>
      <c r="AX30" s="140">
        <f t="shared" si="0"/>
        <v>126</v>
      </c>
    </row>
    <row r="31" spans="1:50" s="268" customFormat="1" ht="50.25" customHeight="1" thickBot="1" x14ac:dyDescent="0.3">
      <c r="A31" s="591"/>
      <c r="B31" s="594"/>
      <c r="C31" s="610"/>
      <c r="D31" s="612"/>
      <c r="E31" s="614"/>
      <c r="F31" s="41" t="s">
        <v>29</v>
      </c>
      <c r="G31" s="365">
        <v>0</v>
      </c>
      <c r="H31" s="365">
        <v>0.1</v>
      </c>
      <c r="I31" s="368">
        <v>0.2</v>
      </c>
      <c r="J31" s="366">
        <v>0.2</v>
      </c>
      <c r="K31" s="366">
        <v>0.4</v>
      </c>
      <c r="L31" s="365">
        <v>0.05</v>
      </c>
      <c r="M31" s="365">
        <v>0</v>
      </c>
      <c r="N31" s="366">
        <v>0</v>
      </c>
      <c r="O31" s="366">
        <v>0.05</v>
      </c>
      <c r="P31" s="366"/>
      <c r="Q31" s="365"/>
      <c r="R31" s="367"/>
      <c r="S31" s="379">
        <f t="shared" si="1"/>
        <v>1</v>
      </c>
      <c r="T31" s="603"/>
      <c r="U31" s="624"/>
      <c r="V31" s="618"/>
      <c r="W31" s="279"/>
      <c r="AW31" s="609"/>
      <c r="AX31" s="140">
        <f t="shared" si="0"/>
        <v>0</v>
      </c>
    </row>
    <row r="32" spans="1:50" s="268" customFormat="1" ht="25.5" customHeight="1" x14ac:dyDescent="0.25">
      <c r="A32" s="591"/>
      <c r="B32" s="594"/>
      <c r="C32" s="642" t="s">
        <v>233</v>
      </c>
      <c r="D32" s="632" t="s">
        <v>217</v>
      </c>
      <c r="E32" s="633"/>
      <c r="F32" s="40" t="s">
        <v>28</v>
      </c>
      <c r="G32" s="363">
        <v>0.2</v>
      </c>
      <c r="H32" s="363">
        <v>0.2</v>
      </c>
      <c r="I32" s="363">
        <v>0.2</v>
      </c>
      <c r="J32" s="363">
        <v>0.2</v>
      </c>
      <c r="K32" s="363">
        <v>0.2</v>
      </c>
      <c r="L32" s="363">
        <v>0</v>
      </c>
      <c r="M32" s="363">
        <v>0</v>
      </c>
      <c r="N32" s="363">
        <v>0</v>
      </c>
      <c r="O32" s="363">
        <v>0</v>
      </c>
      <c r="P32" s="363">
        <v>0</v>
      </c>
      <c r="Q32" s="363">
        <v>0</v>
      </c>
      <c r="R32" s="364">
        <v>0</v>
      </c>
      <c r="S32" s="378">
        <f t="shared" si="1"/>
        <v>1</v>
      </c>
      <c r="T32" s="603"/>
      <c r="U32" s="634">
        <f>+U30</f>
        <v>3.3325E-2</v>
      </c>
      <c r="V32" s="636" t="s">
        <v>284</v>
      </c>
      <c r="W32" s="279"/>
      <c r="AW32" s="609">
        <f>+S33*U32</f>
        <v>2.5327000000000002E-2</v>
      </c>
      <c r="AX32" s="140">
        <f t="shared" si="0"/>
        <v>154</v>
      </c>
    </row>
    <row r="33" spans="1:50" s="268" customFormat="1" ht="25.5" customHeight="1" thickBot="1" x14ac:dyDescent="0.3">
      <c r="A33" s="591"/>
      <c r="B33" s="594"/>
      <c r="C33" s="641"/>
      <c r="D33" s="599"/>
      <c r="E33" s="601"/>
      <c r="F33" s="41" t="s">
        <v>29</v>
      </c>
      <c r="G33" s="365">
        <v>0.02</v>
      </c>
      <c r="H33" s="365">
        <v>0.02</v>
      </c>
      <c r="I33" s="368">
        <v>0.01</v>
      </c>
      <c r="J33" s="366">
        <v>0.01</v>
      </c>
      <c r="K33" s="366">
        <v>0.3</v>
      </c>
      <c r="L33" s="365">
        <v>0.2</v>
      </c>
      <c r="M33" s="365">
        <v>0</v>
      </c>
      <c r="N33" s="366">
        <v>0</v>
      </c>
      <c r="O33" s="366">
        <v>0.2</v>
      </c>
      <c r="P33" s="366"/>
      <c r="Q33" s="365"/>
      <c r="R33" s="367"/>
      <c r="S33" s="379">
        <f t="shared" si="1"/>
        <v>0.76</v>
      </c>
      <c r="T33" s="603"/>
      <c r="U33" s="624"/>
      <c r="V33" s="618"/>
      <c r="W33" s="279"/>
      <c r="AW33" s="609"/>
      <c r="AX33" s="140">
        <f t="shared" si="0"/>
        <v>0</v>
      </c>
    </row>
    <row r="34" spans="1:50" s="268" customFormat="1" ht="38.25" customHeight="1" x14ac:dyDescent="0.25">
      <c r="A34" s="591"/>
      <c r="B34" s="594"/>
      <c r="C34" s="610" t="s">
        <v>234</v>
      </c>
      <c r="D34" s="612" t="s">
        <v>217</v>
      </c>
      <c r="E34" s="614"/>
      <c r="F34" s="40" t="s">
        <v>28</v>
      </c>
      <c r="G34" s="363">
        <v>0</v>
      </c>
      <c r="H34" s="363">
        <v>0</v>
      </c>
      <c r="I34" s="363">
        <v>0</v>
      </c>
      <c r="J34" s="363">
        <v>0</v>
      </c>
      <c r="K34" s="363">
        <v>0</v>
      </c>
      <c r="L34" s="363">
        <v>0</v>
      </c>
      <c r="M34" s="363">
        <v>0.2</v>
      </c>
      <c r="N34" s="363">
        <v>0.2</v>
      </c>
      <c r="O34" s="363">
        <v>0.2</v>
      </c>
      <c r="P34" s="363">
        <v>0.2</v>
      </c>
      <c r="Q34" s="363">
        <v>0.2</v>
      </c>
      <c r="R34" s="364">
        <v>0</v>
      </c>
      <c r="S34" s="378">
        <f t="shared" si="1"/>
        <v>1</v>
      </c>
      <c r="T34" s="603"/>
      <c r="U34" s="616">
        <f>+U32</f>
        <v>3.3325E-2</v>
      </c>
      <c r="V34" s="636" t="s">
        <v>235</v>
      </c>
      <c r="W34" s="279"/>
      <c r="AW34" s="609">
        <f>+S35*U34</f>
        <v>0</v>
      </c>
      <c r="AX34" s="140">
        <f t="shared" si="0"/>
        <v>110</v>
      </c>
    </row>
    <row r="35" spans="1:50" s="268" customFormat="1" ht="53.25" customHeight="1" thickBot="1" x14ac:dyDescent="0.3">
      <c r="A35" s="592"/>
      <c r="B35" s="595"/>
      <c r="C35" s="611"/>
      <c r="D35" s="613"/>
      <c r="E35" s="615"/>
      <c r="F35" s="41" t="s">
        <v>29</v>
      </c>
      <c r="G35" s="365">
        <v>0</v>
      </c>
      <c r="H35" s="365">
        <v>0</v>
      </c>
      <c r="I35" s="368">
        <v>0</v>
      </c>
      <c r="J35" s="366">
        <v>0</v>
      </c>
      <c r="K35" s="366">
        <v>0</v>
      </c>
      <c r="L35" s="365">
        <v>0</v>
      </c>
      <c r="M35" s="365">
        <v>0</v>
      </c>
      <c r="N35" s="366">
        <v>0</v>
      </c>
      <c r="O35" s="366">
        <v>0</v>
      </c>
      <c r="P35" s="366"/>
      <c r="Q35" s="365"/>
      <c r="R35" s="367"/>
      <c r="S35" s="379">
        <f t="shared" si="1"/>
        <v>0</v>
      </c>
      <c r="T35" s="604"/>
      <c r="U35" s="617"/>
      <c r="V35" s="639"/>
      <c r="W35" s="279"/>
      <c r="AW35" s="609"/>
      <c r="AX35" s="140">
        <f t="shared" si="0"/>
        <v>0</v>
      </c>
    </row>
    <row r="36" spans="1:50" s="268" customFormat="1" ht="34.5" customHeight="1" x14ac:dyDescent="0.25">
      <c r="A36" s="593" t="s">
        <v>187</v>
      </c>
      <c r="B36" s="643" t="s">
        <v>188</v>
      </c>
      <c r="C36" s="644" t="s">
        <v>236</v>
      </c>
      <c r="D36" s="598" t="s">
        <v>217</v>
      </c>
      <c r="E36" s="600"/>
      <c r="F36" s="40" t="s">
        <v>28</v>
      </c>
      <c r="G36" s="363">
        <v>0.05</v>
      </c>
      <c r="H36" s="363">
        <v>0.05</v>
      </c>
      <c r="I36" s="363">
        <v>0.05</v>
      </c>
      <c r="J36" s="363">
        <v>0.05</v>
      </c>
      <c r="K36" s="363">
        <v>0.1</v>
      </c>
      <c r="L36" s="363">
        <v>0.1</v>
      </c>
      <c r="M36" s="363">
        <v>0.1</v>
      </c>
      <c r="N36" s="363">
        <v>0.1</v>
      </c>
      <c r="O36" s="363">
        <v>0.1</v>
      </c>
      <c r="P36" s="363">
        <v>0.1</v>
      </c>
      <c r="Q36" s="363">
        <v>0.1</v>
      </c>
      <c r="R36" s="369">
        <v>0.1</v>
      </c>
      <c r="S36" s="378">
        <f t="shared" si="1"/>
        <v>0.99999999999999989</v>
      </c>
      <c r="T36" s="646">
        <v>0.1333</v>
      </c>
      <c r="U36" s="649">
        <f>+T36/4</f>
        <v>3.3325E-2</v>
      </c>
      <c r="V36" s="625" t="s">
        <v>285</v>
      </c>
      <c r="W36" s="279"/>
      <c r="AW36" s="609">
        <f>+S37*U36</f>
        <v>2.1328E-2</v>
      </c>
      <c r="AX36" s="140">
        <f t="shared" si="0"/>
        <v>912</v>
      </c>
    </row>
    <row r="37" spans="1:50" s="268" customFormat="1" ht="34.5" customHeight="1" thickBot="1" x14ac:dyDescent="0.3">
      <c r="A37" s="594"/>
      <c r="B37" s="591"/>
      <c r="C37" s="645"/>
      <c r="D37" s="599"/>
      <c r="E37" s="601"/>
      <c r="F37" s="41" t="s">
        <v>29</v>
      </c>
      <c r="G37" s="365">
        <v>0.03</v>
      </c>
      <c r="H37" s="365">
        <v>0.03</v>
      </c>
      <c r="I37" s="368">
        <v>0.04</v>
      </c>
      <c r="J37" s="366">
        <v>0.04</v>
      </c>
      <c r="K37" s="366">
        <v>0.1</v>
      </c>
      <c r="L37" s="365">
        <v>0.1</v>
      </c>
      <c r="M37" s="365">
        <v>0.1</v>
      </c>
      <c r="N37" s="366">
        <v>0.1</v>
      </c>
      <c r="O37" s="366">
        <v>0.1</v>
      </c>
      <c r="P37" s="366"/>
      <c r="Q37" s="366"/>
      <c r="R37" s="370"/>
      <c r="S37" s="379">
        <f t="shared" si="1"/>
        <v>0.64</v>
      </c>
      <c r="T37" s="647"/>
      <c r="U37" s="650"/>
      <c r="V37" s="626"/>
      <c r="W37" s="279"/>
      <c r="AW37" s="609"/>
      <c r="AX37" s="140">
        <f t="shared" si="0"/>
        <v>0</v>
      </c>
    </row>
    <row r="38" spans="1:50" s="270" customFormat="1" ht="18.75" customHeight="1" x14ac:dyDescent="0.25">
      <c r="A38" s="594"/>
      <c r="B38" s="591"/>
      <c r="C38" s="597" t="s">
        <v>237</v>
      </c>
      <c r="D38" s="599" t="s">
        <v>217</v>
      </c>
      <c r="E38" s="601"/>
      <c r="F38" s="40" t="s">
        <v>28</v>
      </c>
      <c r="G38" s="363">
        <v>0</v>
      </c>
      <c r="H38" s="363">
        <v>0.01</v>
      </c>
      <c r="I38" s="363">
        <v>0.02</v>
      </c>
      <c r="J38" s="363">
        <v>0.02</v>
      </c>
      <c r="K38" s="363">
        <v>0.1</v>
      </c>
      <c r="L38" s="363">
        <v>0.15</v>
      </c>
      <c r="M38" s="363">
        <v>0.15</v>
      </c>
      <c r="N38" s="363">
        <v>0.15</v>
      </c>
      <c r="O38" s="363">
        <v>0.15</v>
      </c>
      <c r="P38" s="363">
        <v>0.15</v>
      </c>
      <c r="Q38" s="363">
        <v>0.05</v>
      </c>
      <c r="R38" s="369">
        <v>0.05</v>
      </c>
      <c r="S38" s="378">
        <f t="shared" si="1"/>
        <v>1.0000000000000002</v>
      </c>
      <c r="T38" s="647"/>
      <c r="U38" s="650">
        <f>+U36</f>
        <v>3.3325E-2</v>
      </c>
      <c r="V38" s="635" t="s">
        <v>238</v>
      </c>
      <c r="W38" s="279"/>
      <c r="AW38" s="609">
        <f>+S39*U38</f>
        <v>1.9995000000000002E-2</v>
      </c>
      <c r="AX38" s="140">
        <f t="shared" si="0"/>
        <v>686</v>
      </c>
    </row>
    <row r="39" spans="1:50" ht="15.75" thickBot="1" x14ac:dyDescent="0.3">
      <c r="A39" s="594"/>
      <c r="B39" s="591"/>
      <c r="C39" s="610"/>
      <c r="D39" s="612"/>
      <c r="E39" s="614"/>
      <c r="F39" s="41" t="s">
        <v>29</v>
      </c>
      <c r="G39" s="365">
        <v>0</v>
      </c>
      <c r="H39" s="365">
        <v>0.01</v>
      </c>
      <c r="I39" s="368">
        <v>0.02</v>
      </c>
      <c r="J39" s="366">
        <v>0.02</v>
      </c>
      <c r="K39" s="366">
        <v>0.1</v>
      </c>
      <c r="L39" s="365">
        <v>0.15</v>
      </c>
      <c r="M39" s="365">
        <v>0.15</v>
      </c>
      <c r="N39" s="366">
        <v>0.05</v>
      </c>
      <c r="O39" s="366">
        <v>0.1</v>
      </c>
      <c r="P39" s="366"/>
      <c r="Q39" s="366"/>
      <c r="R39" s="370"/>
      <c r="S39" s="379">
        <f t="shared" si="1"/>
        <v>0.60000000000000009</v>
      </c>
      <c r="T39" s="647"/>
      <c r="U39" s="651"/>
      <c r="V39" s="626"/>
      <c r="W39" s="279"/>
      <c r="AW39" s="609"/>
      <c r="AX39" s="140">
        <f t="shared" si="0"/>
        <v>0</v>
      </c>
    </row>
    <row r="40" spans="1:50" x14ac:dyDescent="0.25">
      <c r="A40" s="594"/>
      <c r="B40" s="591"/>
      <c r="C40" s="627" t="s">
        <v>239</v>
      </c>
      <c r="D40" s="628"/>
      <c r="E40" s="629" t="s">
        <v>217</v>
      </c>
      <c r="F40" s="40" t="s">
        <v>28</v>
      </c>
      <c r="G40" s="363">
        <v>0.05</v>
      </c>
      <c r="H40" s="363">
        <v>0.05</v>
      </c>
      <c r="I40" s="363">
        <v>0.15</v>
      </c>
      <c r="J40" s="363">
        <v>0.15</v>
      </c>
      <c r="K40" s="363">
        <v>0.1</v>
      </c>
      <c r="L40" s="363">
        <v>0.1</v>
      </c>
      <c r="M40" s="363">
        <v>0.1</v>
      </c>
      <c r="N40" s="363">
        <v>0.1</v>
      </c>
      <c r="O40" s="363">
        <v>0.05</v>
      </c>
      <c r="P40" s="363">
        <v>0.05</v>
      </c>
      <c r="Q40" s="363">
        <v>0.05</v>
      </c>
      <c r="R40" s="369">
        <v>0.05</v>
      </c>
      <c r="S40" s="378">
        <f t="shared" si="1"/>
        <v>1</v>
      </c>
      <c r="T40" s="647"/>
      <c r="U40" s="652">
        <f>+U38</f>
        <v>3.3325E-2</v>
      </c>
      <c r="V40" s="635" t="s">
        <v>286</v>
      </c>
      <c r="W40" s="280"/>
      <c r="AW40" s="609">
        <f>+S41*U40</f>
        <v>1.9661750000000002E-2</v>
      </c>
      <c r="AX40" s="140">
        <f t="shared" ref="AX40:AX71" si="2">LEN(V40)</f>
        <v>1584</v>
      </c>
    </row>
    <row r="41" spans="1:50" ht="15.75" thickBot="1" x14ac:dyDescent="0.3">
      <c r="A41" s="594"/>
      <c r="B41" s="591"/>
      <c r="C41" s="597"/>
      <c r="D41" s="599"/>
      <c r="E41" s="601"/>
      <c r="F41" s="41" t="s">
        <v>29</v>
      </c>
      <c r="G41" s="365">
        <v>0.03</v>
      </c>
      <c r="H41" s="365">
        <v>0.03</v>
      </c>
      <c r="I41" s="368">
        <v>0.1</v>
      </c>
      <c r="J41" s="366">
        <v>0.05</v>
      </c>
      <c r="K41" s="366">
        <v>0.15</v>
      </c>
      <c r="L41" s="365">
        <v>0.08</v>
      </c>
      <c r="M41" s="365">
        <v>0.05</v>
      </c>
      <c r="N41" s="366">
        <v>0.05</v>
      </c>
      <c r="O41" s="366">
        <v>0.05</v>
      </c>
      <c r="P41" s="366"/>
      <c r="Q41" s="366"/>
      <c r="R41" s="370"/>
      <c r="S41" s="379">
        <f t="shared" si="1"/>
        <v>0.59000000000000008</v>
      </c>
      <c r="T41" s="647"/>
      <c r="U41" s="650"/>
      <c r="V41" s="626"/>
      <c r="W41" s="280"/>
      <c r="AW41" s="609"/>
      <c r="AX41" s="140">
        <f t="shared" si="2"/>
        <v>0</v>
      </c>
    </row>
    <row r="42" spans="1:50" ht="15" customHeight="1" x14ac:dyDescent="0.25">
      <c r="A42" s="594"/>
      <c r="B42" s="591"/>
      <c r="C42" s="610" t="s">
        <v>240</v>
      </c>
      <c r="D42" s="612"/>
      <c r="E42" s="614" t="s">
        <v>217</v>
      </c>
      <c r="F42" s="40" t="s">
        <v>28</v>
      </c>
      <c r="G42" s="363">
        <v>0.1</v>
      </c>
      <c r="H42" s="363">
        <v>0.1</v>
      </c>
      <c r="I42" s="363">
        <v>0.1</v>
      </c>
      <c r="J42" s="363">
        <v>0.1</v>
      </c>
      <c r="K42" s="363">
        <v>0.1</v>
      </c>
      <c r="L42" s="363">
        <v>0.1</v>
      </c>
      <c r="M42" s="363">
        <v>0.1</v>
      </c>
      <c r="N42" s="363">
        <v>0.1</v>
      </c>
      <c r="O42" s="363">
        <v>0.05</v>
      </c>
      <c r="P42" s="363">
        <v>0.05</v>
      </c>
      <c r="Q42" s="363">
        <v>0.05</v>
      </c>
      <c r="R42" s="369">
        <v>0.05</v>
      </c>
      <c r="S42" s="378">
        <f t="shared" si="1"/>
        <v>1</v>
      </c>
      <c r="T42" s="647"/>
      <c r="U42" s="651">
        <f>+U40</f>
        <v>3.3325E-2</v>
      </c>
      <c r="V42" s="608" t="s">
        <v>241</v>
      </c>
      <c r="W42" s="279"/>
      <c r="AW42" s="609">
        <f>+S43*U42</f>
        <v>2.8326250000000001E-2</v>
      </c>
      <c r="AX42" s="140">
        <f t="shared" si="2"/>
        <v>2545</v>
      </c>
    </row>
    <row r="43" spans="1:50" ht="33.75" customHeight="1" thickBot="1" x14ac:dyDescent="0.3">
      <c r="A43" s="595"/>
      <c r="B43" s="592"/>
      <c r="C43" s="611"/>
      <c r="D43" s="613"/>
      <c r="E43" s="615"/>
      <c r="F43" s="41" t="s">
        <v>29</v>
      </c>
      <c r="G43" s="365">
        <v>0.1</v>
      </c>
      <c r="H43" s="365">
        <v>0.1</v>
      </c>
      <c r="I43" s="368">
        <v>0.1</v>
      </c>
      <c r="J43" s="366">
        <v>0.1</v>
      </c>
      <c r="K43" s="366">
        <v>0.1</v>
      </c>
      <c r="L43" s="365">
        <v>0.1</v>
      </c>
      <c r="M43" s="365">
        <v>0.1</v>
      </c>
      <c r="N43" s="366">
        <v>0.1</v>
      </c>
      <c r="O43" s="366">
        <v>0.05</v>
      </c>
      <c r="P43" s="366"/>
      <c r="Q43" s="366"/>
      <c r="R43" s="370"/>
      <c r="S43" s="379">
        <f t="shared" si="1"/>
        <v>0.85</v>
      </c>
      <c r="T43" s="648"/>
      <c r="U43" s="653"/>
      <c r="V43" s="654"/>
      <c r="W43" s="279"/>
      <c r="AW43" s="609"/>
      <c r="AX43" s="140">
        <f t="shared" si="2"/>
        <v>0</v>
      </c>
    </row>
    <row r="44" spans="1:50" x14ac:dyDescent="0.25">
      <c r="A44" s="593" t="s">
        <v>242</v>
      </c>
      <c r="B44" s="643" t="s">
        <v>193</v>
      </c>
      <c r="C44" s="596" t="s">
        <v>243</v>
      </c>
      <c r="D44" s="598"/>
      <c r="E44" s="600" t="s">
        <v>217</v>
      </c>
      <c r="F44" s="40" t="s">
        <v>28</v>
      </c>
      <c r="G44" s="363">
        <v>0.2</v>
      </c>
      <c r="H44" s="363">
        <v>0.2</v>
      </c>
      <c r="I44" s="363">
        <v>0.2</v>
      </c>
      <c r="J44" s="363">
        <v>0.2</v>
      </c>
      <c r="K44" s="363">
        <v>0.2</v>
      </c>
      <c r="L44" s="363">
        <v>0</v>
      </c>
      <c r="M44" s="363">
        <v>0</v>
      </c>
      <c r="N44" s="363">
        <v>0</v>
      </c>
      <c r="O44" s="363">
        <v>0</v>
      </c>
      <c r="P44" s="363">
        <v>0</v>
      </c>
      <c r="Q44" s="363">
        <v>0</v>
      </c>
      <c r="R44" s="364">
        <v>0</v>
      </c>
      <c r="S44" s="378">
        <f t="shared" si="1"/>
        <v>1</v>
      </c>
      <c r="T44" s="602">
        <v>0.1333</v>
      </c>
      <c r="U44" s="634">
        <f>+T44/4</f>
        <v>3.3325E-2</v>
      </c>
      <c r="V44" s="636" t="s">
        <v>244</v>
      </c>
      <c r="W44" s="279"/>
      <c r="AW44" s="609">
        <f>+S45*U44</f>
        <v>2.9992500000000002E-2</v>
      </c>
      <c r="AX44" s="140">
        <f t="shared" si="2"/>
        <v>210</v>
      </c>
    </row>
    <row r="45" spans="1:50" ht="15.75" thickBot="1" x14ac:dyDescent="0.3">
      <c r="A45" s="594"/>
      <c r="B45" s="591"/>
      <c r="C45" s="597"/>
      <c r="D45" s="599"/>
      <c r="E45" s="601"/>
      <c r="F45" s="41" t="s">
        <v>29</v>
      </c>
      <c r="G45" s="365">
        <v>0.05</v>
      </c>
      <c r="H45" s="365">
        <v>0.05</v>
      </c>
      <c r="I45" s="368">
        <v>0.2</v>
      </c>
      <c r="J45" s="366">
        <v>0.2</v>
      </c>
      <c r="K45" s="366">
        <v>0.1</v>
      </c>
      <c r="L45" s="365">
        <v>0.1</v>
      </c>
      <c r="M45" s="365">
        <v>0.05</v>
      </c>
      <c r="N45" s="366">
        <v>0.05</v>
      </c>
      <c r="O45" s="366">
        <v>0.1</v>
      </c>
      <c r="P45" s="366"/>
      <c r="Q45" s="365"/>
      <c r="R45" s="367"/>
      <c r="S45" s="379">
        <f t="shared" si="1"/>
        <v>0.9</v>
      </c>
      <c r="T45" s="603"/>
      <c r="U45" s="624"/>
      <c r="V45" s="618"/>
      <c r="W45" s="279"/>
      <c r="AW45" s="609"/>
      <c r="AX45" s="140">
        <f t="shared" si="2"/>
        <v>0</v>
      </c>
    </row>
    <row r="46" spans="1:50" x14ac:dyDescent="0.25">
      <c r="A46" s="594"/>
      <c r="B46" s="591"/>
      <c r="C46" s="645" t="s">
        <v>245</v>
      </c>
      <c r="D46" s="612"/>
      <c r="E46" s="614" t="s">
        <v>217</v>
      </c>
      <c r="F46" s="40" t="s">
        <v>28</v>
      </c>
      <c r="G46" s="363">
        <v>0.05</v>
      </c>
      <c r="H46" s="363">
        <v>0.1</v>
      </c>
      <c r="I46" s="363">
        <v>0.1</v>
      </c>
      <c r="J46" s="363">
        <v>0.1</v>
      </c>
      <c r="K46" s="363">
        <v>0.1</v>
      </c>
      <c r="L46" s="363">
        <v>0.1</v>
      </c>
      <c r="M46" s="363">
        <v>0.1</v>
      </c>
      <c r="N46" s="363">
        <v>0.1</v>
      </c>
      <c r="O46" s="363">
        <v>0.1</v>
      </c>
      <c r="P46" s="363">
        <v>0.1</v>
      </c>
      <c r="Q46" s="363">
        <v>0.05</v>
      </c>
      <c r="R46" s="364">
        <v>0</v>
      </c>
      <c r="S46" s="378">
        <f t="shared" si="1"/>
        <v>0.99999999999999989</v>
      </c>
      <c r="T46" s="603"/>
      <c r="U46" s="634">
        <f>+U44</f>
        <v>3.3325E-2</v>
      </c>
      <c r="V46" s="638" t="s">
        <v>246</v>
      </c>
      <c r="W46" s="279"/>
      <c r="AW46" s="609">
        <f>+S47*U46</f>
        <v>3.3325E-2</v>
      </c>
      <c r="AX46" s="140">
        <f t="shared" si="2"/>
        <v>383</v>
      </c>
    </row>
    <row r="47" spans="1:50" ht="15.75" thickBot="1" x14ac:dyDescent="0.3">
      <c r="A47" s="594"/>
      <c r="B47" s="591"/>
      <c r="C47" s="645"/>
      <c r="D47" s="612"/>
      <c r="E47" s="614"/>
      <c r="F47" s="41" t="s">
        <v>29</v>
      </c>
      <c r="G47" s="365">
        <v>0</v>
      </c>
      <c r="H47" s="365">
        <v>0.1</v>
      </c>
      <c r="I47" s="368">
        <v>0.2</v>
      </c>
      <c r="J47" s="366">
        <v>0.2</v>
      </c>
      <c r="K47" s="366">
        <v>0.05</v>
      </c>
      <c r="L47" s="365">
        <v>0.45</v>
      </c>
      <c r="M47" s="365">
        <v>0</v>
      </c>
      <c r="N47" s="366">
        <v>0</v>
      </c>
      <c r="O47" s="366">
        <v>0</v>
      </c>
      <c r="P47" s="366">
        <v>0</v>
      </c>
      <c r="Q47" s="365">
        <v>0</v>
      </c>
      <c r="R47" s="367">
        <v>0</v>
      </c>
      <c r="S47" s="379">
        <f t="shared" si="1"/>
        <v>1</v>
      </c>
      <c r="T47" s="603"/>
      <c r="U47" s="624"/>
      <c r="V47" s="618"/>
      <c r="W47" s="279"/>
      <c r="AW47" s="609"/>
      <c r="AX47" s="140">
        <f t="shared" si="2"/>
        <v>0</v>
      </c>
    </row>
    <row r="48" spans="1:50" x14ac:dyDescent="0.25">
      <c r="A48" s="594"/>
      <c r="B48" s="591"/>
      <c r="C48" s="610" t="s">
        <v>247</v>
      </c>
      <c r="D48" s="628" t="s">
        <v>217</v>
      </c>
      <c r="E48" s="629"/>
      <c r="F48" s="40" t="s">
        <v>28</v>
      </c>
      <c r="G48" s="363">
        <v>0.2</v>
      </c>
      <c r="H48" s="363">
        <v>0.2</v>
      </c>
      <c r="I48" s="363">
        <v>0.2</v>
      </c>
      <c r="J48" s="363">
        <v>0.2</v>
      </c>
      <c r="K48" s="363">
        <v>0.2</v>
      </c>
      <c r="L48" s="363">
        <v>0</v>
      </c>
      <c r="M48" s="363">
        <v>0</v>
      </c>
      <c r="N48" s="363">
        <v>0</v>
      </c>
      <c r="O48" s="363">
        <v>0</v>
      </c>
      <c r="P48" s="363">
        <v>0</v>
      </c>
      <c r="Q48" s="363">
        <v>0</v>
      </c>
      <c r="R48" s="364">
        <v>0</v>
      </c>
      <c r="S48" s="378">
        <f t="shared" si="1"/>
        <v>1</v>
      </c>
      <c r="T48" s="603"/>
      <c r="U48" s="634">
        <f>+U46</f>
        <v>3.3325E-2</v>
      </c>
      <c r="V48" s="638" t="s">
        <v>287</v>
      </c>
      <c r="W48" s="279"/>
      <c r="AW48" s="609">
        <f>+S49*U48</f>
        <v>2.19945E-2</v>
      </c>
      <c r="AX48" s="140">
        <f t="shared" si="2"/>
        <v>273</v>
      </c>
    </row>
    <row r="49" spans="1:50" ht="15.75" thickBot="1" x14ac:dyDescent="0.3">
      <c r="A49" s="594"/>
      <c r="B49" s="591"/>
      <c r="C49" s="610"/>
      <c r="D49" s="599"/>
      <c r="E49" s="601"/>
      <c r="F49" s="41" t="s">
        <v>29</v>
      </c>
      <c r="G49" s="365">
        <v>0.02</v>
      </c>
      <c r="H49" s="365">
        <v>0.02</v>
      </c>
      <c r="I49" s="368">
        <v>0.01</v>
      </c>
      <c r="J49" s="366">
        <v>0.01</v>
      </c>
      <c r="K49" s="366">
        <v>0.5</v>
      </c>
      <c r="L49" s="365">
        <v>0</v>
      </c>
      <c r="M49" s="365">
        <v>0</v>
      </c>
      <c r="N49" s="366">
        <v>0</v>
      </c>
      <c r="O49" s="366">
        <v>0.1</v>
      </c>
      <c r="P49" s="366"/>
      <c r="Q49" s="365"/>
      <c r="R49" s="367"/>
      <c r="S49" s="379">
        <f t="shared" si="1"/>
        <v>0.66</v>
      </c>
      <c r="T49" s="603"/>
      <c r="U49" s="624"/>
      <c r="V49" s="618"/>
      <c r="W49" s="279"/>
      <c r="AW49" s="609"/>
      <c r="AX49" s="140">
        <f t="shared" si="2"/>
        <v>0</v>
      </c>
    </row>
    <row r="50" spans="1:50" x14ac:dyDescent="0.25">
      <c r="A50" s="594"/>
      <c r="B50" s="591"/>
      <c r="C50" s="610" t="s">
        <v>248</v>
      </c>
      <c r="D50" s="612" t="s">
        <v>217</v>
      </c>
      <c r="E50" s="614"/>
      <c r="F50" s="40" t="s">
        <v>28</v>
      </c>
      <c r="G50" s="363">
        <v>0</v>
      </c>
      <c r="H50" s="363">
        <v>0</v>
      </c>
      <c r="I50" s="363">
        <v>0</v>
      </c>
      <c r="J50" s="363">
        <v>0.05</v>
      </c>
      <c r="K50" s="363">
        <v>0.1</v>
      </c>
      <c r="L50" s="363">
        <v>0.1</v>
      </c>
      <c r="M50" s="363">
        <v>0.2</v>
      </c>
      <c r="N50" s="363">
        <v>0.2</v>
      </c>
      <c r="O50" s="363">
        <v>0.1</v>
      </c>
      <c r="P50" s="363">
        <v>0.1</v>
      </c>
      <c r="Q50" s="363">
        <v>0.1</v>
      </c>
      <c r="R50" s="364">
        <v>0.05</v>
      </c>
      <c r="S50" s="378">
        <f t="shared" si="1"/>
        <v>1</v>
      </c>
      <c r="T50" s="603"/>
      <c r="U50" s="616">
        <f>+U48</f>
        <v>3.3325E-2</v>
      </c>
      <c r="V50" s="638" t="s">
        <v>249</v>
      </c>
      <c r="W50" s="279"/>
      <c r="AW50" s="609">
        <f>+S51*U50</f>
        <v>0</v>
      </c>
      <c r="AX50" s="140">
        <f t="shared" si="2"/>
        <v>112</v>
      </c>
    </row>
    <row r="51" spans="1:50" ht="15.75" thickBot="1" x14ac:dyDescent="0.3">
      <c r="A51" s="594"/>
      <c r="B51" s="592"/>
      <c r="C51" s="611"/>
      <c r="D51" s="613"/>
      <c r="E51" s="615"/>
      <c r="F51" s="41" t="s">
        <v>29</v>
      </c>
      <c r="G51" s="365">
        <v>0</v>
      </c>
      <c r="H51" s="365">
        <v>0</v>
      </c>
      <c r="I51" s="368">
        <v>0</v>
      </c>
      <c r="J51" s="366">
        <v>0</v>
      </c>
      <c r="K51" s="366">
        <v>0</v>
      </c>
      <c r="L51" s="365">
        <v>0</v>
      </c>
      <c r="M51" s="365">
        <v>0</v>
      </c>
      <c r="N51" s="366">
        <v>0</v>
      </c>
      <c r="O51" s="366">
        <v>0</v>
      </c>
      <c r="P51" s="366"/>
      <c r="Q51" s="365"/>
      <c r="R51" s="367"/>
      <c r="S51" s="379">
        <f t="shared" si="1"/>
        <v>0</v>
      </c>
      <c r="T51" s="604"/>
      <c r="U51" s="617"/>
      <c r="V51" s="618"/>
      <c r="W51" s="279"/>
      <c r="AW51" s="609"/>
      <c r="AX51" s="140">
        <f t="shared" si="2"/>
        <v>0</v>
      </c>
    </row>
    <row r="52" spans="1:50" x14ac:dyDescent="0.25">
      <c r="A52" s="594"/>
      <c r="B52" s="593" t="s">
        <v>215</v>
      </c>
      <c r="C52" s="644" t="s">
        <v>250</v>
      </c>
      <c r="D52" s="621"/>
      <c r="E52" s="622" t="s">
        <v>217</v>
      </c>
      <c r="F52" s="40" t="s">
        <v>28</v>
      </c>
      <c r="G52" s="363">
        <v>0.2</v>
      </c>
      <c r="H52" s="363">
        <v>0.2</v>
      </c>
      <c r="I52" s="363">
        <v>0.2</v>
      </c>
      <c r="J52" s="363">
        <v>0.2</v>
      </c>
      <c r="K52" s="363">
        <v>0.2</v>
      </c>
      <c r="L52" s="363">
        <v>0</v>
      </c>
      <c r="M52" s="363">
        <v>0</v>
      </c>
      <c r="N52" s="363">
        <v>0</v>
      </c>
      <c r="O52" s="363">
        <v>0</v>
      </c>
      <c r="P52" s="363">
        <v>0</v>
      </c>
      <c r="Q52" s="363">
        <v>0</v>
      </c>
      <c r="R52" s="364">
        <v>0</v>
      </c>
      <c r="S52" s="378">
        <f t="shared" si="1"/>
        <v>1</v>
      </c>
      <c r="T52" s="655">
        <v>0.1333</v>
      </c>
      <c r="U52" s="657">
        <f>+T52/6</f>
        <v>2.2216666666666666E-2</v>
      </c>
      <c r="V52" s="659" t="s">
        <v>251</v>
      </c>
      <c r="W52" s="279"/>
      <c r="AW52" s="661">
        <f>+S53*U52</f>
        <v>2.2216666666666666E-2</v>
      </c>
      <c r="AX52" s="140">
        <f t="shared" si="2"/>
        <v>20</v>
      </c>
    </row>
    <row r="53" spans="1:50" ht="15.75" thickBot="1" x14ac:dyDescent="0.3">
      <c r="A53" s="594"/>
      <c r="B53" s="594"/>
      <c r="C53" s="645"/>
      <c r="D53" s="612"/>
      <c r="E53" s="614"/>
      <c r="F53" s="41" t="s">
        <v>29</v>
      </c>
      <c r="G53" s="365">
        <v>0.05</v>
      </c>
      <c r="H53" s="365">
        <v>0.1</v>
      </c>
      <c r="I53" s="368">
        <v>0.2</v>
      </c>
      <c r="J53" s="366">
        <v>0.2</v>
      </c>
      <c r="K53" s="366">
        <v>0.25</v>
      </c>
      <c r="L53" s="365">
        <v>0.2</v>
      </c>
      <c r="M53" s="365">
        <v>0</v>
      </c>
      <c r="N53" s="366">
        <v>0</v>
      </c>
      <c r="O53" s="366">
        <v>0</v>
      </c>
      <c r="P53" s="366">
        <v>0</v>
      </c>
      <c r="Q53" s="365">
        <v>0</v>
      </c>
      <c r="R53" s="367">
        <v>0</v>
      </c>
      <c r="S53" s="379">
        <f>SUM(G53:R53)</f>
        <v>1</v>
      </c>
      <c r="T53" s="656"/>
      <c r="U53" s="658"/>
      <c r="V53" s="660"/>
      <c r="W53" s="279"/>
      <c r="AW53" s="661"/>
      <c r="AX53" s="140">
        <f t="shared" si="2"/>
        <v>0</v>
      </c>
    </row>
    <row r="54" spans="1:50" x14ac:dyDescent="0.25">
      <c r="A54" s="594"/>
      <c r="B54" s="594"/>
      <c r="C54" s="662" t="s">
        <v>252</v>
      </c>
      <c r="D54" s="628"/>
      <c r="E54" s="629" t="s">
        <v>217</v>
      </c>
      <c r="F54" s="40" t="s">
        <v>28</v>
      </c>
      <c r="G54" s="363">
        <v>0.1</v>
      </c>
      <c r="H54" s="363">
        <v>0.15</v>
      </c>
      <c r="I54" s="363">
        <v>0.2</v>
      </c>
      <c r="J54" s="363">
        <v>0.2</v>
      </c>
      <c r="K54" s="363">
        <v>0.2</v>
      </c>
      <c r="L54" s="363">
        <v>0.1</v>
      </c>
      <c r="M54" s="363">
        <v>0.05</v>
      </c>
      <c r="N54" s="363">
        <v>0</v>
      </c>
      <c r="O54" s="363">
        <v>0</v>
      </c>
      <c r="P54" s="363">
        <v>0</v>
      </c>
      <c r="Q54" s="363">
        <v>0</v>
      </c>
      <c r="R54" s="364">
        <v>0</v>
      </c>
      <c r="S54" s="378">
        <f t="shared" si="1"/>
        <v>1</v>
      </c>
      <c r="T54" s="656"/>
      <c r="U54" s="664">
        <f>+U52</f>
        <v>2.2216666666666666E-2</v>
      </c>
      <c r="V54" s="666" t="s">
        <v>253</v>
      </c>
      <c r="W54" s="279"/>
      <c r="AW54" s="661">
        <f>+S55*U54</f>
        <v>2.2216666666666666E-2</v>
      </c>
      <c r="AX54" s="140">
        <f t="shared" si="2"/>
        <v>587</v>
      </c>
    </row>
    <row r="55" spans="1:50" ht="15.75" thickBot="1" x14ac:dyDescent="0.3">
      <c r="A55" s="594"/>
      <c r="B55" s="594"/>
      <c r="C55" s="663"/>
      <c r="D55" s="599"/>
      <c r="E55" s="601"/>
      <c r="F55" s="41" t="s">
        <v>29</v>
      </c>
      <c r="G55" s="365">
        <v>0.1</v>
      </c>
      <c r="H55" s="365">
        <v>0.15</v>
      </c>
      <c r="I55" s="365">
        <v>0.2</v>
      </c>
      <c r="J55" s="366">
        <v>0.2</v>
      </c>
      <c r="K55" s="366">
        <v>0.15</v>
      </c>
      <c r="L55" s="365">
        <v>0.1</v>
      </c>
      <c r="M55" s="365">
        <v>0.1</v>
      </c>
      <c r="N55" s="366">
        <v>0</v>
      </c>
      <c r="O55" s="366">
        <v>0</v>
      </c>
      <c r="P55" s="366">
        <v>0</v>
      </c>
      <c r="Q55" s="365">
        <v>0</v>
      </c>
      <c r="R55" s="367">
        <v>0</v>
      </c>
      <c r="S55" s="379">
        <f t="shared" si="1"/>
        <v>1</v>
      </c>
      <c r="T55" s="656"/>
      <c r="U55" s="665"/>
      <c r="V55" s="667"/>
      <c r="W55" s="279"/>
      <c r="AW55" s="661"/>
      <c r="AX55" s="140">
        <f t="shared" si="2"/>
        <v>0</v>
      </c>
    </row>
    <row r="56" spans="1:50" x14ac:dyDescent="0.25">
      <c r="A56" s="594"/>
      <c r="B56" s="594"/>
      <c r="C56" s="645" t="s">
        <v>254</v>
      </c>
      <c r="D56" s="612" t="s">
        <v>217</v>
      </c>
      <c r="E56" s="668"/>
      <c r="F56" s="40" t="s">
        <v>28</v>
      </c>
      <c r="G56" s="363">
        <v>0</v>
      </c>
      <c r="H56" s="363">
        <v>0</v>
      </c>
      <c r="I56" s="363">
        <v>0</v>
      </c>
      <c r="J56" s="363">
        <v>0</v>
      </c>
      <c r="K56" s="363">
        <v>0</v>
      </c>
      <c r="L56" s="363">
        <v>0.05</v>
      </c>
      <c r="M56" s="363">
        <v>0.1</v>
      </c>
      <c r="N56" s="363">
        <v>0.14000000000000001</v>
      </c>
      <c r="O56" s="363">
        <v>0.17</v>
      </c>
      <c r="P56" s="363">
        <v>0.18</v>
      </c>
      <c r="Q56" s="363">
        <v>0.18</v>
      </c>
      <c r="R56" s="364">
        <v>0.18</v>
      </c>
      <c r="S56" s="378">
        <f t="shared" si="1"/>
        <v>1</v>
      </c>
      <c r="T56" s="656"/>
      <c r="U56" s="670">
        <f>+U54</f>
        <v>2.2216666666666666E-2</v>
      </c>
      <c r="V56" s="666" t="s">
        <v>255</v>
      </c>
      <c r="W56" s="279"/>
      <c r="AW56" s="661">
        <f>+S57*U56</f>
        <v>0</v>
      </c>
      <c r="AX56" s="140">
        <f t="shared" si="2"/>
        <v>230</v>
      </c>
    </row>
    <row r="57" spans="1:50" ht="15.75" thickBot="1" x14ac:dyDescent="0.3">
      <c r="A57" s="594"/>
      <c r="B57" s="594"/>
      <c r="C57" s="645"/>
      <c r="D57" s="612"/>
      <c r="E57" s="669"/>
      <c r="F57" s="41" t="s">
        <v>29</v>
      </c>
      <c r="G57" s="365">
        <v>0</v>
      </c>
      <c r="H57" s="365">
        <v>0</v>
      </c>
      <c r="I57" s="365">
        <v>0</v>
      </c>
      <c r="J57" s="366">
        <v>0</v>
      </c>
      <c r="K57" s="366">
        <v>0</v>
      </c>
      <c r="L57" s="365">
        <v>0</v>
      </c>
      <c r="M57" s="365">
        <v>0</v>
      </c>
      <c r="N57" s="366">
        <v>0</v>
      </c>
      <c r="O57" s="366">
        <v>0</v>
      </c>
      <c r="P57" s="366">
        <v>0</v>
      </c>
      <c r="Q57" s="365"/>
      <c r="R57" s="367"/>
      <c r="S57" s="379">
        <f t="shared" si="1"/>
        <v>0</v>
      </c>
      <c r="T57" s="656"/>
      <c r="U57" s="670"/>
      <c r="V57" s="667"/>
      <c r="W57" s="279"/>
      <c r="AW57" s="661"/>
      <c r="AX57" s="140">
        <f t="shared" si="2"/>
        <v>0</v>
      </c>
    </row>
    <row r="58" spans="1:50" x14ac:dyDescent="0.25">
      <c r="A58" s="594"/>
      <c r="B58" s="594"/>
      <c r="C58" s="671" t="s">
        <v>256</v>
      </c>
      <c r="D58" s="612"/>
      <c r="E58" s="614" t="s">
        <v>217</v>
      </c>
      <c r="F58" s="40" t="s">
        <v>28</v>
      </c>
      <c r="G58" s="363">
        <v>0.33300000000000002</v>
      </c>
      <c r="H58" s="363">
        <v>0.33300000000000002</v>
      </c>
      <c r="I58" s="363">
        <v>0.33400000000000002</v>
      </c>
      <c r="J58" s="363">
        <v>0</v>
      </c>
      <c r="K58" s="363">
        <v>0</v>
      </c>
      <c r="L58" s="363">
        <v>0</v>
      </c>
      <c r="M58" s="363">
        <v>0</v>
      </c>
      <c r="N58" s="363">
        <v>0</v>
      </c>
      <c r="O58" s="363">
        <v>0</v>
      </c>
      <c r="P58" s="363">
        <v>0</v>
      </c>
      <c r="Q58" s="363">
        <v>0</v>
      </c>
      <c r="R58" s="364">
        <v>0</v>
      </c>
      <c r="S58" s="378">
        <f t="shared" si="1"/>
        <v>1</v>
      </c>
      <c r="T58" s="656"/>
      <c r="U58" s="672">
        <f>+U56</f>
        <v>2.2216666666666666E-2</v>
      </c>
      <c r="V58" s="674" t="s">
        <v>251</v>
      </c>
      <c r="W58" s="280"/>
      <c r="AW58" s="661">
        <f>+S59*U58</f>
        <v>2.2216666666666666E-2</v>
      </c>
      <c r="AX58" s="140">
        <f t="shared" si="2"/>
        <v>20</v>
      </c>
    </row>
    <row r="59" spans="1:50" ht="15.75" thickBot="1" x14ac:dyDescent="0.3">
      <c r="A59" s="594"/>
      <c r="B59" s="594"/>
      <c r="C59" s="641"/>
      <c r="D59" s="612"/>
      <c r="E59" s="614"/>
      <c r="F59" s="41" t="s">
        <v>29</v>
      </c>
      <c r="G59" s="365">
        <v>0.33300000000000002</v>
      </c>
      <c r="H59" s="365">
        <v>0.33300000000000002</v>
      </c>
      <c r="I59" s="365">
        <v>0.33400000000000002</v>
      </c>
      <c r="J59" s="366">
        <v>0</v>
      </c>
      <c r="K59" s="366">
        <v>0</v>
      </c>
      <c r="L59" s="365">
        <v>0</v>
      </c>
      <c r="M59" s="365">
        <v>0</v>
      </c>
      <c r="N59" s="366">
        <v>0</v>
      </c>
      <c r="O59" s="366">
        <v>0</v>
      </c>
      <c r="P59" s="366">
        <v>0</v>
      </c>
      <c r="Q59" s="365">
        <v>0</v>
      </c>
      <c r="R59" s="367">
        <v>0</v>
      </c>
      <c r="S59" s="379">
        <f t="shared" si="1"/>
        <v>1</v>
      </c>
      <c r="T59" s="656"/>
      <c r="U59" s="673"/>
      <c r="V59" s="675"/>
      <c r="W59" s="280"/>
      <c r="AW59" s="661"/>
      <c r="AX59" s="140">
        <f t="shared" si="2"/>
        <v>0</v>
      </c>
    </row>
    <row r="60" spans="1:50" x14ac:dyDescent="0.25">
      <c r="A60" s="594"/>
      <c r="B60" s="594"/>
      <c r="C60" s="671" t="s">
        <v>257</v>
      </c>
      <c r="D60" s="628" t="s">
        <v>217</v>
      </c>
      <c r="E60" s="629"/>
      <c r="F60" s="40" t="s">
        <v>28</v>
      </c>
      <c r="G60" s="363">
        <v>0</v>
      </c>
      <c r="H60" s="363">
        <v>0.08</v>
      </c>
      <c r="I60" s="363">
        <v>0.08</v>
      </c>
      <c r="J60" s="363">
        <v>0.05</v>
      </c>
      <c r="K60" s="363">
        <v>0.05</v>
      </c>
      <c r="L60" s="363">
        <v>0.05</v>
      </c>
      <c r="M60" s="363">
        <v>0.15</v>
      </c>
      <c r="N60" s="363">
        <v>0.15</v>
      </c>
      <c r="O60" s="363">
        <v>0.14000000000000001</v>
      </c>
      <c r="P60" s="363">
        <v>0.05</v>
      </c>
      <c r="Q60" s="363">
        <v>0.05</v>
      </c>
      <c r="R60" s="364">
        <v>0.15</v>
      </c>
      <c r="S60" s="378">
        <f t="shared" si="1"/>
        <v>1</v>
      </c>
      <c r="T60" s="656"/>
      <c r="U60" s="664">
        <f>+U58</f>
        <v>2.2216666666666666E-2</v>
      </c>
      <c r="V60" s="666" t="s">
        <v>288</v>
      </c>
      <c r="W60" s="280"/>
      <c r="AW60" s="661">
        <f>+S61*U60</f>
        <v>1.7773333333333332E-2</v>
      </c>
      <c r="AX60" s="140">
        <f t="shared" si="2"/>
        <v>866</v>
      </c>
    </row>
    <row r="61" spans="1:50" ht="15.75" thickBot="1" x14ac:dyDescent="0.3">
      <c r="A61" s="594"/>
      <c r="B61" s="594"/>
      <c r="C61" s="641"/>
      <c r="D61" s="599"/>
      <c r="E61" s="601"/>
      <c r="F61" s="41" t="s">
        <v>29</v>
      </c>
      <c r="G61" s="365">
        <v>0</v>
      </c>
      <c r="H61" s="365">
        <v>0.08</v>
      </c>
      <c r="I61" s="365">
        <v>0.08</v>
      </c>
      <c r="J61" s="366">
        <v>0.05</v>
      </c>
      <c r="K61" s="366">
        <v>0.1</v>
      </c>
      <c r="L61" s="365">
        <v>0.05</v>
      </c>
      <c r="M61" s="365">
        <v>0.15</v>
      </c>
      <c r="N61" s="366">
        <v>0.15</v>
      </c>
      <c r="O61" s="366">
        <v>0.14000000000000001</v>
      </c>
      <c r="P61" s="366"/>
      <c r="Q61" s="365"/>
      <c r="R61" s="367"/>
      <c r="S61" s="379">
        <f t="shared" si="1"/>
        <v>0.8</v>
      </c>
      <c r="T61" s="656"/>
      <c r="U61" s="665"/>
      <c r="V61" s="667"/>
      <c r="W61" s="280"/>
      <c r="AW61" s="661"/>
      <c r="AX61" s="140">
        <f t="shared" si="2"/>
        <v>0</v>
      </c>
    </row>
    <row r="62" spans="1:50" x14ac:dyDescent="0.25">
      <c r="A62" s="594"/>
      <c r="B62" s="594"/>
      <c r="C62" s="641" t="s">
        <v>258</v>
      </c>
      <c r="D62" s="632" t="s">
        <v>217</v>
      </c>
      <c r="E62" s="676"/>
      <c r="F62" s="40" t="s">
        <v>28</v>
      </c>
      <c r="G62" s="363">
        <v>8.4000000000000005E-2</v>
      </c>
      <c r="H62" s="363">
        <v>8.4000000000000005E-2</v>
      </c>
      <c r="I62" s="363">
        <v>8.4000000000000005E-2</v>
      </c>
      <c r="J62" s="363">
        <v>8.3000000000000004E-2</v>
      </c>
      <c r="K62" s="363">
        <v>8.3000000000000004E-2</v>
      </c>
      <c r="L62" s="363">
        <v>8.3000000000000004E-2</v>
      </c>
      <c r="M62" s="363">
        <v>8.3000000000000004E-2</v>
      </c>
      <c r="N62" s="363">
        <v>8.4000000000000005E-2</v>
      </c>
      <c r="O62" s="363">
        <v>8.3000000000000004E-2</v>
      </c>
      <c r="P62" s="363">
        <v>8.3000000000000004E-2</v>
      </c>
      <c r="Q62" s="363">
        <v>8.3000000000000004E-2</v>
      </c>
      <c r="R62" s="364">
        <v>8.3000000000000004E-2</v>
      </c>
      <c r="S62" s="378">
        <f t="shared" si="1"/>
        <v>0.99999999999999978</v>
      </c>
      <c r="T62" s="656"/>
      <c r="U62" s="677">
        <f>+U58</f>
        <v>2.2216666666666666E-2</v>
      </c>
      <c r="V62" s="660" t="s">
        <v>289</v>
      </c>
      <c r="W62" s="280"/>
      <c r="AW62" s="609">
        <f>+S63*U62</f>
        <v>1.6684716666666665E-2</v>
      </c>
      <c r="AX62" s="140">
        <f t="shared" si="2"/>
        <v>1861</v>
      </c>
    </row>
    <row r="63" spans="1:50" ht="15.75" thickBot="1" x14ac:dyDescent="0.3">
      <c r="A63" s="594"/>
      <c r="B63" s="595"/>
      <c r="C63" s="671"/>
      <c r="D63" s="632"/>
      <c r="E63" s="676"/>
      <c r="F63" s="41" t="s">
        <v>29</v>
      </c>
      <c r="G63" s="365">
        <v>8.4000000000000005E-2</v>
      </c>
      <c r="H63" s="365">
        <v>8.4000000000000005E-2</v>
      </c>
      <c r="I63" s="365">
        <v>8.4000000000000005E-2</v>
      </c>
      <c r="J63" s="371">
        <v>8.3000000000000004E-2</v>
      </c>
      <c r="K63" s="371">
        <v>8.3000000000000004E-2</v>
      </c>
      <c r="L63" s="372">
        <v>8.3000000000000004E-2</v>
      </c>
      <c r="M63" s="372">
        <v>8.3000000000000004E-2</v>
      </c>
      <c r="N63" s="371">
        <v>8.4000000000000005E-2</v>
      </c>
      <c r="O63" s="371">
        <v>8.3000000000000004E-2</v>
      </c>
      <c r="P63" s="371"/>
      <c r="Q63" s="372"/>
      <c r="R63" s="373"/>
      <c r="S63" s="379">
        <f t="shared" si="1"/>
        <v>0.75099999999999989</v>
      </c>
      <c r="T63" s="656"/>
      <c r="U63" s="678"/>
      <c r="V63" s="674"/>
      <c r="W63" s="280"/>
      <c r="AW63" s="609"/>
      <c r="AX63" s="140">
        <f t="shared" si="2"/>
        <v>0</v>
      </c>
    </row>
    <row r="64" spans="1:50" x14ac:dyDescent="0.25">
      <c r="A64" s="594"/>
      <c r="B64" s="593" t="s">
        <v>202</v>
      </c>
      <c r="C64" s="679" t="s">
        <v>259</v>
      </c>
      <c r="D64" s="598"/>
      <c r="E64" s="681" t="s">
        <v>217</v>
      </c>
      <c r="F64" s="40" t="s">
        <v>28</v>
      </c>
      <c r="G64" s="363">
        <v>0.33300000000000002</v>
      </c>
      <c r="H64" s="363">
        <v>0.33300000000000002</v>
      </c>
      <c r="I64" s="363">
        <v>0.33400000000000002</v>
      </c>
      <c r="J64" s="363">
        <v>0</v>
      </c>
      <c r="K64" s="363">
        <v>0</v>
      </c>
      <c r="L64" s="363">
        <v>0</v>
      </c>
      <c r="M64" s="363">
        <v>0</v>
      </c>
      <c r="N64" s="363">
        <v>0</v>
      </c>
      <c r="O64" s="363">
        <v>0</v>
      </c>
      <c r="P64" s="363">
        <v>0</v>
      </c>
      <c r="Q64" s="363">
        <v>0</v>
      </c>
      <c r="R64" s="364">
        <v>0</v>
      </c>
      <c r="S64" s="378">
        <f t="shared" si="1"/>
        <v>1</v>
      </c>
      <c r="T64" s="652">
        <v>0.1333</v>
      </c>
      <c r="U64" s="605">
        <v>0.01</v>
      </c>
      <c r="V64" s="607" t="s">
        <v>290</v>
      </c>
      <c r="W64" s="280"/>
      <c r="AW64" s="609">
        <f>+S65*U64</f>
        <v>9.5000000000000015E-3</v>
      </c>
      <c r="AX64" s="140">
        <f t="shared" si="2"/>
        <v>463</v>
      </c>
    </row>
    <row r="65" spans="1:50" ht="15.75" thickBot="1" x14ac:dyDescent="0.3">
      <c r="A65" s="594"/>
      <c r="B65" s="594"/>
      <c r="C65" s="680"/>
      <c r="D65" s="599"/>
      <c r="E65" s="682"/>
      <c r="F65" s="41" t="s">
        <v>29</v>
      </c>
      <c r="G65" s="365">
        <v>0</v>
      </c>
      <c r="H65" s="365">
        <v>0</v>
      </c>
      <c r="I65" s="365">
        <v>0</v>
      </c>
      <c r="J65" s="366">
        <v>0.33300000000000002</v>
      </c>
      <c r="K65" s="366">
        <v>0.1</v>
      </c>
      <c r="L65" s="365">
        <v>0</v>
      </c>
      <c r="M65" s="365">
        <v>0.4</v>
      </c>
      <c r="N65" s="366">
        <v>0.1</v>
      </c>
      <c r="O65" s="366">
        <v>1.7000000000000001E-2</v>
      </c>
      <c r="P65" s="366"/>
      <c r="Q65" s="365"/>
      <c r="R65" s="367"/>
      <c r="S65" s="379">
        <f t="shared" si="1"/>
        <v>0.95000000000000007</v>
      </c>
      <c r="T65" s="683"/>
      <c r="U65" s="606"/>
      <c r="V65" s="608"/>
      <c r="W65" s="280"/>
      <c r="AW65" s="609"/>
      <c r="AX65" s="140">
        <f t="shared" si="2"/>
        <v>0</v>
      </c>
    </row>
    <row r="66" spans="1:50" x14ac:dyDescent="0.25">
      <c r="A66" s="594"/>
      <c r="B66" s="594"/>
      <c r="C66" s="685" t="s">
        <v>260</v>
      </c>
      <c r="D66" s="628"/>
      <c r="E66" s="686" t="s">
        <v>217</v>
      </c>
      <c r="F66" s="40" t="s">
        <v>28</v>
      </c>
      <c r="G66" s="363">
        <v>0.3</v>
      </c>
      <c r="H66" s="363">
        <v>0.3</v>
      </c>
      <c r="I66" s="363">
        <v>0.3</v>
      </c>
      <c r="J66" s="363">
        <v>0.1</v>
      </c>
      <c r="K66" s="363">
        <v>0</v>
      </c>
      <c r="L66" s="363">
        <v>0</v>
      </c>
      <c r="M66" s="363">
        <v>0</v>
      </c>
      <c r="N66" s="363">
        <v>0</v>
      </c>
      <c r="O66" s="363">
        <v>0</v>
      </c>
      <c r="P66" s="363">
        <v>0</v>
      </c>
      <c r="Q66" s="363">
        <v>0</v>
      </c>
      <c r="R66" s="364">
        <v>0</v>
      </c>
      <c r="S66" s="378">
        <f t="shared" si="1"/>
        <v>0.99999999999999989</v>
      </c>
      <c r="T66" s="683"/>
      <c r="U66" s="606">
        <v>2.666E-2</v>
      </c>
      <c r="V66" s="608" t="s">
        <v>261</v>
      </c>
      <c r="W66" s="280"/>
      <c r="AW66" s="609">
        <f>+S67*U66</f>
        <v>1.1005248E-2</v>
      </c>
      <c r="AX66" s="140">
        <f t="shared" si="2"/>
        <v>515</v>
      </c>
    </row>
    <row r="67" spans="1:50" ht="15.75" thickBot="1" x14ac:dyDescent="0.3">
      <c r="A67" s="594"/>
      <c r="B67" s="594"/>
      <c r="C67" s="663"/>
      <c r="D67" s="632"/>
      <c r="E67" s="687"/>
      <c r="F67" s="41" t="s">
        <v>29</v>
      </c>
      <c r="G67" s="365">
        <v>7.0000000000000001E-3</v>
      </c>
      <c r="H67" s="365">
        <v>0</v>
      </c>
      <c r="I67" s="365">
        <v>0</v>
      </c>
      <c r="J67" s="366">
        <v>3.3300000000000003E-2</v>
      </c>
      <c r="K67" s="366">
        <v>0.127</v>
      </c>
      <c r="L67" s="365">
        <v>0.21</v>
      </c>
      <c r="M67" s="365">
        <v>2.3E-2</v>
      </c>
      <c r="N67" s="366">
        <v>1.2500000000000001E-2</v>
      </c>
      <c r="O67" s="366">
        <v>0</v>
      </c>
      <c r="P67" s="366"/>
      <c r="Q67" s="365"/>
      <c r="R67" s="367"/>
      <c r="S67" s="379">
        <f t="shared" si="1"/>
        <v>0.4128</v>
      </c>
      <c r="T67" s="683"/>
      <c r="U67" s="606"/>
      <c r="V67" s="608"/>
      <c r="W67" s="280"/>
      <c r="AW67" s="609"/>
      <c r="AX67" s="140">
        <f t="shared" si="2"/>
        <v>0</v>
      </c>
    </row>
    <row r="68" spans="1:50" x14ac:dyDescent="0.25">
      <c r="A68" s="594"/>
      <c r="B68" s="594"/>
      <c r="C68" s="662" t="s">
        <v>262</v>
      </c>
      <c r="D68" s="628"/>
      <c r="E68" s="688" t="s">
        <v>217</v>
      </c>
      <c r="F68" s="40" t="s">
        <v>28</v>
      </c>
      <c r="G68" s="363">
        <v>0.2</v>
      </c>
      <c r="H68" s="363">
        <v>0.2</v>
      </c>
      <c r="I68" s="363">
        <v>0.6</v>
      </c>
      <c r="J68" s="363">
        <v>0</v>
      </c>
      <c r="K68" s="363">
        <v>0</v>
      </c>
      <c r="L68" s="363">
        <v>0</v>
      </c>
      <c r="M68" s="363">
        <v>0</v>
      </c>
      <c r="N68" s="363">
        <v>0</v>
      </c>
      <c r="O68" s="363">
        <v>0</v>
      </c>
      <c r="P68" s="363">
        <v>0</v>
      </c>
      <c r="Q68" s="363">
        <v>0</v>
      </c>
      <c r="R68" s="364">
        <v>0</v>
      </c>
      <c r="S68" s="378">
        <f t="shared" si="1"/>
        <v>1</v>
      </c>
      <c r="T68" s="683"/>
      <c r="U68" s="606">
        <v>1.67E-2</v>
      </c>
      <c r="V68" s="608" t="s">
        <v>263</v>
      </c>
      <c r="W68" s="279"/>
      <c r="AW68" s="609">
        <f>+S69*U68</f>
        <v>1.6199000000000002E-2</v>
      </c>
      <c r="AX68" s="140">
        <f t="shared" si="2"/>
        <v>102</v>
      </c>
    </row>
    <row r="69" spans="1:50" ht="15.75" thickBot="1" x14ac:dyDescent="0.3">
      <c r="A69" s="594"/>
      <c r="B69" s="594"/>
      <c r="C69" s="663"/>
      <c r="D69" s="599"/>
      <c r="E69" s="682"/>
      <c r="F69" s="41" t="s">
        <v>29</v>
      </c>
      <c r="G69" s="365">
        <v>0.1</v>
      </c>
      <c r="H69" s="365">
        <v>0.2</v>
      </c>
      <c r="I69" s="365">
        <v>0.5</v>
      </c>
      <c r="J69" s="366">
        <v>0</v>
      </c>
      <c r="K69" s="366">
        <v>0</v>
      </c>
      <c r="L69" s="365">
        <v>0.1</v>
      </c>
      <c r="M69" s="365">
        <v>0.05</v>
      </c>
      <c r="N69" s="366">
        <v>0</v>
      </c>
      <c r="O69" s="366">
        <v>0.02</v>
      </c>
      <c r="P69" s="366"/>
      <c r="Q69" s="365"/>
      <c r="R69" s="367"/>
      <c r="S69" s="379">
        <f t="shared" si="1"/>
        <v>0.97000000000000008</v>
      </c>
      <c r="T69" s="683"/>
      <c r="U69" s="606"/>
      <c r="V69" s="608"/>
      <c r="W69" s="279"/>
      <c r="AW69" s="609"/>
      <c r="AX69" s="140">
        <f t="shared" si="2"/>
        <v>0</v>
      </c>
    </row>
    <row r="70" spans="1:50" x14ac:dyDescent="0.25">
      <c r="A70" s="594"/>
      <c r="B70" s="594"/>
      <c r="C70" s="685" t="s">
        <v>264</v>
      </c>
      <c r="D70" s="628" t="s">
        <v>217</v>
      </c>
      <c r="E70" s="141"/>
      <c r="F70" s="40" t="s">
        <v>28</v>
      </c>
      <c r="G70" s="363">
        <v>0.25</v>
      </c>
      <c r="H70" s="363">
        <v>0.25</v>
      </c>
      <c r="I70" s="363">
        <v>0.25</v>
      </c>
      <c r="J70" s="363">
        <v>0.25</v>
      </c>
      <c r="K70" s="363">
        <v>0</v>
      </c>
      <c r="L70" s="363">
        <v>0</v>
      </c>
      <c r="M70" s="363">
        <v>0</v>
      </c>
      <c r="N70" s="363">
        <v>0</v>
      </c>
      <c r="O70" s="363">
        <v>0</v>
      </c>
      <c r="P70" s="363">
        <v>0</v>
      </c>
      <c r="Q70" s="363">
        <v>0</v>
      </c>
      <c r="R70" s="364">
        <v>0</v>
      </c>
      <c r="S70" s="378">
        <f t="shared" si="1"/>
        <v>1</v>
      </c>
      <c r="T70" s="683"/>
      <c r="U70" s="606">
        <v>2.666E-2</v>
      </c>
      <c r="V70" s="689" t="s">
        <v>291</v>
      </c>
      <c r="W70" s="279"/>
      <c r="AW70" s="609">
        <f>+S71*U70</f>
        <v>2.3994000000000001E-2</v>
      </c>
      <c r="AX70" s="140">
        <f t="shared" si="2"/>
        <v>263</v>
      </c>
    </row>
    <row r="71" spans="1:50" ht="15.75" thickBot="1" x14ac:dyDescent="0.3">
      <c r="A71" s="594"/>
      <c r="B71" s="594"/>
      <c r="C71" s="663"/>
      <c r="D71" s="632"/>
      <c r="E71" s="142"/>
      <c r="F71" s="41" t="s">
        <v>29</v>
      </c>
      <c r="G71" s="365">
        <v>0.1</v>
      </c>
      <c r="H71" s="365">
        <v>0.25</v>
      </c>
      <c r="I71" s="365">
        <v>0.25</v>
      </c>
      <c r="J71" s="366">
        <v>0.2</v>
      </c>
      <c r="K71" s="366">
        <v>0</v>
      </c>
      <c r="L71" s="365">
        <v>0</v>
      </c>
      <c r="M71" s="365">
        <v>0</v>
      </c>
      <c r="N71" s="366">
        <v>0.1</v>
      </c>
      <c r="O71" s="366">
        <v>0</v>
      </c>
      <c r="P71" s="366"/>
      <c r="Q71" s="365"/>
      <c r="R71" s="367"/>
      <c r="S71" s="379">
        <f t="shared" si="1"/>
        <v>0.9</v>
      </c>
      <c r="T71" s="683"/>
      <c r="U71" s="606"/>
      <c r="V71" s="689"/>
      <c r="W71" s="279"/>
      <c r="AW71" s="609"/>
      <c r="AX71" s="140">
        <f t="shared" si="2"/>
        <v>0</v>
      </c>
    </row>
    <row r="72" spans="1:50" x14ac:dyDescent="0.25">
      <c r="A72" s="594"/>
      <c r="B72" s="594"/>
      <c r="C72" s="690" t="s">
        <v>265</v>
      </c>
      <c r="D72" s="628" t="s">
        <v>217</v>
      </c>
      <c r="E72" s="629"/>
      <c r="F72" s="40" t="s">
        <v>28</v>
      </c>
      <c r="G72" s="363">
        <v>0</v>
      </c>
      <c r="H72" s="363">
        <v>0</v>
      </c>
      <c r="I72" s="363">
        <v>0</v>
      </c>
      <c r="J72" s="363">
        <v>0</v>
      </c>
      <c r="K72" s="363">
        <v>0.25</v>
      </c>
      <c r="L72" s="363">
        <v>0.25</v>
      </c>
      <c r="M72" s="363">
        <v>0.25</v>
      </c>
      <c r="N72" s="363">
        <v>0.25</v>
      </c>
      <c r="O72" s="363">
        <v>0</v>
      </c>
      <c r="P72" s="363">
        <v>0</v>
      </c>
      <c r="Q72" s="363">
        <v>0</v>
      </c>
      <c r="R72" s="364">
        <v>0</v>
      </c>
      <c r="S72" s="378">
        <f t="shared" si="1"/>
        <v>1</v>
      </c>
      <c r="T72" s="683"/>
      <c r="U72" s="606">
        <v>2.666E-2</v>
      </c>
      <c r="V72" s="689" t="s">
        <v>266</v>
      </c>
      <c r="W72" s="279"/>
      <c r="AW72" s="609">
        <f>+S73*U72</f>
        <v>0</v>
      </c>
      <c r="AX72" s="140">
        <f t="shared" ref="AX72:AX77" si="3">LEN(V72)</f>
        <v>68</v>
      </c>
    </row>
    <row r="73" spans="1:50" ht="15.75" thickBot="1" x14ac:dyDescent="0.3">
      <c r="A73" s="594"/>
      <c r="B73" s="594"/>
      <c r="C73" s="685"/>
      <c r="D73" s="632"/>
      <c r="E73" s="633"/>
      <c r="F73" s="41" t="s">
        <v>29</v>
      </c>
      <c r="G73" s="365">
        <v>0</v>
      </c>
      <c r="H73" s="365">
        <v>0</v>
      </c>
      <c r="I73" s="368">
        <v>0</v>
      </c>
      <c r="J73" s="366">
        <v>0</v>
      </c>
      <c r="K73" s="366">
        <v>0</v>
      </c>
      <c r="L73" s="365">
        <v>0</v>
      </c>
      <c r="M73" s="365">
        <v>0</v>
      </c>
      <c r="N73" s="366">
        <v>0</v>
      </c>
      <c r="O73" s="366">
        <v>0</v>
      </c>
      <c r="P73" s="366"/>
      <c r="Q73" s="365"/>
      <c r="R73" s="367"/>
      <c r="S73" s="379">
        <f t="shared" si="1"/>
        <v>0</v>
      </c>
      <c r="T73" s="683"/>
      <c r="U73" s="606"/>
      <c r="V73" s="689"/>
      <c r="W73" s="279"/>
      <c r="AW73" s="609"/>
      <c r="AX73" s="140">
        <f t="shared" si="3"/>
        <v>0</v>
      </c>
    </row>
    <row r="74" spans="1:50" x14ac:dyDescent="0.25">
      <c r="A74" s="594"/>
      <c r="B74" s="594"/>
      <c r="C74" s="690" t="s">
        <v>267</v>
      </c>
      <c r="D74" s="628" t="s">
        <v>217</v>
      </c>
      <c r="E74" s="629"/>
      <c r="F74" s="40" t="s">
        <v>28</v>
      </c>
      <c r="G74" s="363">
        <v>0</v>
      </c>
      <c r="H74" s="363">
        <v>0</v>
      </c>
      <c r="I74" s="363">
        <v>0</v>
      </c>
      <c r="J74" s="363">
        <v>0</v>
      </c>
      <c r="K74" s="363">
        <v>0</v>
      </c>
      <c r="L74" s="363">
        <v>0</v>
      </c>
      <c r="M74" s="363">
        <v>0</v>
      </c>
      <c r="N74" s="363">
        <v>0</v>
      </c>
      <c r="O74" s="363">
        <v>0.25</v>
      </c>
      <c r="P74" s="363">
        <v>0.25</v>
      </c>
      <c r="Q74" s="363">
        <v>0.25</v>
      </c>
      <c r="R74" s="364">
        <v>0.25</v>
      </c>
      <c r="S74" s="378">
        <f t="shared" si="1"/>
        <v>1</v>
      </c>
      <c r="T74" s="683"/>
      <c r="U74" s="606">
        <v>2.666E-2</v>
      </c>
      <c r="V74" s="689" t="s">
        <v>268</v>
      </c>
      <c r="W74" s="279"/>
      <c r="AW74" s="609">
        <f>+S75*U74</f>
        <v>0</v>
      </c>
      <c r="AX74" s="140">
        <f t="shared" si="3"/>
        <v>81</v>
      </c>
    </row>
    <row r="75" spans="1:50" ht="15.75" thickBot="1" x14ac:dyDescent="0.3">
      <c r="A75" s="595"/>
      <c r="B75" s="595"/>
      <c r="C75" s="692"/>
      <c r="D75" s="693"/>
      <c r="E75" s="694"/>
      <c r="F75" s="41" t="s">
        <v>29</v>
      </c>
      <c r="G75" s="365">
        <v>0</v>
      </c>
      <c r="H75" s="365">
        <v>0</v>
      </c>
      <c r="I75" s="368">
        <v>0</v>
      </c>
      <c r="J75" s="366">
        <v>0</v>
      </c>
      <c r="K75" s="366">
        <v>0</v>
      </c>
      <c r="L75" s="365">
        <v>0</v>
      </c>
      <c r="M75" s="365">
        <v>0</v>
      </c>
      <c r="N75" s="366">
        <v>0</v>
      </c>
      <c r="O75" s="366">
        <v>0</v>
      </c>
      <c r="P75" s="366"/>
      <c r="Q75" s="365"/>
      <c r="R75" s="367"/>
      <c r="S75" s="379">
        <f t="shared" si="1"/>
        <v>0</v>
      </c>
      <c r="T75" s="684"/>
      <c r="U75" s="695"/>
      <c r="V75" s="696"/>
      <c r="W75" s="279"/>
      <c r="AW75" s="609"/>
      <c r="AX75" s="140">
        <f t="shared" si="3"/>
        <v>0</v>
      </c>
    </row>
    <row r="76" spans="1:50" x14ac:dyDescent="0.25">
      <c r="A76" s="643" t="s">
        <v>207</v>
      </c>
      <c r="B76" s="593" t="s">
        <v>208</v>
      </c>
      <c r="C76" s="690" t="s">
        <v>269</v>
      </c>
      <c r="D76" s="628" t="s">
        <v>217</v>
      </c>
      <c r="E76" s="622"/>
      <c r="F76" s="40" t="s">
        <v>28</v>
      </c>
      <c r="G76" s="374">
        <v>8.3400000000000002E-2</v>
      </c>
      <c r="H76" s="374">
        <v>8.3400000000000002E-2</v>
      </c>
      <c r="I76" s="374">
        <v>8.3400000000000002E-2</v>
      </c>
      <c r="J76" s="374">
        <v>8.3400000000000002E-2</v>
      </c>
      <c r="K76" s="374">
        <v>8.3400000000000002E-2</v>
      </c>
      <c r="L76" s="374">
        <v>8.3400000000000002E-2</v>
      </c>
      <c r="M76" s="374">
        <v>8.3400000000000002E-2</v>
      </c>
      <c r="N76" s="374">
        <v>8.3400000000000002E-2</v>
      </c>
      <c r="O76" s="374">
        <v>8.3400000000000002E-2</v>
      </c>
      <c r="P76" s="374">
        <v>8.3400000000000002E-2</v>
      </c>
      <c r="Q76" s="374">
        <v>8.3400000000000002E-2</v>
      </c>
      <c r="R76" s="375">
        <v>8.2600000000000007E-2</v>
      </c>
      <c r="S76" s="378">
        <f>SUM(G76:R76)</f>
        <v>1.0000000000000002</v>
      </c>
      <c r="T76" s="697">
        <v>0.01</v>
      </c>
      <c r="U76" s="699">
        <v>0.01</v>
      </c>
      <c r="V76" s="701" t="s">
        <v>270</v>
      </c>
      <c r="W76" s="279"/>
      <c r="AW76" s="609">
        <f>+S77*U76</f>
        <v>7.170000000000001E-3</v>
      </c>
      <c r="AX76" s="140">
        <f t="shared" si="3"/>
        <v>465</v>
      </c>
    </row>
    <row r="77" spans="1:50" ht="15.75" thickBot="1" x14ac:dyDescent="0.3">
      <c r="A77" s="592"/>
      <c r="B77" s="595"/>
      <c r="C77" s="692"/>
      <c r="D77" s="693"/>
      <c r="E77" s="615"/>
      <c r="F77" s="41" t="s">
        <v>29</v>
      </c>
      <c r="G77" s="376">
        <v>0</v>
      </c>
      <c r="H77" s="376">
        <v>0</v>
      </c>
      <c r="I77" s="368">
        <v>0</v>
      </c>
      <c r="J77" s="368">
        <v>0.3</v>
      </c>
      <c r="K77" s="366">
        <v>8.3400000000000002E-2</v>
      </c>
      <c r="L77" s="376">
        <v>8.3400000000000002E-2</v>
      </c>
      <c r="M77" s="376">
        <v>8.3400000000000002E-2</v>
      </c>
      <c r="N77" s="366">
        <v>8.3400000000000002E-2</v>
      </c>
      <c r="O77" s="366">
        <v>8.3400000000000002E-2</v>
      </c>
      <c r="P77" s="366"/>
      <c r="Q77" s="376"/>
      <c r="R77" s="377"/>
      <c r="S77" s="379">
        <f>SUM(G77:R77)</f>
        <v>0.71700000000000008</v>
      </c>
      <c r="T77" s="698"/>
      <c r="U77" s="700"/>
      <c r="V77" s="702"/>
      <c r="W77" s="279"/>
      <c r="AW77" s="609"/>
      <c r="AX77" s="140">
        <f t="shared" si="3"/>
        <v>0</v>
      </c>
    </row>
    <row r="78" spans="1:50" ht="15.75" thickBot="1" x14ac:dyDescent="0.3">
      <c r="A78" s="691" t="s">
        <v>30</v>
      </c>
      <c r="B78" s="582"/>
      <c r="C78" s="582"/>
      <c r="D78" s="582"/>
      <c r="E78" s="582"/>
      <c r="F78" s="582"/>
      <c r="G78" s="582"/>
      <c r="H78" s="582"/>
      <c r="I78" s="582"/>
      <c r="J78" s="582"/>
      <c r="K78" s="582"/>
      <c r="L78" s="582"/>
      <c r="M78" s="582"/>
      <c r="N78" s="582"/>
      <c r="O78" s="582"/>
      <c r="P78" s="582"/>
      <c r="Q78" s="582"/>
      <c r="R78" s="582"/>
      <c r="S78" s="582"/>
      <c r="T78" s="143">
        <f>SUM(T8:T77)</f>
        <v>0.99983333333333324</v>
      </c>
      <c r="U78" s="143">
        <f>SUM(U8:U77)</f>
        <v>0.99987333333333372</v>
      </c>
      <c r="V78" s="42"/>
      <c r="W78" s="270"/>
      <c r="AW78" s="144">
        <f>SUM(AW8:AW77)</f>
        <v>0.65777629799999981</v>
      </c>
      <c r="AX78" s="7"/>
    </row>
    <row r="81" spans="1:50" x14ac:dyDescent="0.25">
      <c r="A81" s="53" t="s">
        <v>130</v>
      </c>
      <c r="B81" s="1"/>
      <c r="C81" s="1"/>
      <c r="D81" s="1"/>
      <c r="E81" s="1"/>
      <c r="F81" s="1"/>
      <c r="G81" s="1"/>
      <c r="AW81" s="273" t="s">
        <v>271</v>
      </c>
      <c r="AX81" s="274"/>
    </row>
    <row r="82" spans="1:50" ht="15" customHeight="1" x14ac:dyDescent="0.25">
      <c r="A82" s="55" t="s">
        <v>131</v>
      </c>
      <c r="B82" s="566" t="s">
        <v>132</v>
      </c>
      <c r="C82" s="566"/>
      <c r="D82" s="566"/>
      <c r="E82" s="566"/>
      <c r="F82" s="566"/>
      <c r="G82" s="566"/>
      <c r="H82" s="566"/>
      <c r="I82" s="567" t="s">
        <v>133</v>
      </c>
      <c r="J82" s="567"/>
      <c r="K82" s="567"/>
      <c r="L82" s="567"/>
      <c r="M82" s="567"/>
      <c r="N82" s="567"/>
      <c r="O82" s="567"/>
      <c r="AW82" s="275" t="s">
        <v>272</v>
      </c>
      <c r="AX82" s="276">
        <v>35</v>
      </c>
    </row>
    <row r="83" spans="1:50" x14ac:dyDescent="0.25">
      <c r="A83" s="54">
        <v>11</v>
      </c>
      <c r="B83" s="565" t="s">
        <v>134</v>
      </c>
      <c r="C83" s="565"/>
      <c r="D83" s="565"/>
      <c r="E83" s="565"/>
      <c r="F83" s="565"/>
      <c r="G83" s="565"/>
      <c r="H83" s="565"/>
      <c r="I83" s="565" t="s">
        <v>136</v>
      </c>
      <c r="J83" s="565"/>
      <c r="K83" s="565"/>
      <c r="L83" s="565"/>
      <c r="M83" s="565"/>
      <c r="N83" s="565"/>
      <c r="O83" s="565"/>
      <c r="AW83" s="275" t="s">
        <v>273</v>
      </c>
      <c r="AX83" s="276">
        <v>18.95</v>
      </c>
    </row>
    <row r="84" spans="1:50" x14ac:dyDescent="0.25">
      <c r="AW84" s="275" t="s">
        <v>274</v>
      </c>
      <c r="AX84" s="276">
        <f>+AX82-AX83</f>
        <v>16.05</v>
      </c>
    </row>
    <row r="85" spans="1:50" x14ac:dyDescent="0.25">
      <c r="AW85" s="275"/>
      <c r="AX85" s="277"/>
    </row>
    <row r="86" spans="1:50" x14ac:dyDescent="0.25">
      <c r="AW86" s="278">
        <v>1</v>
      </c>
      <c r="AX86" s="278">
        <v>0.1605</v>
      </c>
    </row>
    <row r="87" spans="1:50" x14ac:dyDescent="0.25">
      <c r="AW87" s="278">
        <v>0.65780000000000005</v>
      </c>
      <c r="AX87" s="278">
        <f>+AW87*AX86/AW86</f>
        <v>0.10557690000000002</v>
      </c>
    </row>
    <row r="108" spans="23:50" x14ac:dyDescent="0.25">
      <c r="W108" s="268"/>
      <c r="AW108" s="268"/>
      <c r="AX108" s="268"/>
    </row>
    <row r="109" spans="23:50" x14ac:dyDescent="0.25">
      <c r="W109" s="268"/>
      <c r="AW109" s="268"/>
      <c r="AX109" s="268"/>
    </row>
    <row r="110" spans="23:50" x14ac:dyDescent="0.25">
      <c r="W110" s="268"/>
      <c r="AW110" s="268"/>
      <c r="AX110" s="268"/>
    </row>
    <row r="111" spans="23:50" x14ac:dyDescent="0.25">
      <c r="W111" s="268"/>
      <c r="AW111" s="268"/>
      <c r="AX111" s="268"/>
    </row>
    <row r="112" spans="23:50" x14ac:dyDescent="0.25">
      <c r="W112" s="268"/>
      <c r="AW112" s="268"/>
      <c r="AX112" s="268"/>
    </row>
    <row r="113" spans="23:50" x14ac:dyDescent="0.25">
      <c r="W113" s="268"/>
      <c r="AW113" s="268"/>
      <c r="AX113" s="268"/>
    </row>
    <row r="114" spans="23:50" x14ac:dyDescent="0.25">
      <c r="W114" s="268"/>
      <c r="AW114" s="268"/>
      <c r="AX114" s="268"/>
    </row>
    <row r="115" spans="23:50" x14ac:dyDescent="0.25">
      <c r="W115" s="268"/>
      <c r="AW115" s="268"/>
      <c r="AX115" s="268"/>
    </row>
    <row r="116" spans="23:50" x14ac:dyDescent="0.25">
      <c r="W116" s="268"/>
      <c r="AW116" s="268"/>
      <c r="AX116" s="268"/>
    </row>
    <row r="117" spans="23:50" x14ac:dyDescent="0.25">
      <c r="W117" s="268"/>
      <c r="AW117" s="268"/>
      <c r="AX117" s="268"/>
    </row>
    <row r="118" spans="23:50" ht="13.5" customHeight="1" x14ac:dyDescent="0.25">
      <c r="W118" s="270"/>
      <c r="AW118" s="270"/>
      <c r="AX118" s="270"/>
    </row>
  </sheetData>
  <mergeCells count="251">
    <mergeCell ref="A78:S78"/>
    <mergeCell ref="C74:C75"/>
    <mergeCell ref="D74:D75"/>
    <mergeCell ref="E74:E75"/>
    <mergeCell ref="U74:U75"/>
    <mergeCell ref="V74:V75"/>
    <mergeCell ref="AW74:AW75"/>
    <mergeCell ref="A76:A77"/>
    <mergeCell ref="B76:B77"/>
    <mergeCell ref="C76:C77"/>
    <mergeCell ref="D76:D77"/>
    <mergeCell ref="E76:E77"/>
    <mergeCell ref="T76:T77"/>
    <mergeCell ref="U76:U77"/>
    <mergeCell ref="V76:V77"/>
    <mergeCell ref="AW76:AW77"/>
    <mergeCell ref="A44:A75"/>
    <mergeCell ref="B44:B51"/>
    <mergeCell ref="C44:C45"/>
    <mergeCell ref="D44:D45"/>
    <mergeCell ref="E44:E45"/>
    <mergeCell ref="T44:T51"/>
    <mergeCell ref="U44:U45"/>
    <mergeCell ref="V44:V45"/>
    <mergeCell ref="V68:V69"/>
    <mergeCell ref="AW68:AW69"/>
    <mergeCell ref="C70:C71"/>
    <mergeCell ref="D70:D71"/>
    <mergeCell ref="U70:U71"/>
    <mergeCell ref="V70:V71"/>
    <mergeCell ref="AW70:AW71"/>
    <mergeCell ref="C72:C73"/>
    <mergeCell ref="D72:D73"/>
    <mergeCell ref="E72:E73"/>
    <mergeCell ref="U72:U73"/>
    <mergeCell ref="V72:V73"/>
    <mergeCell ref="AW72:AW73"/>
    <mergeCell ref="C62:C63"/>
    <mergeCell ref="D62:D63"/>
    <mergeCell ref="E62:E63"/>
    <mergeCell ref="U62:U63"/>
    <mergeCell ref="V62:V63"/>
    <mergeCell ref="AW62:AW63"/>
    <mergeCell ref="B64:B75"/>
    <mergeCell ref="C64:C65"/>
    <mergeCell ref="D64:D65"/>
    <mergeCell ref="E64:E65"/>
    <mergeCell ref="T64:T75"/>
    <mergeCell ref="U64:U65"/>
    <mergeCell ref="V64:V65"/>
    <mergeCell ref="AW64:AW65"/>
    <mergeCell ref="C66:C67"/>
    <mergeCell ref="D66:D67"/>
    <mergeCell ref="E66:E67"/>
    <mergeCell ref="U66:U67"/>
    <mergeCell ref="V66:V67"/>
    <mergeCell ref="AW66:AW67"/>
    <mergeCell ref="C68:C69"/>
    <mergeCell ref="D68:D69"/>
    <mergeCell ref="E68:E69"/>
    <mergeCell ref="U68:U69"/>
    <mergeCell ref="C58:C59"/>
    <mergeCell ref="D58:D59"/>
    <mergeCell ref="E58:E59"/>
    <mergeCell ref="U58:U59"/>
    <mergeCell ref="V58:V59"/>
    <mergeCell ref="AW58:AW59"/>
    <mergeCell ref="C60:C61"/>
    <mergeCell ref="D60:D61"/>
    <mergeCell ref="E60:E61"/>
    <mergeCell ref="U60:U61"/>
    <mergeCell ref="V60:V61"/>
    <mergeCell ref="AW60:AW61"/>
    <mergeCell ref="AW48:AW49"/>
    <mergeCell ref="U50:U51"/>
    <mergeCell ref="V50:V51"/>
    <mergeCell ref="AW50:AW51"/>
    <mergeCell ref="B52:B63"/>
    <mergeCell ref="C52:C53"/>
    <mergeCell ref="D52:D53"/>
    <mergeCell ref="E52:E53"/>
    <mergeCell ref="T52:T63"/>
    <mergeCell ref="U52:U53"/>
    <mergeCell ref="V52:V53"/>
    <mergeCell ref="AW52:AW53"/>
    <mergeCell ref="C54:C55"/>
    <mergeCell ref="D54:D55"/>
    <mergeCell ref="E54:E55"/>
    <mergeCell ref="U54:U55"/>
    <mergeCell ref="V54:V55"/>
    <mergeCell ref="AW54:AW55"/>
    <mergeCell ref="C56:C57"/>
    <mergeCell ref="D56:D57"/>
    <mergeCell ref="E56:E57"/>
    <mergeCell ref="U56:U57"/>
    <mergeCell ref="V56:V57"/>
    <mergeCell ref="AW56:AW57"/>
    <mergeCell ref="C50:C51"/>
    <mergeCell ref="D50:D51"/>
    <mergeCell ref="E50:E51"/>
    <mergeCell ref="U40:U41"/>
    <mergeCell ref="V40:V41"/>
    <mergeCell ref="AW40:AW41"/>
    <mergeCell ref="C42:C43"/>
    <mergeCell ref="D42:D43"/>
    <mergeCell ref="E42:E43"/>
    <mergeCell ref="U42:U43"/>
    <mergeCell ref="V42:V43"/>
    <mergeCell ref="AW42:AW43"/>
    <mergeCell ref="AW44:AW45"/>
    <mergeCell ref="C46:C47"/>
    <mergeCell ref="D46:D47"/>
    <mergeCell ref="E46:E47"/>
    <mergeCell ref="U46:U47"/>
    <mergeCell ref="V46:V47"/>
    <mergeCell ref="AW46:AW47"/>
    <mergeCell ref="C48:C49"/>
    <mergeCell ref="D48:D49"/>
    <mergeCell ref="E48:E49"/>
    <mergeCell ref="U48:U49"/>
    <mergeCell ref="V48:V49"/>
    <mergeCell ref="C34:C35"/>
    <mergeCell ref="D34:D35"/>
    <mergeCell ref="E34:E35"/>
    <mergeCell ref="U34:U35"/>
    <mergeCell ref="V34:V35"/>
    <mergeCell ref="AW34:AW35"/>
    <mergeCell ref="A36:A43"/>
    <mergeCell ref="B36:B43"/>
    <mergeCell ref="C36:C37"/>
    <mergeCell ref="D36:D37"/>
    <mergeCell ref="E36:E37"/>
    <mergeCell ref="T36:T43"/>
    <mergeCell ref="U36:U37"/>
    <mergeCell ref="V36:V37"/>
    <mergeCell ref="AW36:AW37"/>
    <mergeCell ref="C38:C39"/>
    <mergeCell ref="D38:D39"/>
    <mergeCell ref="E38:E39"/>
    <mergeCell ref="U38:U39"/>
    <mergeCell ref="V38:V39"/>
    <mergeCell ref="AW38:AW39"/>
    <mergeCell ref="C40:C41"/>
    <mergeCell ref="D40:D41"/>
    <mergeCell ref="E40:E41"/>
    <mergeCell ref="E26:E27"/>
    <mergeCell ref="U26:U27"/>
    <mergeCell ref="V26:V27"/>
    <mergeCell ref="AW26:AW27"/>
    <mergeCell ref="B28:B35"/>
    <mergeCell ref="C28:C29"/>
    <mergeCell ref="D28:D29"/>
    <mergeCell ref="E28:E29"/>
    <mergeCell ref="T28:T35"/>
    <mergeCell ref="U28:U29"/>
    <mergeCell ref="V28:V29"/>
    <mergeCell ref="AW28:AW29"/>
    <mergeCell ref="C30:C31"/>
    <mergeCell ref="D30:D31"/>
    <mergeCell ref="E30:E31"/>
    <mergeCell ref="U30:U31"/>
    <mergeCell ref="V30:V31"/>
    <mergeCell ref="AW30:AW31"/>
    <mergeCell ref="C32:C33"/>
    <mergeCell ref="D32:D33"/>
    <mergeCell ref="E32:E33"/>
    <mergeCell ref="U32:U33"/>
    <mergeCell ref="V32:V33"/>
    <mergeCell ref="AW32:AW33"/>
    <mergeCell ref="V18:V19"/>
    <mergeCell ref="AW18:AW19"/>
    <mergeCell ref="B20:B27"/>
    <mergeCell ref="C20:C21"/>
    <mergeCell ref="D20:D21"/>
    <mergeCell ref="E20:E21"/>
    <mergeCell ref="T20:T27"/>
    <mergeCell ref="U20:U21"/>
    <mergeCell ref="V20:V21"/>
    <mergeCell ref="AW20:AW21"/>
    <mergeCell ref="C22:C23"/>
    <mergeCell ref="D22:D23"/>
    <mergeCell ref="E22:E23"/>
    <mergeCell ref="U22:U23"/>
    <mergeCell ref="V22:V23"/>
    <mergeCell ref="AW22:AW23"/>
    <mergeCell ref="C24:C25"/>
    <mergeCell ref="D24:D25"/>
    <mergeCell ref="E24:E25"/>
    <mergeCell ref="U24:U25"/>
    <mergeCell ref="V24:V25"/>
    <mergeCell ref="AW24:AW25"/>
    <mergeCell ref="C26:C27"/>
    <mergeCell ref="D26:D27"/>
    <mergeCell ref="B12:B19"/>
    <mergeCell ref="C12:C13"/>
    <mergeCell ref="D12:D13"/>
    <mergeCell ref="E12:E13"/>
    <mergeCell ref="T12:T19"/>
    <mergeCell ref="U12:U13"/>
    <mergeCell ref="V12:V13"/>
    <mergeCell ref="AW12:AW13"/>
    <mergeCell ref="C14:C15"/>
    <mergeCell ref="D14:D15"/>
    <mergeCell ref="E14:E15"/>
    <mergeCell ref="U14:U15"/>
    <mergeCell ref="V14:V15"/>
    <mergeCell ref="AW14:AW15"/>
    <mergeCell ref="C16:C17"/>
    <mergeCell ref="D16:D17"/>
    <mergeCell ref="E16:E17"/>
    <mergeCell ref="U16:U17"/>
    <mergeCell ref="V16:V17"/>
    <mergeCell ref="AW16:AW17"/>
    <mergeCell ref="C18:C19"/>
    <mergeCell ref="D18:D19"/>
    <mergeCell ref="E18:E19"/>
    <mergeCell ref="U18:U19"/>
    <mergeCell ref="T8:T11"/>
    <mergeCell ref="U8:U9"/>
    <mergeCell ref="V8:V9"/>
    <mergeCell ref="AW8:AW9"/>
    <mergeCell ref="C10:C11"/>
    <mergeCell ref="D10:D11"/>
    <mergeCell ref="E10:E11"/>
    <mergeCell ref="U10:U11"/>
    <mergeCell ref="V10:V11"/>
    <mergeCell ref="AW10:AW11"/>
    <mergeCell ref="D3:U3"/>
    <mergeCell ref="B83:H83"/>
    <mergeCell ref="B82:H82"/>
    <mergeCell ref="I82:O82"/>
    <mergeCell ref="I83:O83"/>
    <mergeCell ref="T6:U6"/>
    <mergeCell ref="V6:V7"/>
    <mergeCell ref="A1:C3"/>
    <mergeCell ref="D1:V1"/>
    <mergeCell ref="D2:V2"/>
    <mergeCell ref="C6:C7"/>
    <mergeCell ref="D6:E6"/>
    <mergeCell ref="F6:S6"/>
    <mergeCell ref="A5:C5"/>
    <mergeCell ref="D4:V4"/>
    <mergeCell ref="D5:V5"/>
    <mergeCell ref="A4:C4"/>
    <mergeCell ref="A6:A7"/>
    <mergeCell ref="B6:B7"/>
    <mergeCell ref="A8:A35"/>
    <mergeCell ref="B8:B11"/>
    <mergeCell ref="C8:C9"/>
    <mergeCell ref="D8:D9"/>
    <mergeCell ref="E8:E9"/>
  </mergeCells>
  <printOptions horizontalCentered="1" verticalCentered="1"/>
  <pageMargins left="0" right="0" top="0.55118110236220474" bottom="0" header="0.31496062992125984" footer="0"/>
  <pageSetup scale="35"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675"/>
  <sheetViews>
    <sheetView topLeftCell="D89" zoomScale="75" zoomScaleNormal="75" workbookViewId="0">
      <selection activeCell="H102" sqref="H102"/>
    </sheetView>
  </sheetViews>
  <sheetFormatPr baseColWidth="10" defaultRowHeight="15" x14ac:dyDescent="0.25"/>
  <cols>
    <col min="1" max="1" width="6.85546875" customWidth="1"/>
    <col min="2" max="2" width="7.28515625" customWidth="1"/>
    <col min="3" max="3" width="31.7109375" customWidth="1"/>
    <col min="4" max="4" width="15" customWidth="1"/>
    <col min="5" max="6" width="20.7109375" customWidth="1"/>
    <col min="7" max="7" width="20.7109375" style="19" customWidth="1"/>
    <col min="8" max="11" width="20.7109375" customWidth="1"/>
    <col min="12" max="12" width="20.7109375" style="18" customWidth="1"/>
    <col min="13" max="13" width="13.42578125" customWidth="1"/>
    <col min="14" max="14" width="17.42578125" customWidth="1"/>
    <col min="15" max="15" width="11.5703125" customWidth="1"/>
    <col min="16" max="16" width="13.7109375" customWidth="1"/>
    <col min="17" max="17" width="16.85546875" customWidth="1"/>
    <col min="18" max="18" width="17.140625" customWidth="1"/>
    <col min="19" max="19" width="14" customWidth="1"/>
    <col min="20" max="21" width="14.7109375" customWidth="1"/>
    <col min="22" max="22" width="9.85546875" customWidth="1"/>
    <col min="23" max="23" width="11.7109375" customWidth="1"/>
    <col min="24" max="24" width="12" customWidth="1"/>
    <col min="25" max="25" width="20.5703125" customWidth="1"/>
  </cols>
  <sheetData>
    <row r="1" spans="1:25" ht="31.5" customHeight="1" x14ac:dyDescent="0.25">
      <c r="A1" s="571"/>
      <c r="B1" s="572"/>
      <c r="C1" s="572"/>
      <c r="D1" s="572"/>
      <c r="E1" s="575" t="s">
        <v>140</v>
      </c>
      <c r="F1" s="576"/>
      <c r="G1" s="576"/>
      <c r="H1" s="576"/>
      <c r="I1" s="576"/>
      <c r="J1" s="576"/>
      <c r="K1" s="576"/>
      <c r="L1" s="576"/>
      <c r="M1" s="576"/>
      <c r="N1" s="576"/>
      <c r="O1" s="576"/>
      <c r="P1" s="576"/>
      <c r="Q1" s="576"/>
      <c r="R1" s="576"/>
      <c r="S1" s="576"/>
      <c r="T1" s="576"/>
      <c r="U1" s="576"/>
      <c r="V1" s="576"/>
      <c r="W1" s="576"/>
      <c r="X1" s="576"/>
      <c r="Y1" s="577"/>
    </row>
    <row r="2" spans="1:25" ht="55.5" customHeight="1" x14ac:dyDescent="0.25">
      <c r="A2" s="428"/>
      <c r="B2" s="429"/>
      <c r="C2" s="429"/>
      <c r="D2" s="429"/>
      <c r="E2" s="578" t="s">
        <v>139</v>
      </c>
      <c r="F2" s="579"/>
      <c r="G2" s="579"/>
      <c r="H2" s="579"/>
      <c r="I2" s="579"/>
      <c r="J2" s="579"/>
      <c r="K2" s="579"/>
      <c r="L2" s="579"/>
      <c r="M2" s="579"/>
      <c r="N2" s="579"/>
      <c r="O2" s="579"/>
      <c r="P2" s="579"/>
      <c r="Q2" s="579"/>
      <c r="R2" s="579"/>
      <c r="S2" s="579"/>
      <c r="T2" s="579"/>
      <c r="U2" s="579"/>
      <c r="V2" s="579"/>
      <c r="W2" s="579"/>
      <c r="X2" s="579"/>
      <c r="Y2" s="580"/>
    </row>
    <row r="3" spans="1:25" ht="31.5" customHeight="1" thickBot="1" x14ac:dyDescent="0.3">
      <c r="A3" s="573"/>
      <c r="B3" s="574"/>
      <c r="C3" s="574"/>
      <c r="D3" s="574"/>
      <c r="E3" s="718" t="s">
        <v>128</v>
      </c>
      <c r="F3" s="719"/>
      <c r="G3" s="719"/>
      <c r="H3" s="719"/>
      <c r="I3" s="719"/>
      <c r="J3" s="719"/>
      <c r="K3" s="719"/>
      <c r="L3" s="719"/>
      <c r="M3" s="719"/>
      <c r="N3" s="719"/>
      <c r="O3" s="719"/>
      <c r="P3" s="719"/>
      <c r="Q3" s="719"/>
      <c r="R3" s="719"/>
      <c r="S3" s="716" t="s">
        <v>129</v>
      </c>
      <c r="T3" s="716"/>
      <c r="U3" s="716"/>
      <c r="V3" s="716"/>
      <c r="W3" s="716"/>
      <c r="X3" s="716"/>
      <c r="Y3" s="717"/>
    </row>
    <row r="4" spans="1:25" ht="29.25" customHeight="1" x14ac:dyDescent="0.25">
      <c r="A4" s="710" t="s">
        <v>32</v>
      </c>
      <c r="B4" s="711"/>
      <c r="C4" s="711"/>
      <c r="D4" s="712"/>
      <c r="E4" s="720" t="s">
        <v>143</v>
      </c>
      <c r="F4" s="721"/>
      <c r="G4" s="721"/>
      <c r="H4" s="721"/>
      <c r="I4" s="721"/>
      <c r="J4" s="721"/>
      <c r="K4" s="721"/>
      <c r="L4" s="721"/>
      <c r="M4" s="721"/>
      <c r="N4" s="721"/>
      <c r="O4" s="721"/>
      <c r="P4" s="721"/>
      <c r="Q4" s="721"/>
      <c r="R4" s="721"/>
      <c r="S4" s="721"/>
      <c r="T4" s="721"/>
      <c r="U4" s="721"/>
      <c r="V4" s="721"/>
      <c r="W4" s="721"/>
      <c r="X4" s="721"/>
      <c r="Y4" s="722"/>
    </row>
    <row r="5" spans="1:25" ht="27.75" customHeight="1" thickBot="1" x14ac:dyDescent="0.3">
      <c r="A5" s="713" t="s">
        <v>33</v>
      </c>
      <c r="B5" s="714"/>
      <c r="C5" s="714"/>
      <c r="D5" s="715"/>
      <c r="E5" s="707" t="s">
        <v>294</v>
      </c>
      <c r="F5" s="708"/>
      <c r="G5" s="708"/>
      <c r="H5" s="708"/>
      <c r="I5" s="708"/>
      <c r="J5" s="708"/>
      <c r="K5" s="708"/>
      <c r="L5" s="708"/>
      <c r="M5" s="708"/>
      <c r="N5" s="708"/>
      <c r="O5" s="708"/>
      <c r="P5" s="708"/>
      <c r="Q5" s="708"/>
      <c r="R5" s="708"/>
      <c r="S5" s="708"/>
      <c r="T5" s="708"/>
      <c r="U5" s="708"/>
      <c r="V5" s="708"/>
      <c r="W5" s="708"/>
      <c r="X5" s="708"/>
      <c r="Y5" s="709"/>
    </row>
    <row r="6" spans="1:25" ht="40.5" customHeight="1" x14ac:dyDescent="0.25">
      <c r="A6" s="703" t="s">
        <v>41</v>
      </c>
      <c r="B6" s="705" t="s">
        <v>42</v>
      </c>
      <c r="C6" s="705" t="s">
        <v>114</v>
      </c>
      <c r="D6" s="705" t="s">
        <v>43</v>
      </c>
      <c r="E6" s="705" t="s">
        <v>44</v>
      </c>
      <c r="F6" s="724" t="s">
        <v>113</v>
      </c>
      <c r="G6" s="725"/>
      <c r="H6" s="725"/>
      <c r="I6" s="725"/>
      <c r="J6" s="724" t="s">
        <v>141</v>
      </c>
      <c r="K6" s="725"/>
      <c r="L6" s="725"/>
      <c r="M6" s="725"/>
      <c r="N6" s="705" t="s">
        <v>45</v>
      </c>
      <c r="O6" s="705"/>
      <c r="P6" s="705"/>
      <c r="Q6" s="705"/>
      <c r="R6" s="705"/>
      <c r="S6" s="705" t="s">
        <v>51</v>
      </c>
      <c r="T6" s="705"/>
      <c r="U6" s="705"/>
      <c r="V6" s="705"/>
      <c r="W6" s="705"/>
      <c r="X6" s="705"/>
      <c r="Y6" s="726"/>
    </row>
    <row r="7" spans="1:25" ht="63.75" customHeight="1" thickBot="1" x14ac:dyDescent="0.3">
      <c r="A7" s="704" t="s">
        <v>34</v>
      </c>
      <c r="B7" s="706"/>
      <c r="C7" s="706"/>
      <c r="D7" s="706"/>
      <c r="E7" s="706"/>
      <c r="F7" s="46" t="s">
        <v>112</v>
      </c>
      <c r="G7" s="46" t="s">
        <v>111</v>
      </c>
      <c r="H7" s="46" t="s">
        <v>110</v>
      </c>
      <c r="I7" s="46" t="s">
        <v>109</v>
      </c>
      <c r="J7" s="46" t="s">
        <v>112</v>
      </c>
      <c r="K7" s="46" t="s">
        <v>111</v>
      </c>
      <c r="L7" s="46" t="s">
        <v>110</v>
      </c>
      <c r="M7" s="46" t="s">
        <v>109</v>
      </c>
      <c r="N7" s="43" t="s">
        <v>46</v>
      </c>
      <c r="O7" s="43" t="s">
        <v>47</v>
      </c>
      <c r="P7" s="43" t="s">
        <v>48</v>
      </c>
      <c r="Q7" s="43" t="s">
        <v>49</v>
      </c>
      <c r="R7" s="43" t="s">
        <v>50</v>
      </c>
      <c r="S7" s="43" t="s">
        <v>52</v>
      </c>
      <c r="T7" s="43" t="s">
        <v>53</v>
      </c>
      <c r="U7" s="43" t="s">
        <v>108</v>
      </c>
      <c r="V7" s="43" t="s">
        <v>54</v>
      </c>
      <c r="W7" s="43" t="s">
        <v>55</v>
      </c>
      <c r="X7" s="44" t="s">
        <v>56</v>
      </c>
      <c r="Y7" s="45" t="s">
        <v>57</v>
      </c>
    </row>
    <row r="8" spans="1:25" ht="24" customHeight="1" x14ac:dyDescent="0.25">
      <c r="A8" s="733">
        <v>1</v>
      </c>
      <c r="B8" s="735" t="s">
        <v>162</v>
      </c>
      <c r="C8" s="735" t="s">
        <v>295</v>
      </c>
      <c r="D8" s="40" t="s">
        <v>35</v>
      </c>
      <c r="E8" s="145">
        <v>60</v>
      </c>
      <c r="F8" s="145">
        <v>60</v>
      </c>
      <c r="G8" s="145">
        <v>60</v>
      </c>
      <c r="H8" s="145">
        <v>60</v>
      </c>
      <c r="I8" s="145"/>
      <c r="J8" s="146">
        <v>0.35</v>
      </c>
      <c r="K8" s="147">
        <f>80%-K12</f>
        <v>0.42000000000000004</v>
      </c>
      <c r="L8" s="146">
        <v>0.42000000000000004</v>
      </c>
      <c r="M8" s="148"/>
      <c r="N8" s="737" t="s">
        <v>107</v>
      </c>
      <c r="O8" s="737" t="s">
        <v>296</v>
      </c>
      <c r="P8" s="739" t="s">
        <v>297</v>
      </c>
      <c r="Q8" s="737" t="s">
        <v>298</v>
      </c>
      <c r="R8" s="739" t="s">
        <v>299</v>
      </c>
      <c r="S8" s="727" t="s">
        <v>300</v>
      </c>
      <c r="T8" s="727" t="s">
        <v>300</v>
      </c>
      <c r="U8" s="727" t="s">
        <v>300</v>
      </c>
      <c r="V8" s="727" t="s">
        <v>300</v>
      </c>
      <c r="W8" s="727" t="s">
        <v>300</v>
      </c>
      <c r="X8" s="727" t="s">
        <v>300</v>
      </c>
      <c r="Y8" s="729">
        <v>195797</v>
      </c>
    </row>
    <row r="9" spans="1:25" ht="24" customHeight="1" x14ac:dyDescent="0.25">
      <c r="A9" s="734"/>
      <c r="B9" s="736"/>
      <c r="C9" s="736"/>
      <c r="D9" s="41" t="s">
        <v>36</v>
      </c>
      <c r="E9" s="149">
        <v>102327157.89473684</v>
      </c>
      <c r="F9" s="149">
        <v>110172240</v>
      </c>
      <c r="G9" s="149">
        <v>110172240</v>
      </c>
      <c r="H9" s="150">
        <f>+H17*65%</f>
        <v>103724725</v>
      </c>
      <c r="I9" s="149"/>
      <c r="J9" s="149">
        <v>57326720</v>
      </c>
      <c r="K9" s="151">
        <f>+K17*65%</f>
        <v>87710675</v>
      </c>
      <c r="L9" s="149">
        <v>87710675</v>
      </c>
      <c r="M9" s="152"/>
      <c r="N9" s="738"/>
      <c r="O9" s="738"/>
      <c r="P9" s="740"/>
      <c r="Q9" s="738"/>
      <c r="R9" s="740"/>
      <c r="S9" s="728"/>
      <c r="T9" s="728"/>
      <c r="U9" s="728"/>
      <c r="V9" s="728"/>
      <c r="W9" s="728"/>
      <c r="X9" s="728"/>
      <c r="Y9" s="730"/>
    </row>
    <row r="10" spans="1:25" ht="24" customHeight="1" x14ac:dyDescent="0.25">
      <c r="A10" s="734"/>
      <c r="B10" s="736"/>
      <c r="C10" s="736"/>
      <c r="D10" s="153" t="s">
        <v>37</v>
      </c>
      <c r="E10" s="154">
        <v>0</v>
      </c>
      <c r="F10" s="154">
        <v>0</v>
      </c>
      <c r="G10" s="154">
        <v>0</v>
      </c>
      <c r="H10" s="155">
        <v>0</v>
      </c>
      <c r="I10" s="156"/>
      <c r="J10" s="157">
        <v>0</v>
      </c>
      <c r="K10" s="158">
        <v>0</v>
      </c>
      <c r="L10" s="159">
        <v>0</v>
      </c>
      <c r="M10" s="160"/>
      <c r="N10" s="738"/>
      <c r="O10" s="738"/>
      <c r="P10" s="740"/>
      <c r="Q10" s="738"/>
      <c r="R10" s="740"/>
      <c r="S10" s="728"/>
      <c r="T10" s="728"/>
      <c r="U10" s="728"/>
      <c r="V10" s="728"/>
      <c r="W10" s="728"/>
      <c r="X10" s="728"/>
      <c r="Y10" s="730"/>
    </row>
    <row r="11" spans="1:25" ht="24" customHeight="1" x14ac:dyDescent="0.25">
      <c r="A11" s="734"/>
      <c r="B11" s="736"/>
      <c r="C11" s="736"/>
      <c r="D11" s="41" t="s">
        <v>38</v>
      </c>
      <c r="E11" s="149">
        <v>19068884</v>
      </c>
      <c r="F11" s="149">
        <v>19068884</v>
      </c>
      <c r="G11" s="149">
        <v>19068884</v>
      </c>
      <c r="H11" s="161">
        <v>19068884</v>
      </c>
      <c r="I11" s="161"/>
      <c r="J11" s="159">
        <v>12753095</v>
      </c>
      <c r="K11" s="158">
        <v>12753095</v>
      </c>
      <c r="L11" s="159">
        <f>+[2]INVERSIÓN!AM13*0.65</f>
        <v>15418321.75</v>
      </c>
      <c r="M11" s="162"/>
      <c r="N11" s="738"/>
      <c r="O11" s="738"/>
      <c r="P11" s="740"/>
      <c r="Q11" s="738"/>
      <c r="R11" s="740"/>
      <c r="S11" s="728"/>
      <c r="T11" s="728"/>
      <c r="U11" s="728"/>
      <c r="V11" s="728"/>
      <c r="W11" s="728"/>
      <c r="X11" s="728"/>
      <c r="Y11" s="730"/>
    </row>
    <row r="12" spans="1:25" ht="24" customHeight="1" x14ac:dyDescent="0.25">
      <c r="A12" s="734"/>
      <c r="B12" s="736"/>
      <c r="C12" s="736" t="s">
        <v>301</v>
      </c>
      <c r="D12" s="153" t="s">
        <v>35</v>
      </c>
      <c r="E12" s="163">
        <v>35</v>
      </c>
      <c r="F12" s="163">
        <v>35</v>
      </c>
      <c r="G12" s="163">
        <v>35</v>
      </c>
      <c r="H12" s="164">
        <v>35</v>
      </c>
      <c r="I12" s="156"/>
      <c r="J12" s="165">
        <v>0.35</v>
      </c>
      <c r="K12" s="165">
        <v>0.38</v>
      </c>
      <c r="L12" s="157">
        <v>0.38</v>
      </c>
      <c r="M12" s="166"/>
      <c r="N12" s="738" t="s">
        <v>302</v>
      </c>
      <c r="O12" s="738" t="s">
        <v>303</v>
      </c>
      <c r="P12" s="738" t="s">
        <v>304</v>
      </c>
      <c r="Q12" s="738" t="s">
        <v>298</v>
      </c>
      <c r="R12" s="740" t="s">
        <v>299</v>
      </c>
      <c r="S12" s="728" t="s">
        <v>300</v>
      </c>
      <c r="T12" s="728" t="s">
        <v>300</v>
      </c>
      <c r="U12" s="728" t="s">
        <v>300</v>
      </c>
      <c r="V12" s="728" t="s">
        <v>300</v>
      </c>
      <c r="W12" s="728" t="s">
        <v>300</v>
      </c>
      <c r="X12" s="728" t="s">
        <v>300</v>
      </c>
      <c r="Y12" s="731">
        <v>30939</v>
      </c>
    </row>
    <row r="13" spans="1:25" ht="24" customHeight="1" x14ac:dyDescent="0.25">
      <c r="A13" s="734"/>
      <c r="B13" s="736"/>
      <c r="C13" s="736"/>
      <c r="D13" s="41" t="s">
        <v>36</v>
      </c>
      <c r="E13" s="149">
        <v>59690842.105263159</v>
      </c>
      <c r="F13" s="149">
        <v>51845760</v>
      </c>
      <c r="G13" s="149">
        <v>51845760</v>
      </c>
      <c r="H13" s="149">
        <f>+H17*35%</f>
        <v>55851775</v>
      </c>
      <c r="I13" s="149"/>
      <c r="J13" s="149">
        <v>26977280</v>
      </c>
      <c r="K13" s="151">
        <f>+K17*35%</f>
        <v>47228825</v>
      </c>
      <c r="L13" s="149">
        <v>47228825</v>
      </c>
      <c r="M13" s="152"/>
      <c r="N13" s="738"/>
      <c r="O13" s="738"/>
      <c r="P13" s="738"/>
      <c r="Q13" s="738"/>
      <c r="R13" s="740"/>
      <c r="S13" s="728"/>
      <c r="T13" s="728"/>
      <c r="U13" s="728"/>
      <c r="V13" s="728"/>
      <c r="W13" s="728"/>
      <c r="X13" s="728"/>
      <c r="Y13" s="731"/>
    </row>
    <row r="14" spans="1:25" ht="24" customHeight="1" x14ac:dyDescent="0.25">
      <c r="A14" s="734"/>
      <c r="B14" s="736"/>
      <c r="C14" s="736"/>
      <c r="D14" s="153" t="s">
        <v>37</v>
      </c>
      <c r="E14" s="155">
        <v>0</v>
      </c>
      <c r="F14" s="155">
        <v>0</v>
      </c>
      <c r="G14" s="155">
        <v>0</v>
      </c>
      <c r="H14" s="155">
        <v>0</v>
      </c>
      <c r="I14" s="156"/>
      <c r="J14" s="157">
        <v>0</v>
      </c>
      <c r="K14" s="157">
        <v>0</v>
      </c>
      <c r="L14" s="157">
        <v>0</v>
      </c>
      <c r="M14" s="160"/>
      <c r="N14" s="738"/>
      <c r="O14" s="738"/>
      <c r="P14" s="738"/>
      <c r="Q14" s="738"/>
      <c r="R14" s="740"/>
      <c r="S14" s="728"/>
      <c r="T14" s="728"/>
      <c r="U14" s="728"/>
      <c r="V14" s="728"/>
      <c r="W14" s="728"/>
      <c r="X14" s="728"/>
      <c r="Y14" s="731"/>
    </row>
    <row r="15" spans="1:25" ht="24" customHeight="1" x14ac:dyDescent="0.25">
      <c r="A15" s="734"/>
      <c r="B15" s="736"/>
      <c r="C15" s="736"/>
      <c r="D15" s="41" t="s">
        <v>38</v>
      </c>
      <c r="E15" s="161">
        <v>11123516</v>
      </c>
      <c r="F15" s="161">
        <v>11123516</v>
      </c>
      <c r="G15" s="161">
        <v>11123516</v>
      </c>
      <c r="H15" s="161">
        <v>11123516</v>
      </c>
      <c r="I15" s="161"/>
      <c r="J15" s="159">
        <v>7439305</v>
      </c>
      <c r="K15" s="159">
        <v>7439305</v>
      </c>
      <c r="L15" s="159">
        <f>+[2]INVERSIÓN!AM13*0.35</f>
        <v>8302173.2499999991</v>
      </c>
      <c r="M15" s="162"/>
      <c r="N15" s="738"/>
      <c r="O15" s="738"/>
      <c r="P15" s="738"/>
      <c r="Q15" s="738"/>
      <c r="R15" s="740"/>
      <c r="S15" s="728"/>
      <c r="T15" s="728"/>
      <c r="U15" s="728"/>
      <c r="V15" s="728"/>
      <c r="W15" s="728"/>
      <c r="X15" s="728"/>
      <c r="Y15" s="731"/>
    </row>
    <row r="16" spans="1:25" ht="24" customHeight="1" x14ac:dyDescent="0.25">
      <c r="A16" s="734"/>
      <c r="B16" s="736"/>
      <c r="C16" s="741" t="s">
        <v>39</v>
      </c>
      <c r="D16" s="167" t="s">
        <v>106</v>
      </c>
      <c r="E16" s="168">
        <f>E8+E12</f>
        <v>95</v>
      </c>
      <c r="F16" s="168">
        <f>F8+F12</f>
        <v>95</v>
      </c>
      <c r="G16" s="168">
        <f>+[2]INVERSIÓN!AA10</f>
        <v>95</v>
      </c>
      <c r="H16" s="169">
        <f>+[2]INVERSIÓN!AB10</f>
        <v>95</v>
      </c>
      <c r="I16" s="168"/>
      <c r="J16" s="170">
        <f>J8+J12</f>
        <v>0.7</v>
      </c>
      <c r="K16" s="168">
        <f>+[2]INVERSIÓN!AL14</f>
        <v>80</v>
      </c>
      <c r="L16" s="168">
        <f>+[2]INVERSIÓN!AM10</f>
        <v>80</v>
      </c>
      <c r="M16" s="171"/>
      <c r="N16" s="738"/>
      <c r="O16" s="738"/>
      <c r="P16" s="738"/>
      <c r="Q16" s="738"/>
      <c r="R16" s="740"/>
      <c r="S16" s="732"/>
      <c r="T16" s="732"/>
      <c r="U16" s="732"/>
      <c r="V16" s="732"/>
      <c r="W16" s="732"/>
      <c r="X16" s="732"/>
      <c r="Y16" s="743"/>
    </row>
    <row r="17" spans="1:25" ht="24" customHeight="1" thickBot="1" x14ac:dyDescent="0.3">
      <c r="A17" s="734"/>
      <c r="B17" s="736"/>
      <c r="C17" s="742"/>
      <c r="D17" s="172" t="s">
        <v>105</v>
      </c>
      <c r="E17" s="161">
        <f>E9+E13</f>
        <v>162018000</v>
      </c>
      <c r="F17" s="161">
        <f>F11+F15</f>
        <v>30192400</v>
      </c>
      <c r="G17" s="161">
        <f>+[2]INVERSIÓN!AA11</f>
        <v>162018000</v>
      </c>
      <c r="H17" s="173">
        <f>+[2]INVERSIÓN!AB11</f>
        <v>159576500</v>
      </c>
      <c r="I17" s="161"/>
      <c r="J17" s="161">
        <f>J9+J13</f>
        <v>84304000</v>
      </c>
      <c r="K17" s="149">
        <f>+[2]INVERSIÓN!AL11</f>
        <v>134939500</v>
      </c>
      <c r="L17" s="149">
        <f>+[2]INVERSIÓN!AM11</f>
        <v>134939500</v>
      </c>
      <c r="M17" s="149"/>
      <c r="N17" s="738"/>
      <c r="O17" s="738"/>
      <c r="P17" s="738"/>
      <c r="Q17" s="738"/>
      <c r="R17" s="740"/>
      <c r="S17" s="732"/>
      <c r="T17" s="732"/>
      <c r="U17" s="732"/>
      <c r="V17" s="732"/>
      <c r="W17" s="732"/>
      <c r="X17" s="732"/>
      <c r="Y17" s="743"/>
    </row>
    <row r="18" spans="1:25" ht="24" customHeight="1" x14ac:dyDescent="0.25">
      <c r="A18" s="733">
        <v>2</v>
      </c>
      <c r="B18" s="735" t="s">
        <v>168</v>
      </c>
      <c r="C18" s="735" t="s">
        <v>305</v>
      </c>
      <c r="D18" s="40" t="s">
        <v>35</v>
      </c>
      <c r="E18" s="145">
        <v>17</v>
      </c>
      <c r="F18" s="145">
        <v>17</v>
      </c>
      <c r="G18" s="174">
        <v>17</v>
      </c>
      <c r="H18" s="175">
        <v>17</v>
      </c>
      <c r="I18" s="175"/>
      <c r="J18" s="176">
        <v>0</v>
      </c>
      <c r="K18" s="176">
        <v>0</v>
      </c>
      <c r="L18" s="176">
        <v>0</v>
      </c>
      <c r="M18" s="176"/>
      <c r="N18" s="737" t="s">
        <v>107</v>
      </c>
      <c r="O18" s="737" t="s">
        <v>296</v>
      </c>
      <c r="P18" s="739" t="s">
        <v>297</v>
      </c>
      <c r="Q18" s="737" t="s">
        <v>298</v>
      </c>
      <c r="R18" s="739" t="s">
        <v>299</v>
      </c>
      <c r="S18" s="727" t="s">
        <v>300</v>
      </c>
      <c r="T18" s="727" t="s">
        <v>300</v>
      </c>
      <c r="U18" s="727" t="s">
        <v>300</v>
      </c>
      <c r="V18" s="727" t="s">
        <v>300</v>
      </c>
      <c r="W18" s="727" t="s">
        <v>300</v>
      </c>
      <c r="X18" s="727" t="s">
        <v>300</v>
      </c>
      <c r="Y18" s="729">
        <v>195797</v>
      </c>
    </row>
    <row r="19" spans="1:25" ht="24" customHeight="1" x14ac:dyDescent="0.25">
      <c r="A19" s="734"/>
      <c r="B19" s="736"/>
      <c r="C19" s="736"/>
      <c r="D19" s="41" t="s">
        <v>36</v>
      </c>
      <c r="E19" s="149">
        <v>2852600000</v>
      </c>
      <c r="F19" s="149">
        <v>2852600000</v>
      </c>
      <c r="G19" s="177">
        <v>2852600000</v>
      </c>
      <c r="H19" s="150">
        <v>2852600000</v>
      </c>
      <c r="I19" s="150"/>
      <c r="J19" s="149">
        <v>0</v>
      </c>
      <c r="K19" s="177">
        <v>0</v>
      </c>
      <c r="L19" s="177">
        <v>0</v>
      </c>
      <c r="M19" s="177"/>
      <c r="N19" s="738"/>
      <c r="O19" s="738"/>
      <c r="P19" s="740"/>
      <c r="Q19" s="738"/>
      <c r="R19" s="740"/>
      <c r="S19" s="728"/>
      <c r="T19" s="728"/>
      <c r="U19" s="728"/>
      <c r="V19" s="728"/>
      <c r="W19" s="728"/>
      <c r="X19" s="728"/>
      <c r="Y19" s="730"/>
    </row>
    <row r="20" spans="1:25" ht="24" customHeight="1" x14ac:dyDescent="0.25">
      <c r="A20" s="734"/>
      <c r="B20" s="736"/>
      <c r="C20" s="736"/>
      <c r="D20" s="153" t="s">
        <v>37</v>
      </c>
      <c r="E20" s="154"/>
      <c r="F20" s="154"/>
      <c r="G20" s="154"/>
      <c r="H20" s="155"/>
      <c r="I20" s="155"/>
      <c r="J20" s="168"/>
      <c r="K20" s="168"/>
      <c r="L20" s="168"/>
      <c r="M20" s="168"/>
      <c r="N20" s="738"/>
      <c r="O20" s="738"/>
      <c r="P20" s="740"/>
      <c r="Q20" s="738"/>
      <c r="R20" s="740"/>
      <c r="S20" s="728"/>
      <c r="T20" s="728"/>
      <c r="U20" s="728"/>
      <c r="V20" s="728"/>
      <c r="W20" s="728"/>
      <c r="X20" s="728"/>
      <c r="Y20" s="730"/>
    </row>
    <row r="21" spans="1:25" ht="24" customHeight="1" x14ac:dyDescent="0.25">
      <c r="A21" s="734"/>
      <c r="B21" s="736"/>
      <c r="C21" s="736"/>
      <c r="D21" s="41" t="s">
        <v>38</v>
      </c>
      <c r="E21" s="149"/>
      <c r="F21" s="149"/>
      <c r="G21" s="161"/>
      <c r="H21" s="173"/>
      <c r="I21" s="178"/>
      <c r="J21" s="161"/>
      <c r="K21" s="161"/>
      <c r="L21" s="161"/>
      <c r="M21" s="177"/>
      <c r="N21" s="738"/>
      <c r="O21" s="738"/>
      <c r="P21" s="740"/>
      <c r="Q21" s="738"/>
      <c r="R21" s="740"/>
      <c r="S21" s="728"/>
      <c r="T21" s="728"/>
      <c r="U21" s="728"/>
      <c r="V21" s="728"/>
      <c r="W21" s="728"/>
      <c r="X21" s="728"/>
      <c r="Y21" s="730"/>
    </row>
    <row r="22" spans="1:25" ht="24" customHeight="1" x14ac:dyDescent="0.25">
      <c r="A22" s="734"/>
      <c r="B22" s="736"/>
      <c r="C22" s="736" t="s">
        <v>306</v>
      </c>
      <c r="D22" s="153" t="s">
        <v>35</v>
      </c>
      <c r="E22" s="163">
        <v>8</v>
      </c>
      <c r="F22" s="163">
        <v>8</v>
      </c>
      <c r="G22" s="179">
        <v>8</v>
      </c>
      <c r="H22" s="164">
        <v>8</v>
      </c>
      <c r="I22" s="164"/>
      <c r="J22" s="168">
        <v>0</v>
      </c>
      <c r="K22" s="168">
        <v>0</v>
      </c>
      <c r="L22" s="168">
        <v>0</v>
      </c>
      <c r="M22" s="168"/>
      <c r="N22" s="738" t="s">
        <v>302</v>
      </c>
      <c r="O22" s="738" t="s">
        <v>303</v>
      </c>
      <c r="P22" s="738" t="s">
        <v>304</v>
      </c>
      <c r="Q22" s="738" t="s">
        <v>298</v>
      </c>
      <c r="R22" s="740" t="s">
        <v>299</v>
      </c>
      <c r="S22" s="728" t="s">
        <v>300</v>
      </c>
      <c r="T22" s="728" t="s">
        <v>300</v>
      </c>
      <c r="U22" s="728" t="s">
        <v>300</v>
      </c>
      <c r="V22" s="728" t="s">
        <v>300</v>
      </c>
      <c r="W22" s="728" t="s">
        <v>300</v>
      </c>
      <c r="X22" s="728" t="s">
        <v>300</v>
      </c>
      <c r="Y22" s="731">
        <v>30939</v>
      </c>
    </row>
    <row r="23" spans="1:25" ht="24" customHeight="1" x14ac:dyDescent="0.25">
      <c r="A23" s="734"/>
      <c r="B23" s="736"/>
      <c r="C23" s="736"/>
      <c r="D23" s="41" t="s">
        <v>36</v>
      </c>
      <c r="E23" s="149">
        <v>1342400000</v>
      </c>
      <c r="F23" s="149">
        <v>1342400000</v>
      </c>
      <c r="G23" s="177">
        <v>1342400000</v>
      </c>
      <c r="H23" s="150">
        <v>1342400000</v>
      </c>
      <c r="I23" s="150"/>
      <c r="J23" s="149">
        <v>0</v>
      </c>
      <c r="K23" s="177">
        <v>0</v>
      </c>
      <c r="L23" s="177">
        <v>0</v>
      </c>
      <c r="M23" s="177"/>
      <c r="N23" s="738"/>
      <c r="O23" s="738"/>
      <c r="P23" s="738"/>
      <c r="Q23" s="738"/>
      <c r="R23" s="740"/>
      <c r="S23" s="728"/>
      <c r="T23" s="728"/>
      <c r="U23" s="728"/>
      <c r="V23" s="728"/>
      <c r="W23" s="728"/>
      <c r="X23" s="728"/>
      <c r="Y23" s="731"/>
    </row>
    <row r="24" spans="1:25" ht="24" customHeight="1" x14ac:dyDescent="0.25">
      <c r="A24" s="734"/>
      <c r="B24" s="736"/>
      <c r="C24" s="736"/>
      <c r="D24" s="153" t="s">
        <v>37</v>
      </c>
      <c r="E24" s="155"/>
      <c r="F24" s="155"/>
      <c r="G24" s="155"/>
      <c r="H24" s="155"/>
      <c r="I24" s="155"/>
      <c r="J24" s="168"/>
      <c r="K24" s="168"/>
      <c r="L24" s="168"/>
      <c r="M24" s="168"/>
      <c r="N24" s="738"/>
      <c r="O24" s="738"/>
      <c r="P24" s="738"/>
      <c r="Q24" s="738"/>
      <c r="R24" s="740"/>
      <c r="S24" s="728"/>
      <c r="T24" s="728"/>
      <c r="U24" s="728"/>
      <c r="V24" s="728"/>
      <c r="W24" s="728"/>
      <c r="X24" s="728"/>
      <c r="Y24" s="731"/>
    </row>
    <row r="25" spans="1:25" ht="24" customHeight="1" x14ac:dyDescent="0.25">
      <c r="A25" s="734"/>
      <c r="B25" s="736"/>
      <c r="C25" s="736"/>
      <c r="D25" s="41" t="s">
        <v>38</v>
      </c>
      <c r="E25" s="161"/>
      <c r="F25" s="161"/>
      <c r="G25" s="161"/>
      <c r="H25" s="173"/>
      <c r="I25" s="180"/>
      <c r="J25" s="168"/>
      <c r="K25" s="161"/>
      <c r="L25" s="161"/>
      <c r="M25" s="177"/>
      <c r="N25" s="738"/>
      <c r="O25" s="738"/>
      <c r="P25" s="738"/>
      <c r="Q25" s="738"/>
      <c r="R25" s="740"/>
      <c r="S25" s="728"/>
      <c r="T25" s="728"/>
      <c r="U25" s="728"/>
      <c r="V25" s="728"/>
      <c r="W25" s="728"/>
      <c r="X25" s="728"/>
      <c r="Y25" s="731"/>
    </row>
    <row r="26" spans="1:25" ht="24" customHeight="1" x14ac:dyDescent="0.25">
      <c r="A26" s="734"/>
      <c r="B26" s="736"/>
      <c r="C26" s="741" t="s">
        <v>39</v>
      </c>
      <c r="D26" s="167" t="s">
        <v>106</v>
      </c>
      <c r="E26" s="156">
        <f t="shared" ref="E26:G27" si="0">E18+E22</f>
        <v>25</v>
      </c>
      <c r="F26" s="156">
        <f t="shared" si="0"/>
        <v>25</v>
      </c>
      <c r="G26" s="156">
        <f t="shared" si="0"/>
        <v>25</v>
      </c>
      <c r="H26" s="156">
        <f>+[2]INVERSIÓN!AB16</f>
        <v>25</v>
      </c>
      <c r="I26" s="156"/>
      <c r="J26" s="170">
        <f>J18+J22</f>
        <v>0</v>
      </c>
      <c r="K26" s="168">
        <f>K18+K22</f>
        <v>0</v>
      </c>
      <c r="L26" s="168">
        <f>+[2]INVERSIÓN!AM16</f>
        <v>0</v>
      </c>
      <c r="M26" s="168"/>
      <c r="N26" s="744"/>
      <c r="O26" s="745"/>
      <c r="P26" s="745"/>
      <c r="Q26" s="744"/>
      <c r="R26" s="745"/>
      <c r="S26" s="745"/>
      <c r="T26" s="744"/>
      <c r="U26" s="745"/>
      <c r="V26" s="745"/>
      <c r="W26" s="744"/>
      <c r="X26" s="745"/>
      <c r="Y26" s="746"/>
    </row>
    <row r="27" spans="1:25" ht="24" customHeight="1" thickBot="1" x14ac:dyDescent="0.3">
      <c r="A27" s="734"/>
      <c r="B27" s="736"/>
      <c r="C27" s="742"/>
      <c r="D27" s="172" t="s">
        <v>105</v>
      </c>
      <c r="E27" s="156">
        <f t="shared" si="0"/>
        <v>4195000000</v>
      </c>
      <c r="F27" s="156">
        <f t="shared" si="0"/>
        <v>4195000000</v>
      </c>
      <c r="G27" s="161">
        <f t="shared" si="0"/>
        <v>4195000000</v>
      </c>
      <c r="H27" s="161">
        <f>+[2]INVERSIÓN!AB17</f>
        <v>4195000000</v>
      </c>
      <c r="I27" s="161"/>
      <c r="J27" s="181">
        <f>J19+J23</f>
        <v>0</v>
      </c>
      <c r="K27" s="161">
        <f>K19+K23</f>
        <v>0</v>
      </c>
      <c r="L27" s="161">
        <f>+[2]INVERSIÓN!AM17</f>
        <v>0</v>
      </c>
      <c r="M27" s="161"/>
      <c r="N27" s="744"/>
      <c r="O27" s="745"/>
      <c r="P27" s="745"/>
      <c r="Q27" s="744"/>
      <c r="R27" s="745"/>
      <c r="S27" s="745"/>
      <c r="T27" s="744"/>
      <c r="U27" s="745"/>
      <c r="V27" s="745"/>
      <c r="W27" s="744"/>
      <c r="X27" s="745"/>
      <c r="Y27" s="746"/>
    </row>
    <row r="28" spans="1:25" ht="24" customHeight="1" x14ac:dyDescent="0.25">
      <c r="A28" s="733">
        <v>3</v>
      </c>
      <c r="B28" s="735" t="s">
        <v>175</v>
      </c>
      <c r="C28" s="735" t="s">
        <v>307</v>
      </c>
      <c r="D28" s="40" t="s">
        <v>35</v>
      </c>
      <c r="E28" s="182">
        <v>0.2</v>
      </c>
      <c r="F28" s="183">
        <v>0.2</v>
      </c>
      <c r="G28" s="183">
        <v>0.2</v>
      </c>
      <c r="H28" s="183">
        <v>0.2</v>
      </c>
      <c r="I28" s="183"/>
      <c r="J28" s="183">
        <v>0</v>
      </c>
      <c r="K28" s="183">
        <v>0</v>
      </c>
      <c r="L28" s="183">
        <v>0</v>
      </c>
      <c r="M28" s="184"/>
      <c r="N28" s="737" t="s">
        <v>308</v>
      </c>
      <c r="O28" s="737" t="s">
        <v>309</v>
      </c>
      <c r="P28" s="737" t="s">
        <v>310</v>
      </c>
      <c r="Q28" s="737" t="s">
        <v>311</v>
      </c>
      <c r="R28" s="739" t="s">
        <v>312</v>
      </c>
      <c r="S28" s="727" t="s">
        <v>300</v>
      </c>
      <c r="T28" s="727" t="s">
        <v>300</v>
      </c>
      <c r="U28" s="727" t="s">
        <v>300</v>
      </c>
      <c r="V28" s="727" t="s">
        <v>300</v>
      </c>
      <c r="W28" s="727" t="s">
        <v>300</v>
      </c>
      <c r="X28" s="727" t="s">
        <v>300</v>
      </c>
      <c r="Y28" s="747">
        <v>96232</v>
      </c>
    </row>
    <row r="29" spans="1:25" ht="24" customHeight="1" x14ac:dyDescent="0.25">
      <c r="A29" s="734"/>
      <c r="B29" s="736"/>
      <c r="C29" s="736"/>
      <c r="D29" s="41" t="s">
        <v>36</v>
      </c>
      <c r="E29" s="185">
        <v>391598372.09302324</v>
      </c>
      <c r="F29" s="177">
        <v>391598372.09302324</v>
      </c>
      <c r="G29" s="177">
        <v>391598372.09302324</v>
      </c>
      <c r="H29" s="150">
        <f>+(H28/$H$40)*$H$41</f>
        <v>323264087.20930237</v>
      </c>
      <c r="I29" s="177"/>
      <c r="J29" s="177">
        <v>6876770</v>
      </c>
      <c r="K29" s="177">
        <f>+G28*[2]INVERSIÓN!$AL$23/[2]INVERSIÓN!$AA$22</f>
        <v>43027906.97674419</v>
      </c>
      <c r="L29" s="177">
        <f>+($H$28/$H$40)*$L$41</f>
        <v>56704232.55813954</v>
      </c>
      <c r="M29" s="186"/>
      <c r="N29" s="738"/>
      <c r="O29" s="738"/>
      <c r="P29" s="738"/>
      <c r="Q29" s="738"/>
      <c r="R29" s="740"/>
      <c r="S29" s="728"/>
      <c r="T29" s="728"/>
      <c r="U29" s="728"/>
      <c r="V29" s="728"/>
      <c r="W29" s="728"/>
      <c r="X29" s="728"/>
      <c r="Y29" s="731"/>
    </row>
    <row r="30" spans="1:25" ht="24" customHeight="1" x14ac:dyDescent="0.25">
      <c r="A30" s="734"/>
      <c r="B30" s="736"/>
      <c r="C30" s="736"/>
      <c r="D30" s="153" t="s">
        <v>37</v>
      </c>
      <c r="E30" s="187">
        <v>1.27</v>
      </c>
      <c r="F30" s="187">
        <v>1.27</v>
      </c>
      <c r="G30" s="187">
        <v>1.27</v>
      </c>
      <c r="H30" s="187">
        <v>1.27</v>
      </c>
      <c r="I30" s="156"/>
      <c r="J30" s="187">
        <v>0</v>
      </c>
      <c r="K30" s="187">
        <v>0</v>
      </c>
      <c r="L30" s="187">
        <v>0</v>
      </c>
      <c r="M30" s="188"/>
      <c r="N30" s="738"/>
      <c r="O30" s="738"/>
      <c r="P30" s="738"/>
      <c r="Q30" s="738"/>
      <c r="R30" s="740"/>
      <c r="S30" s="728"/>
      <c r="T30" s="728"/>
      <c r="U30" s="728"/>
      <c r="V30" s="728"/>
      <c r="W30" s="728"/>
      <c r="X30" s="728"/>
      <c r="Y30" s="731"/>
    </row>
    <row r="31" spans="1:25" ht="24" customHeight="1" x14ac:dyDescent="0.25">
      <c r="A31" s="734"/>
      <c r="B31" s="736"/>
      <c r="C31" s="736"/>
      <c r="D31" s="41" t="s">
        <v>38</v>
      </c>
      <c r="E31" s="185">
        <v>1195058360.2711267</v>
      </c>
      <c r="F31" s="189">
        <v>1195058360.2711267</v>
      </c>
      <c r="G31" s="189">
        <v>1195058360.2711267</v>
      </c>
      <c r="H31" s="189">
        <v>1195058360.2711267</v>
      </c>
      <c r="I31" s="156"/>
      <c r="J31" s="189">
        <v>1173431691.2570424</v>
      </c>
      <c r="K31" s="189">
        <f>+G30*[2]INVERSIÓN!$AL$25/[2]INVERSIÓN!$AA$24</f>
        <v>1183661541.2570424</v>
      </c>
      <c r="L31" s="189">
        <f>+H30*[2]INVERSIÓN!$AM$25/[2]INVERSIÓN!$AA$24</f>
        <v>1192069030.6936622</v>
      </c>
      <c r="M31" s="190"/>
      <c r="N31" s="738"/>
      <c r="O31" s="738"/>
      <c r="P31" s="738"/>
      <c r="Q31" s="738"/>
      <c r="R31" s="740"/>
      <c r="S31" s="728"/>
      <c r="T31" s="728"/>
      <c r="U31" s="728"/>
      <c r="V31" s="728"/>
      <c r="W31" s="728"/>
      <c r="X31" s="728"/>
      <c r="Y31" s="731"/>
    </row>
    <row r="32" spans="1:25" ht="24" customHeight="1" x14ac:dyDescent="0.25">
      <c r="A32" s="734"/>
      <c r="B32" s="736"/>
      <c r="C32" s="736" t="s">
        <v>313</v>
      </c>
      <c r="D32" s="153" t="s">
        <v>35</v>
      </c>
      <c r="E32" s="187">
        <v>0.4</v>
      </c>
      <c r="F32" s="191">
        <v>0.4</v>
      </c>
      <c r="G32" s="191">
        <v>0.4</v>
      </c>
      <c r="H32" s="191">
        <v>0.4</v>
      </c>
      <c r="I32" s="191"/>
      <c r="J32" s="191">
        <v>0</v>
      </c>
      <c r="K32" s="191">
        <v>0</v>
      </c>
      <c r="L32" s="191">
        <v>0</v>
      </c>
      <c r="M32" s="192"/>
      <c r="N32" s="738" t="s">
        <v>314</v>
      </c>
      <c r="O32" s="738" t="s">
        <v>315</v>
      </c>
      <c r="P32" s="738" t="s">
        <v>316</v>
      </c>
      <c r="Q32" s="738" t="s">
        <v>317</v>
      </c>
      <c r="R32" s="740" t="s">
        <v>318</v>
      </c>
      <c r="S32" s="728" t="s">
        <v>300</v>
      </c>
      <c r="T32" s="728" t="s">
        <v>300</v>
      </c>
      <c r="U32" s="728" t="s">
        <v>300</v>
      </c>
      <c r="V32" s="728" t="s">
        <v>300</v>
      </c>
      <c r="W32" s="728" t="s">
        <v>300</v>
      </c>
      <c r="X32" s="728" t="s">
        <v>300</v>
      </c>
      <c r="Y32" s="731">
        <v>35327</v>
      </c>
    </row>
    <row r="33" spans="1:25" ht="24" customHeight="1" x14ac:dyDescent="0.25">
      <c r="A33" s="734"/>
      <c r="B33" s="736"/>
      <c r="C33" s="736"/>
      <c r="D33" s="41" t="s">
        <v>36</v>
      </c>
      <c r="E33" s="185">
        <v>783196744.18604648</v>
      </c>
      <c r="F33" s="177">
        <v>783196744.18604648</v>
      </c>
      <c r="G33" s="177">
        <v>783196744.18604648</v>
      </c>
      <c r="H33" s="150">
        <f>+(H32/$H$40)*$H$41</f>
        <v>646528174.41860473</v>
      </c>
      <c r="I33" s="177"/>
      <c r="J33" s="177">
        <f>14052530-10000</f>
        <v>14042530</v>
      </c>
      <c r="K33" s="177">
        <f>+G32*[2]INVERSIÓN!$AL$23/[2]INVERSIÓN!$AA$22</f>
        <v>86055813.95348838</v>
      </c>
      <c r="L33" s="177">
        <f>+(H32/H40)*L41</f>
        <v>113408465.11627908</v>
      </c>
      <c r="M33" s="186"/>
      <c r="N33" s="738"/>
      <c r="O33" s="738"/>
      <c r="P33" s="738"/>
      <c r="Q33" s="738"/>
      <c r="R33" s="740"/>
      <c r="S33" s="728"/>
      <c r="T33" s="728"/>
      <c r="U33" s="728"/>
      <c r="V33" s="728"/>
      <c r="W33" s="728"/>
      <c r="X33" s="728"/>
      <c r="Y33" s="731"/>
    </row>
    <row r="34" spans="1:25" ht="24" customHeight="1" x14ac:dyDescent="0.25">
      <c r="A34" s="734"/>
      <c r="B34" s="736"/>
      <c r="C34" s="736"/>
      <c r="D34" s="153" t="s">
        <v>37</v>
      </c>
      <c r="E34" s="187">
        <v>0.43</v>
      </c>
      <c r="F34" s="187">
        <v>0.43</v>
      </c>
      <c r="G34" s="187">
        <v>0.43</v>
      </c>
      <c r="H34" s="187">
        <v>0.43</v>
      </c>
      <c r="I34" s="156"/>
      <c r="J34" s="187">
        <v>0</v>
      </c>
      <c r="K34" s="187">
        <v>0</v>
      </c>
      <c r="L34" s="187">
        <v>0</v>
      </c>
      <c r="M34" s="188"/>
      <c r="N34" s="738"/>
      <c r="O34" s="738"/>
      <c r="P34" s="738"/>
      <c r="Q34" s="738"/>
      <c r="R34" s="740"/>
      <c r="S34" s="728"/>
      <c r="T34" s="728"/>
      <c r="U34" s="728"/>
      <c r="V34" s="728"/>
      <c r="W34" s="728"/>
      <c r="X34" s="728"/>
      <c r="Y34" s="731"/>
    </row>
    <row r="35" spans="1:25" ht="24" customHeight="1" x14ac:dyDescent="0.25">
      <c r="A35" s="734"/>
      <c r="B35" s="736"/>
      <c r="C35" s="736"/>
      <c r="D35" s="41" t="s">
        <v>38</v>
      </c>
      <c r="E35" s="185">
        <v>404626058.98943663</v>
      </c>
      <c r="F35" s="189">
        <v>404626058.98943663</v>
      </c>
      <c r="G35" s="189">
        <v>404626058.98943663</v>
      </c>
      <c r="H35" s="189">
        <v>404626058.98943663</v>
      </c>
      <c r="I35" s="156"/>
      <c r="J35" s="189">
        <v>397303643.49647886</v>
      </c>
      <c r="K35" s="189">
        <f>+G34*[2]INVERSIÓN!$AL$25/[2]INVERSIÓN!$AA$24</f>
        <v>400767293.49647886</v>
      </c>
      <c r="L35" s="189">
        <f>+H34*[2]INVERSIÓN!$AM$25/[2]INVERSIÓN!$AA$24</f>
        <v>403613923.77816904</v>
      </c>
      <c r="M35" s="190"/>
      <c r="N35" s="738"/>
      <c r="O35" s="738"/>
      <c r="P35" s="738"/>
      <c r="Q35" s="738"/>
      <c r="R35" s="740"/>
      <c r="S35" s="728"/>
      <c r="T35" s="728"/>
      <c r="U35" s="728"/>
      <c r="V35" s="728"/>
      <c r="W35" s="728"/>
      <c r="X35" s="728"/>
      <c r="Y35" s="731"/>
    </row>
    <row r="36" spans="1:25" ht="24" customHeight="1" x14ac:dyDescent="0.25">
      <c r="A36" s="734"/>
      <c r="B36" s="736"/>
      <c r="C36" s="736" t="s">
        <v>319</v>
      </c>
      <c r="D36" s="153" t="s">
        <v>35</v>
      </c>
      <c r="E36" s="187">
        <v>0.26</v>
      </c>
      <c r="F36" s="191">
        <v>0.26</v>
      </c>
      <c r="G36" s="191">
        <v>0.26</v>
      </c>
      <c r="H36" s="191">
        <v>0.26</v>
      </c>
      <c r="I36" s="191"/>
      <c r="J36" s="191">
        <v>0</v>
      </c>
      <c r="K36" s="191">
        <v>0</v>
      </c>
      <c r="L36" s="191">
        <v>0</v>
      </c>
      <c r="M36" s="192"/>
      <c r="N36" s="738" t="s">
        <v>320</v>
      </c>
      <c r="O36" s="738" t="s">
        <v>321</v>
      </c>
      <c r="P36" s="738" t="s">
        <v>322</v>
      </c>
      <c r="Q36" s="738" t="s">
        <v>323</v>
      </c>
      <c r="R36" s="740" t="s">
        <v>318</v>
      </c>
      <c r="S36" s="728" t="s">
        <v>300</v>
      </c>
      <c r="T36" s="728" t="s">
        <v>300</v>
      </c>
      <c r="U36" s="728" t="s">
        <v>300</v>
      </c>
      <c r="V36" s="728" t="s">
        <v>300</v>
      </c>
      <c r="W36" s="728" t="s">
        <v>300</v>
      </c>
      <c r="X36" s="728" t="s">
        <v>300</v>
      </c>
      <c r="Y36" s="731">
        <v>40715</v>
      </c>
    </row>
    <row r="37" spans="1:25" ht="24" customHeight="1" x14ac:dyDescent="0.25">
      <c r="A37" s="734"/>
      <c r="B37" s="736"/>
      <c r="C37" s="736"/>
      <c r="D37" s="41" t="s">
        <v>36</v>
      </c>
      <c r="E37" s="185">
        <v>509077883.72093022</v>
      </c>
      <c r="F37" s="177">
        <v>509077883.72093022</v>
      </c>
      <c r="G37" s="177">
        <v>509077883.72093022</v>
      </c>
      <c r="H37" s="150">
        <f>+(H36/$H$40)*$H$41</f>
        <v>420243313.37209308</v>
      </c>
      <c r="I37" s="177"/>
      <c r="J37" s="177">
        <v>8969700</v>
      </c>
      <c r="K37" s="177">
        <f>+G36*[2]INVERSIÓN!$AL$23/[2]INVERSIÓN!$AA$22</f>
        <v>55936279.069767445</v>
      </c>
      <c r="L37" s="177">
        <f>+(H36/H40)*L41</f>
        <v>73715502.325581402</v>
      </c>
      <c r="M37" s="186"/>
      <c r="N37" s="738"/>
      <c r="O37" s="738"/>
      <c r="P37" s="738"/>
      <c r="Q37" s="738"/>
      <c r="R37" s="740"/>
      <c r="S37" s="728"/>
      <c r="T37" s="728"/>
      <c r="U37" s="728"/>
      <c r="V37" s="728"/>
      <c r="W37" s="728"/>
      <c r="X37" s="728"/>
      <c r="Y37" s="731"/>
    </row>
    <row r="38" spans="1:25" ht="24" customHeight="1" x14ac:dyDescent="0.25">
      <c r="A38" s="734"/>
      <c r="B38" s="736"/>
      <c r="C38" s="736"/>
      <c r="D38" s="153" t="s">
        <v>37</v>
      </c>
      <c r="E38" s="187">
        <v>1.1399999999999999</v>
      </c>
      <c r="F38" s="187">
        <v>1.1399999999999999</v>
      </c>
      <c r="G38" s="187">
        <v>1.1399999999999999</v>
      </c>
      <c r="H38" s="187">
        <v>1.1399999999999999</v>
      </c>
      <c r="I38" s="156"/>
      <c r="J38" s="187">
        <v>0</v>
      </c>
      <c r="K38" s="187">
        <v>0</v>
      </c>
      <c r="L38" s="187">
        <v>0</v>
      </c>
      <c r="M38" s="188"/>
      <c r="N38" s="738"/>
      <c r="O38" s="738"/>
      <c r="P38" s="738"/>
      <c r="Q38" s="738"/>
      <c r="R38" s="740"/>
      <c r="S38" s="728"/>
      <c r="T38" s="728"/>
      <c r="U38" s="728"/>
      <c r="V38" s="728"/>
      <c r="W38" s="728"/>
      <c r="X38" s="728"/>
      <c r="Y38" s="731"/>
    </row>
    <row r="39" spans="1:25" ht="29.25" customHeight="1" x14ac:dyDescent="0.25">
      <c r="A39" s="734"/>
      <c r="B39" s="736"/>
      <c r="C39" s="736"/>
      <c r="D39" s="41" t="s">
        <v>38</v>
      </c>
      <c r="E39" s="185">
        <v>1072729551.7394365</v>
      </c>
      <c r="F39" s="189">
        <v>1072729551.7394365</v>
      </c>
      <c r="G39" s="189">
        <v>1072729551.7394365</v>
      </c>
      <c r="H39" s="189">
        <v>1072729551.7394365</v>
      </c>
      <c r="I39" s="156"/>
      <c r="J39" s="189">
        <v>1053316636.2464788</v>
      </c>
      <c r="K39" s="189">
        <f>+G38*[2]INVERSIÓN!$AL$25/[2]INVERSIÓN!$AA$24</f>
        <v>1062499336.2464788</v>
      </c>
      <c r="L39" s="189">
        <f>+H38*[2]INVERSIÓN!$AM$25/[2]INVERSIÓN!$AA$24</f>
        <v>1070046216.5281689</v>
      </c>
      <c r="M39" s="190"/>
      <c r="N39" s="738"/>
      <c r="O39" s="738"/>
      <c r="P39" s="738"/>
      <c r="Q39" s="738"/>
      <c r="R39" s="740"/>
      <c r="S39" s="728"/>
      <c r="T39" s="728"/>
      <c r="U39" s="728"/>
      <c r="V39" s="728"/>
      <c r="W39" s="728"/>
      <c r="X39" s="728"/>
      <c r="Y39" s="731"/>
    </row>
    <row r="40" spans="1:25" ht="29.25" customHeight="1" x14ac:dyDescent="0.25">
      <c r="A40" s="734"/>
      <c r="B40" s="736"/>
      <c r="C40" s="741" t="s">
        <v>39</v>
      </c>
      <c r="D40" s="167" t="s">
        <v>106</v>
      </c>
      <c r="E40" s="187">
        <f>E28+E32+E36</f>
        <v>0.8600000000000001</v>
      </c>
      <c r="F40" s="187">
        <f>F28+F32+F36</f>
        <v>0.8600000000000001</v>
      </c>
      <c r="G40" s="187">
        <f>G28+G32+G36</f>
        <v>0.8600000000000001</v>
      </c>
      <c r="H40" s="187">
        <f>+[2]INVERSIÓN!AB22</f>
        <v>0.86</v>
      </c>
      <c r="I40" s="187"/>
      <c r="J40" s="187">
        <f>J28+J32+J36</f>
        <v>0</v>
      </c>
      <c r="K40" s="187">
        <f>+[2]INVERSIÓN!AL26</f>
        <v>0</v>
      </c>
      <c r="L40" s="187">
        <f>+[2]INVERSIÓN!AM22</f>
        <v>0</v>
      </c>
      <c r="M40" s="187"/>
      <c r="N40" s="744"/>
      <c r="O40" s="745"/>
      <c r="P40" s="745"/>
      <c r="Q40" s="744"/>
      <c r="R40" s="745"/>
      <c r="S40" s="745"/>
      <c r="T40" s="744"/>
      <c r="U40" s="745"/>
      <c r="V40" s="745"/>
      <c r="W40" s="744"/>
      <c r="X40" s="745"/>
      <c r="Y40" s="746"/>
    </row>
    <row r="41" spans="1:25" ht="29.25" customHeight="1" thickBot="1" x14ac:dyDescent="0.3">
      <c r="A41" s="734"/>
      <c r="B41" s="736"/>
      <c r="C41" s="742"/>
      <c r="D41" s="172" t="s">
        <v>105</v>
      </c>
      <c r="E41" s="156">
        <f>+E37+E33+E29</f>
        <v>1683873000</v>
      </c>
      <c r="F41" s="156">
        <f>+F37+F33+F29</f>
        <v>1683873000</v>
      </c>
      <c r="G41" s="156">
        <f>+G37+G33+G29</f>
        <v>1683873000</v>
      </c>
      <c r="H41" s="156">
        <f>+[2]INVERSIÓN!AB23</f>
        <v>1390035575</v>
      </c>
      <c r="I41" s="156"/>
      <c r="J41" s="156">
        <f>+J37+J33+J29</f>
        <v>29889000</v>
      </c>
      <c r="K41" s="161">
        <f>+[2]INVERSIÓN!AL23</f>
        <v>185020000</v>
      </c>
      <c r="L41" s="161">
        <f>+[2]INVERSIÓN!AM23</f>
        <v>243828200</v>
      </c>
      <c r="M41" s="161"/>
      <c r="N41" s="744"/>
      <c r="O41" s="745"/>
      <c r="P41" s="745"/>
      <c r="Q41" s="744"/>
      <c r="R41" s="745"/>
      <c r="S41" s="745"/>
      <c r="T41" s="744"/>
      <c r="U41" s="745"/>
      <c r="V41" s="745"/>
      <c r="W41" s="744"/>
      <c r="X41" s="745"/>
      <c r="Y41" s="746"/>
    </row>
    <row r="42" spans="1:25" ht="29.25" customHeight="1" x14ac:dyDescent="0.25">
      <c r="A42" s="748">
        <v>4</v>
      </c>
      <c r="B42" s="751" t="s">
        <v>181</v>
      </c>
      <c r="C42" s="735" t="s">
        <v>324</v>
      </c>
      <c r="D42" s="40" t="s">
        <v>35</v>
      </c>
      <c r="E42" s="145">
        <v>5</v>
      </c>
      <c r="F42" s="183">
        <v>5</v>
      </c>
      <c r="G42" s="183">
        <v>5</v>
      </c>
      <c r="H42" s="176">
        <v>5</v>
      </c>
      <c r="I42" s="176"/>
      <c r="J42" s="193">
        <v>1</v>
      </c>
      <c r="K42" s="183">
        <f>+[2]INVERSIÓN!AL28</f>
        <v>3</v>
      </c>
      <c r="L42" s="183">
        <v>3</v>
      </c>
      <c r="M42" s="194"/>
      <c r="N42" s="737" t="s">
        <v>325</v>
      </c>
      <c r="O42" s="737" t="s">
        <v>309</v>
      </c>
      <c r="P42" s="739" t="s">
        <v>310</v>
      </c>
      <c r="Q42" s="737" t="s">
        <v>326</v>
      </c>
      <c r="R42" s="739" t="s">
        <v>327</v>
      </c>
      <c r="S42" s="754" t="s">
        <v>300</v>
      </c>
      <c r="T42" s="754" t="s">
        <v>300</v>
      </c>
      <c r="U42" s="754" t="s">
        <v>300</v>
      </c>
      <c r="V42" s="754" t="s">
        <v>300</v>
      </c>
      <c r="W42" s="754" t="s">
        <v>300</v>
      </c>
      <c r="X42" s="754" t="s">
        <v>300</v>
      </c>
      <c r="Y42" s="755">
        <v>96232</v>
      </c>
    </row>
    <row r="43" spans="1:25" x14ac:dyDescent="0.25">
      <c r="A43" s="749"/>
      <c r="B43" s="752"/>
      <c r="C43" s="736"/>
      <c r="D43" s="41" t="s">
        <v>36</v>
      </c>
      <c r="E43" s="149">
        <v>193935000</v>
      </c>
      <c r="F43" s="189">
        <v>193935000</v>
      </c>
      <c r="G43" s="189">
        <v>193935000</v>
      </c>
      <c r="H43" s="189">
        <v>193935000</v>
      </c>
      <c r="I43" s="161"/>
      <c r="J43" s="162">
        <v>0</v>
      </c>
      <c r="K43" s="189">
        <v>193935000</v>
      </c>
      <c r="L43" s="189">
        <v>193935000</v>
      </c>
      <c r="M43" s="189"/>
      <c r="N43" s="738"/>
      <c r="O43" s="738"/>
      <c r="P43" s="740"/>
      <c r="Q43" s="738"/>
      <c r="R43" s="740"/>
      <c r="S43" s="732"/>
      <c r="T43" s="732"/>
      <c r="U43" s="732"/>
      <c r="V43" s="732"/>
      <c r="W43" s="732"/>
      <c r="X43" s="732"/>
      <c r="Y43" s="756"/>
    </row>
    <row r="44" spans="1:25" x14ac:dyDescent="0.25">
      <c r="A44" s="749"/>
      <c r="B44" s="752"/>
      <c r="C44" s="736"/>
      <c r="D44" s="153" t="s">
        <v>37</v>
      </c>
      <c r="E44" s="154">
        <v>0</v>
      </c>
      <c r="F44" s="168">
        <v>0</v>
      </c>
      <c r="G44" s="168">
        <v>0</v>
      </c>
      <c r="H44" s="168">
        <v>0</v>
      </c>
      <c r="I44" s="168"/>
      <c r="J44" s="171">
        <v>0</v>
      </c>
      <c r="K44" s="168">
        <v>0</v>
      </c>
      <c r="L44" s="168">
        <v>0</v>
      </c>
      <c r="M44" s="168"/>
      <c r="N44" s="738"/>
      <c r="O44" s="738"/>
      <c r="P44" s="740"/>
      <c r="Q44" s="738"/>
      <c r="R44" s="740"/>
      <c r="S44" s="732"/>
      <c r="T44" s="732"/>
      <c r="U44" s="732"/>
      <c r="V44" s="732"/>
      <c r="W44" s="732"/>
      <c r="X44" s="732"/>
      <c r="Y44" s="756"/>
    </row>
    <row r="45" spans="1:25" x14ac:dyDescent="0.25">
      <c r="A45" s="749"/>
      <c r="B45" s="752"/>
      <c r="C45" s="736"/>
      <c r="D45" s="41" t="s">
        <v>38</v>
      </c>
      <c r="E45" s="149">
        <v>184661985</v>
      </c>
      <c r="F45" s="189">
        <v>184661985</v>
      </c>
      <c r="G45" s="189">
        <v>184661985</v>
      </c>
      <c r="H45" s="189">
        <v>184661985</v>
      </c>
      <c r="I45" s="161"/>
      <c r="J45" s="162">
        <v>184661985</v>
      </c>
      <c r="K45" s="189">
        <v>184661985</v>
      </c>
      <c r="L45" s="189">
        <v>184661985</v>
      </c>
      <c r="M45" s="189"/>
      <c r="N45" s="738"/>
      <c r="O45" s="738"/>
      <c r="P45" s="740"/>
      <c r="Q45" s="738"/>
      <c r="R45" s="740"/>
      <c r="S45" s="732"/>
      <c r="T45" s="732"/>
      <c r="U45" s="732"/>
      <c r="V45" s="732"/>
      <c r="W45" s="732"/>
      <c r="X45" s="732"/>
      <c r="Y45" s="756"/>
    </row>
    <row r="46" spans="1:25" ht="18" customHeight="1" x14ac:dyDescent="0.25">
      <c r="A46" s="749"/>
      <c r="B46" s="752"/>
      <c r="C46" s="757" t="s">
        <v>39</v>
      </c>
      <c r="D46" s="195" t="s">
        <v>106</v>
      </c>
      <c r="E46" s="196">
        <f t="shared" ref="E46:G47" si="1">E42</f>
        <v>5</v>
      </c>
      <c r="F46" s="196">
        <f t="shared" si="1"/>
        <v>5</v>
      </c>
      <c r="G46" s="196">
        <f t="shared" si="1"/>
        <v>5</v>
      </c>
      <c r="H46" s="196">
        <f>+[2]INVERSIÓN!AB28</f>
        <v>5</v>
      </c>
      <c r="I46" s="196"/>
      <c r="J46" s="196">
        <f>J42</f>
        <v>1</v>
      </c>
      <c r="K46" s="197">
        <f>K42</f>
        <v>3</v>
      </c>
      <c r="L46" s="197">
        <f>+[2]INVERSIÓN!AM28</f>
        <v>3</v>
      </c>
      <c r="M46" s="197"/>
      <c r="N46" s="758"/>
      <c r="O46" s="759"/>
      <c r="P46" s="759"/>
      <c r="Q46" s="758"/>
      <c r="R46" s="759"/>
      <c r="S46" s="759"/>
      <c r="T46" s="758"/>
      <c r="U46" s="759"/>
      <c r="V46" s="759"/>
      <c r="W46" s="758"/>
      <c r="X46" s="759"/>
      <c r="Y46" s="760"/>
    </row>
    <row r="47" spans="1:25" ht="27.75" thickBot="1" x14ac:dyDescent="0.3">
      <c r="A47" s="750"/>
      <c r="B47" s="753"/>
      <c r="C47" s="742"/>
      <c r="D47" s="172" t="s">
        <v>105</v>
      </c>
      <c r="E47" s="161">
        <f t="shared" si="1"/>
        <v>193935000</v>
      </c>
      <c r="F47" s="161">
        <f t="shared" si="1"/>
        <v>193935000</v>
      </c>
      <c r="G47" s="161">
        <f t="shared" si="1"/>
        <v>193935000</v>
      </c>
      <c r="H47" s="161">
        <f>+[2]INVERSIÓN!AB29</f>
        <v>193935000</v>
      </c>
      <c r="I47" s="161"/>
      <c r="J47" s="161">
        <f>J43</f>
        <v>0</v>
      </c>
      <c r="K47" s="177">
        <f>K43</f>
        <v>193935000</v>
      </c>
      <c r="L47" s="177">
        <f>+[2]INVERSIÓN!AM29</f>
        <v>193935000</v>
      </c>
      <c r="M47" s="198"/>
      <c r="N47" s="744"/>
      <c r="O47" s="745"/>
      <c r="P47" s="745"/>
      <c r="Q47" s="744"/>
      <c r="R47" s="745"/>
      <c r="S47" s="745"/>
      <c r="T47" s="744"/>
      <c r="U47" s="745"/>
      <c r="V47" s="745"/>
      <c r="W47" s="744"/>
      <c r="X47" s="745"/>
      <c r="Y47" s="746"/>
    </row>
    <row r="48" spans="1:25" x14ac:dyDescent="0.25">
      <c r="A48" s="733">
        <v>5</v>
      </c>
      <c r="B48" s="735" t="s">
        <v>328</v>
      </c>
      <c r="C48" s="735" t="s">
        <v>329</v>
      </c>
      <c r="D48" s="40" t="s">
        <v>35</v>
      </c>
      <c r="E48" s="11">
        <v>3</v>
      </c>
      <c r="F48" s="199">
        <v>3</v>
      </c>
      <c r="G48" s="199">
        <v>3</v>
      </c>
      <c r="H48" s="199">
        <v>3</v>
      </c>
      <c r="I48" s="199"/>
      <c r="J48" s="199">
        <v>0</v>
      </c>
      <c r="K48" s="199">
        <v>3</v>
      </c>
      <c r="L48" s="199">
        <v>3</v>
      </c>
      <c r="M48" s="199"/>
      <c r="N48" s="737" t="s">
        <v>330</v>
      </c>
      <c r="O48" s="737" t="s">
        <v>331</v>
      </c>
      <c r="P48" s="739" t="s">
        <v>332</v>
      </c>
      <c r="Q48" s="737" t="s">
        <v>298</v>
      </c>
      <c r="R48" s="739" t="s">
        <v>333</v>
      </c>
      <c r="S48" s="761">
        <v>10.757</v>
      </c>
      <c r="T48" s="763">
        <v>10782</v>
      </c>
      <c r="U48" s="763" t="s">
        <v>300</v>
      </c>
      <c r="V48" s="763" t="s">
        <v>300</v>
      </c>
      <c r="W48" s="763" t="s">
        <v>300</v>
      </c>
      <c r="X48" s="763" t="s">
        <v>300</v>
      </c>
      <c r="Y48" s="764">
        <v>21539</v>
      </c>
    </row>
    <row r="49" spans="1:25" x14ac:dyDescent="0.25">
      <c r="A49" s="734"/>
      <c r="B49" s="736"/>
      <c r="C49" s="736"/>
      <c r="D49" s="41" t="s">
        <v>36</v>
      </c>
      <c r="E49" s="149">
        <v>239525000</v>
      </c>
      <c r="F49" s="177">
        <v>239525000</v>
      </c>
      <c r="G49" s="177">
        <v>239525000</v>
      </c>
      <c r="H49" s="177">
        <v>244244000</v>
      </c>
      <c r="I49" s="177"/>
      <c r="J49" s="177">
        <v>94380000</v>
      </c>
      <c r="K49" s="177">
        <f>+K53</f>
        <v>163033500</v>
      </c>
      <c r="L49" s="177">
        <f>+L53</f>
        <v>172576000</v>
      </c>
      <c r="M49" s="198"/>
      <c r="N49" s="738"/>
      <c r="O49" s="738"/>
      <c r="P49" s="740"/>
      <c r="Q49" s="738"/>
      <c r="R49" s="740"/>
      <c r="S49" s="762"/>
      <c r="T49" s="762"/>
      <c r="U49" s="762"/>
      <c r="V49" s="762"/>
      <c r="W49" s="762"/>
      <c r="X49" s="762"/>
      <c r="Y49" s="765"/>
    </row>
    <row r="50" spans="1:25" x14ac:dyDescent="0.25">
      <c r="A50" s="734"/>
      <c r="B50" s="736"/>
      <c r="C50" s="736"/>
      <c r="D50" s="153" t="s">
        <v>37</v>
      </c>
      <c r="E50" s="155">
        <v>0</v>
      </c>
      <c r="F50" s="200">
        <v>0</v>
      </c>
      <c r="G50" s="200">
        <v>0</v>
      </c>
      <c r="H50" s="200">
        <v>0</v>
      </c>
      <c r="I50" s="200"/>
      <c r="J50" s="200">
        <v>0</v>
      </c>
      <c r="K50" s="200">
        <v>0</v>
      </c>
      <c r="L50" s="200">
        <v>0</v>
      </c>
      <c r="M50" s="200"/>
      <c r="N50" s="738"/>
      <c r="O50" s="738"/>
      <c r="P50" s="740"/>
      <c r="Q50" s="738"/>
      <c r="R50" s="740"/>
      <c r="S50" s="762"/>
      <c r="T50" s="762"/>
      <c r="U50" s="762"/>
      <c r="V50" s="762"/>
      <c r="W50" s="762"/>
      <c r="X50" s="762"/>
      <c r="Y50" s="765"/>
    </row>
    <row r="51" spans="1:25" x14ac:dyDescent="0.25">
      <c r="A51" s="734"/>
      <c r="B51" s="736"/>
      <c r="C51" s="736"/>
      <c r="D51" s="41" t="s">
        <v>38</v>
      </c>
      <c r="E51" s="161">
        <v>43785825</v>
      </c>
      <c r="F51" s="201">
        <v>43785825</v>
      </c>
      <c r="G51" s="201">
        <v>43785825</v>
      </c>
      <c r="H51" s="202">
        <v>43785825</v>
      </c>
      <c r="I51" s="201"/>
      <c r="J51" s="201">
        <v>27203500</v>
      </c>
      <c r="K51" s="201">
        <v>36967500</v>
      </c>
      <c r="L51" s="201">
        <v>36967500</v>
      </c>
      <c r="M51" s="201"/>
      <c r="N51" s="738"/>
      <c r="O51" s="738"/>
      <c r="P51" s="740"/>
      <c r="Q51" s="738"/>
      <c r="R51" s="740"/>
      <c r="S51" s="762"/>
      <c r="T51" s="762"/>
      <c r="U51" s="762"/>
      <c r="V51" s="762"/>
      <c r="W51" s="762"/>
      <c r="X51" s="762"/>
      <c r="Y51" s="765"/>
    </row>
    <row r="52" spans="1:25" x14ac:dyDescent="0.25">
      <c r="A52" s="734"/>
      <c r="B52" s="736"/>
      <c r="C52" s="741" t="s">
        <v>39</v>
      </c>
      <c r="D52" s="167" t="s">
        <v>106</v>
      </c>
      <c r="E52" s="203">
        <f t="shared" ref="E52:G53" si="2">E48</f>
        <v>3</v>
      </c>
      <c r="F52" s="203">
        <f t="shared" si="2"/>
        <v>3</v>
      </c>
      <c r="G52" s="203">
        <f t="shared" si="2"/>
        <v>3</v>
      </c>
      <c r="H52" s="203">
        <v>3</v>
      </c>
      <c r="I52" s="203"/>
      <c r="J52" s="203">
        <f>J48</f>
        <v>0</v>
      </c>
      <c r="K52" s="204">
        <f>+[2]INVERSIÓN!AL38</f>
        <v>3</v>
      </c>
      <c r="L52" s="204">
        <f>+[2]INVERSIÓN!AM34</f>
        <v>3</v>
      </c>
      <c r="M52" s="204"/>
      <c r="N52" s="744"/>
      <c r="O52" s="745"/>
      <c r="P52" s="745"/>
      <c r="Q52" s="744"/>
      <c r="R52" s="745"/>
      <c r="S52" s="745"/>
      <c r="T52" s="744"/>
      <c r="U52" s="745"/>
      <c r="V52" s="745"/>
      <c r="W52" s="744"/>
      <c r="X52" s="745"/>
      <c r="Y52" s="746"/>
    </row>
    <row r="53" spans="1:25" ht="27.75" thickBot="1" x14ac:dyDescent="0.3">
      <c r="A53" s="734"/>
      <c r="B53" s="736"/>
      <c r="C53" s="742"/>
      <c r="D53" s="172" t="s">
        <v>105</v>
      </c>
      <c r="E53" s="161">
        <f t="shared" si="2"/>
        <v>239525000</v>
      </c>
      <c r="F53" s="161">
        <f t="shared" si="2"/>
        <v>239525000</v>
      </c>
      <c r="G53" s="161">
        <f t="shared" si="2"/>
        <v>239525000</v>
      </c>
      <c r="H53" s="161">
        <f>+[2]INVERSIÓN!AB35</f>
        <v>244244000</v>
      </c>
      <c r="I53" s="161"/>
      <c r="J53" s="161">
        <f>J49</f>
        <v>94380000</v>
      </c>
      <c r="K53" s="177">
        <f>+[2]INVERSIÓN!AL35</f>
        <v>163033500</v>
      </c>
      <c r="L53" s="177">
        <f>+[2]INVERSIÓN!AM35</f>
        <v>172576000</v>
      </c>
      <c r="M53" s="198"/>
      <c r="N53" s="744"/>
      <c r="O53" s="745"/>
      <c r="P53" s="745"/>
      <c r="Q53" s="744"/>
      <c r="R53" s="745"/>
      <c r="S53" s="745"/>
      <c r="T53" s="744"/>
      <c r="U53" s="745"/>
      <c r="V53" s="745"/>
      <c r="W53" s="744"/>
      <c r="X53" s="745"/>
      <c r="Y53" s="746"/>
    </row>
    <row r="54" spans="1:25" x14ac:dyDescent="0.25">
      <c r="A54" s="733">
        <v>6</v>
      </c>
      <c r="B54" s="735" t="s">
        <v>193</v>
      </c>
      <c r="C54" s="767" t="s">
        <v>334</v>
      </c>
      <c r="D54" s="40" t="s">
        <v>35</v>
      </c>
      <c r="E54" s="145">
        <v>10</v>
      </c>
      <c r="F54" s="11">
        <v>10</v>
      </c>
      <c r="G54" s="11">
        <v>10</v>
      </c>
      <c r="H54" s="199">
        <v>10</v>
      </c>
      <c r="I54" s="199"/>
      <c r="J54" s="199">
        <v>0</v>
      </c>
      <c r="K54" s="205">
        <v>0</v>
      </c>
      <c r="L54" s="199">
        <v>0</v>
      </c>
      <c r="M54" s="199"/>
      <c r="N54" s="737" t="s">
        <v>302</v>
      </c>
      <c r="O54" s="737" t="s">
        <v>335</v>
      </c>
      <c r="P54" s="737" t="s">
        <v>336</v>
      </c>
      <c r="Q54" s="737" t="s">
        <v>337</v>
      </c>
      <c r="R54" s="737" t="s">
        <v>338</v>
      </c>
      <c r="S54" s="754" t="s">
        <v>300</v>
      </c>
      <c r="T54" s="754" t="s">
        <v>300</v>
      </c>
      <c r="U54" s="754" t="s">
        <v>300</v>
      </c>
      <c r="V54" s="754" t="s">
        <v>300</v>
      </c>
      <c r="W54" s="754" t="s">
        <v>300</v>
      </c>
      <c r="X54" s="754" t="s">
        <v>300</v>
      </c>
      <c r="Y54" s="755">
        <v>327900</v>
      </c>
    </row>
    <row r="55" spans="1:25" x14ac:dyDescent="0.25">
      <c r="A55" s="734"/>
      <c r="B55" s="736"/>
      <c r="C55" s="768"/>
      <c r="D55" s="41" t="s">
        <v>36</v>
      </c>
      <c r="E55" s="149">
        <v>769658000</v>
      </c>
      <c r="F55" s="150">
        <v>769658000</v>
      </c>
      <c r="G55" s="150">
        <v>769658000</v>
      </c>
      <c r="H55" s="177">
        <v>677779750</v>
      </c>
      <c r="I55" s="177"/>
      <c r="J55" s="177">
        <v>97342000</v>
      </c>
      <c r="K55" s="177">
        <f>+G54*[2]INVERSIÓN!$AL$41/[2]INVERSIÓN!$AA$40</f>
        <v>663990250</v>
      </c>
      <c r="L55" s="177">
        <v>663990250</v>
      </c>
      <c r="M55" s="177"/>
      <c r="N55" s="738"/>
      <c r="O55" s="738"/>
      <c r="P55" s="738"/>
      <c r="Q55" s="738"/>
      <c r="R55" s="738"/>
      <c r="S55" s="732"/>
      <c r="T55" s="732"/>
      <c r="U55" s="732"/>
      <c r="V55" s="732"/>
      <c r="W55" s="732"/>
      <c r="X55" s="732"/>
      <c r="Y55" s="756"/>
    </row>
    <row r="56" spans="1:25" x14ac:dyDescent="0.25">
      <c r="A56" s="734"/>
      <c r="B56" s="736"/>
      <c r="C56" s="768"/>
      <c r="D56" s="153" t="s">
        <v>37</v>
      </c>
      <c r="E56" s="206">
        <v>16</v>
      </c>
      <c r="F56" s="207">
        <v>16</v>
      </c>
      <c r="G56" s="207">
        <v>0</v>
      </c>
      <c r="H56" s="14">
        <v>0</v>
      </c>
      <c r="I56" s="14"/>
      <c r="J56" s="14">
        <v>0</v>
      </c>
      <c r="K56" s="208">
        <v>0</v>
      </c>
      <c r="L56" s="200">
        <v>0</v>
      </c>
      <c r="M56" s="200"/>
      <c r="N56" s="738"/>
      <c r="O56" s="738"/>
      <c r="P56" s="738"/>
      <c r="Q56" s="738"/>
      <c r="R56" s="738"/>
      <c r="S56" s="732"/>
      <c r="T56" s="732"/>
      <c r="U56" s="732"/>
      <c r="V56" s="732"/>
      <c r="W56" s="732"/>
      <c r="X56" s="732"/>
      <c r="Y56" s="756"/>
    </row>
    <row r="57" spans="1:25" x14ac:dyDescent="0.25">
      <c r="A57" s="734"/>
      <c r="B57" s="736"/>
      <c r="C57" s="768"/>
      <c r="D57" s="41" t="s">
        <v>38</v>
      </c>
      <c r="E57" s="149">
        <v>926741172</v>
      </c>
      <c r="F57" s="209">
        <v>926741172</v>
      </c>
      <c r="G57" s="209">
        <v>0</v>
      </c>
      <c r="H57" s="210">
        <v>0</v>
      </c>
      <c r="I57" s="210"/>
      <c r="J57" s="211">
        <v>922720672</v>
      </c>
      <c r="K57" s="210">
        <v>0</v>
      </c>
      <c r="L57" s="202">
        <v>0</v>
      </c>
      <c r="M57" s="202"/>
      <c r="N57" s="738"/>
      <c r="O57" s="738"/>
      <c r="P57" s="738"/>
      <c r="Q57" s="738"/>
      <c r="R57" s="738"/>
      <c r="S57" s="732"/>
      <c r="T57" s="732"/>
      <c r="U57" s="732"/>
      <c r="V57" s="732"/>
      <c r="W57" s="732"/>
      <c r="X57" s="732"/>
      <c r="Y57" s="756"/>
    </row>
    <row r="58" spans="1:25" x14ac:dyDescent="0.25">
      <c r="A58" s="734"/>
      <c r="B58" s="736"/>
      <c r="C58" s="736" t="s">
        <v>339</v>
      </c>
      <c r="D58" s="153" t="s">
        <v>35</v>
      </c>
      <c r="E58" s="163">
        <v>10</v>
      </c>
      <c r="F58" s="212">
        <v>10</v>
      </c>
      <c r="G58" s="212">
        <v>10</v>
      </c>
      <c r="H58" s="212">
        <v>10</v>
      </c>
      <c r="I58" s="213"/>
      <c r="J58" s="213">
        <v>0</v>
      </c>
      <c r="K58" s="214">
        <v>0</v>
      </c>
      <c r="L58" s="156">
        <v>0</v>
      </c>
      <c r="M58" s="187"/>
      <c r="N58" s="736" t="s">
        <v>340</v>
      </c>
      <c r="O58" s="738" t="s">
        <v>341</v>
      </c>
      <c r="P58" s="740" t="s">
        <v>342</v>
      </c>
      <c r="Q58" s="738" t="s">
        <v>343</v>
      </c>
      <c r="R58" s="740" t="s">
        <v>344</v>
      </c>
      <c r="S58" s="732" t="s">
        <v>300</v>
      </c>
      <c r="T58" s="732" t="s">
        <v>300</v>
      </c>
      <c r="U58" s="732" t="s">
        <v>300</v>
      </c>
      <c r="V58" s="732" t="s">
        <v>300</v>
      </c>
      <c r="W58" s="732" t="s">
        <v>300</v>
      </c>
      <c r="X58" s="732" t="s">
        <v>300</v>
      </c>
      <c r="Y58" s="756">
        <v>201740</v>
      </c>
    </row>
    <row r="59" spans="1:25" x14ac:dyDescent="0.25">
      <c r="A59" s="734"/>
      <c r="B59" s="736"/>
      <c r="C59" s="736"/>
      <c r="D59" s="41" t="s">
        <v>36</v>
      </c>
      <c r="E59" s="149">
        <v>769658000</v>
      </c>
      <c r="F59" s="215">
        <v>769658000</v>
      </c>
      <c r="G59" s="215">
        <v>769658000</v>
      </c>
      <c r="H59" s="215">
        <v>677779750</v>
      </c>
      <c r="I59" s="216"/>
      <c r="J59" s="216">
        <v>97342000</v>
      </c>
      <c r="K59" s="216">
        <f>+G58*[2]INVERSIÓN!$AL$41/[2]INVERSIÓN!$AA$40</f>
        <v>663990250</v>
      </c>
      <c r="L59" s="177">
        <v>663990250</v>
      </c>
      <c r="M59" s="177"/>
      <c r="N59" s="736"/>
      <c r="O59" s="738"/>
      <c r="P59" s="740"/>
      <c r="Q59" s="738"/>
      <c r="R59" s="740"/>
      <c r="S59" s="732"/>
      <c r="T59" s="732"/>
      <c r="U59" s="732"/>
      <c r="V59" s="732"/>
      <c r="W59" s="732"/>
      <c r="X59" s="732"/>
      <c r="Y59" s="756"/>
    </row>
    <row r="60" spans="1:25" x14ac:dyDescent="0.25">
      <c r="A60" s="734"/>
      <c r="B60" s="736"/>
      <c r="C60" s="736"/>
      <c r="D60" s="153" t="s">
        <v>37</v>
      </c>
      <c r="E60" s="206">
        <v>33.4</v>
      </c>
      <c r="F60" s="207">
        <v>33.4</v>
      </c>
      <c r="G60" s="207">
        <v>49.4</v>
      </c>
      <c r="H60" s="217">
        <v>50</v>
      </c>
      <c r="I60" s="218"/>
      <c r="J60" s="214">
        <v>15</v>
      </c>
      <c r="K60" s="214">
        <v>49.4</v>
      </c>
      <c r="L60" s="218">
        <v>50</v>
      </c>
      <c r="M60" s="161"/>
      <c r="N60" s="736"/>
      <c r="O60" s="738"/>
      <c r="P60" s="740"/>
      <c r="Q60" s="738"/>
      <c r="R60" s="740"/>
      <c r="S60" s="732"/>
      <c r="T60" s="732"/>
      <c r="U60" s="732"/>
      <c r="V60" s="732"/>
      <c r="W60" s="732"/>
      <c r="X60" s="732"/>
      <c r="Y60" s="756"/>
    </row>
    <row r="61" spans="1:25" x14ac:dyDescent="0.25">
      <c r="A61" s="734"/>
      <c r="B61" s="736"/>
      <c r="C61" s="736"/>
      <c r="D61" s="41" t="s">
        <v>38</v>
      </c>
      <c r="E61" s="161">
        <v>926741172</v>
      </c>
      <c r="F61" s="209">
        <v>926741172</v>
      </c>
      <c r="G61" s="209">
        <v>1853482344</v>
      </c>
      <c r="H61" s="209">
        <v>1853482344</v>
      </c>
      <c r="I61" s="219"/>
      <c r="J61" s="211">
        <v>922720672</v>
      </c>
      <c r="K61" s="211">
        <f>+[2]INVERSIÓN!AL43</f>
        <v>1853482344</v>
      </c>
      <c r="L61" s="189">
        <v>1853482344</v>
      </c>
      <c r="M61" s="189"/>
      <c r="N61" s="736"/>
      <c r="O61" s="738"/>
      <c r="P61" s="740"/>
      <c r="Q61" s="738"/>
      <c r="R61" s="740"/>
      <c r="S61" s="732"/>
      <c r="T61" s="732"/>
      <c r="U61" s="732"/>
      <c r="V61" s="732"/>
      <c r="W61" s="732"/>
      <c r="X61" s="732"/>
      <c r="Y61" s="756"/>
    </row>
    <row r="62" spans="1:25" x14ac:dyDescent="0.25">
      <c r="A62" s="734"/>
      <c r="B62" s="736"/>
      <c r="C62" s="741" t="s">
        <v>39</v>
      </c>
      <c r="D62" s="167" t="s">
        <v>106</v>
      </c>
      <c r="E62" s="163">
        <f>E54+E58</f>
        <v>20</v>
      </c>
      <c r="F62" s="163">
        <f>F54+F58</f>
        <v>20</v>
      </c>
      <c r="G62" s="163">
        <f>G54+G58</f>
        <v>20</v>
      </c>
      <c r="H62" s="163">
        <f>+H58+H54</f>
        <v>20</v>
      </c>
      <c r="I62" s="163"/>
      <c r="J62" s="163">
        <f>J54+J58</f>
        <v>0</v>
      </c>
      <c r="K62" s="220">
        <f>+K58+K54</f>
        <v>0</v>
      </c>
      <c r="L62" s="163">
        <f>+L58+L54</f>
        <v>0</v>
      </c>
      <c r="M62" s="189"/>
      <c r="N62" s="744"/>
      <c r="O62" s="745"/>
      <c r="P62" s="745"/>
      <c r="Q62" s="744"/>
      <c r="R62" s="745"/>
      <c r="S62" s="745"/>
      <c r="T62" s="744"/>
      <c r="U62" s="745"/>
      <c r="V62" s="745"/>
      <c r="W62" s="744"/>
      <c r="X62" s="745"/>
      <c r="Y62" s="746"/>
    </row>
    <row r="63" spans="1:25" ht="27.75" thickBot="1" x14ac:dyDescent="0.3">
      <c r="A63" s="734"/>
      <c r="B63" s="766"/>
      <c r="C63" s="757"/>
      <c r="D63" s="52" t="s">
        <v>105</v>
      </c>
      <c r="E63" s="221">
        <f>E55+E59</f>
        <v>1539316000</v>
      </c>
      <c r="F63" s="221">
        <f>F57+F61</f>
        <v>1853482344</v>
      </c>
      <c r="G63" s="221">
        <f>G55+G59</f>
        <v>1539316000</v>
      </c>
      <c r="H63" s="221">
        <f>+[2]INVERSIÓN!AB41</f>
        <v>1355559500</v>
      </c>
      <c r="I63" s="221"/>
      <c r="J63" s="221">
        <f>J55+J59</f>
        <v>194684000</v>
      </c>
      <c r="K63" s="221">
        <f>+[2]INVERSIÓN!AL41</f>
        <v>1327980500</v>
      </c>
      <c r="L63" s="221">
        <f>+[2]INVERSIÓN!AM41</f>
        <v>1327980500</v>
      </c>
      <c r="M63" s="222"/>
      <c r="N63" s="769"/>
      <c r="O63" s="770"/>
      <c r="P63" s="770"/>
      <c r="Q63" s="769"/>
      <c r="R63" s="770"/>
      <c r="S63" s="770"/>
      <c r="T63" s="769"/>
      <c r="U63" s="770"/>
      <c r="V63" s="770"/>
      <c r="W63" s="769"/>
      <c r="X63" s="770"/>
      <c r="Y63" s="772"/>
    </row>
    <row r="64" spans="1:25" x14ac:dyDescent="0.25">
      <c r="A64" s="733">
        <v>7</v>
      </c>
      <c r="B64" s="774" t="s">
        <v>215</v>
      </c>
      <c r="C64" s="735" t="s">
        <v>345</v>
      </c>
      <c r="D64" s="40" t="s">
        <v>35</v>
      </c>
      <c r="E64" s="199">
        <v>1</v>
      </c>
      <c r="F64" s="199">
        <v>1</v>
      </c>
      <c r="G64" s="205">
        <v>2.5</v>
      </c>
      <c r="H64" s="145">
        <v>2.5</v>
      </c>
      <c r="I64" s="145"/>
      <c r="J64" s="194">
        <v>0</v>
      </c>
      <c r="K64" s="223">
        <v>0</v>
      </c>
      <c r="L64" s="145">
        <v>0</v>
      </c>
      <c r="M64" s="194"/>
      <c r="N64" s="777" t="s">
        <v>346</v>
      </c>
      <c r="O64" s="777" t="s">
        <v>347</v>
      </c>
      <c r="P64" s="777" t="s">
        <v>348</v>
      </c>
      <c r="Q64" s="778" t="s">
        <v>349</v>
      </c>
      <c r="R64" s="780" t="s">
        <v>350</v>
      </c>
      <c r="S64" s="754" t="s">
        <v>300</v>
      </c>
      <c r="T64" s="754" t="s">
        <v>300</v>
      </c>
      <c r="U64" s="754" t="s">
        <v>300</v>
      </c>
      <c r="V64" s="754" t="s">
        <v>300</v>
      </c>
      <c r="W64" s="754" t="s">
        <v>300</v>
      </c>
      <c r="X64" s="754" t="s">
        <v>300</v>
      </c>
      <c r="Y64" s="729">
        <v>175682</v>
      </c>
    </row>
    <row r="65" spans="1:25" x14ac:dyDescent="0.25">
      <c r="A65" s="734"/>
      <c r="B65" s="775"/>
      <c r="C65" s="736"/>
      <c r="D65" s="41" t="s">
        <v>36</v>
      </c>
      <c r="E65" s="149">
        <v>274487111.1111111</v>
      </c>
      <c r="F65" s="224">
        <v>274487111.1111111</v>
      </c>
      <c r="G65" s="225">
        <f>+G64/$G$80*[2]INVERSIÓN!$AA$47</f>
        <v>187150303.03030303</v>
      </c>
      <c r="H65" s="177">
        <v>187150303.03030303</v>
      </c>
      <c r="I65" s="177"/>
      <c r="J65" s="198">
        <v>0</v>
      </c>
      <c r="K65" s="216">
        <f>+G64/$G$80*K81</f>
        <v>119065556.66666667</v>
      </c>
      <c r="L65" s="177">
        <f>+H64/$G$80*L81</f>
        <v>119065556.66666667</v>
      </c>
      <c r="M65" s="226"/>
      <c r="N65" s="771"/>
      <c r="O65" s="771"/>
      <c r="P65" s="771"/>
      <c r="Q65" s="779"/>
      <c r="R65" s="781"/>
      <c r="S65" s="732"/>
      <c r="T65" s="732"/>
      <c r="U65" s="732"/>
      <c r="V65" s="732"/>
      <c r="W65" s="732"/>
      <c r="X65" s="732"/>
      <c r="Y65" s="730"/>
    </row>
    <row r="66" spans="1:25" x14ac:dyDescent="0.25">
      <c r="A66" s="734"/>
      <c r="B66" s="775"/>
      <c r="C66" s="736"/>
      <c r="D66" s="153" t="s">
        <v>37</v>
      </c>
      <c r="E66" s="155">
        <v>2.5</v>
      </c>
      <c r="F66" s="227">
        <v>2.5</v>
      </c>
      <c r="G66" s="217">
        <v>2.5</v>
      </c>
      <c r="H66" s="156">
        <v>2.5</v>
      </c>
      <c r="I66" s="156"/>
      <c r="J66" s="228">
        <v>0</v>
      </c>
      <c r="K66" s="187">
        <v>2.5</v>
      </c>
      <c r="L66" s="187">
        <v>2.5</v>
      </c>
      <c r="M66" s="229"/>
      <c r="N66" s="771"/>
      <c r="O66" s="771"/>
      <c r="P66" s="771"/>
      <c r="Q66" s="779"/>
      <c r="R66" s="781"/>
      <c r="S66" s="732"/>
      <c r="T66" s="732"/>
      <c r="U66" s="732"/>
      <c r="V66" s="732"/>
      <c r="W66" s="732"/>
      <c r="X66" s="732"/>
      <c r="Y66" s="730"/>
    </row>
    <row r="67" spans="1:25" x14ac:dyDescent="0.25">
      <c r="A67" s="734"/>
      <c r="B67" s="775"/>
      <c r="C67" s="736"/>
      <c r="D67" s="41" t="s">
        <v>38</v>
      </c>
      <c r="E67" s="161">
        <v>324348963.5</v>
      </c>
      <c r="F67" s="230">
        <v>235035481</v>
      </c>
      <c r="G67" s="225">
        <v>235035481</v>
      </c>
      <c r="H67" s="161">
        <v>235035481</v>
      </c>
      <c r="I67" s="161"/>
      <c r="J67" s="226">
        <v>178626843.79428571</v>
      </c>
      <c r="K67" s="161">
        <f>+(2.5/6.9)*[2]INVERSIÓN!AL49</f>
        <v>179338069.20289856</v>
      </c>
      <c r="L67" s="161">
        <f>+(2.5/6.9)*[2]INVERSIÓN!AM49</f>
        <v>199022489.49275362</v>
      </c>
      <c r="M67" s="231"/>
      <c r="N67" s="771"/>
      <c r="O67" s="771"/>
      <c r="P67" s="771"/>
      <c r="Q67" s="779"/>
      <c r="R67" s="781"/>
      <c r="S67" s="732"/>
      <c r="T67" s="732"/>
      <c r="U67" s="732"/>
      <c r="V67" s="732"/>
      <c r="W67" s="732"/>
      <c r="X67" s="732"/>
      <c r="Y67" s="730"/>
    </row>
    <row r="68" spans="1:25" x14ac:dyDescent="0.25">
      <c r="A68" s="734"/>
      <c r="B68" s="775"/>
      <c r="C68" s="736" t="s">
        <v>351</v>
      </c>
      <c r="D68" s="153" t="s">
        <v>35</v>
      </c>
      <c r="E68" s="204">
        <v>1.25</v>
      </c>
      <c r="F68" s="204">
        <v>1.2</v>
      </c>
      <c r="G68" s="220">
        <v>2.5</v>
      </c>
      <c r="H68" s="156">
        <v>2.5</v>
      </c>
      <c r="I68" s="156"/>
      <c r="J68" s="160">
        <v>0</v>
      </c>
      <c r="K68" s="213">
        <v>0</v>
      </c>
      <c r="L68" s="156">
        <v>0</v>
      </c>
      <c r="M68" s="160"/>
      <c r="N68" s="771" t="s">
        <v>302</v>
      </c>
      <c r="O68" s="771" t="s">
        <v>352</v>
      </c>
      <c r="P68" s="771" t="s">
        <v>353</v>
      </c>
      <c r="Q68" s="779" t="s">
        <v>354</v>
      </c>
      <c r="R68" s="781" t="s">
        <v>355</v>
      </c>
      <c r="S68" s="732" t="s">
        <v>300</v>
      </c>
      <c r="T68" s="732" t="s">
        <v>300</v>
      </c>
      <c r="U68" s="732" t="s">
        <v>300</v>
      </c>
      <c r="V68" s="732" t="s">
        <v>300</v>
      </c>
      <c r="W68" s="732" t="s">
        <v>300</v>
      </c>
      <c r="X68" s="732" t="s">
        <v>300</v>
      </c>
      <c r="Y68" s="730">
        <v>31927</v>
      </c>
    </row>
    <row r="69" spans="1:25" x14ac:dyDescent="0.25">
      <c r="A69" s="734"/>
      <c r="B69" s="775"/>
      <c r="C69" s="736"/>
      <c r="D69" s="41" t="s">
        <v>36</v>
      </c>
      <c r="E69" s="149">
        <v>343108888.8888889</v>
      </c>
      <c r="F69" s="224">
        <v>343108888.8888889</v>
      </c>
      <c r="G69" s="225">
        <f>+G68/$G$80*[2]INVERSIÓN!$AA$47</f>
        <v>187150303.03030303</v>
      </c>
      <c r="H69" s="177">
        <v>187150303.03030303</v>
      </c>
      <c r="I69" s="177"/>
      <c r="J69" s="198">
        <v>58740000</v>
      </c>
      <c r="K69" s="216">
        <f>+G68/$G$80*$K$81</f>
        <v>119065556.66666667</v>
      </c>
      <c r="L69" s="177">
        <f>+H68/$G$80*$K$81</f>
        <v>119065556.66666667</v>
      </c>
      <c r="M69" s="226"/>
      <c r="N69" s="771"/>
      <c r="O69" s="771"/>
      <c r="P69" s="771"/>
      <c r="Q69" s="779"/>
      <c r="R69" s="781"/>
      <c r="S69" s="732"/>
      <c r="T69" s="732"/>
      <c r="U69" s="732"/>
      <c r="V69" s="732"/>
      <c r="W69" s="732"/>
      <c r="X69" s="732"/>
      <c r="Y69" s="730"/>
    </row>
    <row r="70" spans="1:25" x14ac:dyDescent="0.25">
      <c r="A70" s="734"/>
      <c r="B70" s="775"/>
      <c r="C70" s="736"/>
      <c r="D70" s="153" t="s">
        <v>37</v>
      </c>
      <c r="E70" s="155">
        <v>3.5</v>
      </c>
      <c r="F70" s="227">
        <v>4.4000000000000004</v>
      </c>
      <c r="G70" s="217">
        <v>4.4000000000000004</v>
      </c>
      <c r="H70" s="232">
        <v>4.4000000000000004</v>
      </c>
      <c r="I70" s="156"/>
      <c r="J70" s="228">
        <v>0.94</v>
      </c>
      <c r="K70" s="187">
        <v>4.4000000000000004</v>
      </c>
      <c r="L70" s="187">
        <v>4.4000000000000004</v>
      </c>
      <c r="M70" s="229"/>
      <c r="N70" s="771"/>
      <c r="O70" s="771"/>
      <c r="P70" s="771"/>
      <c r="Q70" s="779"/>
      <c r="R70" s="781"/>
      <c r="S70" s="732"/>
      <c r="T70" s="732"/>
      <c r="U70" s="732"/>
      <c r="V70" s="732"/>
      <c r="W70" s="732"/>
      <c r="X70" s="732"/>
      <c r="Y70" s="730"/>
    </row>
    <row r="71" spans="1:25" x14ac:dyDescent="0.25">
      <c r="A71" s="734"/>
      <c r="B71" s="775"/>
      <c r="C71" s="736"/>
      <c r="D71" s="41" t="s">
        <v>38</v>
      </c>
      <c r="E71" s="161">
        <v>324348963.5</v>
      </c>
      <c r="F71" s="230">
        <v>413662446</v>
      </c>
      <c r="G71" s="225">
        <v>413662446</v>
      </c>
      <c r="H71" s="233">
        <f>413662446-11856</f>
        <v>413650590</v>
      </c>
      <c r="I71" s="161"/>
      <c r="J71" s="226">
        <v>65589544.205714285</v>
      </c>
      <c r="K71" s="161">
        <f>+(4.4/6.9)*[2]INVERSIÓN!AL49</f>
        <v>315635001.7971015</v>
      </c>
      <c r="L71" s="161">
        <f>+(4.4/6.9)*[2]INVERSIÓN!AM49</f>
        <v>350279581.50724643</v>
      </c>
      <c r="M71" s="231"/>
      <c r="N71" s="771"/>
      <c r="O71" s="771"/>
      <c r="P71" s="771"/>
      <c r="Q71" s="779"/>
      <c r="R71" s="781"/>
      <c r="S71" s="732"/>
      <c r="T71" s="732"/>
      <c r="U71" s="732"/>
      <c r="V71" s="732"/>
      <c r="W71" s="732"/>
      <c r="X71" s="732"/>
      <c r="Y71" s="730"/>
    </row>
    <row r="72" spans="1:25" x14ac:dyDescent="0.25">
      <c r="A72" s="734"/>
      <c r="B72" s="775"/>
      <c r="C72" s="736" t="s">
        <v>356</v>
      </c>
      <c r="D72" s="234" t="s">
        <v>35</v>
      </c>
      <c r="E72" s="161">
        <v>0</v>
      </c>
      <c r="F72" s="230"/>
      <c r="G72" s="220">
        <v>2.3199999999999998</v>
      </c>
      <c r="H72" s="220">
        <v>2.3199999999999998</v>
      </c>
      <c r="I72" s="161"/>
      <c r="J72" s="226"/>
      <c r="K72" s="220">
        <v>0</v>
      </c>
      <c r="L72" s="220">
        <v>0</v>
      </c>
      <c r="M72" s="231"/>
      <c r="N72" s="771" t="s">
        <v>357</v>
      </c>
      <c r="O72" s="771" t="s">
        <v>358</v>
      </c>
      <c r="P72" s="771" t="s">
        <v>359</v>
      </c>
      <c r="Q72" s="779" t="s">
        <v>360</v>
      </c>
      <c r="R72" s="781" t="s">
        <v>361</v>
      </c>
      <c r="S72" s="732" t="s">
        <v>300</v>
      </c>
      <c r="T72" s="732" t="s">
        <v>300</v>
      </c>
      <c r="U72" s="732" t="s">
        <v>300</v>
      </c>
      <c r="V72" s="732" t="s">
        <v>300</v>
      </c>
      <c r="W72" s="732" t="s">
        <v>300</v>
      </c>
      <c r="X72" s="732" t="s">
        <v>300</v>
      </c>
      <c r="Y72" s="730">
        <v>46398</v>
      </c>
    </row>
    <row r="73" spans="1:25" x14ac:dyDescent="0.25">
      <c r="A73" s="734"/>
      <c r="B73" s="775"/>
      <c r="C73" s="736"/>
      <c r="D73" s="235" t="s">
        <v>36</v>
      </c>
      <c r="E73" s="161">
        <v>0</v>
      </c>
      <c r="F73" s="230"/>
      <c r="G73" s="225">
        <f>+G72/$G$80*[2]INVERSIÓN!$AA$47</f>
        <v>173675481.21212119</v>
      </c>
      <c r="H73" s="225">
        <v>173675481.21212119</v>
      </c>
      <c r="I73" s="161"/>
      <c r="J73" s="226"/>
      <c r="K73" s="225">
        <f>+G72/$G$80*$K$81</f>
        <v>110492836.58666666</v>
      </c>
      <c r="L73" s="225">
        <f>+H72/$G$80*$K$81</f>
        <v>110492836.58666666</v>
      </c>
      <c r="M73" s="231"/>
      <c r="N73" s="771"/>
      <c r="O73" s="771"/>
      <c r="P73" s="771"/>
      <c r="Q73" s="779"/>
      <c r="R73" s="781"/>
      <c r="S73" s="732"/>
      <c r="T73" s="732"/>
      <c r="U73" s="732"/>
      <c r="V73" s="732"/>
      <c r="W73" s="732"/>
      <c r="X73" s="732"/>
      <c r="Y73" s="730"/>
    </row>
    <row r="74" spans="1:25" x14ac:dyDescent="0.25">
      <c r="A74" s="734"/>
      <c r="B74" s="775"/>
      <c r="C74" s="736"/>
      <c r="D74" s="234" t="s">
        <v>37</v>
      </c>
      <c r="E74" s="161">
        <v>0</v>
      </c>
      <c r="F74" s="230"/>
      <c r="G74" s="225">
        <v>0</v>
      </c>
      <c r="H74" s="225">
        <v>0</v>
      </c>
      <c r="I74" s="161"/>
      <c r="J74" s="226"/>
      <c r="K74" s="225">
        <v>0</v>
      </c>
      <c r="L74" s="225">
        <v>0</v>
      </c>
      <c r="M74" s="231"/>
      <c r="N74" s="771"/>
      <c r="O74" s="771"/>
      <c r="P74" s="771"/>
      <c r="Q74" s="779"/>
      <c r="R74" s="781"/>
      <c r="S74" s="732"/>
      <c r="T74" s="732"/>
      <c r="U74" s="732"/>
      <c r="V74" s="732"/>
      <c r="W74" s="732"/>
      <c r="X74" s="732"/>
      <c r="Y74" s="730"/>
    </row>
    <row r="75" spans="1:25" x14ac:dyDescent="0.25">
      <c r="A75" s="734"/>
      <c r="B75" s="775"/>
      <c r="C75" s="736"/>
      <c r="D75" s="41" t="s">
        <v>38</v>
      </c>
      <c r="E75" s="161">
        <v>0</v>
      </c>
      <c r="F75" s="230"/>
      <c r="G75" s="225">
        <v>0</v>
      </c>
      <c r="H75" s="225">
        <v>0</v>
      </c>
      <c r="I75" s="161"/>
      <c r="J75" s="226"/>
      <c r="K75" s="225">
        <v>0</v>
      </c>
      <c r="L75" s="225">
        <v>0</v>
      </c>
      <c r="M75" s="231"/>
      <c r="N75" s="771"/>
      <c r="O75" s="771"/>
      <c r="P75" s="771"/>
      <c r="Q75" s="779"/>
      <c r="R75" s="781"/>
      <c r="S75" s="732"/>
      <c r="T75" s="732"/>
      <c r="U75" s="732"/>
      <c r="V75" s="732"/>
      <c r="W75" s="732"/>
      <c r="X75" s="732"/>
      <c r="Y75" s="730"/>
    </row>
    <row r="76" spans="1:25" x14ac:dyDescent="0.25">
      <c r="A76" s="734"/>
      <c r="B76" s="775"/>
      <c r="C76" s="736" t="s">
        <v>362</v>
      </c>
      <c r="D76" s="234" t="s">
        <v>35</v>
      </c>
      <c r="E76" s="161">
        <v>0</v>
      </c>
      <c r="F76" s="230"/>
      <c r="G76" s="220">
        <v>0.93</v>
      </c>
      <c r="H76" s="220">
        <v>0.93</v>
      </c>
      <c r="I76" s="161"/>
      <c r="J76" s="226"/>
      <c r="K76" s="220">
        <v>0</v>
      </c>
      <c r="L76" s="220">
        <v>0</v>
      </c>
      <c r="M76" s="231"/>
      <c r="N76" s="771" t="s">
        <v>314</v>
      </c>
      <c r="O76" s="771" t="s">
        <v>363</v>
      </c>
      <c r="P76" s="771" t="s">
        <v>364</v>
      </c>
      <c r="Q76" s="779" t="s">
        <v>365</v>
      </c>
      <c r="R76" s="781" t="s">
        <v>366</v>
      </c>
      <c r="S76" s="732" t="s">
        <v>300</v>
      </c>
      <c r="T76" s="732" t="s">
        <v>300</v>
      </c>
      <c r="U76" s="732" t="s">
        <v>300</v>
      </c>
      <c r="V76" s="732" t="s">
        <v>300</v>
      </c>
      <c r="W76" s="732" t="s">
        <v>300</v>
      </c>
      <c r="X76" s="732" t="s">
        <v>300</v>
      </c>
      <c r="Y76" s="730">
        <v>52649</v>
      </c>
    </row>
    <row r="77" spans="1:25" x14ac:dyDescent="0.25">
      <c r="A77" s="734"/>
      <c r="B77" s="775"/>
      <c r="C77" s="736"/>
      <c r="D77" s="235" t="s">
        <v>36</v>
      </c>
      <c r="E77" s="161">
        <v>0</v>
      </c>
      <c r="F77" s="230"/>
      <c r="G77" s="225">
        <f>+G76/$G$80*[2]INVERSIÓN!$AA$47</f>
        <v>69619912.727272734</v>
      </c>
      <c r="H77" s="225">
        <v>69619912.727272734</v>
      </c>
      <c r="I77" s="161"/>
      <c r="J77" s="226"/>
      <c r="K77" s="225">
        <f>+G76/$G$80*$K$81</f>
        <v>44292387.079999998</v>
      </c>
      <c r="L77" s="225">
        <f>+H76/$G$80*$K$81</f>
        <v>44292387.079999998</v>
      </c>
      <c r="M77" s="231"/>
      <c r="N77" s="771"/>
      <c r="O77" s="771"/>
      <c r="P77" s="771"/>
      <c r="Q77" s="779"/>
      <c r="R77" s="781"/>
      <c r="S77" s="732"/>
      <c r="T77" s="732"/>
      <c r="U77" s="732"/>
      <c r="V77" s="732"/>
      <c r="W77" s="732"/>
      <c r="X77" s="732"/>
      <c r="Y77" s="730"/>
    </row>
    <row r="78" spans="1:25" x14ac:dyDescent="0.25">
      <c r="A78" s="734"/>
      <c r="B78" s="775"/>
      <c r="C78" s="736"/>
      <c r="D78" s="234" t="s">
        <v>37</v>
      </c>
      <c r="E78" s="161">
        <v>0</v>
      </c>
      <c r="F78" s="230"/>
      <c r="G78" s="225">
        <v>0</v>
      </c>
      <c r="H78" s="225">
        <v>0</v>
      </c>
      <c r="I78" s="161"/>
      <c r="J78" s="226"/>
      <c r="K78" s="225">
        <v>0</v>
      </c>
      <c r="L78" s="225">
        <v>0</v>
      </c>
      <c r="M78" s="231"/>
      <c r="N78" s="771"/>
      <c r="O78" s="771"/>
      <c r="P78" s="771"/>
      <c r="Q78" s="779"/>
      <c r="R78" s="781"/>
      <c r="S78" s="732"/>
      <c r="T78" s="732"/>
      <c r="U78" s="732"/>
      <c r="V78" s="732"/>
      <c r="W78" s="732"/>
      <c r="X78" s="732"/>
      <c r="Y78" s="730"/>
    </row>
    <row r="79" spans="1:25" x14ac:dyDescent="0.25">
      <c r="A79" s="734"/>
      <c r="B79" s="775"/>
      <c r="C79" s="736"/>
      <c r="D79" s="41" t="s">
        <v>38</v>
      </c>
      <c r="E79" s="161">
        <v>0</v>
      </c>
      <c r="F79" s="230"/>
      <c r="G79" s="225">
        <v>0</v>
      </c>
      <c r="H79" s="225">
        <v>0</v>
      </c>
      <c r="I79" s="161"/>
      <c r="J79" s="226"/>
      <c r="K79" s="225">
        <v>0</v>
      </c>
      <c r="L79" s="225">
        <v>0</v>
      </c>
      <c r="M79" s="231"/>
      <c r="N79" s="771"/>
      <c r="O79" s="771"/>
      <c r="P79" s="771"/>
      <c r="Q79" s="779"/>
      <c r="R79" s="781"/>
      <c r="S79" s="732"/>
      <c r="T79" s="732"/>
      <c r="U79" s="732"/>
      <c r="V79" s="732"/>
      <c r="W79" s="732"/>
      <c r="X79" s="732"/>
      <c r="Y79" s="730"/>
    </row>
    <row r="80" spans="1:25" x14ac:dyDescent="0.25">
      <c r="A80" s="734"/>
      <c r="B80" s="775"/>
      <c r="C80" s="782" t="s">
        <v>39</v>
      </c>
      <c r="D80" s="167" t="s">
        <v>106</v>
      </c>
      <c r="E80" s="191">
        <f>E64+E68</f>
        <v>2.25</v>
      </c>
      <c r="F80" s="191">
        <f>F64+F68</f>
        <v>2.2000000000000002</v>
      </c>
      <c r="G80" s="236">
        <f>+G64+G68+G72+G76</f>
        <v>8.25</v>
      </c>
      <c r="H80" s="236">
        <f>+[2]INVERSIÓN!AB46</f>
        <v>8.25</v>
      </c>
      <c r="I80" s="191"/>
      <c r="J80" s="191">
        <f>J64+J68</f>
        <v>0</v>
      </c>
      <c r="K80" s="236">
        <f>K64+K68</f>
        <v>0</v>
      </c>
      <c r="L80" s="236">
        <f>+[2]INVERSIÓN!AM46</f>
        <v>0</v>
      </c>
      <c r="M80" s="160"/>
      <c r="N80" s="744"/>
      <c r="O80" s="745"/>
      <c r="P80" s="745"/>
      <c r="Q80" s="744"/>
      <c r="R80" s="745"/>
      <c r="S80" s="745"/>
      <c r="T80" s="744"/>
      <c r="U80" s="745"/>
      <c r="V80" s="745"/>
      <c r="W80" s="744"/>
      <c r="X80" s="745"/>
      <c r="Y80" s="746"/>
    </row>
    <row r="81" spans="1:25" ht="27.75" thickBot="1" x14ac:dyDescent="0.3">
      <c r="A81" s="773"/>
      <c r="B81" s="776"/>
      <c r="C81" s="783"/>
      <c r="D81" s="237" t="s">
        <v>105</v>
      </c>
      <c r="E81" s="238">
        <f>E65+E69</f>
        <v>617596000</v>
      </c>
      <c r="F81" s="238">
        <f>+F65+F69</f>
        <v>617596000</v>
      </c>
      <c r="G81" s="239">
        <f>+G65+G69+G73+G77</f>
        <v>617596000</v>
      </c>
      <c r="H81" s="238">
        <f>+[2]INVERSIÓN!AB47</f>
        <v>617596000</v>
      </c>
      <c r="I81" s="238"/>
      <c r="J81" s="238">
        <f>J65+J69</f>
        <v>58740000</v>
      </c>
      <c r="K81" s="240">
        <f>+[2]INVERSIÓN!AL47</f>
        <v>392916337</v>
      </c>
      <c r="L81" s="240">
        <f>+[2]INVERSIÓN!AM47</f>
        <v>392916337</v>
      </c>
      <c r="M81" s="241"/>
      <c r="N81" s="784"/>
      <c r="O81" s="785"/>
      <c r="P81" s="785"/>
      <c r="Q81" s="784"/>
      <c r="R81" s="785"/>
      <c r="S81" s="785"/>
      <c r="T81" s="784"/>
      <c r="U81" s="785"/>
      <c r="V81" s="785"/>
      <c r="W81" s="784"/>
      <c r="X81" s="785"/>
      <c r="Y81" s="786"/>
    </row>
    <row r="82" spans="1:25" x14ac:dyDescent="0.25">
      <c r="A82" s="733">
        <v>8</v>
      </c>
      <c r="B82" s="787" t="s">
        <v>202</v>
      </c>
      <c r="C82" s="788" t="s">
        <v>367</v>
      </c>
      <c r="D82" s="39" t="s">
        <v>35</v>
      </c>
      <c r="E82" s="242">
        <v>0</v>
      </c>
      <c r="F82" s="242">
        <v>0</v>
      </c>
      <c r="G82" s="242">
        <v>0</v>
      </c>
      <c r="H82" s="242">
        <v>0</v>
      </c>
      <c r="I82" s="243"/>
      <c r="J82" s="242">
        <v>0</v>
      </c>
      <c r="K82" s="244">
        <v>0</v>
      </c>
      <c r="L82" s="245">
        <v>0</v>
      </c>
      <c r="M82" s="246"/>
      <c r="N82" s="789" t="s">
        <v>107</v>
      </c>
      <c r="O82" s="789" t="s">
        <v>368</v>
      </c>
      <c r="P82" s="790" t="s">
        <v>369</v>
      </c>
      <c r="Q82" s="789" t="s">
        <v>298</v>
      </c>
      <c r="R82" s="790" t="s">
        <v>370</v>
      </c>
      <c r="S82" s="791">
        <v>37445</v>
      </c>
      <c r="T82" s="791">
        <v>38908</v>
      </c>
      <c r="U82" s="793" t="s">
        <v>300</v>
      </c>
      <c r="V82" s="793" t="s">
        <v>300</v>
      </c>
      <c r="W82" s="793" t="s">
        <v>300</v>
      </c>
      <c r="X82" s="793" t="s">
        <v>300</v>
      </c>
      <c r="Y82" s="794">
        <v>76353</v>
      </c>
    </row>
    <row r="83" spans="1:25" x14ac:dyDescent="0.25">
      <c r="A83" s="734"/>
      <c r="B83" s="736"/>
      <c r="C83" s="768"/>
      <c r="D83" s="41" t="s">
        <v>36</v>
      </c>
      <c r="E83" s="149">
        <v>0</v>
      </c>
      <c r="F83" s="224">
        <v>0</v>
      </c>
      <c r="G83" s="224">
        <v>0</v>
      </c>
      <c r="H83" s="224">
        <v>0</v>
      </c>
      <c r="I83" s="177"/>
      <c r="J83" s="224">
        <v>0</v>
      </c>
      <c r="K83" s="161">
        <v>0</v>
      </c>
      <c r="L83" s="161">
        <v>0</v>
      </c>
      <c r="M83" s="231"/>
      <c r="N83" s="738"/>
      <c r="O83" s="738"/>
      <c r="P83" s="740"/>
      <c r="Q83" s="738"/>
      <c r="R83" s="740"/>
      <c r="S83" s="792"/>
      <c r="T83" s="792"/>
      <c r="U83" s="732"/>
      <c r="V83" s="732"/>
      <c r="W83" s="732"/>
      <c r="X83" s="732"/>
      <c r="Y83" s="756"/>
    </row>
    <row r="84" spans="1:25" x14ac:dyDescent="0.25">
      <c r="A84" s="734"/>
      <c r="B84" s="736"/>
      <c r="C84" s="768"/>
      <c r="D84" s="153" t="s">
        <v>37</v>
      </c>
      <c r="E84" s="155">
        <v>1</v>
      </c>
      <c r="F84" s="227">
        <v>1</v>
      </c>
      <c r="G84" s="227">
        <v>1</v>
      </c>
      <c r="H84" s="227">
        <v>1</v>
      </c>
      <c r="I84" s="156"/>
      <c r="J84" s="227">
        <v>0.1</v>
      </c>
      <c r="K84" s="247">
        <v>0.5</v>
      </c>
      <c r="L84" s="247">
        <v>1</v>
      </c>
      <c r="M84" s="231"/>
      <c r="N84" s="738"/>
      <c r="O84" s="738"/>
      <c r="P84" s="740"/>
      <c r="Q84" s="738"/>
      <c r="R84" s="740"/>
      <c r="S84" s="792"/>
      <c r="T84" s="792"/>
      <c r="U84" s="732"/>
      <c r="V84" s="732"/>
      <c r="W84" s="732"/>
      <c r="X84" s="732"/>
      <c r="Y84" s="756"/>
    </row>
    <row r="85" spans="1:25" x14ac:dyDescent="0.25">
      <c r="A85" s="734"/>
      <c r="B85" s="736"/>
      <c r="C85" s="768"/>
      <c r="D85" s="41" t="s">
        <v>38</v>
      </c>
      <c r="E85" s="161">
        <v>7050842.2000000002</v>
      </c>
      <c r="F85" s="224">
        <v>7050842.2000000002</v>
      </c>
      <c r="G85" s="224">
        <v>7050842.2000000002</v>
      </c>
      <c r="H85" s="224">
        <v>7050842.2000000002</v>
      </c>
      <c r="I85" s="161"/>
      <c r="J85" s="224">
        <v>705084.22000000009</v>
      </c>
      <c r="K85" s="161">
        <f>+(K84/5)*[2]INVERSIÓN!AL55</f>
        <v>10576263.300000001</v>
      </c>
      <c r="L85" s="161">
        <v>10576263.300000001</v>
      </c>
      <c r="M85" s="231"/>
      <c r="N85" s="738"/>
      <c r="O85" s="738"/>
      <c r="P85" s="740"/>
      <c r="Q85" s="738"/>
      <c r="R85" s="740"/>
      <c r="S85" s="792"/>
      <c r="T85" s="792"/>
      <c r="U85" s="732"/>
      <c r="V85" s="732"/>
      <c r="W85" s="732"/>
      <c r="X85" s="732"/>
      <c r="Y85" s="756"/>
    </row>
    <row r="86" spans="1:25" x14ac:dyDescent="0.25">
      <c r="A86" s="734"/>
      <c r="B86" s="736"/>
      <c r="C86" s="736" t="s">
        <v>371</v>
      </c>
      <c r="D86" s="153" t="s">
        <v>35</v>
      </c>
      <c r="E86" s="163">
        <v>0</v>
      </c>
      <c r="F86" s="163">
        <v>0</v>
      </c>
      <c r="G86" s="163">
        <v>0</v>
      </c>
      <c r="H86" s="163">
        <v>0</v>
      </c>
      <c r="I86" s="156"/>
      <c r="J86" s="163">
        <v>0</v>
      </c>
      <c r="K86" s="212">
        <v>0</v>
      </c>
      <c r="L86" s="163">
        <v>0</v>
      </c>
      <c r="M86" s="224"/>
      <c r="N86" s="738" t="s">
        <v>372</v>
      </c>
      <c r="O86" s="738" t="s">
        <v>373</v>
      </c>
      <c r="P86" s="738" t="s">
        <v>374</v>
      </c>
      <c r="Q86" s="738" t="s">
        <v>298</v>
      </c>
      <c r="R86" s="738" t="s">
        <v>375</v>
      </c>
      <c r="S86" s="732" t="s">
        <v>300</v>
      </c>
      <c r="T86" s="732" t="s">
        <v>300</v>
      </c>
      <c r="U86" s="732" t="s">
        <v>300</v>
      </c>
      <c r="V86" s="732" t="s">
        <v>300</v>
      </c>
      <c r="W86" s="732" t="s">
        <v>300</v>
      </c>
      <c r="X86" s="732" t="s">
        <v>300</v>
      </c>
      <c r="Y86" s="756">
        <v>190309</v>
      </c>
    </row>
    <row r="87" spans="1:25" x14ac:dyDescent="0.25">
      <c r="A87" s="734"/>
      <c r="B87" s="736"/>
      <c r="C87" s="736"/>
      <c r="D87" s="41" t="s">
        <v>36</v>
      </c>
      <c r="E87" s="149">
        <v>0</v>
      </c>
      <c r="F87" s="224">
        <v>0</v>
      </c>
      <c r="G87" s="224">
        <v>0</v>
      </c>
      <c r="H87" s="224">
        <v>0</v>
      </c>
      <c r="I87" s="177"/>
      <c r="J87" s="224">
        <v>0</v>
      </c>
      <c r="K87" s="224">
        <v>0</v>
      </c>
      <c r="L87" s="224">
        <v>0</v>
      </c>
      <c r="M87" s="224"/>
      <c r="N87" s="738"/>
      <c r="O87" s="738"/>
      <c r="P87" s="738"/>
      <c r="Q87" s="738"/>
      <c r="R87" s="738"/>
      <c r="S87" s="732"/>
      <c r="T87" s="732"/>
      <c r="U87" s="732"/>
      <c r="V87" s="732"/>
      <c r="W87" s="732"/>
      <c r="X87" s="732"/>
      <c r="Y87" s="756"/>
    </row>
    <row r="88" spans="1:25" x14ac:dyDescent="0.25">
      <c r="A88" s="734"/>
      <c r="B88" s="736"/>
      <c r="C88" s="736"/>
      <c r="D88" s="153" t="s">
        <v>37</v>
      </c>
      <c r="E88" s="155">
        <v>14</v>
      </c>
      <c r="F88" s="227">
        <v>14</v>
      </c>
      <c r="G88" s="227">
        <v>14</v>
      </c>
      <c r="H88" s="227">
        <v>14</v>
      </c>
      <c r="I88" s="156"/>
      <c r="J88" s="227">
        <v>0</v>
      </c>
      <c r="K88" s="248">
        <v>4.5</v>
      </c>
      <c r="L88" s="227">
        <v>5</v>
      </c>
      <c r="M88" s="249"/>
      <c r="N88" s="738"/>
      <c r="O88" s="738"/>
      <c r="P88" s="738"/>
      <c r="Q88" s="738"/>
      <c r="R88" s="738"/>
      <c r="S88" s="732"/>
      <c r="T88" s="732"/>
      <c r="U88" s="732"/>
      <c r="V88" s="732"/>
      <c r="W88" s="732"/>
      <c r="X88" s="732"/>
      <c r="Y88" s="756"/>
    </row>
    <row r="89" spans="1:25" x14ac:dyDescent="0.25">
      <c r="A89" s="734"/>
      <c r="B89" s="736"/>
      <c r="C89" s="736"/>
      <c r="D89" s="41" t="s">
        <v>38</v>
      </c>
      <c r="E89" s="161">
        <v>98711790.799999997</v>
      </c>
      <c r="F89" s="224">
        <v>98711790.799999997</v>
      </c>
      <c r="G89" s="224">
        <v>98711790.799999997</v>
      </c>
      <c r="H89" s="224">
        <v>98711790.799999997</v>
      </c>
      <c r="I89" s="161"/>
      <c r="J89" s="224">
        <v>95057548.780000001</v>
      </c>
      <c r="K89" s="161">
        <f>+(4.5/5)*[2]INVERSIÓN!AL55</f>
        <v>95186369.700000003</v>
      </c>
      <c r="L89" s="224">
        <v>95186369.700000003</v>
      </c>
      <c r="M89" s="249"/>
      <c r="N89" s="738"/>
      <c r="O89" s="738"/>
      <c r="P89" s="738"/>
      <c r="Q89" s="738"/>
      <c r="R89" s="738"/>
      <c r="S89" s="732"/>
      <c r="T89" s="732"/>
      <c r="U89" s="732"/>
      <c r="V89" s="732"/>
      <c r="W89" s="732"/>
      <c r="X89" s="732"/>
      <c r="Y89" s="756"/>
    </row>
    <row r="90" spans="1:25" x14ac:dyDescent="0.25">
      <c r="A90" s="734"/>
      <c r="B90" s="736"/>
      <c r="C90" s="736" t="s">
        <v>376</v>
      </c>
      <c r="D90" s="153" t="s">
        <v>35</v>
      </c>
      <c r="E90" s="163">
        <v>10</v>
      </c>
      <c r="F90" s="163">
        <v>10</v>
      </c>
      <c r="G90" s="163">
        <v>10</v>
      </c>
      <c r="H90" s="163">
        <v>10</v>
      </c>
      <c r="I90" s="156"/>
      <c r="J90" s="163">
        <v>0</v>
      </c>
      <c r="K90" s="212">
        <v>0</v>
      </c>
      <c r="L90" s="163">
        <v>0</v>
      </c>
      <c r="M90" s="224"/>
      <c r="N90" s="738" t="s">
        <v>302</v>
      </c>
      <c r="O90" s="738" t="s">
        <v>331</v>
      </c>
      <c r="P90" s="738" t="s">
        <v>332</v>
      </c>
      <c r="Q90" s="738" t="s">
        <v>298</v>
      </c>
      <c r="R90" s="738" t="s">
        <v>333</v>
      </c>
      <c r="S90" s="738">
        <v>10.757</v>
      </c>
      <c r="T90" s="738">
        <v>10782</v>
      </c>
      <c r="U90" s="738" t="s">
        <v>300</v>
      </c>
      <c r="V90" s="738" t="s">
        <v>300</v>
      </c>
      <c r="W90" s="738" t="s">
        <v>300</v>
      </c>
      <c r="X90" s="738" t="s">
        <v>300</v>
      </c>
      <c r="Y90" s="765">
        <v>21539</v>
      </c>
    </row>
    <row r="91" spans="1:25" x14ac:dyDescent="0.25">
      <c r="A91" s="734"/>
      <c r="B91" s="736"/>
      <c r="C91" s="736"/>
      <c r="D91" s="41" t="s">
        <v>36</v>
      </c>
      <c r="E91" s="149">
        <v>201788000</v>
      </c>
      <c r="F91" s="224">
        <v>201788000</v>
      </c>
      <c r="G91" s="224">
        <v>201788000</v>
      </c>
      <c r="H91" s="224">
        <v>204873300</v>
      </c>
      <c r="I91" s="177"/>
      <c r="J91" s="224">
        <v>136099000</v>
      </c>
      <c r="K91" s="224">
        <f>+K95</f>
        <v>195099000</v>
      </c>
      <c r="L91" s="224">
        <v>201670300</v>
      </c>
      <c r="M91" s="224"/>
      <c r="N91" s="738"/>
      <c r="O91" s="738"/>
      <c r="P91" s="738"/>
      <c r="Q91" s="738"/>
      <c r="R91" s="738"/>
      <c r="S91" s="738"/>
      <c r="T91" s="738"/>
      <c r="U91" s="738"/>
      <c r="V91" s="738"/>
      <c r="W91" s="738"/>
      <c r="X91" s="738"/>
      <c r="Y91" s="765"/>
    </row>
    <row r="92" spans="1:25" x14ac:dyDescent="0.25">
      <c r="A92" s="734"/>
      <c r="B92" s="736"/>
      <c r="C92" s="736"/>
      <c r="D92" s="153" t="s">
        <v>37</v>
      </c>
      <c r="E92" s="233">
        <v>0</v>
      </c>
      <c r="F92" s="227">
        <v>0</v>
      </c>
      <c r="G92" s="227">
        <v>0</v>
      </c>
      <c r="H92" s="227">
        <v>0</v>
      </c>
      <c r="I92" s="156"/>
      <c r="J92" s="227">
        <v>0</v>
      </c>
      <c r="K92" s="250">
        <v>0</v>
      </c>
      <c r="L92" s="227">
        <v>0</v>
      </c>
      <c r="M92" s="249"/>
      <c r="N92" s="738"/>
      <c r="O92" s="738"/>
      <c r="P92" s="738"/>
      <c r="Q92" s="738"/>
      <c r="R92" s="738"/>
      <c r="S92" s="738"/>
      <c r="T92" s="738"/>
      <c r="U92" s="738"/>
      <c r="V92" s="738"/>
      <c r="W92" s="738"/>
      <c r="X92" s="738"/>
      <c r="Y92" s="765"/>
    </row>
    <row r="93" spans="1:25" x14ac:dyDescent="0.25">
      <c r="A93" s="734"/>
      <c r="B93" s="736"/>
      <c r="C93" s="736"/>
      <c r="D93" s="41" t="s">
        <v>38</v>
      </c>
      <c r="E93" s="161">
        <v>0</v>
      </c>
      <c r="F93" s="224">
        <v>0</v>
      </c>
      <c r="G93" s="224">
        <v>0</v>
      </c>
      <c r="H93" s="224">
        <v>0</v>
      </c>
      <c r="I93" s="161"/>
      <c r="J93" s="224">
        <v>0</v>
      </c>
      <c r="K93" s="224">
        <v>0</v>
      </c>
      <c r="L93" s="224">
        <v>0</v>
      </c>
      <c r="M93" s="249"/>
      <c r="N93" s="738"/>
      <c r="O93" s="738"/>
      <c r="P93" s="738"/>
      <c r="Q93" s="738"/>
      <c r="R93" s="738"/>
      <c r="S93" s="738"/>
      <c r="T93" s="738"/>
      <c r="U93" s="738"/>
      <c r="V93" s="738"/>
      <c r="W93" s="738"/>
      <c r="X93" s="738"/>
      <c r="Y93" s="765"/>
    </row>
    <row r="94" spans="1:25" x14ac:dyDescent="0.25">
      <c r="A94" s="734"/>
      <c r="B94" s="736"/>
      <c r="C94" s="741" t="s">
        <v>39</v>
      </c>
      <c r="D94" s="167" t="s">
        <v>106</v>
      </c>
      <c r="E94" s="251">
        <f>E82+E86+E90</f>
        <v>10</v>
      </c>
      <c r="F94" s="251">
        <f>F82+F86+F90</f>
        <v>10</v>
      </c>
      <c r="G94" s="251">
        <f>G82+G86+G90</f>
        <v>10</v>
      </c>
      <c r="H94" s="251">
        <f>+[2]INVERSIÓN!AB52</f>
        <v>10</v>
      </c>
      <c r="I94" s="251"/>
      <c r="J94" s="251">
        <f>J82+J86+J90</f>
        <v>0</v>
      </c>
      <c r="K94" s="78">
        <f>+[2]INVERSIÓN!AL52</f>
        <v>0</v>
      </c>
      <c r="L94" s="252">
        <f>+[2]INVERSIÓN!AM52</f>
        <v>0</v>
      </c>
      <c r="M94" s="253"/>
      <c r="N94" s="738"/>
      <c r="O94" s="738"/>
      <c r="P94" s="738"/>
      <c r="Q94" s="738"/>
      <c r="R94" s="738"/>
      <c r="S94" s="738"/>
      <c r="T94" s="738"/>
      <c r="U94" s="795"/>
      <c r="V94" s="738"/>
      <c r="W94" s="738"/>
      <c r="X94" s="738"/>
      <c r="Y94" s="743"/>
    </row>
    <row r="95" spans="1:25" ht="27.75" thickBot="1" x14ac:dyDescent="0.3">
      <c r="A95" s="734"/>
      <c r="B95" s="736"/>
      <c r="C95" s="742"/>
      <c r="D95" s="172" t="s">
        <v>105</v>
      </c>
      <c r="E95" s="254">
        <f>E83+E87+E91</f>
        <v>201788000</v>
      </c>
      <c r="F95" s="254">
        <f>F85+F89+F93</f>
        <v>105762633</v>
      </c>
      <c r="G95" s="254">
        <f>+G91</f>
        <v>201788000</v>
      </c>
      <c r="H95" s="254">
        <f>+[2]INVERSIÓN!AB53</f>
        <v>204873300</v>
      </c>
      <c r="I95" s="254"/>
      <c r="J95" s="254">
        <f>J83+J87+J91</f>
        <v>136099000</v>
      </c>
      <c r="K95" s="224">
        <f>+[2]INVERSIÓN!AL53</f>
        <v>195099000</v>
      </c>
      <c r="L95" s="224">
        <f>+[2]INVERSIÓN!AM53</f>
        <v>201670300</v>
      </c>
      <c r="M95" s="224"/>
      <c r="N95" s="738"/>
      <c r="O95" s="738"/>
      <c r="P95" s="738"/>
      <c r="Q95" s="738"/>
      <c r="R95" s="738"/>
      <c r="S95" s="738"/>
      <c r="T95" s="738"/>
      <c r="U95" s="796"/>
      <c r="V95" s="738"/>
      <c r="W95" s="738"/>
      <c r="X95" s="738"/>
      <c r="Y95" s="743"/>
    </row>
    <row r="96" spans="1:25" x14ac:dyDescent="0.25">
      <c r="A96" s="733">
        <v>9</v>
      </c>
      <c r="B96" s="735" t="s">
        <v>208</v>
      </c>
      <c r="C96" s="735" t="s">
        <v>371</v>
      </c>
      <c r="D96" s="40" t="s">
        <v>35</v>
      </c>
      <c r="E96" s="255">
        <v>1</v>
      </c>
      <c r="F96" s="255">
        <v>1</v>
      </c>
      <c r="G96" s="11">
        <v>100</v>
      </c>
      <c r="H96" s="11">
        <v>100</v>
      </c>
      <c r="I96" s="145"/>
      <c r="J96" s="11">
        <v>0</v>
      </c>
      <c r="K96" s="11">
        <v>50</v>
      </c>
      <c r="L96" s="11">
        <v>50</v>
      </c>
      <c r="M96" s="256"/>
      <c r="N96" s="737" t="s">
        <v>372</v>
      </c>
      <c r="O96" s="737" t="s">
        <v>373</v>
      </c>
      <c r="P96" s="737" t="s">
        <v>374</v>
      </c>
      <c r="Q96" s="737" t="s">
        <v>298</v>
      </c>
      <c r="R96" s="737" t="s">
        <v>375</v>
      </c>
      <c r="S96" s="754" t="s">
        <v>300</v>
      </c>
      <c r="T96" s="754" t="s">
        <v>300</v>
      </c>
      <c r="U96" s="754" t="s">
        <v>300</v>
      </c>
      <c r="V96" s="754" t="s">
        <v>300</v>
      </c>
      <c r="W96" s="754" t="s">
        <v>300</v>
      </c>
      <c r="X96" s="754" t="s">
        <v>300</v>
      </c>
      <c r="Y96" s="755">
        <v>190309</v>
      </c>
    </row>
    <row r="97" spans="1:25" x14ac:dyDescent="0.25">
      <c r="A97" s="734"/>
      <c r="B97" s="736"/>
      <c r="C97" s="736"/>
      <c r="D97" s="41" t="s">
        <v>36</v>
      </c>
      <c r="E97" s="149">
        <v>314820000</v>
      </c>
      <c r="F97" s="224">
        <v>314820000</v>
      </c>
      <c r="G97" s="224">
        <v>314820000</v>
      </c>
      <c r="H97" s="224">
        <v>787051125</v>
      </c>
      <c r="I97" s="177"/>
      <c r="J97" s="224">
        <v>0</v>
      </c>
      <c r="K97" s="224">
        <v>157410225</v>
      </c>
      <c r="L97" s="224">
        <v>472230675</v>
      </c>
      <c r="M97" s="224"/>
      <c r="N97" s="738"/>
      <c r="O97" s="738"/>
      <c r="P97" s="738"/>
      <c r="Q97" s="738"/>
      <c r="R97" s="738"/>
      <c r="S97" s="732"/>
      <c r="T97" s="732"/>
      <c r="U97" s="732"/>
      <c r="V97" s="732"/>
      <c r="W97" s="732"/>
      <c r="X97" s="732"/>
      <c r="Y97" s="756"/>
    </row>
    <row r="98" spans="1:25" x14ac:dyDescent="0.25">
      <c r="A98" s="734"/>
      <c r="B98" s="736"/>
      <c r="C98" s="736"/>
      <c r="D98" s="153" t="s">
        <v>37</v>
      </c>
      <c r="E98" s="155">
        <v>0</v>
      </c>
      <c r="F98" s="227">
        <v>0</v>
      </c>
      <c r="G98" s="227">
        <v>0</v>
      </c>
      <c r="H98" s="227">
        <v>0</v>
      </c>
      <c r="I98" s="156"/>
      <c r="J98" s="227">
        <v>0</v>
      </c>
      <c r="K98" s="227">
        <v>0</v>
      </c>
      <c r="L98" s="227">
        <v>0</v>
      </c>
      <c r="M98" s="249"/>
      <c r="N98" s="738"/>
      <c r="O98" s="738"/>
      <c r="P98" s="738"/>
      <c r="Q98" s="738"/>
      <c r="R98" s="738"/>
      <c r="S98" s="732"/>
      <c r="T98" s="732"/>
      <c r="U98" s="732"/>
      <c r="V98" s="732"/>
      <c r="W98" s="732"/>
      <c r="X98" s="732"/>
      <c r="Y98" s="756"/>
    </row>
    <row r="99" spans="1:25" x14ac:dyDescent="0.25">
      <c r="A99" s="734"/>
      <c r="B99" s="736"/>
      <c r="C99" s="736"/>
      <c r="D99" s="41" t="s">
        <v>38</v>
      </c>
      <c r="E99" s="161">
        <v>0</v>
      </c>
      <c r="F99" s="224">
        <v>0</v>
      </c>
      <c r="G99" s="224">
        <v>0</v>
      </c>
      <c r="H99" s="224">
        <v>0</v>
      </c>
      <c r="I99" s="161"/>
      <c r="J99" s="224">
        <v>0</v>
      </c>
      <c r="K99" s="224">
        <v>0</v>
      </c>
      <c r="L99" s="224">
        <v>0</v>
      </c>
      <c r="M99" s="249"/>
      <c r="N99" s="738"/>
      <c r="O99" s="738"/>
      <c r="P99" s="738"/>
      <c r="Q99" s="738"/>
      <c r="R99" s="738"/>
      <c r="S99" s="732"/>
      <c r="T99" s="732"/>
      <c r="U99" s="732"/>
      <c r="V99" s="732"/>
      <c r="W99" s="732"/>
      <c r="X99" s="732"/>
      <c r="Y99" s="756"/>
    </row>
    <row r="100" spans="1:25" x14ac:dyDescent="0.25">
      <c r="A100" s="734"/>
      <c r="B100" s="736"/>
      <c r="C100" s="741" t="s">
        <v>39</v>
      </c>
      <c r="D100" s="167" t="s">
        <v>106</v>
      </c>
      <c r="E100" s="257">
        <f t="shared" ref="E100:G101" si="3">E96</f>
        <v>1</v>
      </c>
      <c r="F100" s="257">
        <f t="shared" si="3"/>
        <v>1</v>
      </c>
      <c r="G100" s="258">
        <f t="shared" si="3"/>
        <v>100</v>
      </c>
      <c r="H100" s="259">
        <f>+[2]INVERSIÓN!AB58</f>
        <v>100</v>
      </c>
      <c r="I100" s="257"/>
      <c r="J100" s="257">
        <f>J96</f>
        <v>0</v>
      </c>
      <c r="K100" s="253">
        <f>K96</f>
        <v>50</v>
      </c>
      <c r="L100" s="252">
        <f>+[2]INVERSIÓN!AM58</f>
        <v>55</v>
      </c>
      <c r="M100" s="253"/>
      <c r="N100" s="738"/>
      <c r="O100" s="738"/>
      <c r="P100" s="738"/>
      <c r="Q100" s="738"/>
      <c r="R100" s="738"/>
      <c r="S100" s="738"/>
      <c r="T100" s="738"/>
      <c r="U100" s="795"/>
      <c r="V100" s="738"/>
      <c r="W100" s="738"/>
      <c r="X100" s="738"/>
      <c r="Y100" s="743"/>
    </row>
    <row r="101" spans="1:25" ht="27.75" thickBot="1" x14ac:dyDescent="0.3">
      <c r="A101" s="773"/>
      <c r="B101" s="812"/>
      <c r="C101" s="742"/>
      <c r="D101" s="237" t="s">
        <v>105</v>
      </c>
      <c r="E101" s="260">
        <f t="shared" si="3"/>
        <v>314820000</v>
      </c>
      <c r="F101" s="260">
        <f t="shared" si="3"/>
        <v>314820000</v>
      </c>
      <c r="G101" s="260">
        <f t="shared" si="3"/>
        <v>314820000</v>
      </c>
      <c r="H101" s="260">
        <f>+[2]INVERSIÓN!AB59</f>
        <v>787051125</v>
      </c>
      <c r="I101" s="260"/>
      <c r="J101" s="260">
        <f>J97</f>
        <v>0</v>
      </c>
      <c r="K101" s="261">
        <f>K97</f>
        <v>157410225</v>
      </c>
      <c r="L101" s="261">
        <f>+[2]INVERSIÓN!AM59</f>
        <v>472230675</v>
      </c>
      <c r="M101" s="261"/>
      <c r="N101" s="809"/>
      <c r="O101" s="809"/>
      <c r="P101" s="809"/>
      <c r="Q101" s="809"/>
      <c r="R101" s="809"/>
      <c r="S101" s="809"/>
      <c r="T101" s="809"/>
      <c r="U101" s="810"/>
      <c r="V101" s="809"/>
      <c r="W101" s="809"/>
      <c r="X101" s="809"/>
      <c r="Y101" s="811"/>
    </row>
    <row r="102" spans="1:25" ht="24" x14ac:dyDescent="0.25">
      <c r="A102" s="797" t="s">
        <v>40</v>
      </c>
      <c r="B102" s="798"/>
      <c r="C102" s="799"/>
      <c r="D102" s="262" t="s">
        <v>104</v>
      </c>
      <c r="E102" s="263">
        <f>E101+E95+E81+E63+E53+E47+E41+E27+E17</f>
        <v>9147871000</v>
      </c>
      <c r="F102" s="263">
        <f>F101+F95+F81+F63+F53+F47+F41+F27+F17</f>
        <v>9234186377</v>
      </c>
      <c r="G102" s="264">
        <f>G101+G95+G81+G63+G53+G47+G41+G27+G17</f>
        <v>9147871000</v>
      </c>
      <c r="H102" s="263">
        <f>H101+H95+H81+H63+H53+H47+H41+H27+H17</f>
        <v>9147871000</v>
      </c>
      <c r="I102" s="263"/>
      <c r="J102" s="263">
        <f>J101+J95+J81+J63+J53+J47+J41+J27+J17</f>
        <v>598096000</v>
      </c>
      <c r="K102" s="263">
        <f>K101+K95+K81+K63+K53+K47+K41+K27+K17</f>
        <v>2750334062</v>
      </c>
      <c r="L102" s="263">
        <f>L101+L95+L81+L63+L53+L47+L41+L27+L17</f>
        <v>3140076512</v>
      </c>
      <c r="M102" s="47"/>
      <c r="N102" s="803"/>
      <c r="O102" s="804"/>
      <c r="P102" s="804"/>
      <c r="Q102" s="804"/>
      <c r="R102" s="804"/>
      <c r="S102" s="804"/>
      <c r="T102" s="804"/>
      <c r="U102" s="804"/>
      <c r="V102" s="804"/>
      <c r="W102" s="804"/>
      <c r="X102" s="804"/>
      <c r="Y102" s="805"/>
    </row>
    <row r="103" spans="1:25" ht="24" x14ac:dyDescent="0.25">
      <c r="A103" s="797"/>
      <c r="B103" s="798"/>
      <c r="C103" s="799"/>
      <c r="D103" s="50" t="s">
        <v>103</v>
      </c>
      <c r="E103" s="265">
        <f>E99+E93+E89+E85+E71+E67+E61+E57+E51+E45+E39+E35+E31+E25+E21+E15+E11</f>
        <v>5538997085</v>
      </c>
      <c r="F103" s="265">
        <f>F99+F93+F89+F85+F71+F67+F61+F57+F51+F45+F39+F35+F31+F25+F21+F15+F11</f>
        <v>5538997085</v>
      </c>
      <c r="G103" s="266">
        <f>G99+G93+G89+G85+G71+G67+G61+G57+G51+G45+G39+G35+G31+G25+G21+G15+G11</f>
        <v>5538997085</v>
      </c>
      <c r="H103" s="266">
        <f>H99+H93+H89+H85+H71+H67+H61+H57+H51+H45+H39+H35+H31+H25+H21+H15+H11</f>
        <v>5538985229</v>
      </c>
      <c r="I103" s="265"/>
      <c r="J103" s="265">
        <f>J99+J93+J89+J85+J71+J67+J61+J57+J51+J45+J39+J35+J31+J25+J21+J15+J11</f>
        <v>5041530221</v>
      </c>
      <c r="K103" s="265">
        <f>K99+K93+K89+K85+K71+K67+K61+K57+K51+K45+K39+K35+K31+K25+K21+K15+K11</f>
        <v>5342968104</v>
      </c>
      <c r="L103" s="265">
        <f>L99+L93+L89+L85+L71+L67+L61+L57+L51+L45+L39+L35+L31+L25+L21+L15+L11</f>
        <v>5419626199</v>
      </c>
      <c r="M103" s="51"/>
      <c r="N103" s="803"/>
      <c r="O103" s="804"/>
      <c r="P103" s="804"/>
      <c r="Q103" s="804"/>
      <c r="R103" s="804"/>
      <c r="S103" s="804"/>
      <c r="T103" s="804"/>
      <c r="U103" s="804"/>
      <c r="V103" s="804"/>
      <c r="W103" s="804"/>
      <c r="X103" s="804"/>
      <c r="Y103" s="805"/>
    </row>
    <row r="104" spans="1:25" ht="24.75" thickBot="1" x14ac:dyDescent="0.3">
      <c r="A104" s="800"/>
      <c r="B104" s="801"/>
      <c r="C104" s="802"/>
      <c r="D104" s="49" t="s">
        <v>102</v>
      </c>
      <c r="E104" s="267">
        <f>E103+E102</f>
        <v>14686868085</v>
      </c>
      <c r="F104" s="267">
        <f>F103+F102</f>
        <v>14773183462</v>
      </c>
      <c r="G104" s="267">
        <f>G103+G102</f>
        <v>14686868085</v>
      </c>
      <c r="H104" s="267">
        <f>H103+H102</f>
        <v>14686856229</v>
      </c>
      <c r="I104" s="267"/>
      <c r="J104" s="267">
        <f>J103+J102</f>
        <v>5639626221</v>
      </c>
      <c r="K104" s="267">
        <f>K103+K102</f>
        <v>8093302166</v>
      </c>
      <c r="L104" s="267">
        <f>L103+L102</f>
        <v>8559702711</v>
      </c>
      <c r="M104" s="48"/>
      <c r="N104" s="806"/>
      <c r="O104" s="807"/>
      <c r="P104" s="807"/>
      <c r="Q104" s="807"/>
      <c r="R104" s="807"/>
      <c r="S104" s="807"/>
      <c r="T104" s="807"/>
      <c r="U104" s="807"/>
      <c r="V104" s="807"/>
      <c r="W104" s="807"/>
      <c r="X104" s="807"/>
      <c r="Y104" s="808"/>
    </row>
    <row r="105" spans="1:25" x14ac:dyDescent="0.25">
      <c r="A105" s="4"/>
      <c r="B105" s="21"/>
      <c r="C105" s="21"/>
      <c r="D105" s="21"/>
      <c r="E105" s="4"/>
      <c r="F105" s="4"/>
      <c r="G105" s="4"/>
      <c r="H105" s="4"/>
      <c r="I105" s="4"/>
      <c r="J105" s="4"/>
      <c r="K105" s="4"/>
      <c r="L105" s="4"/>
      <c r="M105" s="4"/>
      <c r="N105" s="4"/>
      <c r="O105" s="4"/>
      <c r="P105" s="4"/>
      <c r="Q105" s="21"/>
      <c r="R105" s="21"/>
      <c r="S105" s="21"/>
      <c r="T105" s="21"/>
      <c r="U105" s="21"/>
      <c r="V105" s="21"/>
      <c r="W105" s="21"/>
      <c r="X105" s="21"/>
      <c r="Y105" s="21"/>
    </row>
    <row r="106" spans="1:25" ht="18" x14ac:dyDescent="0.25">
      <c r="A106" s="4"/>
      <c r="B106" s="21"/>
      <c r="C106" s="21"/>
      <c r="D106" s="21"/>
      <c r="E106" s="4"/>
      <c r="F106" s="4"/>
      <c r="G106" s="4"/>
      <c r="H106" s="4"/>
      <c r="I106" s="4"/>
      <c r="J106" s="4"/>
      <c r="K106" s="4"/>
      <c r="L106" s="4"/>
      <c r="M106" s="4"/>
      <c r="N106" s="4"/>
      <c r="O106" s="4"/>
      <c r="P106" s="4"/>
      <c r="Q106" s="20"/>
      <c r="R106" s="20"/>
      <c r="S106" s="20"/>
      <c r="T106" s="20"/>
      <c r="U106" s="20"/>
      <c r="V106" s="23"/>
      <c r="W106" s="23"/>
      <c r="X106" s="23"/>
      <c r="Y106" s="23"/>
    </row>
    <row r="107" spans="1:25" ht="18" x14ac:dyDescent="0.25">
      <c r="A107" s="58" t="s">
        <v>130</v>
      </c>
      <c r="B107" s="4"/>
      <c r="C107" s="4"/>
      <c r="D107" s="4"/>
      <c r="E107" s="4"/>
      <c r="F107" s="4"/>
      <c r="G107" s="4"/>
      <c r="H107" s="4"/>
      <c r="I107" s="4"/>
      <c r="J107" s="4"/>
      <c r="K107" s="4"/>
      <c r="L107" s="4"/>
      <c r="M107" s="4"/>
      <c r="N107" s="4"/>
      <c r="O107" s="4"/>
      <c r="P107" s="4"/>
      <c r="Q107" s="20"/>
      <c r="R107" s="20"/>
      <c r="S107" s="20"/>
      <c r="T107" s="20"/>
      <c r="U107" s="20"/>
      <c r="V107" s="22"/>
      <c r="W107" s="22"/>
      <c r="X107" s="22"/>
      <c r="Y107" s="22"/>
    </row>
    <row r="108" spans="1:25" ht="18" x14ac:dyDescent="0.25">
      <c r="A108" s="55" t="s">
        <v>131</v>
      </c>
      <c r="B108" s="566" t="s">
        <v>132</v>
      </c>
      <c r="C108" s="566"/>
      <c r="D108" s="566"/>
      <c r="E108" s="566"/>
      <c r="F108" s="567" t="s">
        <v>133</v>
      </c>
      <c r="G108" s="567"/>
      <c r="H108" s="567"/>
      <c r="I108" s="4"/>
      <c r="J108" s="4"/>
      <c r="K108" s="4"/>
      <c r="L108" s="4"/>
      <c r="M108" s="4"/>
      <c r="N108" s="4"/>
      <c r="O108" s="4"/>
      <c r="P108" s="4"/>
      <c r="Q108" s="20"/>
      <c r="R108" s="20"/>
      <c r="S108" s="20"/>
      <c r="T108" s="20"/>
      <c r="U108" s="20"/>
      <c r="V108" s="20"/>
      <c r="W108" s="20"/>
      <c r="X108" s="20"/>
      <c r="Y108" s="20"/>
    </row>
    <row r="109" spans="1:25" x14ac:dyDescent="0.25">
      <c r="A109" s="54">
        <v>11</v>
      </c>
      <c r="B109" s="723" t="s">
        <v>134</v>
      </c>
      <c r="C109" s="723"/>
      <c r="D109" s="723"/>
      <c r="E109" s="723"/>
      <c r="F109" s="723" t="s">
        <v>136</v>
      </c>
      <c r="G109" s="723"/>
      <c r="H109" s="723"/>
      <c r="I109" s="4"/>
      <c r="J109" s="4"/>
      <c r="K109" s="4"/>
      <c r="L109" s="4"/>
      <c r="M109" s="4"/>
      <c r="N109" s="4"/>
      <c r="O109" s="4"/>
      <c r="P109" s="4"/>
      <c r="Q109" s="4"/>
      <c r="R109" s="4"/>
      <c r="S109" s="4"/>
      <c r="T109" s="4"/>
      <c r="U109" s="4"/>
      <c r="V109" s="4"/>
      <c r="W109" s="4"/>
      <c r="X109" s="4"/>
      <c r="Y109" s="4"/>
    </row>
    <row r="110" spans="1:25" x14ac:dyDescent="0.25">
      <c r="E110" s="1"/>
      <c r="F110" s="1"/>
      <c r="G110" s="1"/>
      <c r="H110" s="1"/>
      <c r="I110" s="1"/>
      <c r="J110" s="1"/>
      <c r="K110" s="1"/>
      <c r="L110" s="1"/>
      <c r="M110" s="1"/>
      <c r="N110" s="1"/>
      <c r="O110" s="1"/>
      <c r="P110" s="1"/>
    </row>
    <row r="111" spans="1:25" x14ac:dyDescent="0.25">
      <c r="G111" s="1"/>
      <c r="H111" s="1"/>
      <c r="I111" s="1"/>
      <c r="J111" s="1"/>
      <c r="K111" s="1"/>
      <c r="L111" s="1"/>
    </row>
    <row r="112" spans="1:25"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row r="139" spans="7:12" x14ac:dyDescent="0.25">
      <c r="G139" s="1"/>
      <c r="H139" s="1"/>
      <c r="I139" s="1"/>
      <c r="J139" s="1"/>
      <c r="K139" s="1"/>
      <c r="L139" s="1"/>
    </row>
    <row r="140" spans="7:12" x14ac:dyDescent="0.25">
      <c r="G140" s="1"/>
      <c r="H140" s="1"/>
      <c r="I140" s="1"/>
      <c r="J140" s="1"/>
      <c r="K140" s="1"/>
      <c r="L140" s="1"/>
    </row>
    <row r="141" spans="7:12" x14ac:dyDescent="0.25">
      <c r="G141" s="1"/>
      <c r="H141" s="1"/>
      <c r="I141" s="1"/>
      <c r="J141" s="1"/>
      <c r="K141" s="1"/>
      <c r="L141" s="1"/>
    </row>
    <row r="142" spans="7:12" x14ac:dyDescent="0.25">
      <c r="G142" s="1"/>
      <c r="H142" s="1"/>
      <c r="I142" s="1"/>
      <c r="J142" s="1"/>
      <c r="K142" s="1"/>
      <c r="L142" s="1"/>
    </row>
    <row r="143" spans="7:12" x14ac:dyDescent="0.25">
      <c r="G143" s="1"/>
      <c r="H143" s="1"/>
      <c r="I143" s="1"/>
      <c r="J143" s="1"/>
      <c r="K143" s="1"/>
      <c r="L143" s="1"/>
    </row>
    <row r="144" spans="7:12" x14ac:dyDescent="0.25">
      <c r="G144" s="1"/>
      <c r="H144" s="1"/>
      <c r="I144" s="1"/>
      <c r="J144" s="1"/>
      <c r="K144" s="1"/>
      <c r="L144" s="1"/>
    </row>
    <row r="145" spans="7:12" x14ac:dyDescent="0.25">
      <c r="G145" s="1"/>
      <c r="H145" s="1"/>
      <c r="I145" s="1"/>
      <c r="J145" s="1"/>
      <c r="K145" s="1"/>
      <c r="L145" s="1"/>
    </row>
    <row r="146" spans="7:12" x14ac:dyDescent="0.25">
      <c r="G146" s="1"/>
      <c r="H146" s="1"/>
      <c r="I146" s="1"/>
      <c r="J146" s="1"/>
      <c r="K146" s="1"/>
      <c r="L146" s="1"/>
    </row>
    <row r="147" spans="7:12" x14ac:dyDescent="0.25">
      <c r="G147" s="1"/>
      <c r="H147" s="1"/>
      <c r="I147" s="1"/>
      <c r="J147" s="1"/>
      <c r="K147" s="1"/>
      <c r="L147" s="1"/>
    </row>
    <row r="148" spans="7:12" x14ac:dyDescent="0.25">
      <c r="G148" s="1"/>
      <c r="H148" s="1"/>
      <c r="I148" s="1"/>
      <c r="J148" s="1"/>
      <c r="K148" s="1"/>
      <c r="L148" s="1"/>
    </row>
    <row r="149" spans="7:12" x14ac:dyDescent="0.25">
      <c r="G149" s="1"/>
      <c r="H149" s="1"/>
      <c r="I149" s="1"/>
      <c r="J149" s="1"/>
      <c r="K149" s="1"/>
      <c r="L149" s="1"/>
    </row>
    <row r="150" spans="7:12" x14ac:dyDescent="0.25">
      <c r="G150" s="1"/>
      <c r="H150" s="1"/>
      <c r="I150" s="1"/>
      <c r="J150" s="1"/>
      <c r="K150" s="1"/>
      <c r="L150" s="1"/>
    </row>
    <row r="151" spans="7:12" x14ac:dyDescent="0.25">
      <c r="G151" s="1"/>
      <c r="H151" s="1"/>
      <c r="I151" s="1"/>
      <c r="J151" s="1"/>
      <c r="K151" s="1"/>
      <c r="L151" s="1"/>
    </row>
    <row r="152" spans="7:12" x14ac:dyDescent="0.25">
      <c r="G152" s="1"/>
      <c r="H152" s="1"/>
      <c r="I152" s="1"/>
      <c r="J152" s="1"/>
      <c r="K152" s="1"/>
      <c r="L152" s="1"/>
    </row>
    <row r="153" spans="7:12" x14ac:dyDescent="0.25">
      <c r="G153" s="1"/>
      <c r="H153" s="1"/>
      <c r="I153" s="1"/>
      <c r="J153" s="1"/>
      <c r="K153" s="1"/>
      <c r="L153" s="1"/>
    </row>
    <row r="154" spans="7:12" x14ac:dyDescent="0.25">
      <c r="G154" s="1"/>
      <c r="H154" s="1"/>
      <c r="I154" s="1"/>
      <c r="J154" s="1"/>
      <c r="K154" s="1"/>
      <c r="L154" s="1"/>
    </row>
    <row r="155" spans="7:12" x14ac:dyDescent="0.25">
      <c r="G155" s="1"/>
      <c r="H155" s="1"/>
      <c r="I155" s="1"/>
      <c r="J155" s="1"/>
      <c r="K155" s="1"/>
      <c r="L155" s="1"/>
    </row>
    <row r="156" spans="7:12" x14ac:dyDescent="0.25">
      <c r="G156" s="1"/>
      <c r="H156" s="1"/>
      <c r="I156" s="1"/>
      <c r="J156" s="1"/>
      <c r="K156" s="1"/>
      <c r="L156" s="1"/>
    </row>
    <row r="157" spans="7:12" x14ac:dyDescent="0.25">
      <c r="G157" s="1"/>
      <c r="H157" s="1"/>
      <c r="I157" s="1"/>
      <c r="J157" s="1"/>
      <c r="K157" s="1"/>
      <c r="L157" s="1"/>
    </row>
    <row r="158" spans="7:12" x14ac:dyDescent="0.25">
      <c r="G158" s="1"/>
      <c r="H158" s="1"/>
      <c r="I158" s="1"/>
      <c r="J158" s="1"/>
      <c r="K158" s="1"/>
      <c r="L158" s="1"/>
    </row>
    <row r="159" spans="7:12" x14ac:dyDescent="0.25">
      <c r="G159" s="1"/>
      <c r="H159" s="1"/>
      <c r="I159" s="1"/>
      <c r="J159" s="1"/>
      <c r="K159" s="1"/>
      <c r="L159" s="1"/>
    </row>
    <row r="160" spans="7:12" x14ac:dyDescent="0.25">
      <c r="G160" s="1"/>
      <c r="H160" s="1"/>
      <c r="I160" s="1"/>
      <c r="J160" s="1"/>
      <c r="K160" s="1"/>
      <c r="L160" s="1"/>
    </row>
    <row r="161" spans="7:12" x14ac:dyDescent="0.25">
      <c r="G161" s="1"/>
      <c r="H161" s="1"/>
      <c r="I161" s="1"/>
      <c r="J161" s="1"/>
      <c r="K161" s="1"/>
      <c r="L161" s="1"/>
    </row>
    <row r="162" spans="7:12" x14ac:dyDescent="0.25">
      <c r="G162" s="1"/>
      <c r="H162" s="1"/>
      <c r="I162" s="1"/>
      <c r="J162" s="1"/>
      <c r="K162" s="1"/>
      <c r="L162" s="1"/>
    </row>
    <row r="163" spans="7:12" x14ac:dyDescent="0.25">
      <c r="G163" s="1"/>
      <c r="H163" s="1"/>
      <c r="I163" s="1"/>
      <c r="J163" s="1"/>
      <c r="K163" s="1"/>
      <c r="L163" s="1"/>
    </row>
    <row r="164" spans="7:12" x14ac:dyDescent="0.25">
      <c r="G164" s="1"/>
      <c r="H164" s="1"/>
      <c r="I164" s="1"/>
      <c r="J164" s="1"/>
      <c r="K164" s="1"/>
      <c r="L164" s="1"/>
    </row>
    <row r="165" spans="7:12" x14ac:dyDescent="0.25">
      <c r="G165" s="1"/>
      <c r="H165" s="1"/>
      <c r="I165" s="1"/>
      <c r="J165" s="1"/>
      <c r="K165" s="1"/>
      <c r="L165" s="1"/>
    </row>
    <row r="166" spans="7:12" x14ac:dyDescent="0.25">
      <c r="G166" s="1"/>
      <c r="H166" s="1"/>
      <c r="I166" s="1"/>
      <c r="J166" s="1"/>
      <c r="K166" s="1"/>
      <c r="L166" s="1"/>
    </row>
    <row r="167" spans="7:12" x14ac:dyDescent="0.25">
      <c r="G167" s="1"/>
      <c r="H167" s="1"/>
      <c r="I167" s="1"/>
      <c r="J167" s="1"/>
      <c r="K167" s="1"/>
      <c r="L167" s="1"/>
    </row>
    <row r="168" spans="7:12" x14ac:dyDescent="0.25">
      <c r="G168" s="1"/>
      <c r="H168" s="1"/>
      <c r="I168" s="1"/>
      <c r="J168" s="1"/>
      <c r="K168" s="1"/>
      <c r="L168" s="1"/>
    </row>
    <row r="169" spans="7:12" x14ac:dyDescent="0.25">
      <c r="G169" s="1"/>
      <c r="H169" s="1"/>
      <c r="I169" s="1"/>
      <c r="J169" s="1"/>
      <c r="K169" s="1"/>
      <c r="L169" s="1"/>
    </row>
    <row r="170" spans="7:12" x14ac:dyDescent="0.25">
      <c r="G170" s="1"/>
      <c r="H170" s="1"/>
      <c r="I170" s="1"/>
      <c r="J170" s="1"/>
      <c r="K170" s="1"/>
      <c r="L170" s="1"/>
    </row>
    <row r="171" spans="7:12" x14ac:dyDescent="0.25">
      <c r="G171" s="1"/>
      <c r="H171" s="1"/>
      <c r="I171" s="1"/>
      <c r="J171" s="1"/>
      <c r="K171" s="1"/>
      <c r="L171" s="1"/>
    </row>
    <row r="172" spans="7:12" x14ac:dyDescent="0.25">
      <c r="G172" s="1"/>
      <c r="H172" s="1"/>
      <c r="I172" s="1"/>
      <c r="J172" s="1"/>
      <c r="K172" s="1"/>
      <c r="L172" s="1"/>
    </row>
    <row r="173" spans="7:12" x14ac:dyDescent="0.25">
      <c r="G173" s="1"/>
      <c r="H173" s="1"/>
      <c r="I173" s="1"/>
      <c r="J173" s="1"/>
      <c r="K173" s="1"/>
      <c r="L173" s="1"/>
    </row>
    <row r="174" spans="7:12" x14ac:dyDescent="0.25">
      <c r="G174" s="1"/>
      <c r="H174" s="1"/>
      <c r="I174" s="1"/>
      <c r="J174" s="1"/>
      <c r="K174" s="1"/>
      <c r="L174" s="1"/>
    </row>
    <row r="175" spans="7:12" x14ac:dyDescent="0.25">
      <c r="G175" s="1"/>
      <c r="H175" s="1"/>
      <c r="I175" s="1"/>
      <c r="J175" s="1"/>
      <c r="K175" s="1"/>
      <c r="L175" s="1"/>
    </row>
    <row r="176" spans="7:12" x14ac:dyDescent="0.25">
      <c r="G176" s="1"/>
      <c r="H176" s="1"/>
      <c r="I176" s="1"/>
      <c r="J176" s="1"/>
      <c r="K176" s="1"/>
      <c r="L176" s="1"/>
    </row>
    <row r="177" spans="7:12" x14ac:dyDescent="0.25">
      <c r="G177" s="1"/>
      <c r="H177" s="1"/>
      <c r="I177" s="1"/>
      <c r="J177" s="1"/>
      <c r="K177" s="1"/>
      <c r="L177" s="1"/>
    </row>
    <row r="178" spans="7:12" x14ac:dyDescent="0.25">
      <c r="G178" s="1"/>
      <c r="H178" s="1"/>
      <c r="I178" s="1"/>
      <c r="J178" s="1"/>
      <c r="K178" s="1"/>
      <c r="L178" s="1"/>
    </row>
    <row r="179" spans="7:12" x14ac:dyDescent="0.25">
      <c r="G179" s="1"/>
      <c r="H179" s="1"/>
      <c r="I179" s="1"/>
      <c r="J179" s="1"/>
      <c r="K179" s="1"/>
      <c r="L179" s="1"/>
    </row>
    <row r="180" spans="7:12" x14ac:dyDescent="0.25">
      <c r="G180" s="1"/>
      <c r="H180" s="1"/>
      <c r="I180" s="1"/>
      <c r="J180" s="1"/>
      <c r="K180" s="1"/>
      <c r="L180" s="1"/>
    </row>
    <row r="181" spans="7:12" x14ac:dyDescent="0.25">
      <c r="G181" s="1"/>
      <c r="H181" s="1"/>
      <c r="I181" s="1"/>
      <c r="J181" s="1"/>
      <c r="K181" s="1"/>
      <c r="L181" s="1"/>
    </row>
    <row r="182" spans="7:12" x14ac:dyDescent="0.25">
      <c r="G182" s="1"/>
      <c r="H182" s="1"/>
      <c r="I182" s="1"/>
      <c r="J182" s="1"/>
      <c r="K182" s="1"/>
      <c r="L182" s="1"/>
    </row>
    <row r="183" spans="7:12" x14ac:dyDescent="0.25">
      <c r="G183" s="1"/>
      <c r="H183" s="1"/>
      <c r="I183" s="1"/>
      <c r="J183" s="1"/>
      <c r="K183" s="1"/>
      <c r="L183" s="1"/>
    </row>
    <row r="184" spans="7:12" x14ac:dyDescent="0.25">
      <c r="G184" s="1"/>
      <c r="H184" s="1"/>
      <c r="I184" s="1"/>
      <c r="J184" s="1"/>
      <c r="K184" s="1"/>
      <c r="L184" s="1"/>
    </row>
    <row r="185" spans="7:12" x14ac:dyDescent="0.25">
      <c r="G185" s="1"/>
      <c r="H185" s="1"/>
      <c r="I185" s="1"/>
      <c r="J185" s="1"/>
      <c r="K185" s="1"/>
      <c r="L185" s="1"/>
    </row>
    <row r="186" spans="7:12" x14ac:dyDescent="0.25">
      <c r="G186" s="1"/>
      <c r="H186" s="1"/>
      <c r="I186" s="1"/>
      <c r="J186" s="1"/>
      <c r="K186" s="1"/>
      <c r="L186" s="1"/>
    </row>
    <row r="187" spans="7:12" x14ac:dyDescent="0.25">
      <c r="G187" s="1"/>
      <c r="H187" s="1"/>
      <c r="I187" s="1"/>
      <c r="J187" s="1"/>
      <c r="K187" s="1"/>
      <c r="L187" s="1"/>
    </row>
    <row r="188" spans="7:12" x14ac:dyDescent="0.25">
      <c r="G188" s="1"/>
      <c r="H188" s="1"/>
      <c r="I188" s="1"/>
      <c r="J188" s="1"/>
      <c r="K188" s="1"/>
      <c r="L188" s="1"/>
    </row>
    <row r="189" spans="7:12" x14ac:dyDescent="0.25">
      <c r="G189" s="1"/>
      <c r="H189" s="1"/>
      <c r="I189" s="1"/>
      <c r="J189" s="1"/>
      <c r="K189" s="1"/>
      <c r="L189" s="1"/>
    </row>
    <row r="190" spans="7:12" x14ac:dyDescent="0.25">
      <c r="G190" s="1"/>
      <c r="H190" s="1"/>
      <c r="I190" s="1"/>
      <c r="J190" s="1"/>
      <c r="K190" s="1"/>
      <c r="L190" s="1"/>
    </row>
    <row r="191" spans="7:12" x14ac:dyDescent="0.25">
      <c r="G191" s="1"/>
      <c r="H191" s="1"/>
      <c r="I191" s="1"/>
      <c r="J191" s="1"/>
      <c r="K191" s="1"/>
      <c r="L191" s="1"/>
    </row>
    <row r="192" spans="7:12" x14ac:dyDescent="0.25">
      <c r="G192" s="1"/>
      <c r="H192" s="1"/>
      <c r="I192" s="1"/>
      <c r="J192" s="1"/>
      <c r="K192" s="1"/>
      <c r="L192" s="1"/>
    </row>
    <row r="193" spans="7:12" x14ac:dyDescent="0.25">
      <c r="G193" s="1"/>
      <c r="H193" s="1"/>
      <c r="I193" s="1"/>
      <c r="J193" s="1"/>
      <c r="K193" s="1"/>
      <c r="L193" s="1"/>
    </row>
    <row r="194" spans="7:12" x14ac:dyDescent="0.25">
      <c r="G194" s="1"/>
      <c r="H194" s="1"/>
      <c r="I194" s="1"/>
      <c r="J194" s="1"/>
      <c r="K194" s="1"/>
      <c r="L194" s="1"/>
    </row>
    <row r="195" spans="7:12" x14ac:dyDescent="0.25">
      <c r="G195" s="1"/>
      <c r="H195" s="1"/>
      <c r="I195" s="1"/>
      <c r="J195" s="1"/>
      <c r="K195" s="1"/>
      <c r="L195" s="1"/>
    </row>
    <row r="196" spans="7:12" x14ac:dyDescent="0.25">
      <c r="G196" s="1"/>
      <c r="H196" s="1"/>
      <c r="I196" s="1"/>
      <c r="J196" s="1"/>
      <c r="K196" s="1"/>
      <c r="L196" s="1"/>
    </row>
    <row r="197" spans="7:12" x14ac:dyDescent="0.25">
      <c r="G197" s="1"/>
      <c r="H197" s="1"/>
      <c r="I197" s="1"/>
      <c r="J197" s="1"/>
      <c r="K197" s="1"/>
      <c r="L197" s="1"/>
    </row>
    <row r="198" spans="7:12" x14ac:dyDescent="0.25">
      <c r="G198" s="1"/>
      <c r="H198" s="1"/>
      <c r="I198" s="1"/>
      <c r="J198" s="1"/>
      <c r="K198" s="1"/>
      <c r="L198" s="1"/>
    </row>
    <row r="199" spans="7:12" x14ac:dyDescent="0.25">
      <c r="G199" s="1"/>
      <c r="H199" s="1"/>
      <c r="I199" s="1"/>
      <c r="J199" s="1"/>
      <c r="K199" s="1"/>
      <c r="L199" s="1"/>
    </row>
    <row r="200" spans="7:12" x14ac:dyDescent="0.25">
      <c r="G200" s="1"/>
      <c r="H200" s="1"/>
      <c r="I200" s="1"/>
      <c r="J200" s="1"/>
      <c r="K200" s="1"/>
      <c r="L200" s="1"/>
    </row>
    <row r="201" spans="7:12" x14ac:dyDescent="0.25">
      <c r="G201" s="1"/>
      <c r="H201" s="1"/>
      <c r="I201" s="1"/>
      <c r="J201" s="1"/>
      <c r="K201" s="1"/>
      <c r="L201" s="1"/>
    </row>
    <row r="202" spans="7:12" x14ac:dyDescent="0.25">
      <c r="G202" s="1"/>
      <c r="H202" s="1"/>
      <c r="I202" s="1"/>
      <c r="J202" s="1"/>
      <c r="K202" s="1"/>
      <c r="L202" s="1"/>
    </row>
    <row r="203" spans="7:12" x14ac:dyDescent="0.25">
      <c r="G203" s="1"/>
      <c r="H203" s="1"/>
      <c r="I203" s="1"/>
      <c r="J203" s="1"/>
      <c r="K203" s="1"/>
      <c r="L203" s="1"/>
    </row>
    <row r="204" spans="7:12" x14ac:dyDescent="0.25">
      <c r="G204" s="1"/>
      <c r="H204" s="1"/>
      <c r="I204" s="1"/>
      <c r="J204" s="1"/>
      <c r="K204" s="1"/>
      <c r="L204" s="1"/>
    </row>
    <row r="205" spans="7:12" x14ac:dyDescent="0.25">
      <c r="G205" s="1"/>
      <c r="H205" s="1"/>
      <c r="I205" s="1"/>
      <c r="J205" s="1"/>
      <c r="K205" s="1"/>
      <c r="L205" s="1"/>
    </row>
    <row r="206" spans="7:12" x14ac:dyDescent="0.25">
      <c r="G206" s="1"/>
      <c r="H206" s="1"/>
      <c r="I206" s="1"/>
      <c r="J206" s="1"/>
      <c r="K206" s="1"/>
      <c r="L206" s="1"/>
    </row>
    <row r="207" spans="7:12" x14ac:dyDescent="0.25">
      <c r="G207" s="1"/>
      <c r="H207" s="1"/>
      <c r="I207" s="1"/>
      <c r="J207" s="1"/>
      <c r="K207" s="1"/>
      <c r="L207" s="1"/>
    </row>
    <row r="208" spans="7:12" x14ac:dyDescent="0.25">
      <c r="G208" s="1"/>
      <c r="H208" s="1"/>
      <c r="I208" s="1"/>
      <c r="J208" s="1"/>
      <c r="K208" s="1"/>
      <c r="L208" s="1"/>
    </row>
    <row r="209" spans="7:12" x14ac:dyDescent="0.25">
      <c r="G209" s="1"/>
      <c r="H209" s="1"/>
      <c r="I209" s="1"/>
      <c r="J209" s="1"/>
      <c r="K209" s="1"/>
      <c r="L209" s="1"/>
    </row>
    <row r="210" spans="7:12" x14ac:dyDescent="0.25">
      <c r="G210" s="1"/>
      <c r="H210" s="1"/>
      <c r="I210" s="1"/>
      <c r="J210" s="1"/>
      <c r="K210" s="1"/>
      <c r="L210" s="1"/>
    </row>
    <row r="211" spans="7:12" x14ac:dyDescent="0.25">
      <c r="G211" s="1"/>
      <c r="H211" s="1"/>
      <c r="I211" s="1"/>
      <c r="J211" s="1"/>
      <c r="K211" s="1"/>
      <c r="L211" s="1"/>
    </row>
    <row r="212" spans="7:12" x14ac:dyDescent="0.25">
      <c r="G212" s="1"/>
      <c r="H212" s="1"/>
      <c r="I212" s="1"/>
      <c r="J212" s="1"/>
      <c r="K212" s="1"/>
      <c r="L212" s="1"/>
    </row>
    <row r="213" spans="7:12" x14ac:dyDescent="0.25">
      <c r="G213" s="1"/>
      <c r="H213" s="1"/>
      <c r="I213" s="1"/>
      <c r="J213" s="1"/>
      <c r="K213" s="1"/>
      <c r="L213" s="1"/>
    </row>
    <row r="214" spans="7:12" x14ac:dyDescent="0.25">
      <c r="G214" s="1"/>
      <c r="H214" s="1"/>
      <c r="I214" s="1"/>
      <c r="J214" s="1"/>
      <c r="K214" s="1"/>
      <c r="L214" s="1"/>
    </row>
    <row r="215" spans="7:12" x14ac:dyDescent="0.25">
      <c r="G215" s="1"/>
      <c r="H215" s="1"/>
      <c r="I215" s="1"/>
      <c r="J215" s="1"/>
      <c r="K215" s="1"/>
      <c r="L215" s="1"/>
    </row>
    <row r="216" spans="7:12" x14ac:dyDescent="0.25">
      <c r="G216" s="1"/>
      <c r="H216" s="1"/>
      <c r="I216" s="1"/>
      <c r="J216" s="1"/>
      <c r="K216" s="1"/>
      <c r="L216" s="1"/>
    </row>
    <row r="217" spans="7:12" x14ac:dyDescent="0.25">
      <c r="G217" s="1"/>
      <c r="H217" s="1"/>
      <c r="I217" s="1"/>
      <c r="J217" s="1"/>
      <c r="K217" s="1"/>
      <c r="L217" s="1"/>
    </row>
    <row r="218" spans="7:12" x14ac:dyDescent="0.25">
      <c r="G218" s="1"/>
      <c r="H218" s="1"/>
      <c r="I218" s="1"/>
      <c r="J218" s="1"/>
      <c r="K218" s="1"/>
      <c r="L218" s="1"/>
    </row>
    <row r="219" spans="7:12" x14ac:dyDescent="0.25">
      <c r="G219" s="1"/>
      <c r="H219" s="1"/>
      <c r="I219" s="1"/>
      <c r="J219" s="1"/>
      <c r="K219" s="1"/>
      <c r="L219" s="1"/>
    </row>
    <row r="220" spans="7:12" x14ac:dyDescent="0.25">
      <c r="G220" s="1"/>
      <c r="H220" s="1"/>
      <c r="I220" s="1"/>
      <c r="J220" s="1"/>
      <c r="K220" s="1"/>
      <c r="L220" s="1"/>
    </row>
    <row r="221" spans="7:12" x14ac:dyDescent="0.25">
      <c r="G221" s="1"/>
      <c r="H221" s="1"/>
      <c r="I221" s="1"/>
      <c r="J221" s="1"/>
      <c r="K221" s="1"/>
      <c r="L221" s="1"/>
    </row>
    <row r="222" spans="7:12" x14ac:dyDescent="0.25">
      <c r="G222" s="1"/>
      <c r="H222" s="1"/>
      <c r="I222" s="1"/>
      <c r="J222" s="1"/>
      <c r="K222" s="1"/>
      <c r="L222" s="1"/>
    </row>
    <row r="223" spans="7:12" x14ac:dyDescent="0.25">
      <c r="G223" s="1"/>
      <c r="H223" s="1"/>
      <c r="I223" s="1"/>
      <c r="J223" s="1"/>
      <c r="K223" s="1"/>
      <c r="L223" s="1"/>
    </row>
    <row r="224" spans="7:12" x14ac:dyDescent="0.25">
      <c r="G224" s="1"/>
      <c r="H224" s="1"/>
      <c r="I224" s="1"/>
      <c r="J224" s="1"/>
      <c r="K224" s="1"/>
      <c r="L224" s="1"/>
    </row>
    <row r="225" spans="7:12" x14ac:dyDescent="0.25">
      <c r="G225" s="1"/>
      <c r="H225" s="1"/>
      <c r="I225" s="1"/>
      <c r="J225" s="1"/>
      <c r="K225" s="1"/>
      <c r="L225" s="1"/>
    </row>
    <row r="226" spans="7:12" x14ac:dyDescent="0.25">
      <c r="G226" s="1"/>
      <c r="H226" s="1"/>
      <c r="I226" s="1"/>
      <c r="J226" s="1"/>
      <c r="K226" s="1"/>
      <c r="L226" s="1"/>
    </row>
    <row r="227" spans="7:12" x14ac:dyDescent="0.25">
      <c r="G227" s="1"/>
      <c r="H227" s="1"/>
      <c r="I227" s="1"/>
      <c r="J227" s="1"/>
      <c r="K227" s="1"/>
      <c r="L227" s="1"/>
    </row>
    <row r="228" spans="7:12" x14ac:dyDescent="0.25">
      <c r="G228" s="1"/>
      <c r="H228" s="1"/>
      <c r="I228" s="1"/>
      <c r="J228" s="1"/>
      <c r="K228" s="1"/>
      <c r="L228" s="1"/>
    </row>
    <row r="229" spans="7:12" x14ac:dyDescent="0.25">
      <c r="G229" s="1"/>
      <c r="H229" s="1"/>
      <c r="I229" s="1"/>
      <c r="J229" s="1"/>
      <c r="K229" s="1"/>
      <c r="L229" s="1"/>
    </row>
    <row r="230" spans="7:12" x14ac:dyDescent="0.25">
      <c r="G230" s="1"/>
      <c r="H230" s="1"/>
      <c r="I230" s="1"/>
      <c r="J230" s="1"/>
      <c r="K230" s="1"/>
      <c r="L230" s="1"/>
    </row>
    <row r="231" spans="7:12" x14ac:dyDescent="0.25">
      <c r="G231" s="1"/>
      <c r="H231" s="1"/>
      <c r="I231" s="1"/>
      <c r="J231" s="1"/>
      <c r="K231" s="1"/>
      <c r="L231" s="1"/>
    </row>
    <row r="232" spans="7:12" x14ac:dyDescent="0.25">
      <c r="G232" s="1"/>
      <c r="H232" s="1"/>
      <c r="I232" s="1"/>
      <c r="J232" s="1"/>
      <c r="K232" s="1"/>
      <c r="L232" s="1"/>
    </row>
    <row r="233" spans="7:12" x14ac:dyDescent="0.25">
      <c r="G233" s="1"/>
      <c r="H233" s="1"/>
      <c r="I233" s="1"/>
      <c r="J233" s="1"/>
      <c r="K233" s="1"/>
      <c r="L233" s="1"/>
    </row>
    <row r="234" spans="7:12" x14ac:dyDescent="0.25">
      <c r="G234" s="1"/>
      <c r="H234" s="1"/>
      <c r="I234" s="1"/>
      <c r="J234" s="1"/>
      <c r="K234" s="1"/>
      <c r="L234" s="1"/>
    </row>
    <row r="235" spans="7:12" x14ac:dyDescent="0.25">
      <c r="G235" s="1"/>
      <c r="H235" s="1"/>
      <c r="I235" s="1"/>
      <c r="J235" s="1"/>
      <c r="K235" s="1"/>
      <c r="L235" s="1"/>
    </row>
    <row r="236" spans="7:12" x14ac:dyDescent="0.25">
      <c r="G236" s="1"/>
      <c r="H236" s="1"/>
      <c r="I236" s="1"/>
      <c r="J236" s="1"/>
      <c r="K236" s="1"/>
      <c r="L236" s="1"/>
    </row>
    <row r="237" spans="7:12" x14ac:dyDescent="0.25">
      <c r="G237" s="1"/>
      <c r="H237" s="1"/>
      <c r="I237" s="1"/>
      <c r="J237" s="1"/>
      <c r="K237" s="1"/>
      <c r="L237" s="1"/>
    </row>
    <row r="238" spans="7:12" x14ac:dyDescent="0.25">
      <c r="G238" s="1"/>
      <c r="H238" s="1"/>
      <c r="I238" s="1"/>
      <c r="J238" s="1"/>
      <c r="K238" s="1"/>
      <c r="L238" s="1"/>
    </row>
    <row r="239" spans="7:12" x14ac:dyDescent="0.25">
      <c r="G239" s="1"/>
      <c r="H239" s="1"/>
      <c r="I239" s="1"/>
      <c r="J239" s="1"/>
      <c r="K239" s="1"/>
      <c r="L239" s="1"/>
    </row>
    <row r="240" spans="7:12" x14ac:dyDescent="0.25">
      <c r="G240" s="1"/>
      <c r="H240" s="1"/>
      <c r="I240" s="1"/>
      <c r="J240" s="1"/>
      <c r="K240" s="1"/>
      <c r="L240" s="1"/>
    </row>
    <row r="241" spans="7:12" x14ac:dyDescent="0.25">
      <c r="G241" s="1"/>
      <c r="H241" s="1"/>
      <c r="I241" s="1"/>
      <c r="J241" s="1"/>
      <c r="K241" s="1"/>
      <c r="L241" s="1"/>
    </row>
    <row r="242" spans="7:12" x14ac:dyDescent="0.25">
      <c r="G242" s="1"/>
      <c r="H242" s="1"/>
      <c r="I242" s="1"/>
      <c r="J242" s="1"/>
      <c r="K242" s="1"/>
      <c r="L242" s="1"/>
    </row>
    <row r="243" spans="7:12" x14ac:dyDescent="0.25">
      <c r="G243" s="1"/>
      <c r="H243" s="1"/>
      <c r="I243" s="1"/>
      <c r="J243" s="1"/>
      <c r="K243" s="1"/>
      <c r="L243" s="1"/>
    </row>
    <row r="244" spans="7:12" x14ac:dyDescent="0.25">
      <c r="G244" s="1"/>
      <c r="H244" s="1"/>
      <c r="I244" s="1"/>
      <c r="J244" s="1"/>
      <c r="K244" s="1"/>
      <c r="L244" s="1"/>
    </row>
    <row r="245" spans="7:12" x14ac:dyDescent="0.25">
      <c r="G245" s="1"/>
      <c r="H245" s="1"/>
      <c r="I245" s="1"/>
      <c r="J245" s="1"/>
      <c r="K245" s="1"/>
      <c r="L245" s="1"/>
    </row>
    <row r="246" spans="7:12" x14ac:dyDescent="0.25">
      <c r="G246" s="1"/>
      <c r="H246" s="1"/>
      <c r="I246" s="1"/>
      <c r="J246" s="1"/>
      <c r="K246" s="1"/>
      <c r="L246" s="1"/>
    </row>
    <row r="247" spans="7:12" x14ac:dyDescent="0.25">
      <c r="G247" s="1"/>
      <c r="H247" s="1"/>
      <c r="I247" s="1"/>
      <c r="J247" s="1"/>
      <c r="K247" s="1"/>
      <c r="L247" s="1"/>
    </row>
    <row r="248" spans="7:12" x14ac:dyDescent="0.25">
      <c r="G248" s="1"/>
      <c r="H248" s="1"/>
      <c r="I248" s="1"/>
      <c r="J248" s="1"/>
      <c r="K248" s="1"/>
      <c r="L248" s="1"/>
    </row>
    <row r="249" spans="7:12" x14ac:dyDescent="0.25">
      <c r="G249" s="1"/>
      <c r="H249" s="1"/>
      <c r="I249" s="1"/>
      <c r="J249" s="1"/>
      <c r="K249" s="1"/>
      <c r="L249" s="1"/>
    </row>
    <row r="250" spans="7:12" x14ac:dyDescent="0.25">
      <c r="G250" s="1"/>
      <c r="H250" s="1"/>
      <c r="I250" s="1"/>
      <c r="J250" s="1"/>
      <c r="K250" s="1"/>
      <c r="L250" s="1"/>
    </row>
    <row r="251" spans="7:12" x14ac:dyDescent="0.25">
      <c r="G251" s="1"/>
      <c r="H251" s="1"/>
      <c r="I251" s="1"/>
      <c r="J251" s="1"/>
      <c r="K251" s="1"/>
      <c r="L251" s="1"/>
    </row>
    <row r="252" spans="7:12" x14ac:dyDescent="0.25">
      <c r="G252" s="1"/>
      <c r="H252" s="1"/>
      <c r="I252" s="1"/>
      <c r="J252" s="1"/>
      <c r="K252" s="1"/>
      <c r="L252" s="1"/>
    </row>
    <row r="253" spans="7:12" x14ac:dyDescent="0.25">
      <c r="G253" s="1"/>
      <c r="H253" s="1"/>
      <c r="I253" s="1"/>
      <c r="J253" s="1"/>
      <c r="K253" s="1"/>
      <c r="L253" s="1"/>
    </row>
    <row r="254" spans="7:12" x14ac:dyDescent="0.25">
      <c r="G254" s="1"/>
      <c r="H254" s="1"/>
      <c r="I254" s="1"/>
      <c r="J254" s="1"/>
      <c r="K254" s="1"/>
      <c r="L254" s="1"/>
    </row>
    <row r="255" spans="7:12" x14ac:dyDescent="0.25">
      <c r="G255" s="1"/>
      <c r="H255" s="1"/>
      <c r="I255" s="1"/>
      <c r="J255" s="1"/>
      <c r="K255" s="1"/>
      <c r="L255" s="1"/>
    </row>
    <row r="256" spans="7:12" x14ac:dyDescent="0.25">
      <c r="G256" s="1"/>
      <c r="H256" s="1"/>
      <c r="I256" s="1"/>
      <c r="J256" s="1"/>
      <c r="K256" s="1"/>
      <c r="L256" s="1"/>
    </row>
    <row r="257" spans="7:12" x14ac:dyDescent="0.25">
      <c r="G257" s="1"/>
      <c r="H257" s="1"/>
      <c r="I257" s="1"/>
      <c r="J257" s="1"/>
      <c r="K257" s="1"/>
      <c r="L257" s="1"/>
    </row>
    <row r="258" spans="7:12" x14ac:dyDescent="0.25">
      <c r="G258" s="1"/>
      <c r="H258" s="1"/>
      <c r="I258" s="1"/>
      <c r="J258" s="1"/>
      <c r="K258" s="1"/>
      <c r="L258" s="1"/>
    </row>
    <row r="259" spans="7:12" x14ac:dyDescent="0.25">
      <c r="G259" s="1"/>
      <c r="H259" s="1"/>
      <c r="I259" s="1"/>
      <c r="J259" s="1"/>
      <c r="K259" s="1"/>
      <c r="L259" s="1"/>
    </row>
    <row r="260" spans="7:12" x14ac:dyDescent="0.25">
      <c r="G260" s="1"/>
      <c r="H260" s="1"/>
      <c r="I260" s="1"/>
      <c r="J260" s="1"/>
      <c r="K260" s="1"/>
      <c r="L260" s="1"/>
    </row>
    <row r="261" spans="7:12" x14ac:dyDescent="0.25">
      <c r="G261" s="1"/>
      <c r="H261" s="1"/>
      <c r="I261" s="1"/>
      <c r="J261" s="1"/>
      <c r="K261" s="1"/>
      <c r="L261" s="1"/>
    </row>
    <row r="262" spans="7:12" x14ac:dyDescent="0.25">
      <c r="G262" s="1"/>
      <c r="H262" s="1"/>
      <c r="I262" s="1"/>
      <c r="J262" s="1"/>
      <c r="K262" s="1"/>
      <c r="L262" s="1"/>
    </row>
    <row r="263" spans="7:12" x14ac:dyDescent="0.25">
      <c r="G263" s="1"/>
      <c r="H263" s="1"/>
      <c r="I263" s="1"/>
      <c r="J263" s="1"/>
      <c r="K263" s="1"/>
      <c r="L263" s="1"/>
    </row>
    <row r="264" spans="7:12" x14ac:dyDescent="0.25">
      <c r="G264" s="1"/>
      <c r="H264" s="1"/>
      <c r="I264" s="1"/>
      <c r="J264" s="1"/>
      <c r="K264" s="1"/>
      <c r="L264" s="1"/>
    </row>
    <row r="265" spans="7:12" x14ac:dyDescent="0.25">
      <c r="G265" s="1"/>
      <c r="H265" s="1"/>
      <c r="I265" s="1"/>
      <c r="J265" s="1"/>
      <c r="K265" s="1"/>
      <c r="L265" s="1"/>
    </row>
    <row r="266" spans="7:12" x14ac:dyDescent="0.25">
      <c r="G266" s="1"/>
      <c r="H266" s="1"/>
      <c r="I266" s="1"/>
      <c r="J266" s="1"/>
      <c r="K266" s="1"/>
      <c r="L266" s="1"/>
    </row>
    <row r="267" spans="7:12" x14ac:dyDescent="0.25">
      <c r="G267" s="1"/>
      <c r="H267" s="1"/>
      <c r="I267" s="1"/>
      <c r="J267" s="1"/>
      <c r="K267" s="1"/>
      <c r="L267" s="1"/>
    </row>
    <row r="268" spans="7:12" x14ac:dyDescent="0.25">
      <c r="G268" s="1"/>
      <c r="H268" s="1"/>
      <c r="I268" s="1"/>
      <c r="J268" s="1"/>
      <c r="K268" s="1"/>
      <c r="L268" s="1"/>
    </row>
    <row r="269" spans="7:12" x14ac:dyDescent="0.25">
      <c r="G269" s="1"/>
      <c r="H269" s="1"/>
      <c r="I269" s="1"/>
      <c r="J269" s="1"/>
      <c r="K269" s="1"/>
      <c r="L269" s="1"/>
    </row>
    <row r="270" spans="7:12" x14ac:dyDescent="0.25">
      <c r="G270" s="1"/>
      <c r="H270" s="1"/>
      <c r="I270" s="1"/>
      <c r="J270" s="1"/>
      <c r="K270" s="1"/>
      <c r="L270" s="1"/>
    </row>
    <row r="271" spans="7:12" x14ac:dyDescent="0.25">
      <c r="G271" s="1"/>
      <c r="H271" s="1"/>
      <c r="I271" s="1"/>
      <c r="J271" s="1"/>
      <c r="K271" s="1"/>
      <c r="L271" s="1"/>
    </row>
    <row r="272" spans="7:12" x14ac:dyDescent="0.25">
      <c r="G272" s="1"/>
      <c r="H272" s="1"/>
      <c r="I272" s="1"/>
      <c r="J272" s="1"/>
      <c r="K272" s="1"/>
      <c r="L272" s="1"/>
    </row>
    <row r="273" spans="7:12" x14ac:dyDescent="0.25">
      <c r="G273" s="1"/>
      <c r="H273" s="1"/>
      <c r="I273" s="1"/>
      <c r="J273" s="1"/>
      <c r="K273" s="1"/>
      <c r="L273" s="1"/>
    </row>
    <row r="274" spans="7:12" x14ac:dyDescent="0.25">
      <c r="G274" s="1"/>
      <c r="H274" s="1"/>
      <c r="I274" s="1"/>
      <c r="J274" s="1"/>
      <c r="K274" s="1"/>
      <c r="L274" s="1"/>
    </row>
    <row r="275" spans="7:12" x14ac:dyDescent="0.25">
      <c r="G275" s="1"/>
      <c r="H275" s="1"/>
      <c r="I275" s="1"/>
      <c r="J275" s="1"/>
      <c r="K275" s="1"/>
      <c r="L275" s="1"/>
    </row>
    <row r="276" spans="7:12" x14ac:dyDescent="0.25">
      <c r="G276" s="1"/>
      <c r="H276" s="1"/>
      <c r="I276" s="1"/>
      <c r="J276" s="1"/>
      <c r="K276" s="1"/>
      <c r="L276" s="1"/>
    </row>
    <row r="277" spans="7:12" x14ac:dyDescent="0.25">
      <c r="G277" s="1"/>
      <c r="H277" s="1"/>
      <c r="I277" s="1"/>
      <c r="J277" s="1"/>
      <c r="K277" s="1"/>
      <c r="L277" s="1"/>
    </row>
    <row r="278" spans="7:12" x14ac:dyDescent="0.25">
      <c r="G278" s="1"/>
      <c r="H278" s="1"/>
      <c r="I278" s="1"/>
      <c r="J278" s="1"/>
      <c r="K278" s="1"/>
      <c r="L278" s="1"/>
    </row>
    <row r="279" spans="7:12" x14ac:dyDescent="0.25">
      <c r="G279" s="1"/>
      <c r="H279" s="1"/>
      <c r="I279" s="1"/>
      <c r="J279" s="1"/>
      <c r="K279" s="1"/>
      <c r="L279" s="1"/>
    </row>
    <row r="280" spans="7:12" x14ac:dyDescent="0.25">
      <c r="G280" s="1"/>
      <c r="H280" s="1"/>
      <c r="I280" s="1"/>
      <c r="J280" s="1"/>
      <c r="K280" s="1"/>
      <c r="L280" s="1"/>
    </row>
    <row r="281" spans="7:12" x14ac:dyDescent="0.25">
      <c r="G281" s="1"/>
      <c r="H281" s="1"/>
      <c r="I281" s="1"/>
      <c r="J281" s="1"/>
      <c r="K281" s="1"/>
      <c r="L281" s="1"/>
    </row>
    <row r="282" spans="7:12" x14ac:dyDescent="0.25">
      <c r="G282" s="1"/>
      <c r="H282" s="1"/>
      <c r="I282" s="1"/>
      <c r="J282" s="1"/>
      <c r="K282" s="1"/>
      <c r="L282" s="1"/>
    </row>
    <row r="283" spans="7:12" x14ac:dyDescent="0.25">
      <c r="G283" s="1"/>
      <c r="H283" s="1"/>
      <c r="I283" s="1"/>
      <c r="J283" s="1"/>
      <c r="K283" s="1"/>
      <c r="L283" s="1"/>
    </row>
    <row r="284" spans="7:12" x14ac:dyDescent="0.25">
      <c r="G284" s="1"/>
      <c r="H284" s="1"/>
      <c r="I284" s="1"/>
      <c r="J284" s="1"/>
      <c r="K284" s="1"/>
      <c r="L284" s="1"/>
    </row>
    <row r="285" spans="7:12" x14ac:dyDescent="0.25">
      <c r="G285" s="1"/>
      <c r="H285" s="1"/>
      <c r="I285" s="1"/>
      <c r="J285" s="1"/>
      <c r="K285" s="1"/>
      <c r="L285" s="1"/>
    </row>
    <row r="286" spans="7:12" x14ac:dyDescent="0.25">
      <c r="G286" s="1"/>
      <c r="H286" s="1"/>
      <c r="I286" s="1"/>
      <c r="J286" s="1"/>
      <c r="K286" s="1"/>
      <c r="L286" s="1"/>
    </row>
    <row r="287" spans="7:12" x14ac:dyDescent="0.25">
      <c r="G287" s="1"/>
      <c r="H287" s="1"/>
      <c r="I287" s="1"/>
      <c r="J287" s="1"/>
      <c r="K287" s="1"/>
      <c r="L287" s="1"/>
    </row>
    <row r="288" spans="7:12" x14ac:dyDescent="0.25">
      <c r="G288" s="1"/>
      <c r="H288" s="1"/>
      <c r="I288" s="1"/>
      <c r="J288" s="1"/>
      <c r="K288" s="1"/>
      <c r="L288" s="1"/>
    </row>
    <row r="289" spans="7:12" x14ac:dyDescent="0.25">
      <c r="G289" s="1"/>
      <c r="H289" s="1"/>
      <c r="I289" s="1"/>
      <c r="J289" s="1"/>
      <c r="K289" s="1"/>
      <c r="L289" s="1"/>
    </row>
    <row r="290" spans="7:12" x14ac:dyDescent="0.25">
      <c r="G290" s="1"/>
      <c r="H290" s="1"/>
      <c r="I290" s="1"/>
      <c r="J290" s="1"/>
      <c r="K290" s="1"/>
      <c r="L290" s="1"/>
    </row>
    <row r="291" spans="7:12" x14ac:dyDescent="0.25">
      <c r="G291" s="1"/>
      <c r="H291" s="1"/>
      <c r="I291" s="1"/>
      <c r="J291" s="1"/>
      <c r="K291" s="1"/>
      <c r="L291" s="1"/>
    </row>
    <row r="292" spans="7:12" x14ac:dyDescent="0.25">
      <c r="G292" s="1"/>
      <c r="H292" s="1"/>
      <c r="I292" s="1"/>
      <c r="J292" s="1"/>
      <c r="K292" s="1"/>
      <c r="L292" s="1"/>
    </row>
    <row r="293" spans="7:12" x14ac:dyDescent="0.25">
      <c r="G293" s="1"/>
      <c r="H293" s="1"/>
      <c r="I293" s="1"/>
      <c r="J293" s="1"/>
      <c r="K293" s="1"/>
      <c r="L293" s="1"/>
    </row>
    <row r="294" spans="7:12" x14ac:dyDescent="0.25">
      <c r="G294" s="1"/>
      <c r="H294" s="1"/>
      <c r="I294" s="1"/>
      <c r="J294" s="1"/>
      <c r="K294" s="1"/>
      <c r="L294" s="1"/>
    </row>
    <row r="295" spans="7:12" x14ac:dyDescent="0.25">
      <c r="G295" s="1"/>
      <c r="H295" s="1"/>
      <c r="I295" s="1"/>
      <c r="J295" s="1"/>
      <c r="K295" s="1"/>
      <c r="L295" s="1"/>
    </row>
    <row r="296" spans="7:12" x14ac:dyDescent="0.25">
      <c r="G296" s="1"/>
      <c r="H296" s="1"/>
      <c r="I296" s="1"/>
      <c r="J296" s="1"/>
      <c r="K296" s="1"/>
      <c r="L296" s="1"/>
    </row>
    <row r="297" spans="7:12" x14ac:dyDescent="0.25">
      <c r="G297" s="1"/>
      <c r="H297" s="1"/>
      <c r="I297" s="1"/>
      <c r="J297" s="1"/>
      <c r="K297" s="1"/>
      <c r="L297" s="1"/>
    </row>
    <row r="298" spans="7:12" x14ac:dyDescent="0.25">
      <c r="G298" s="1"/>
      <c r="H298" s="1"/>
      <c r="I298" s="1"/>
      <c r="J298" s="1"/>
      <c r="K298" s="1"/>
      <c r="L298" s="1"/>
    </row>
    <row r="299" spans="7:12" x14ac:dyDescent="0.25">
      <c r="G299" s="1"/>
      <c r="H299" s="1"/>
      <c r="I299" s="1"/>
      <c r="J299" s="1"/>
      <c r="K299" s="1"/>
      <c r="L299" s="1"/>
    </row>
    <row r="300" spans="7:12" x14ac:dyDescent="0.25">
      <c r="G300" s="1"/>
      <c r="H300" s="1"/>
      <c r="I300" s="1"/>
      <c r="J300" s="1"/>
      <c r="K300" s="1"/>
      <c r="L300" s="1"/>
    </row>
    <row r="301" spans="7:12" x14ac:dyDescent="0.25">
      <c r="G301" s="1"/>
      <c r="H301" s="1"/>
      <c r="I301" s="1"/>
      <c r="J301" s="1"/>
      <c r="K301" s="1"/>
      <c r="L301" s="1"/>
    </row>
    <row r="302" spans="7:12" x14ac:dyDescent="0.25">
      <c r="G302" s="1"/>
      <c r="H302" s="1"/>
      <c r="I302" s="1"/>
      <c r="J302" s="1"/>
      <c r="K302" s="1"/>
      <c r="L302" s="1"/>
    </row>
    <row r="303" spans="7:12" x14ac:dyDescent="0.25">
      <c r="G303" s="1"/>
      <c r="H303" s="1"/>
      <c r="I303" s="1"/>
      <c r="J303" s="1"/>
      <c r="K303" s="1"/>
      <c r="L303" s="1"/>
    </row>
    <row r="304" spans="7:12" x14ac:dyDescent="0.25">
      <c r="G304" s="1"/>
      <c r="H304" s="1"/>
      <c r="I304" s="1"/>
      <c r="J304" s="1"/>
      <c r="K304" s="1"/>
      <c r="L304" s="1"/>
    </row>
    <row r="305" spans="7:12" x14ac:dyDescent="0.25">
      <c r="G305" s="1"/>
      <c r="H305" s="1"/>
      <c r="I305" s="1"/>
      <c r="J305" s="1"/>
      <c r="K305" s="1"/>
      <c r="L305" s="1"/>
    </row>
    <row r="306" spans="7:12" x14ac:dyDescent="0.25">
      <c r="G306" s="1"/>
      <c r="H306" s="1"/>
      <c r="I306" s="1"/>
      <c r="J306" s="1"/>
      <c r="K306" s="1"/>
      <c r="L306" s="1"/>
    </row>
    <row r="307" spans="7:12" x14ac:dyDescent="0.25">
      <c r="G307" s="1"/>
      <c r="H307" s="1"/>
      <c r="I307" s="1"/>
      <c r="J307" s="1"/>
      <c r="K307" s="1"/>
      <c r="L307" s="1"/>
    </row>
    <row r="308" spans="7:12" x14ac:dyDescent="0.25">
      <c r="G308" s="1"/>
      <c r="H308" s="1"/>
      <c r="I308" s="1"/>
      <c r="J308" s="1"/>
      <c r="K308" s="1"/>
      <c r="L308" s="1"/>
    </row>
    <row r="309" spans="7:12" x14ac:dyDescent="0.25">
      <c r="G309" s="1"/>
      <c r="H309" s="1"/>
      <c r="I309" s="1"/>
      <c r="J309" s="1"/>
      <c r="K309" s="1"/>
      <c r="L309" s="1"/>
    </row>
    <row r="310" spans="7:12" x14ac:dyDescent="0.25">
      <c r="G310" s="1"/>
      <c r="H310" s="1"/>
      <c r="I310" s="1"/>
      <c r="J310" s="1"/>
      <c r="K310" s="1"/>
      <c r="L310" s="1"/>
    </row>
    <row r="311" spans="7:12" x14ac:dyDescent="0.25">
      <c r="G311" s="1"/>
      <c r="H311" s="1"/>
      <c r="I311" s="1"/>
      <c r="J311" s="1"/>
      <c r="K311" s="1"/>
      <c r="L311" s="1"/>
    </row>
    <row r="312" spans="7:12" x14ac:dyDescent="0.25">
      <c r="G312" s="1"/>
      <c r="H312" s="1"/>
      <c r="I312" s="1"/>
      <c r="J312" s="1"/>
      <c r="K312" s="1"/>
      <c r="L312" s="1"/>
    </row>
    <row r="313" spans="7:12" x14ac:dyDescent="0.25">
      <c r="G313" s="1"/>
      <c r="H313" s="1"/>
      <c r="I313" s="1"/>
      <c r="J313" s="1"/>
      <c r="K313" s="1"/>
      <c r="L313" s="1"/>
    </row>
    <row r="314" spans="7:12" x14ac:dyDescent="0.25">
      <c r="G314" s="1"/>
      <c r="H314" s="1"/>
      <c r="I314" s="1"/>
      <c r="J314" s="1"/>
      <c r="K314" s="1"/>
      <c r="L314" s="1"/>
    </row>
    <row r="315" spans="7:12" x14ac:dyDescent="0.25">
      <c r="G315" s="1"/>
      <c r="H315" s="1"/>
      <c r="I315" s="1"/>
      <c r="J315" s="1"/>
      <c r="K315" s="1"/>
      <c r="L315" s="1"/>
    </row>
    <row r="316" spans="7:12" x14ac:dyDescent="0.25">
      <c r="G316" s="1"/>
      <c r="H316" s="1"/>
      <c r="I316" s="1"/>
      <c r="J316" s="1"/>
      <c r="K316" s="1"/>
      <c r="L316" s="1"/>
    </row>
    <row r="317" spans="7:12" x14ac:dyDescent="0.25">
      <c r="G317" s="1"/>
      <c r="H317" s="1"/>
      <c r="I317" s="1"/>
      <c r="J317" s="1"/>
      <c r="K317" s="1"/>
      <c r="L317" s="1"/>
    </row>
    <row r="318" spans="7:12" x14ac:dyDescent="0.25">
      <c r="G318" s="1"/>
      <c r="H318" s="1"/>
      <c r="I318" s="1"/>
      <c r="J318" s="1"/>
      <c r="K318" s="1"/>
      <c r="L318" s="1"/>
    </row>
    <row r="319" spans="7:12" x14ac:dyDescent="0.25">
      <c r="G319" s="1"/>
      <c r="H319" s="1"/>
      <c r="I319" s="1"/>
      <c r="J319" s="1"/>
      <c r="K319" s="1"/>
      <c r="L319" s="1"/>
    </row>
    <row r="320" spans="7:12" x14ac:dyDescent="0.25">
      <c r="G320" s="1"/>
      <c r="H320" s="1"/>
      <c r="I320" s="1"/>
      <c r="J320" s="1"/>
      <c r="K320" s="1"/>
      <c r="L320" s="1"/>
    </row>
    <row r="321" spans="7:12" x14ac:dyDescent="0.25">
      <c r="G321" s="1"/>
      <c r="H321" s="1"/>
      <c r="I321" s="1"/>
      <c r="J321" s="1"/>
      <c r="K321" s="1"/>
      <c r="L321" s="1"/>
    </row>
    <row r="322" spans="7:12" x14ac:dyDescent="0.25">
      <c r="G322" s="1"/>
      <c r="H322" s="1"/>
      <c r="I322" s="1"/>
      <c r="J322" s="1"/>
      <c r="K322" s="1"/>
      <c r="L322" s="1"/>
    </row>
    <row r="323" spans="7:12" x14ac:dyDescent="0.25">
      <c r="G323" s="1"/>
      <c r="H323" s="1"/>
      <c r="I323" s="1"/>
      <c r="J323" s="1"/>
      <c r="K323" s="1"/>
      <c r="L323" s="1"/>
    </row>
    <row r="324" spans="7:12" x14ac:dyDescent="0.25">
      <c r="G324" s="1"/>
      <c r="H324" s="1"/>
      <c r="I324" s="1"/>
      <c r="J324" s="1"/>
      <c r="K324" s="1"/>
      <c r="L324" s="1"/>
    </row>
    <row r="325" spans="7:12" x14ac:dyDescent="0.25">
      <c r="G325" s="1"/>
      <c r="H325" s="1"/>
      <c r="I325" s="1"/>
      <c r="J325" s="1"/>
      <c r="K325" s="1"/>
      <c r="L325" s="1"/>
    </row>
    <row r="326" spans="7:12" x14ac:dyDescent="0.25">
      <c r="G326" s="1"/>
      <c r="H326" s="1"/>
      <c r="I326" s="1"/>
      <c r="J326" s="1"/>
      <c r="K326" s="1"/>
      <c r="L326" s="1"/>
    </row>
    <row r="327" spans="7:12" x14ac:dyDescent="0.25">
      <c r="G327" s="1"/>
      <c r="H327" s="1"/>
      <c r="I327" s="1"/>
      <c r="J327" s="1"/>
      <c r="K327" s="1"/>
      <c r="L327" s="1"/>
    </row>
    <row r="328" spans="7:12" x14ac:dyDescent="0.25">
      <c r="G328" s="1"/>
      <c r="H328" s="1"/>
      <c r="I328" s="1"/>
      <c r="J328" s="1"/>
      <c r="K328" s="1"/>
      <c r="L328" s="1"/>
    </row>
    <row r="329" spans="7:12" x14ac:dyDescent="0.25">
      <c r="G329" s="1"/>
      <c r="H329" s="1"/>
      <c r="I329" s="1"/>
      <c r="J329" s="1"/>
      <c r="K329" s="1"/>
      <c r="L329" s="1"/>
    </row>
    <row r="330" spans="7:12" x14ac:dyDescent="0.25">
      <c r="G330" s="1"/>
      <c r="H330" s="1"/>
      <c r="I330" s="1"/>
      <c r="J330" s="1"/>
      <c r="K330" s="1"/>
      <c r="L330" s="1"/>
    </row>
    <row r="331" spans="7:12" x14ac:dyDescent="0.25">
      <c r="G331" s="1"/>
      <c r="H331" s="1"/>
      <c r="I331" s="1"/>
      <c r="J331" s="1"/>
      <c r="K331" s="1"/>
      <c r="L331" s="1"/>
    </row>
    <row r="332" spans="7:12" x14ac:dyDescent="0.25">
      <c r="G332" s="1"/>
      <c r="H332" s="1"/>
      <c r="I332" s="1"/>
      <c r="J332" s="1"/>
      <c r="K332" s="1"/>
      <c r="L332" s="1"/>
    </row>
    <row r="333" spans="7:12" x14ac:dyDescent="0.25">
      <c r="G333" s="1"/>
      <c r="H333" s="1"/>
      <c r="I333" s="1"/>
      <c r="J333" s="1"/>
      <c r="K333" s="1"/>
      <c r="L333" s="1"/>
    </row>
    <row r="334" spans="7:12" x14ac:dyDescent="0.25">
      <c r="G334" s="1"/>
      <c r="H334" s="1"/>
      <c r="I334" s="1"/>
      <c r="J334" s="1"/>
      <c r="K334" s="1"/>
      <c r="L334" s="1"/>
    </row>
    <row r="335" spans="7:12" x14ac:dyDescent="0.25">
      <c r="G335" s="1"/>
      <c r="H335" s="1"/>
      <c r="I335" s="1"/>
      <c r="J335" s="1"/>
      <c r="K335" s="1"/>
      <c r="L335" s="1"/>
    </row>
    <row r="336" spans="7:12" x14ac:dyDescent="0.25">
      <c r="G336" s="1"/>
      <c r="H336" s="1"/>
      <c r="I336" s="1"/>
      <c r="J336" s="1"/>
      <c r="K336" s="1"/>
      <c r="L336" s="1"/>
    </row>
    <row r="337" spans="7:12" x14ac:dyDescent="0.25">
      <c r="G337" s="1"/>
      <c r="H337" s="1"/>
      <c r="I337" s="1"/>
      <c r="J337" s="1"/>
      <c r="K337" s="1"/>
      <c r="L337" s="1"/>
    </row>
    <row r="338" spans="7:12" x14ac:dyDescent="0.25">
      <c r="G338" s="1"/>
      <c r="H338" s="1"/>
      <c r="I338" s="1"/>
      <c r="J338" s="1"/>
      <c r="K338" s="1"/>
      <c r="L338" s="1"/>
    </row>
    <row r="339" spans="7:12" x14ac:dyDescent="0.25">
      <c r="G339" s="1"/>
      <c r="H339" s="1"/>
      <c r="I339" s="1"/>
      <c r="J339" s="1"/>
      <c r="K339" s="1"/>
      <c r="L339" s="1"/>
    </row>
    <row r="340" spans="7:12" x14ac:dyDescent="0.25">
      <c r="G340" s="1"/>
      <c r="H340" s="1"/>
      <c r="I340" s="1"/>
      <c r="J340" s="1"/>
      <c r="K340" s="1"/>
      <c r="L340" s="1"/>
    </row>
    <row r="341" spans="7:12" x14ac:dyDescent="0.25">
      <c r="G341" s="1"/>
      <c r="H341" s="1"/>
      <c r="I341" s="1"/>
      <c r="J341" s="1"/>
      <c r="K341" s="1"/>
      <c r="L341" s="1"/>
    </row>
    <row r="342" spans="7:12" x14ac:dyDescent="0.25">
      <c r="G342" s="1"/>
      <c r="H342" s="1"/>
      <c r="I342" s="1"/>
      <c r="J342" s="1"/>
      <c r="K342" s="1"/>
      <c r="L342" s="1"/>
    </row>
    <row r="343" spans="7:12" x14ac:dyDescent="0.25">
      <c r="G343" s="1"/>
      <c r="H343" s="1"/>
      <c r="I343" s="1"/>
      <c r="J343" s="1"/>
      <c r="K343" s="1"/>
      <c r="L343" s="1"/>
    </row>
    <row r="344" spans="7:12" x14ac:dyDescent="0.25">
      <c r="G344" s="1"/>
      <c r="H344" s="1"/>
      <c r="I344" s="1"/>
      <c r="J344" s="1"/>
      <c r="K344" s="1"/>
      <c r="L344" s="1"/>
    </row>
    <row r="345" spans="7:12" x14ac:dyDescent="0.25">
      <c r="G345" s="1"/>
      <c r="H345" s="1"/>
      <c r="I345" s="1"/>
      <c r="J345" s="1"/>
      <c r="K345" s="1"/>
      <c r="L345" s="1"/>
    </row>
    <row r="346" spans="7:12" x14ac:dyDescent="0.25">
      <c r="G346" s="1"/>
      <c r="H346" s="1"/>
      <c r="I346" s="1"/>
      <c r="J346" s="1"/>
      <c r="K346" s="1"/>
      <c r="L346" s="1"/>
    </row>
    <row r="347" spans="7:12" x14ac:dyDescent="0.25">
      <c r="G347" s="1"/>
      <c r="H347" s="1"/>
      <c r="I347" s="1"/>
      <c r="J347" s="1"/>
      <c r="K347" s="1"/>
      <c r="L347" s="1"/>
    </row>
    <row r="348" spans="7:12" x14ac:dyDescent="0.25">
      <c r="G348" s="1"/>
      <c r="H348" s="1"/>
      <c r="I348" s="1"/>
      <c r="J348" s="1"/>
      <c r="K348" s="1"/>
      <c r="L348" s="1"/>
    </row>
    <row r="349" spans="7:12" x14ac:dyDescent="0.25">
      <c r="G349" s="1"/>
      <c r="H349" s="1"/>
      <c r="I349" s="1"/>
      <c r="J349" s="1"/>
      <c r="K349" s="1"/>
      <c r="L349" s="1"/>
    </row>
    <row r="350" spans="7:12" x14ac:dyDescent="0.25">
      <c r="G350" s="1"/>
      <c r="H350" s="1"/>
      <c r="I350" s="1"/>
      <c r="J350" s="1"/>
      <c r="K350" s="1"/>
      <c r="L350" s="1"/>
    </row>
    <row r="351" spans="7:12" x14ac:dyDescent="0.25">
      <c r="G351" s="1"/>
      <c r="H351" s="1"/>
      <c r="I351" s="1"/>
      <c r="J351" s="1"/>
      <c r="K351" s="1"/>
      <c r="L351" s="1"/>
    </row>
    <row r="352" spans="7:12"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row r="1590" spans="7:12" x14ac:dyDescent="0.25">
      <c r="G1590" s="1"/>
      <c r="H1590" s="1"/>
      <c r="I1590" s="1"/>
      <c r="J1590" s="1"/>
      <c r="K1590" s="1"/>
      <c r="L1590" s="1"/>
    </row>
    <row r="1591" spans="7:12" x14ac:dyDescent="0.25">
      <c r="G1591" s="1"/>
      <c r="H1591" s="1"/>
      <c r="I1591" s="1"/>
      <c r="J1591" s="1"/>
      <c r="K1591" s="1"/>
      <c r="L1591" s="1"/>
    </row>
    <row r="1592" spans="7:12" x14ac:dyDescent="0.25">
      <c r="G1592" s="1"/>
      <c r="H1592" s="1"/>
      <c r="I1592" s="1"/>
      <c r="J1592" s="1"/>
      <c r="K1592" s="1"/>
      <c r="L1592" s="1"/>
    </row>
    <row r="1593" spans="7:12" x14ac:dyDescent="0.25">
      <c r="G1593" s="1"/>
      <c r="H1593" s="1"/>
      <c r="I1593" s="1"/>
      <c r="J1593" s="1"/>
      <c r="K1593" s="1"/>
      <c r="L1593" s="1"/>
    </row>
    <row r="1594" spans="7:12" x14ac:dyDescent="0.25">
      <c r="G1594" s="1"/>
      <c r="H1594" s="1"/>
      <c r="I1594" s="1"/>
      <c r="J1594" s="1"/>
      <c r="K1594" s="1"/>
      <c r="L1594" s="1"/>
    </row>
    <row r="1595" spans="7:12" x14ac:dyDescent="0.25">
      <c r="G1595" s="1"/>
      <c r="H1595" s="1"/>
      <c r="I1595" s="1"/>
      <c r="J1595" s="1"/>
      <c r="K1595" s="1"/>
      <c r="L1595" s="1"/>
    </row>
    <row r="1596" spans="7:12" x14ac:dyDescent="0.25">
      <c r="G1596" s="1"/>
      <c r="H1596" s="1"/>
      <c r="I1596" s="1"/>
      <c r="J1596" s="1"/>
      <c r="K1596" s="1"/>
      <c r="L1596" s="1"/>
    </row>
    <row r="1597" spans="7:12" x14ac:dyDescent="0.25">
      <c r="G1597" s="1"/>
      <c r="H1597" s="1"/>
      <c r="I1597" s="1"/>
      <c r="J1597" s="1"/>
      <c r="K1597" s="1"/>
      <c r="L1597" s="1"/>
    </row>
    <row r="1598" spans="7:12" x14ac:dyDescent="0.25">
      <c r="G1598" s="1"/>
      <c r="H1598" s="1"/>
      <c r="I1598" s="1"/>
      <c r="J1598" s="1"/>
      <c r="K1598" s="1"/>
      <c r="L1598" s="1"/>
    </row>
    <row r="1599" spans="7:12" x14ac:dyDescent="0.25">
      <c r="G1599" s="1"/>
      <c r="H1599" s="1"/>
      <c r="I1599" s="1"/>
      <c r="J1599" s="1"/>
      <c r="K1599" s="1"/>
      <c r="L1599" s="1"/>
    </row>
    <row r="1600" spans="7:12" x14ac:dyDescent="0.25">
      <c r="G1600" s="1"/>
      <c r="H1600" s="1"/>
      <c r="I1600" s="1"/>
      <c r="J1600" s="1"/>
      <c r="K1600" s="1"/>
      <c r="L1600" s="1"/>
    </row>
    <row r="1601" spans="7:12" x14ac:dyDescent="0.25">
      <c r="G1601" s="1"/>
      <c r="H1601" s="1"/>
      <c r="I1601" s="1"/>
      <c r="J1601" s="1"/>
      <c r="K1601" s="1"/>
      <c r="L1601" s="1"/>
    </row>
    <row r="1602" spans="7:12" x14ac:dyDescent="0.25">
      <c r="G1602" s="1"/>
      <c r="H1602" s="1"/>
      <c r="I1602" s="1"/>
      <c r="J1602" s="1"/>
      <c r="K1602" s="1"/>
      <c r="L1602" s="1"/>
    </row>
    <row r="1603" spans="7:12" x14ac:dyDescent="0.25">
      <c r="G1603" s="1"/>
      <c r="H1603" s="1"/>
      <c r="I1603" s="1"/>
      <c r="J1603" s="1"/>
      <c r="K1603" s="1"/>
      <c r="L1603" s="1"/>
    </row>
    <row r="1604" spans="7:12" x14ac:dyDescent="0.25">
      <c r="G1604" s="1"/>
      <c r="H1604" s="1"/>
      <c r="I1604" s="1"/>
      <c r="J1604" s="1"/>
      <c r="K1604" s="1"/>
      <c r="L1604" s="1"/>
    </row>
    <row r="1605" spans="7:12" x14ac:dyDescent="0.25">
      <c r="G1605" s="1"/>
      <c r="H1605" s="1"/>
      <c r="I1605" s="1"/>
      <c r="J1605" s="1"/>
      <c r="K1605" s="1"/>
      <c r="L1605" s="1"/>
    </row>
    <row r="1606" spans="7:12" x14ac:dyDescent="0.25">
      <c r="G1606" s="1"/>
      <c r="H1606" s="1"/>
      <c r="I1606" s="1"/>
      <c r="J1606" s="1"/>
      <c r="K1606" s="1"/>
      <c r="L1606" s="1"/>
    </row>
    <row r="1607" spans="7:12" x14ac:dyDescent="0.25">
      <c r="G1607" s="1"/>
      <c r="H1607" s="1"/>
      <c r="I1607" s="1"/>
      <c r="J1607" s="1"/>
      <c r="K1607" s="1"/>
      <c r="L1607" s="1"/>
    </row>
    <row r="1608" spans="7:12" x14ac:dyDescent="0.25">
      <c r="G1608" s="1"/>
      <c r="H1608" s="1"/>
      <c r="I1608" s="1"/>
      <c r="J1608" s="1"/>
      <c r="K1608" s="1"/>
      <c r="L1608" s="1"/>
    </row>
    <row r="1609" spans="7:12" x14ac:dyDescent="0.25">
      <c r="G1609" s="1"/>
      <c r="H1609" s="1"/>
      <c r="I1609" s="1"/>
      <c r="J1609" s="1"/>
      <c r="K1609" s="1"/>
      <c r="L1609" s="1"/>
    </row>
    <row r="1610" spans="7:12" x14ac:dyDescent="0.25">
      <c r="G1610" s="1"/>
      <c r="H1610" s="1"/>
      <c r="I1610" s="1"/>
      <c r="J1610" s="1"/>
      <c r="K1610" s="1"/>
      <c r="L1610" s="1"/>
    </row>
    <row r="1611" spans="7:12" x14ac:dyDescent="0.25">
      <c r="G1611" s="1"/>
      <c r="H1611" s="1"/>
      <c r="I1611" s="1"/>
      <c r="J1611" s="1"/>
      <c r="K1611" s="1"/>
      <c r="L1611" s="1"/>
    </row>
    <row r="1612" spans="7:12" x14ac:dyDescent="0.25">
      <c r="G1612" s="1"/>
      <c r="H1612" s="1"/>
      <c r="I1612" s="1"/>
      <c r="J1612" s="1"/>
      <c r="K1612" s="1"/>
      <c r="L1612" s="1"/>
    </row>
    <row r="1613" spans="7:12" x14ac:dyDescent="0.25">
      <c r="G1613" s="1"/>
      <c r="H1613" s="1"/>
      <c r="I1613" s="1"/>
      <c r="J1613" s="1"/>
      <c r="K1613" s="1"/>
      <c r="L1613" s="1"/>
    </row>
    <row r="1614" spans="7:12" x14ac:dyDescent="0.25">
      <c r="G1614" s="1"/>
      <c r="H1614" s="1"/>
      <c r="I1614" s="1"/>
      <c r="J1614" s="1"/>
      <c r="K1614" s="1"/>
      <c r="L1614" s="1"/>
    </row>
    <row r="1615" spans="7:12" x14ac:dyDescent="0.25">
      <c r="G1615" s="1"/>
      <c r="H1615" s="1"/>
      <c r="I1615" s="1"/>
      <c r="J1615" s="1"/>
      <c r="K1615" s="1"/>
      <c r="L1615" s="1"/>
    </row>
    <row r="1616" spans="7:12" x14ac:dyDescent="0.25">
      <c r="G1616" s="1"/>
      <c r="H1616" s="1"/>
      <c r="I1616" s="1"/>
      <c r="J1616" s="1"/>
      <c r="K1616" s="1"/>
      <c r="L1616" s="1"/>
    </row>
    <row r="1617" spans="7:12" x14ac:dyDescent="0.25">
      <c r="G1617" s="1"/>
      <c r="H1617" s="1"/>
      <c r="I1617" s="1"/>
      <c r="J1617" s="1"/>
      <c r="K1617" s="1"/>
      <c r="L1617" s="1"/>
    </row>
    <row r="1618" spans="7:12" x14ac:dyDescent="0.25">
      <c r="G1618" s="1"/>
      <c r="H1618" s="1"/>
      <c r="I1618" s="1"/>
      <c r="J1618" s="1"/>
      <c r="K1618" s="1"/>
      <c r="L1618" s="1"/>
    </row>
    <row r="1619" spans="7:12" x14ac:dyDescent="0.25">
      <c r="G1619" s="1"/>
      <c r="H1619" s="1"/>
      <c r="I1619" s="1"/>
      <c r="J1619" s="1"/>
      <c r="K1619" s="1"/>
      <c r="L1619" s="1"/>
    </row>
    <row r="1620" spans="7:12" x14ac:dyDescent="0.25">
      <c r="G1620" s="1"/>
      <c r="H1620" s="1"/>
      <c r="I1620" s="1"/>
      <c r="J1620" s="1"/>
      <c r="K1620" s="1"/>
      <c r="L1620" s="1"/>
    </row>
    <row r="1621" spans="7:12" x14ac:dyDescent="0.25">
      <c r="G1621" s="1"/>
      <c r="H1621" s="1"/>
      <c r="I1621" s="1"/>
      <c r="J1621" s="1"/>
      <c r="K1621" s="1"/>
      <c r="L1621" s="1"/>
    </row>
    <row r="1622" spans="7:12" x14ac:dyDescent="0.25">
      <c r="G1622" s="1"/>
      <c r="H1622" s="1"/>
      <c r="I1622" s="1"/>
      <c r="J1622" s="1"/>
      <c r="K1622" s="1"/>
      <c r="L1622" s="1"/>
    </row>
    <row r="1623" spans="7:12" x14ac:dyDescent="0.25">
      <c r="G1623" s="1"/>
      <c r="H1623" s="1"/>
      <c r="I1623" s="1"/>
      <c r="J1623" s="1"/>
      <c r="K1623" s="1"/>
      <c r="L1623" s="1"/>
    </row>
    <row r="1624" spans="7:12" x14ac:dyDescent="0.25">
      <c r="G1624" s="1"/>
      <c r="H1624" s="1"/>
      <c r="I1624" s="1"/>
      <c r="J1624" s="1"/>
      <c r="K1624" s="1"/>
      <c r="L1624" s="1"/>
    </row>
    <row r="1625" spans="7:12" x14ac:dyDescent="0.25">
      <c r="G1625" s="1"/>
      <c r="H1625" s="1"/>
      <c r="I1625" s="1"/>
      <c r="J1625" s="1"/>
      <c r="K1625" s="1"/>
      <c r="L1625" s="1"/>
    </row>
    <row r="1626" spans="7:12" x14ac:dyDescent="0.25">
      <c r="G1626" s="1"/>
      <c r="H1626" s="1"/>
      <c r="I1626" s="1"/>
      <c r="J1626" s="1"/>
      <c r="K1626" s="1"/>
      <c r="L1626" s="1"/>
    </row>
    <row r="1627" spans="7:12" x14ac:dyDescent="0.25">
      <c r="G1627" s="1"/>
      <c r="H1627" s="1"/>
      <c r="I1627" s="1"/>
      <c r="J1627" s="1"/>
      <c r="K1627" s="1"/>
      <c r="L1627" s="1"/>
    </row>
    <row r="1628" spans="7:12" x14ac:dyDescent="0.25">
      <c r="G1628" s="1"/>
      <c r="H1628" s="1"/>
      <c r="I1628" s="1"/>
      <c r="J1628" s="1"/>
      <c r="K1628" s="1"/>
      <c r="L1628" s="1"/>
    </row>
    <row r="1629" spans="7:12" x14ac:dyDescent="0.25">
      <c r="G1629" s="1"/>
      <c r="H1629" s="1"/>
      <c r="I1629" s="1"/>
      <c r="J1629" s="1"/>
      <c r="K1629" s="1"/>
      <c r="L1629" s="1"/>
    </row>
    <row r="1630" spans="7:12" x14ac:dyDescent="0.25">
      <c r="G1630" s="1"/>
      <c r="H1630" s="1"/>
      <c r="I1630" s="1"/>
      <c r="J1630" s="1"/>
      <c r="K1630" s="1"/>
      <c r="L1630" s="1"/>
    </row>
    <row r="1631" spans="7:12" x14ac:dyDescent="0.25">
      <c r="G1631" s="1"/>
      <c r="H1631" s="1"/>
      <c r="I1631" s="1"/>
      <c r="J1631" s="1"/>
      <c r="K1631" s="1"/>
      <c r="L1631" s="1"/>
    </row>
    <row r="1632" spans="7:12" x14ac:dyDescent="0.25">
      <c r="G1632" s="1"/>
      <c r="H1632" s="1"/>
      <c r="I1632" s="1"/>
      <c r="J1632" s="1"/>
      <c r="K1632" s="1"/>
      <c r="L1632" s="1"/>
    </row>
    <row r="1633" spans="7:12" x14ac:dyDescent="0.25">
      <c r="G1633" s="1"/>
      <c r="H1633" s="1"/>
      <c r="I1633" s="1"/>
      <c r="J1633" s="1"/>
      <c r="K1633" s="1"/>
      <c r="L1633" s="1"/>
    </row>
    <row r="1634" spans="7:12" x14ac:dyDescent="0.25">
      <c r="G1634" s="1"/>
      <c r="H1634" s="1"/>
      <c r="I1634" s="1"/>
      <c r="J1634" s="1"/>
      <c r="K1634" s="1"/>
      <c r="L1634" s="1"/>
    </row>
    <row r="1635" spans="7:12" x14ac:dyDescent="0.25">
      <c r="G1635" s="1"/>
      <c r="H1635" s="1"/>
      <c r="I1635" s="1"/>
      <c r="J1635" s="1"/>
      <c r="K1635" s="1"/>
      <c r="L1635" s="1"/>
    </row>
    <row r="1636" spans="7:12" x14ac:dyDescent="0.25">
      <c r="G1636" s="1"/>
      <c r="H1636" s="1"/>
      <c r="I1636" s="1"/>
      <c r="J1636" s="1"/>
      <c r="K1636" s="1"/>
      <c r="L1636" s="1"/>
    </row>
    <row r="1637" spans="7:12" x14ac:dyDescent="0.25">
      <c r="G1637" s="1"/>
      <c r="H1637" s="1"/>
      <c r="I1637" s="1"/>
      <c r="J1637" s="1"/>
      <c r="K1637" s="1"/>
      <c r="L1637" s="1"/>
    </row>
    <row r="1638" spans="7:12" x14ac:dyDescent="0.25">
      <c r="G1638" s="1"/>
      <c r="H1638" s="1"/>
      <c r="I1638" s="1"/>
      <c r="J1638" s="1"/>
      <c r="K1638" s="1"/>
      <c r="L1638" s="1"/>
    </row>
    <row r="1639" spans="7:12" x14ac:dyDescent="0.25">
      <c r="G1639" s="1"/>
      <c r="H1639" s="1"/>
      <c r="I1639" s="1"/>
      <c r="J1639" s="1"/>
      <c r="K1639" s="1"/>
      <c r="L1639" s="1"/>
    </row>
    <row r="1640" spans="7:12" x14ac:dyDescent="0.25">
      <c r="G1640" s="1"/>
      <c r="H1640" s="1"/>
      <c r="I1640" s="1"/>
      <c r="J1640" s="1"/>
      <c r="K1640" s="1"/>
      <c r="L1640" s="1"/>
    </row>
    <row r="1641" spans="7:12" x14ac:dyDescent="0.25">
      <c r="G1641" s="1"/>
      <c r="H1641" s="1"/>
      <c r="I1641" s="1"/>
      <c r="J1641" s="1"/>
      <c r="K1641" s="1"/>
      <c r="L1641" s="1"/>
    </row>
    <row r="1642" spans="7:12" x14ac:dyDescent="0.25">
      <c r="G1642" s="1"/>
      <c r="H1642" s="1"/>
      <c r="I1642" s="1"/>
      <c r="J1642" s="1"/>
      <c r="K1642" s="1"/>
      <c r="L1642" s="1"/>
    </row>
    <row r="1643" spans="7:12" x14ac:dyDescent="0.25">
      <c r="G1643" s="1"/>
      <c r="H1643" s="1"/>
      <c r="I1643" s="1"/>
      <c r="J1643" s="1"/>
      <c r="K1643" s="1"/>
      <c r="L1643" s="1"/>
    </row>
    <row r="1644" spans="7:12" x14ac:dyDescent="0.25">
      <c r="G1644" s="1"/>
      <c r="H1644" s="1"/>
      <c r="I1644" s="1"/>
      <c r="J1644" s="1"/>
      <c r="K1644" s="1"/>
      <c r="L1644" s="1"/>
    </row>
    <row r="1645" spans="7:12" x14ac:dyDescent="0.25">
      <c r="G1645" s="1"/>
      <c r="H1645" s="1"/>
      <c r="I1645" s="1"/>
      <c r="J1645" s="1"/>
      <c r="K1645" s="1"/>
      <c r="L1645" s="1"/>
    </row>
    <row r="1646" spans="7:12" x14ac:dyDescent="0.25">
      <c r="G1646" s="1"/>
      <c r="H1646" s="1"/>
      <c r="I1646" s="1"/>
      <c r="J1646" s="1"/>
      <c r="K1646" s="1"/>
      <c r="L1646" s="1"/>
    </row>
    <row r="1647" spans="7:12" x14ac:dyDescent="0.25">
      <c r="G1647" s="1"/>
      <c r="H1647" s="1"/>
      <c r="I1647" s="1"/>
      <c r="J1647" s="1"/>
      <c r="K1647" s="1"/>
      <c r="L1647" s="1"/>
    </row>
    <row r="1648" spans="7:12" x14ac:dyDescent="0.25">
      <c r="G1648" s="1"/>
      <c r="H1648" s="1"/>
      <c r="I1648" s="1"/>
      <c r="J1648" s="1"/>
      <c r="K1648" s="1"/>
      <c r="L1648" s="1"/>
    </row>
    <row r="1649" spans="7:12" x14ac:dyDescent="0.25">
      <c r="G1649" s="1"/>
      <c r="H1649" s="1"/>
      <c r="I1649" s="1"/>
      <c r="J1649" s="1"/>
      <c r="K1649" s="1"/>
      <c r="L1649" s="1"/>
    </row>
    <row r="1650" spans="7:12" x14ac:dyDescent="0.25">
      <c r="G1650" s="1"/>
      <c r="H1650" s="1"/>
      <c r="I1650" s="1"/>
      <c r="J1650" s="1"/>
      <c r="K1650" s="1"/>
      <c r="L1650" s="1"/>
    </row>
    <row r="1651" spans="7:12" x14ac:dyDescent="0.25">
      <c r="G1651" s="1"/>
      <c r="H1651" s="1"/>
      <c r="I1651" s="1"/>
      <c r="J1651" s="1"/>
      <c r="K1651" s="1"/>
      <c r="L1651" s="1"/>
    </row>
    <row r="1652" spans="7:12" x14ac:dyDescent="0.25">
      <c r="G1652" s="1"/>
      <c r="H1652" s="1"/>
      <c r="I1652" s="1"/>
      <c r="J1652" s="1"/>
      <c r="K1652" s="1"/>
      <c r="L1652" s="1"/>
    </row>
    <row r="1653" spans="7:12" x14ac:dyDescent="0.25">
      <c r="G1653" s="1"/>
      <c r="H1653" s="1"/>
      <c r="I1653" s="1"/>
      <c r="J1653" s="1"/>
      <c r="K1653" s="1"/>
      <c r="L1653" s="1"/>
    </row>
    <row r="1654" spans="7:12" x14ac:dyDescent="0.25">
      <c r="G1654" s="1"/>
      <c r="H1654" s="1"/>
      <c r="I1654" s="1"/>
      <c r="J1654" s="1"/>
      <c r="K1654" s="1"/>
      <c r="L1654" s="1"/>
    </row>
    <row r="1655" spans="7:12" x14ac:dyDescent="0.25">
      <c r="G1655" s="1"/>
      <c r="H1655" s="1"/>
      <c r="I1655" s="1"/>
      <c r="J1655" s="1"/>
      <c r="K1655" s="1"/>
      <c r="L1655" s="1"/>
    </row>
    <row r="1656" spans="7:12" x14ac:dyDescent="0.25">
      <c r="G1656" s="1"/>
      <c r="H1656" s="1"/>
      <c r="I1656" s="1"/>
      <c r="J1656" s="1"/>
      <c r="K1656" s="1"/>
      <c r="L1656" s="1"/>
    </row>
    <row r="1657" spans="7:12" x14ac:dyDescent="0.25">
      <c r="G1657" s="1"/>
      <c r="H1657" s="1"/>
      <c r="I1657" s="1"/>
      <c r="J1657" s="1"/>
      <c r="K1657" s="1"/>
      <c r="L1657" s="1"/>
    </row>
    <row r="1658" spans="7:12" x14ac:dyDescent="0.25">
      <c r="G1658" s="1"/>
      <c r="H1658" s="1"/>
      <c r="I1658" s="1"/>
      <c r="J1658" s="1"/>
      <c r="K1658" s="1"/>
      <c r="L1658" s="1"/>
    </row>
    <row r="1659" spans="7:12" x14ac:dyDescent="0.25">
      <c r="G1659" s="1"/>
      <c r="H1659" s="1"/>
      <c r="I1659" s="1"/>
      <c r="J1659" s="1"/>
      <c r="K1659" s="1"/>
      <c r="L1659" s="1"/>
    </row>
    <row r="1660" spans="7:12" x14ac:dyDescent="0.25">
      <c r="G1660" s="1"/>
      <c r="H1660" s="1"/>
      <c r="I1660" s="1"/>
      <c r="J1660" s="1"/>
      <c r="K1660" s="1"/>
      <c r="L1660" s="1"/>
    </row>
    <row r="1661" spans="7:12" x14ac:dyDescent="0.25">
      <c r="G1661" s="1"/>
      <c r="H1661" s="1"/>
      <c r="I1661" s="1"/>
      <c r="J1661" s="1"/>
      <c r="K1661" s="1"/>
      <c r="L1661" s="1"/>
    </row>
    <row r="1662" spans="7:12" x14ac:dyDescent="0.25">
      <c r="G1662" s="1"/>
      <c r="H1662" s="1"/>
      <c r="I1662" s="1"/>
      <c r="J1662" s="1"/>
      <c r="K1662" s="1"/>
      <c r="L1662" s="1"/>
    </row>
    <row r="1663" spans="7:12" x14ac:dyDescent="0.25">
      <c r="G1663" s="1"/>
      <c r="H1663" s="1"/>
      <c r="I1663" s="1"/>
      <c r="J1663" s="1"/>
      <c r="K1663" s="1"/>
      <c r="L1663" s="1"/>
    </row>
    <row r="1664" spans="7:12" x14ac:dyDescent="0.25">
      <c r="G1664" s="1"/>
      <c r="H1664" s="1"/>
      <c r="I1664" s="1"/>
      <c r="J1664" s="1"/>
      <c r="K1664" s="1"/>
      <c r="L1664" s="1"/>
    </row>
    <row r="1665" spans="7:12" x14ac:dyDescent="0.25">
      <c r="G1665" s="1"/>
      <c r="H1665" s="1"/>
      <c r="I1665" s="1"/>
      <c r="J1665" s="1"/>
      <c r="K1665" s="1"/>
      <c r="L1665" s="1"/>
    </row>
    <row r="1666" spans="7:12" x14ac:dyDescent="0.25">
      <c r="G1666" s="1"/>
      <c r="H1666" s="1"/>
      <c r="I1666" s="1"/>
      <c r="J1666" s="1"/>
      <c r="K1666" s="1"/>
      <c r="L1666" s="1"/>
    </row>
    <row r="1667" spans="7:12" x14ac:dyDescent="0.25">
      <c r="G1667" s="1"/>
      <c r="H1667" s="1"/>
      <c r="I1667" s="1"/>
      <c r="J1667" s="1"/>
      <c r="K1667" s="1"/>
      <c r="L1667" s="1"/>
    </row>
    <row r="1668" spans="7:12" x14ac:dyDescent="0.25">
      <c r="G1668" s="1"/>
      <c r="H1668" s="1"/>
      <c r="I1668" s="1"/>
      <c r="J1668" s="1"/>
      <c r="K1668" s="1"/>
      <c r="L1668" s="1"/>
    </row>
    <row r="1669" spans="7:12" x14ac:dyDescent="0.25">
      <c r="G1669" s="1"/>
      <c r="H1669" s="1"/>
      <c r="I1669" s="1"/>
      <c r="J1669" s="1"/>
      <c r="K1669" s="1"/>
      <c r="L1669" s="1"/>
    </row>
    <row r="1670" spans="7:12" x14ac:dyDescent="0.25">
      <c r="G1670" s="1"/>
      <c r="H1670" s="1"/>
      <c r="I1670" s="1"/>
      <c r="J1670" s="1"/>
      <c r="K1670" s="1"/>
      <c r="L1670" s="1"/>
    </row>
    <row r="1671" spans="7:12" x14ac:dyDescent="0.25">
      <c r="G1671" s="1"/>
      <c r="H1671" s="1"/>
      <c r="I1671" s="1"/>
      <c r="J1671" s="1"/>
      <c r="K1671" s="1"/>
      <c r="L1671" s="1"/>
    </row>
    <row r="1672" spans="7:12" x14ac:dyDescent="0.25">
      <c r="G1672" s="1"/>
      <c r="H1672" s="1"/>
      <c r="I1672" s="1"/>
      <c r="J1672" s="1"/>
      <c r="K1672" s="1"/>
      <c r="L1672" s="1"/>
    </row>
    <row r="1673" spans="7:12" x14ac:dyDescent="0.25">
      <c r="G1673" s="1"/>
      <c r="H1673" s="1"/>
      <c r="I1673" s="1"/>
      <c r="J1673" s="1"/>
      <c r="K1673" s="1"/>
      <c r="L1673" s="1"/>
    </row>
    <row r="1674" spans="7:12" x14ac:dyDescent="0.25">
      <c r="G1674" s="1"/>
      <c r="H1674" s="1"/>
      <c r="I1674" s="1"/>
      <c r="J1674" s="1"/>
      <c r="K1674" s="1"/>
      <c r="L1674" s="1"/>
    </row>
    <row r="1675" spans="7:12" x14ac:dyDescent="0.25">
      <c r="G1675" s="1"/>
      <c r="H1675" s="1"/>
      <c r="I1675" s="1"/>
      <c r="J1675" s="1"/>
      <c r="K1675" s="1"/>
      <c r="L1675" s="1"/>
    </row>
  </sheetData>
  <mergeCells count="406">
    <mergeCell ref="A102:C104"/>
    <mergeCell ref="N102:Y104"/>
    <mergeCell ref="T96:T99"/>
    <mergeCell ref="U96:U99"/>
    <mergeCell ref="V96:V99"/>
    <mergeCell ref="W96:W99"/>
    <mergeCell ref="X96:X99"/>
    <mergeCell ref="Y96:Y99"/>
    <mergeCell ref="C100:C101"/>
    <mergeCell ref="N100:N101"/>
    <mergeCell ref="O100:O101"/>
    <mergeCell ref="P100:P101"/>
    <mergeCell ref="Q100:Q101"/>
    <mergeCell ref="R100:R101"/>
    <mergeCell ref="S100:S101"/>
    <mergeCell ref="T100:T101"/>
    <mergeCell ref="U100:U101"/>
    <mergeCell ref="V100:V101"/>
    <mergeCell ref="W100:W101"/>
    <mergeCell ref="X100:X101"/>
    <mergeCell ref="Y100:Y101"/>
    <mergeCell ref="A96:A101"/>
    <mergeCell ref="B96:B101"/>
    <mergeCell ref="C96:C99"/>
    <mergeCell ref="N96:N99"/>
    <mergeCell ref="O96:O99"/>
    <mergeCell ref="P96:P99"/>
    <mergeCell ref="Q96:Q99"/>
    <mergeCell ref="R96:R99"/>
    <mergeCell ref="S96:S99"/>
    <mergeCell ref="T90:T93"/>
    <mergeCell ref="U90:U93"/>
    <mergeCell ref="V90:V93"/>
    <mergeCell ref="W90:W93"/>
    <mergeCell ref="X90:X93"/>
    <mergeCell ref="Y90:Y93"/>
    <mergeCell ref="C94:C95"/>
    <mergeCell ref="N94:N95"/>
    <mergeCell ref="O94:O95"/>
    <mergeCell ref="P94:P95"/>
    <mergeCell ref="Q94:Q95"/>
    <mergeCell ref="R94:R95"/>
    <mergeCell ref="S94:S95"/>
    <mergeCell ref="T94:T95"/>
    <mergeCell ref="U94:U95"/>
    <mergeCell ref="V94:V95"/>
    <mergeCell ref="W94:W95"/>
    <mergeCell ref="X94:X95"/>
    <mergeCell ref="Y94:Y95"/>
    <mergeCell ref="T82:T85"/>
    <mergeCell ref="U82:U85"/>
    <mergeCell ref="V82:V85"/>
    <mergeCell ref="W82:W85"/>
    <mergeCell ref="X82:X85"/>
    <mergeCell ref="Y82:Y85"/>
    <mergeCell ref="C86:C89"/>
    <mergeCell ref="N86:N89"/>
    <mergeCell ref="O86:O89"/>
    <mergeCell ref="P86:P89"/>
    <mergeCell ref="Q86:Q89"/>
    <mergeCell ref="R86:R89"/>
    <mergeCell ref="S86:S89"/>
    <mergeCell ref="T86:T89"/>
    <mergeCell ref="U86:U89"/>
    <mergeCell ref="V86:V89"/>
    <mergeCell ref="W86:W89"/>
    <mergeCell ref="X86:X89"/>
    <mergeCell ref="Y86:Y89"/>
    <mergeCell ref="A82:A95"/>
    <mergeCell ref="B82:B95"/>
    <mergeCell ref="C82:C85"/>
    <mergeCell ref="N82:N85"/>
    <mergeCell ref="O82:O85"/>
    <mergeCell ref="P82:P85"/>
    <mergeCell ref="Q82:Q85"/>
    <mergeCell ref="R82:R85"/>
    <mergeCell ref="S82:S85"/>
    <mergeCell ref="C90:C93"/>
    <mergeCell ref="N90:N93"/>
    <mergeCell ref="O90:O93"/>
    <mergeCell ref="P90:P93"/>
    <mergeCell ref="Q90:Q93"/>
    <mergeCell ref="R90:R93"/>
    <mergeCell ref="S90:S93"/>
    <mergeCell ref="V76:V79"/>
    <mergeCell ref="W76:W79"/>
    <mergeCell ref="X76:X79"/>
    <mergeCell ref="Y76:Y79"/>
    <mergeCell ref="C80:C81"/>
    <mergeCell ref="N80:N81"/>
    <mergeCell ref="O80:O81"/>
    <mergeCell ref="P80:P81"/>
    <mergeCell ref="Q80:Q81"/>
    <mergeCell ref="R80:R81"/>
    <mergeCell ref="S80:S81"/>
    <mergeCell ref="T80:T81"/>
    <mergeCell ref="U80:U81"/>
    <mergeCell ref="V80:V81"/>
    <mergeCell ref="W80:W81"/>
    <mergeCell ref="X80:X81"/>
    <mergeCell ref="Y80:Y81"/>
    <mergeCell ref="C76:C79"/>
    <mergeCell ref="N76:N79"/>
    <mergeCell ref="O76:O79"/>
    <mergeCell ref="P76:P79"/>
    <mergeCell ref="Q76:Q79"/>
    <mergeCell ref="R76:R79"/>
    <mergeCell ref="S76:S79"/>
    <mergeCell ref="W72:W75"/>
    <mergeCell ref="X72:X75"/>
    <mergeCell ref="Y72:Y75"/>
    <mergeCell ref="P68:P71"/>
    <mergeCell ref="Q68:Q71"/>
    <mergeCell ref="R68:R71"/>
    <mergeCell ref="S68:S71"/>
    <mergeCell ref="T68:T71"/>
    <mergeCell ref="U68:U71"/>
    <mergeCell ref="V68:V71"/>
    <mergeCell ref="W68:W71"/>
    <mergeCell ref="N72:N75"/>
    <mergeCell ref="O72:O75"/>
    <mergeCell ref="P72:P75"/>
    <mergeCell ref="Q72:Q75"/>
    <mergeCell ref="R72:R75"/>
    <mergeCell ref="S72:S75"/>
    <mergeCell ref="T72:T75"/>
    <mergeCell ref="U72:U75"/>
    <mergeCell ref="V72:V75"/>
    <mergeCell ref="W62:W63"/>
    <mergeCell ref="X62:X63"/>
    <mergeCell ref="Y62:Y63"/>
    <mergeCell ref="A64:A81"/>
    <mergeCell ref="B64:B81"/>
    <mergeCell ref="C64:C67"/>
    <mergeCell ref="N64:N67"/>
    <mergeCell ref="O64:O67"/>
    <mergeCell ref="P64:P67"/>
    <mergeCell ref="Q64:Q67"/>
    <mergeCell ref="R64:R67"/>
    <mergeCell ref="S64:S67"/>
    <mergeCell ref="T64:T67"/>
    <mergeCell ref="U64:U67"/>
    <mergeCell ref="V64:V67"/>
    <mergeCell ref="W64:W67"/>
    <mergeCell ref="X64:X67"/>
    <mergeCell ref="Y64:Y67"/>
    <mergeCell ref="C68:C71"/>
    <mergeCell ref="N68:N71"/>
    <mergeCell ref="T76:T79"/>
    <mergeCell ref="U76:U79"/>
    <mergeCell ref="Y68:Y71"/>
    <mergeCell ref="C72:C75"/>
    <mergeCell ref="O68:O71"/>
    <mergeCell ref="T54:T57"/>
    <mergeCell ref="U54:U57"/>
    <mergeCell ref="V54:V57"/>
    <mergeCell ref="W54:W57"/>
    <mergeCell ref="X54:X57"/>
    <mergeCell ref="Y54:Y57"/>
    <mergeCell ref="C58:C61"/>
    <mergeCell ref="N58:N61"/>
    <mergeCell ref="O58:O61"/>
    <mergeCell ref="P58:P61"/>
    <mergeCell ref="Q58:Q61"/>
    <mergeCell ref="R58:R61"/>
    <mergeCell ref="S58:S61"/>
    <mergeCell ref="T58:T61"/>
    <mergeCell ref="U58:U61"/>
    <mergeCell ref="V58:V61"/>
    <mergeCell ref="W58:W61"/>
    <mergeCell ref="X58:X61"/>
    <mergeCell ref="Y58:Y61"/>
    <mergeCell ref="X68:X71"/>
    <mergeCell ref="T62:T63"/>
    <mergeCell ref="U62:U63"/>
    <mergeCell ref="V62:V63"/>
    <mergeCell ref="A54:A63"/>
    <mergeCell ref="B54:B63"/>
    <mergeCell ref="C54:C57"/>
    <mergeCell ref="N54:N57"/>
    <mergeCell ref="O54:O57"/>
    <mergeCell ref="P54:P57"/>
    <mergeCell ref="Q54:Q57"/>
    <mergeCell ref="R54:R57"/>
    <mergeCell ref="S54:S57"/>
    <mergeCell ref="C62:C63"/>
    <mergeCell ref="N62:N63"/>
    <mergeCell ref="O62:O63"/>
    <mergeCell ref="P62:P63"/>
    <mergeCell ref="Q62:Q63"/>
    <mergeCell ref="R62:R63"/>
    <mergeCell ref="S62:S63"/>
    <mergeCell ref="T48:T51"/>
    <mergeCell ref="U48:U51"/>
    <mergeCell ref="V48:V51"/>
    <mergeCell ref="W48:W51"/>
    <mergeCell ref="X48:X51"/>
    <mergeCell ref="Y48:Y51"/>
    <mergeCell ref="C52:C53"/>
    <mergeCell ref="N52:N53"/>
    <mergeCell ref="O52:O53"/>
    <mergeCell ref="P52:P53"/>
    <mergeCell ref="Q52:Q53"/>
    <mergeCell ref="R52:R53"/>
    <mergeCell ref="S52:S53"/>
    <mergeCell ref="T52:T53"/>
    <mergeCell ref="U52:U53"/>
    <mergeCell ref="V52:V53"/>
    <mergeCell ref="W52:W53"/>
    <mergeCell ref="X52:X53"/>
    <mergeCell ref="Y52:Y53"/>
    <mergeCell ref="A48:A53"/>
    <mergeCell ref="B48:B53"/>
    <mergeCell ref="C48:C51"/>
    <mergeCell ref="N48:N51"/>
    <mergeCell ref="O48:O51"/>
    <mergeCell ref="P48:P51"/>
    <mergeCell ref="Q48:Q51"/>
    <mergeCell ref="R48:R51"/>
    <mergeCell ref="S48:S51"/>
    <mergeCell ref="T42:T45"/>
    <mergeCell ref="U42:U45"/>
    <mergeCell ref="V42:V45"/>
    <mergeCell ref="W42:W45"/>
    <mergeCell ref="X42:X45"/>
    <mergeCell ref="Y42:Y45"/>
    <mergeCell ref="C46:C47"/>
    <mergeCell ref="N46:N47"/>
    <mergeCell ref="O46:O47"/>
    <mergeCell ref="P46:P47"/>
    <mergeCell ref="Q46:Q47"/>
    <mergeCell ref="R46:R47"/>
    <mergeCell ref="S46:S47"/>
    <mergeCell ref="T46:T47"/>
    <mergeCell ref="U46:U47"/>
    <mergeCell ref="V46:V47"/>
    <mergeCell ref="W46:W47"/>
    <mergeCell ref="X46:X47"/>
    <mergeCell ref="Y46:Y47"/>
    <mergeCell ref="A42:A47"/>
    <mergeCell ref="B42:B47"/>
    <mergeCell ref="C42:C45"/>
    <mergeCell ref="N42:N45"/>
    <mergeCell ref="O42:O45"/>
    <mergeCell ref="P42:P45"/>
    <mergeCell ref="Q42:Q45"/>
    <mergeCell ref="R42:R45"/>
    <mergeCell ref="S42:S45"/>
    <mergeCell ref="T36:T39"/>
    <mergeCell ref="U36:U39"/>
    <mergeCell ref="V36:V39"/>
    <mergeCell ref="W36:W39"/>
    <mergeCell ref="X36:X39"/>
    <mergeCell ref="Y36:Y39"/>
    <mergeCell ref="C40:C41"/>
    <mergeCell ref="N40:N41"/>
    <mergeCell ref="O40:O41"/>
    <mergeCell ref="P40:P41"/>
    <mergeCell ref="Q40:Q41"/>
    <mergeCell ref="R40:R41"/>
    <mergeCell ref="S40:S41"/>
    <mergeCell ref="T40:T41"/>
    <mergeCell ref="U40:U41"/>
    <mergeCell ref="V40:V41"/>
    <mergeCell ref="W40:W41"/>
    <mergeCell ref="X40:X41"/>
    <mergeCell ref="Y40:Y41"/>
    <mergeCell ref="T28:T31"/>
    <mergeCell ref="U28:U31"/>
    <mergeCell ref="V28:V31"/>
    <mergeCell ref="W28:W31"/>
    <mergeCell ref="X28:X31"/>
    <mergeCell ref="Y28:Y31"/>
    <mergeCell ref="C32:C35"/>
    <mergeCell ref="N32:N35"/>
    <mergeCell ref="O32:O35"/>
    <mergeCell ref="P32:P35"/>
    <mergeCell ref="Q32:Q35"/>
    <mergeCell ref="R32:R35"/>
    <mergeCell ref="S32:S35"/>
    <mergeCell ref="T32:T35"/>
    <mergeCell ref="U32:U35"/>
    <mergeCell ref="V32:V35"/>
    <mergeCell ref="W32:W35"/>
    <mergeCell ref="X32:X35"/>
    <mergeCell ref="Y32:Y35"/>
    <mergeCell ref="A28:A41"/>
    <mergeCell ref="B28:B41"/>
    <mergeCell ref="C28:C31"/>
    <mergeCell ref="N28:N31"/>
    <mergeCell ref="O28:O31"/>
    <mergeCell ref="P28:P31"/>
    <mergeCell ref="Q28:Q31"/>
    <mergeCell ref="R28:R31"/>
    <mergeCell ref="S28:S31"/>
    <mergeCell ref="C36:C39"/>
    <mergeCell ref="N36:N39"/>
    <mergeCell ref="O36:O39"/>
    <mergeCell ref="P36:P39"/>
    <mergeCell ref="Q36:Q39"/>
    <mergeCell ref="R36:R39"/>
    <mergeCell ref="S36:S39"/>
    <mergeCell ref="X26:X27"/>
    <mergeCell ref="Y26:Y27"/>
    <mergeCell ref="P22:P25"/>
    <mergeCell ref="Q22:Q25"/>
    <mergeCell ref="R22:R25"/>
    <mergeCell ref="S22:S25"/>
    <mergeCell ref="T22:T25"/>
    <mergeCell ref="U22:U25"/>
    <mergeCell ref="V22:V25"/>
    <mergeCell ref="W22:W25"/>
    <mergeCell ref="X22:X25"/>
    <mergeCell ref="O26:O27"/>
    <mergeCell ref="P26:P27"/>
    <mergeCell ref="Q26:Q27"/>
    <mergeCell ref="R26:R27"/>
    <mergeCell ref="S26:S27"/>
    <mergeCell ref="T26:T27"/>
    <mergeCell ref="U26:U27"/>
    <mergeCell ref="V26:V27"/>
    <mergeCell ref="W26:W27"/>
    <mergeCell ref="W16:W17"/>
    <mergeCell ref="X16:X17"/>
    <mergeCell ref="Y16:Y17"/>
    <mergeCell ref="A18:A27"/>
    <mergeCell ref="B18:B27"/>
    <mergeCell ref="C18:C21"/>
    <mergeCell ref="N18:N21"/>
    <mergeCell ref="O18:O21"/>
    <mergeCell ref="P18:P21"/>
    <mergeCell ref="Q18:Q21"/>
    <mergeCell ref="R18:R21"/>
    <mergeCell ref="S18:S21"/>
    <mergeCell ref="T18:T21"/>
    <mergeCell ref="U18:U21"/>
    <mergeCell ref="V18:V21"/>
    <mergeCell ref="W18:W21"/>
    <mergeCell ref="X18:X21"/>
    <mergeCell ref="Y18:Y21"/>
    <mergeCell ref="C22:C25"/>
    <mergeCell ref="N22:N25"/>
    <mergeCell ref="O22:O25"/>
    <mergeCell ref="Y22:Y25"/>
    <mergeCell ref="C26:C27"/>
    <mergeCell ref="N26:N27"/>
    <mergeCell ref="A8:A17"/>
    <mergeCell ref="B8:B17"/>
    <mergeCell ref="C8:C11"/>
    <mergeCell ref="N8:N11"/>
    <mergeCell ref="O8:O11"/>
    <mergeCell ref="P8:P11"/>
    <mergeCell ref="Q8:Q11"/>
    <mergeCell ref="R8:R11"/>
    <mergeCell ref="S8:S11"/>
    <mergeCell ref="C16:C17"/>
    <mergeCell ref="N16:N17"/>
    <mergeCell ref="O16:O17"/>
    <mergeCell ref="P16:P17"/>
    <mergeCell ref="Q16:Q17"/>
    <mergeCell ref="R16:R17"/>
    <mergeCell ref="S16:S17"/>
    <mergeCell ref="C12:C15"/>
    <mergeCell ref="N12:N15"/>
    <mergeCell ref="O12:O15"/>
    <mergeCell ref="P12:P15"/>
    <mergeCell ref="Q12:Q15"/>
    <mergeCell ref="R12:R15"/>
    <mergeCell ref="S12:S15"/>
    <mergeCell ref="F108:H108"/>
    <mergeCell ref="F109:H109"/>
    <mergeCell ref="E6:E7"/>
    <mergeCell ref="J6:M6"/>
    <mergeCell ref="N6:R6"/>
    <mergeCell ref="S6:Y6"/>
    <mergeCell ref="T8:T11"/>
    <mergeCell ref="U8:U11"/>
    <mergeCell ref="V8:V11"/>
    <mergeCell ref="B108:E108"/>
    <mergeCell ref="B109:E109"/>
    <mergeCell ref="F6:I6"/>
    <mergeCell ref="W8:W11"/>
    <mergeCell ref="X8:X11"/>
    <mergeCell ref="Y8:Y11"/>
    <mergeCell ref="T12:T15"/>
    <mergeCell ref="U12:U15"/>
    <mergeCell ref="V12:V15"/>
    <mergeCell ref="W12:W15"/>
    <mergeCell ref="X12:X15"/>
    <mergeCell ref="Y12:Y15"/>
    <mergeCell ref="T16:T17"/>
    <mergeCell ref="U16:U17"/>
    <mergeCell ref="V16:V17"/>
    <mergeCell ref="A6:A7"/>
    <mergeCell ref="B6:B7"/>
    <mergeCell ref="C6:C7"/>
    <mergeCell ref="D6:D7"/>
    <mergeCell ref="E5:Y5"/>
    <mergeCell ref="A4:D4"/>
    <mergeCell ref="A5:D5"/>
    <mergeCell ref="E1:Y1"/>
    <mergeCell ref="E2:Y2"/>
    <mergeCell ref="S3:Y3"/>
    <mergeCell ref="E3:R3"/>
    <mergeCell ref="A1:D3"/>
    <mergeCell ref="E4:Y4"/>
  </mergeCells>
  <dataValidations count="4">
    <dataValidation type="list" allowBlank="1" showInputMessage="1" showErrorMessage="1" sqref="V90:V93 V8 V16 V12 V24 V20 V84 V58 V64 V62 V70 V32 V40 V36 V50 V44 C90:C93 V72 W8:W93 V76" xr:uid="{00000000-0002-0000-0300-000000000000}">
      <formula1>#REF!</formula1>
    </dataValidation>
    <dataValidation type="list" allowBlank="1" showInputMessage="1" showErrorMessage="1" sqref="C96:C99" xr:uid="{00000000-0002-0000-0300-000001000000}">
      <formula1>$R$102:$R$104</formula1>
    </dataValidation>
    <dataValidation type="list" allowBlank="1" showInputMessage="1" showErrorMessage="1" sqref="O8 O16 O12 O24 O20 O84 O58 O64 O62 O70 O32 O40 O36 O50 O44 N90:N101 V94:V101 O74:P74 X8:X101 O78" xr:uid="{00000000-0002-0000-0300-000002000000}">
      <formula1>#REF!</formula1>
    </dataValidation>
    <dataValidation type="list" allowBlank="1" showInputMessage="1" showErrorMessage="1" sqref="W94:W101" xr:uid="{00000000-0002-0000-0300-000003000000}">
      <formula1>$O$102:$O$104</formula1>
    </dataValidation>
  </dataValidations>
  <pageMargins left="0.70866141732283472" right="0.70866141732283472" top="0.74803149606299213" bottom="0.74803149606299213" header="0.31496062992125984" footer="0.31496062992125984"/>
  <pageSetup scale="35" orientation="landscape" r:id="rId1"/>
  <headerFooter>
    <oddFooter>&amp;C&amp;G</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cp:lastPrinted>2019-11-22T21:42:49Z</cp:lastPrinted>
  <dcterms:created xsi:type="dcterms:W3CDTF">2010-03-25T16:40:43Z</dcterms:created>
  <dcterms:modified xsi:type="dcterms:W3CDTF">2019-11-22T21:46:13Z</dcterms:modified>
</cp:coreProperties>
</file>